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C:\Users\Rafael\Downloads\LP PRENSA Y LOGISTICA V2\VF\4.Estudio de Mercado\"/>
    </mc:Choice>
  </mc:AlternateContent>
  <xr:revisionPtr revIDLastSave="0" documentId="13_ncr:1_{F13C6B92-DCA3-434F-B48B-44E0D798D4E1}" xr6:coauthVersionLast="47" xr6:coauthVersionMax="47" xr10:uidLastSave="{00000000-0000-0000-0000-000000000000}"/>
  <bookViews>
    <workbookView xWindow="-120" yWindow="-120" windowWidth="20730" windowHeight="11040" activeTab="1" xr2:uid="{C7FFBFA8-A43B-E547-B7B6-0A7CEBDD6CE7}"/>
  </bookViews>
  <sheets>
    <sheet name="INICIO" sheetId="2" r:id="rId1"/>
    <sheet name="ESP TÉC" sheetId="3" r:id="rId2"/>
    <sheet name="Hoja1" sheetId="6" r:id="rId3"/>
  </sheets>
  <definedNames>
    <definedName name="_xlnm._FilterDatabase" localSheetId="1" hidden="1">'ESP TÉC'!$A$2:$AN$501</definedName>
    <definedName name="_Hlk200527018" localSheetId="1">'ESP TÉC'!#REF!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00" i="3" l="1"/>
  <c r="J500" i="3"/>
  <c r="K500" i="3" s="1"/>
  <c r="M500" i="3" s="1"/>
  <c r="L500" i="3"/>
  <c r="O500" i="3"/>
  <c r="P500" i="3" s="1"/>
  <c r="R500" i="3" s="1"/>
  <c r="Q500" i="3"/>
  <c r="T500" i="3"/>
  <c r="U500" i="3" s="1"/>
  <c r="W500" i="3" s="1"/>
  <c r="V500" i="3"/>
  <c r="Y500" i="3"/>
  <c r="Z500" i="3" s="1"/>
  <c r="AB500" i="3" s="1"/>
  <c r="AA500" i="3"/>
  <c r="AC500" i="3"/>
  <c r="AD500" i="3" s="1"/>
  <c r="AE500" i="3"/>
  <c r="AG500" i="3"/>
  <c r="AH500" i="3" s="1"/>
  <c r="I224" i="3"/>
  <c r="J224" i="3" s="1"/>
  <c r="K224" i="3" s="1"/>
  <c r="M224" i="3" s="1"/>
  <c r="N224" i="3"/>
  <c r="O224" i="3"/>
  <c r="S224" i="3"/>
  <c r="T224" i="3" s="1"/>
  <c r="U224" i="3" s="1"/>
  <c r="W224" i="3" s="1"/>
  <c r="Y224" i="3"/>
  <c r="Z224" i="3" s="1"/>
  <c r="AB224" i="3" s="1"/>
  <c r="AA224" i="3"/>
  <c r="A496" i="3"/>
  <c r="J496" i="3"/>
  <c r="K496" i="3" s="1"/>
  <c r="M496" i="3" s="1"/>
  <c r="L496" i="3"/>
  <c r="O496" i="3"/>
  <c r="P496" i="3" s="1"/>
  <c r="R496" i="3" s="1"/>
  <c r="Q496" i="3"/>
  <c r="T496" i="3"/>
  <c r="U496" i="3" s="1"/>
  <c r="W496" i="3" s="1"/>
  <c r="V496" i="3"/>
  <c r="Y496" i="3"/>
  <c r="Z496" i="3" s="1"/>
  <c r="AB496" i="3" s="1"/>
  <c r="AA496" i="3"/>
  <c r="AC496" i="3"/>
  <c r="AD496" i="3" s="1"/>
  <c r="AE496" i="3"/>
  <c r="AG496" i="3"/>
  <c r="AH496" i="3" s="1"/>
  <c r="A497" i="3"/>
  <c r="J497" i="3"/>
  <c r="K497" i="3" s="1"/>
  <c r="M497" i="3" s="1"/>
  <c r="L497" i="3"/>
  <c r="O497" i="3"/>
  <c r="P497" i="3" s="1"/>
  <c r="R497" i="3" s="1"/>
  <c r="Q497" i="3"/>
  <c r="T497" i="3"/>
  <c r="U497" i="3" s="1"/>
  <c r="W497" i="3" s="1"/>
  <c r="V497" i="3"/>
  <c r="Y497" i="3"/>
  <c r="Z497" i="3" s="1"/>
  <c r="AB497" i="3" s="1"/>
  <c r="AA497" i="3"/>
  <c r="AC497" i="3"/>
  <c r="AE497" i="3"/>
  <c r="AI497" i="3" s="1"/>
  <c r="AG497" i="3"/>
  <c r="AH497" i="3" s="1"/>
  <c r="A491" i="3"/>
  <c r="J491" i="3"/>
  <c r="K491" i="3" s="1"/>
  <c r="M491" i="3" s="1"/>
  <c r="L491" i="3"/>
  <c r="O491" i="3"/>
  <c r="P491" i="3" s="1"/>
  <c r="R491" i="3" s="1"/>
  <c r="Q491" i="3"/>
  <c r="T491" i="3"/>
  <c r="U491" i="3" s="1"/>
  <c r="W491" i="3" s="1"/>
  <c r="V491" i="3"/>
  <c r="Y491" i="3"/>
  <c r="Z491" i="3" s="1"/>
  <c r="AB491" i="3" s="1"/>
  <c r="AA491" i="3"/>
  <c r="AC491" i="3"/>
  <c r="AD491" i="3" s="1"/>
  <c r="AE491" i="3"/>
  <c r="AG491" i="3"/>
  <c r="AH491" i="3" s="1"/>
  <c r="A492" i="3"/>
  <c r="J492" i="3"/>
  <c r="K492" i="3" s="1"/>
  <c r="M492" i="3" s="1"/>
  <c r="L492" i="3"/>
  <c r="O492" i="3"/>
  <c r="P492" i="3" s="1"/>
  <c r="R492" i="3" s="1"/>
  <c r="Q492" i="3"/>
  <c r="T492" i="3"/>
  <c r="U492" i="3" s="1"/>
  <c r="W492" i="3" s="1"/>
  <c r="V492" i="3"/>
  <c r="Y492" i="3"/>
  <c r="Z492" i="3" s="1"/>
  <c r="AB492" i="3" s="1"/>
  <c r="AA492" i="3"/>
  <c r="AC492" i="3"/>
  <c r="AD492" i="3" s="1"/>
  <c r="AE492" i="3"/>
  <c r="AI492" i="3" s="1"/>
  <c r="AG492" i="3"/>
  <c r="AH492" i="3" s="1"/>
  <c r="A331" i="3"/>
  <c r="J331" i="3"/>
  <c r="K331" i="3" s="1"/>
  <c r="M331" i="3" s="1"/>
  <c r="L331" i="3"/>
  <c r="O331" i="3"/>
  <c r="P331" i="3" s="1"/>
  <c r="R331" i="3" s="1"/>
  <c r="Q331" i="3"/>
  <c r="T331" i="3"/>
  <c r="U331" i="3" s="1"/>
  <c r="W331" i="3" s="1"/>
  <c r="V331" i="3"/>
  <c r="Y331" i="3"/>
  <c r="Z331" i="3" s="1"/>
  <c r="AB331" i="3" s="1"/>
  <c r="AA331" i="3"/>
  <c r="AC331" i="3"/>
  <c r="AD331" i="3" s="1"/>
  <c r="AE331" i="3"/>
  <c r="AG331" i="3"/>
  <c r="AH331" i="3" s="1"/>
  <c r="I227" i="3"/>
  <c r="N227" i="3"/>
  <c r="O227" i="3" s="1"/>
  <c r="S227" i="3"/>
  <c r="Y227" i="3"/>
  <c r="Z227" i="3" s="1"/>
  <c r="AB227" i="3" s="1"/>
  <c r="AA227" i="3"/>
  <c r="I226" i="3"/>
  <c r="J226" i="3" s="1"/>
  <c r="N226" i="3"/>
  <c r="O226" i="3" s="1"/>
  <c r="S226" i="3"/>
  <c r="T226" i="3" s="1"/>
  <c r="Y226" i="3"/>
  <c r="Z226" i="3" s="1"/>
  <c r="AB226" i="3" s="1"/>
  <c r="AA226" i="3"/>
  <c r="L224" i="3" l="1"/>
  <c r="AF500" i="3"/>
  <c r="AI500" i="3"/>
  <c r="AJ500" i="3" s="1"/>
  <c r="A224" i="3"/>
  <c r="AF497" i="3"/>
  <c r="AE224" i="3"/>
  <c r="V224" i="3"/>
  <c r="AC224" i="3"/>
  <c r="AD224" i="3" s="1"/>
  <c r="Q224" i="3"/>
  <c r="AF496" i="3"/>
  <c r="AG224" i="3"/>
  <c r="AH224" i="3" s="1"/>
  <c r="P224" i="3"/>
  <c r="R224" i="3" s="1"/>
  <c r="AJ497" i="3"/>
  <c r="AI496" i="3"/>
  <c r="AJ496" i="3" s="1"/>
  <c r="AD497" i="3"/>
  <c r="AF491" i="3"/>
  <c r="AJ492" i="3"/>
  <c r="AI491" i="3"/>
  <c r="AJ491" i="3" s="1"/>
  <c r="AF492" i="3"/>
  <c r="AF331" i="3"/>
  <c r="AI331" i="3"/>
  <c r="AJ331" i="3" s="1"/>
  <c r="AE227" i="3"/>
  <c r="AI227" i="3" s="1"/>
  <c r="V227" i="3"/>
  <c r="T227" i="3"/>
  <c r="U227" i="3" s="1"/>
  <c r="W227" i="3" s="1"/>
  <c r="L226" i="3"/>
  <c r="K226" i="3"/>
  <c r="M226" i="3" s="1"/>
  <c r="U226" i="3"/>
  <c r="W226" i="3" s="1"/>
  <c r="V226" i="3"/>
  <c r="A227" i="3"/>
  <c r="A226" i="3"/>
  <c r="AE226" i="3"/>
  <c r="AC226" i="3"/>
  <c r="AD226" i="3" s="1"/>
  <c r="P227" i="3"/>
  <c r="R227" i="3" s="1"/>
  <c r="L227" i="3"/>
  <c r="AC227" i="3"/>
  <c r="J227" i="3"/>
  <c r="K227" i="3" s="1"/>
  <c r="M227" i="3" s="1"/>
  <c r="P226" i="3"/>
  <c r="R226" i="3" s="1"/>
  <c r="Q227" i="3"/>
  <c r="AG227" i="3"/>
  <c r="Q226" i="3"/>
  <c r="AG226" i="3"/>
  <c r="AH227" i="3" l="1"/>
  <c r="AI224" i="3"/>
  <c r="AJ224" i="3" s="1"/>
  <c r="AF224" i="3"/>
  <c r="AH226" i="3"/>
  <c r="AI226" i="3"/>
  <c r="AJ226" i="3" s="1"/>
  <c r="AF226" i="3"/>
  <c r="AD227" i="3"/>
  <c r="AF227" i="3"/>
  <c r="AJ227" i="3"/>
  <c r="A480" i="3" l="1"/>
  <c r="J480" i="3"/>
  <c r="K480" i="3" s="1"/>
  <c r="M480" i="3" s="1"/>
  <c r="L480" i="3"/>
  <c r="O480" i="3"/>
  <c r="P480" i="3" s="1"/>
  <c r="R480" i="3" s="1"/>
  <c r="Q480" i="3"/>
  <c r="T480" i="3"/>
  <c r="U480" i="3" s="1"/>
  <c r="W480" i="3" s="1"/>
  <c r="V480" i="3"/>
  <c r="Y480" i="3"/>
  <c r="Z480" i="3" s="1"/>
  <c r="AB480" i="3" s="1"/>
  <c r="AA480" i="3"/>
  <c r="AC480" i="3"/>
  <c r="AE480" i="3"/>
  <c r="AI480" i="3" s="1"/>
  <c r="AG480" i="3"/>
  <c r="A479" i="3"/>
  <c r="J479" i="3"/>
  <c r="K479" i="3" s="1"/>
  <c r="M479" i="3" s="1"/>
  <c r="L479" i="3"/>
  <c r="O479" i="3"/>
  <c r="P479" i="3" s="1"/>
  <c r="R479" i="3" s="1"/>
  <c r="Q479" i="3"/>
  <c r="T479" i="3"/>
  <c r="U479" i="3" s="1"/>
  <c r="W479" i="3" s="1"/>
  <c r="V479" i="3"/>
  <c r="Y479" i="3"/>
  <c r="Z479" i="3" s="1"/>
  <c r="AB479" i="3" s="1"/>
  <c r="AA479" i="3"/>
  <c r="AC479" i="3"/>
  <c r="AE479" i="3"/>
  <c r="AI479" i="3" s="1"/>
  <c r="AG479" i="3"/>
  <c r="I8" i="6"/>
  <c r="I9" i="6" s="1"/>
  <c r="F8" i="6"/>
  <c r="F9" i="6" s="1"/>
  <c r="AC499" i="3"/>
  <c r="AC498" i="3"/>
  <c r="AC495" i="3"/>
  <c r="AC494" i="3"/>
  <c r="AC493" i="3"/>
  <c r="AC490" i="3"/>
  <c r="AC489" i="3"/>
  <c r="AC488" i="3"/>
  <c r="AC487" i="3"/>
  <c r="AC486" i="3"/>
  <c r="AC485" i="3"/>
  <c r="AC484" i="3"/>
  <c r="AC483" i="3"/>
  <c r="AC482" i="3"/>
  <c r="AC481" i="3"/>
  <c r="AC478" i="3"/>
  <c r="AC477" i="3"/>
  <c r="AC476" i="3"/>
  <c r="AC475" i="3"/>
  <c r="AC474" i="3"/>
  <c r="AC473" i="3"/>
  <c r="AC472" i="3"/>
  <c r="AC471" i="3"/>
  <c r="AC470" i="3"/>
  <c r="AC469" i="3"/>
  <c r="AC468" i="3"/>
  <c r="AC467" i="3"/>
  <c r="AC466" i="3"/>
  <c r="AC465" i="3"/>
  <c r="AC464" i="3"/>
  <c r="AC463" i="3"/>
  <c r="AC462" i="3"/>
  <c r="AC461" i="3"/>
  <c r="AC460" i="3"/>
  <c r="AC459" i="3"/>
  <c r="AC458" i="3"/>
  <c r="AC457" i="3"/>
  <c r="AC456" i="3"/>
  <c r="AC455" i="3"/>
  <c r="AC454" i="3"/>
  <c r="AC453" i="3"/>
  <c r="AC452" i="3"/>
  <c r="AC451" i="3"/>
  <c r="AC450" i="3"/>
  <c r="AC449" i="3"/>
  <c r="AC448" i="3"/>
  <c r="AC447" i="3"/>
  <c r="AC446" i="3"/>
  <c r="AC445" i="3"/>
  <c r="AC444" i="3"/>
  <c r="AC443" i="3"/>
  <c r="AC442" i="3"/>
  <c r="AC441" i="3"/>
  <c r="AC440" i="3"/>
  <c r="AC439" i="3"/>
  <c r="AC438" i="3"/>
  <c r="AC437" i="3"/>
  <c r="AC436" i="3"/>
  <c r="AC435" i="3"/>
  <c r="AC434" i="3"/>
  <c r="AC433" i="3"/>
  <c r="AC432" i="3"/>
  <c r="AC431" i="3"/>
  <c r="AC430" i="3"/>
  <c r="AC429" i="3"/>
  <c r="AC428" i="3"/>
  <c r="AC427" i="3"/>
  <c r="AC426" i="3"/>
  <c r="AC425" i="3"/>
  <c r="AC424" i="3"/>
  <c r="AC423" i="3"/>
  <c r="AC422" i="3"/>
  <c r="AC421" i="3"/>
  <c r="AC420" i="3"/>
  <c r="AC419" i="3"/>
  <c r="AC418" i="3"/>
  <c r="AC417" i="3"/>
  <c r="AC416" i="3"/>
  <c r="AC415" i="3"/>
  <c r="AC414" i="3"/>
  <c r="AC413" i="3"/>
  <c r="AC412" i="3"/>
  <c r="AC411" i="3"/>
  <c r="AC410" i="3"/>
  <c r="AC409" i="3"/>
  <c r="AC408" i="3"/>
  <c r="AC407" i="3"/>
  <c r="AC406" i="3"/>
  <c r="AC405" i="3"/>
  <c r="AC404" i="3"/>
  <c r="AC403" i="3"/>
  <c r="AC402" i="3"/>
  <c r="AC401" i="3"/>
  <c r="AC400" i="3"/>
  <c r="AC399" i="3"/>
  <c r="AC398" i="3"/>
  <c r="AC397" i="3"/>
  <c r="AC396" i="3"/>
  <c r="AC395" i="3"/>
  <c r="AC394" i="3"/>
  <c r="AC393" i="3"/>
  <c r="AC392" i="3"/>
  <c r="AC391" i="3"/>
  <c r="AC390" i="3"/>
  <c r="AC389" i="3"/>
  <c r="AC388" i="3"/>
  <c r="AC387" i="3"/>
  <c r="AC386" i="3"/>
  <c r="AC385" i="3"/>
  <c r="AC384" i="3"/>
  <c r="AC383" i="3"/>
  <c r="AC382" i="3"/>
  <c r="AC381" i="3"/>
  <c r="AC380" i="3"/>
  <c r="AC379" i="3"/>
  <c r="AC378" i="3"/>
  <c r="AC377" i="3"/>
  <c r="AC376" i="3"/>
  <c r="AC375" i="3"/>
  <c r="AC374" i="3"/>
  <c r="AC373" i="3"/>
  <c r="AC372" i="3"/>
  <c r="AC371" i="3"/>
  <c r="AC370" i="3"/>
  <c r="AC369" i="3"/>
  <c r="AC368" i="3"/>
  <c r="AC367" i="3"/>
  <c r="AC366" i="3"/>
  <c r="AC365" i="3"/>
  <c r="AC364" i="3"/>
  <c r="AC363" i="3"/>
  <c r="AC362" i="3"/>
  <c r="AC361" i="3"/>
  <c r="AC360" i="3"/>
  <c r="AC359" i="3"/>
  <c r="AC358" i="3"/>
  <c r="AC357" i="3"/>
  <c r="AC356" i="3"/>
  <c r="AC355" i="3"/>
  <c r="AC354" i="3"/>
  <c r="AC353" i="3"/>
  <c r="AC352" i="3"/>
  <c r="AC351" i="3"/>
  <c r="AC350" i="3"/>
  <c r="AC349" i="3"/>
  <c r="AC348" i="3"/>
  <c r="AC347" i="3"/>
  <c r="AC346" i="3"/>
  <c r="AC345" i="3"/>
  <c r="AC344" i="3"/>
  <c r="AC343" i="3"/>
  <c r="AC342" i="3"/>
  <c r="AC341" i="3"/>
  <c r="AC340" i="3"/>
  <c r="AC339" i="3"/>
  <c r="AC338" i="3"/>
  <c r="AC337" i="3"/>
  <c r="AC336" i="3"/>
  <c r="AC335" i="3"/>
  <c r="AC334" i="3"/>
  <c r="AC333" i="3"/>
  <c r="AC332" i="3"/>
  <c r="AC330" i="3"/>
  <c r="AC329" i="3"/>
  <c r="AC328" i="3"/>
  <c r="AC327" i="3"/>
  <c r="AC326" i="3"/>
  <c r="AC325" i="3"/>
  <c r="AC324" i="3"/>
  <c r="AC323" i="3"/>
  <c r="AC322" i="3"/>
  <c r="AC321" i="3"/>
  <c r="AC320" i="3"/>
  <c r="AC319" i="3"/>
  <c r="AC318" i="3"/>
  <c r="AC317" i="3"/>
  <c r="AC316" i="3"/>
  <c r="AC315" i="3"/>
  <c r="AC314" i="3"/>
  <c r="AC313" i="3"/>
  <c r="AC312" i="3"/>
  <c r="AC311" i="3"/>
  <c r="AC310" i="3"/>
  <c r="AC309" i="3"/>
  <c r="AC308" i="3"/>
  <c r="AC307" i="3"/>
  <c r="AC306" i="3"/>
  <c r="AC305" i="3"/>
  <c r="AC304" i="3"/>
  <c r="AC303" i="3"/>
  <c r="AC302" i="3"/>
  <c r="AC301" i="3"/>
  <c r="AC300" i="3"/>
  <c r="AC299" i="3"/>
  <c r="AC298" i="3"/>
  <c r="AC297" i="3"/>
  <c r="AC296" i="3"/>
  <c r="AC295" i="3"/>
  <c r="AC294" i="3"/>
  <c r="AC293" i="3"/>
  <c r="AC292" i="3"/>
  <c r="AC291" i="3"/>
  <c r="AC290" i="3"/>
  <c r="AC289" i="3"/>
  <c r="AC288" i="3"/>
  <c r="AC287" i="3"/>
  <c r="AC286" i="3"/>
  <c r="AC285" i="3"/>
  <c r="AC284" i="3"/>
  <c r="AC283" i="3"/>
  <c r="AC282" i="3"/>
  <c r="AC281" i="3"/>
  <c r="AC280" i="3"/>
  <c r="AC279" i="3"/>
  <c r="AC278" i="3"/>
  <c r="AC277" i="3"/>
  <c r="AC276" i="3"/>
  <c r="AC275" i="3"/>
  <c r="AC274" i="3"/>
  <c r="AC273" i="3"/>
  <c r="AC272" i="3"/>
  <c r="AC271" i="3"/>
  <c r="AC255" i="3"/>
  <c r="AC254" i="3"/>
  <c r="AC253" i="3"/>
  <c r="AC251" i="3"/>
  <c r="AC250" i="3"/>
  <c r="AC249" i="3"/>
  <c r="AC248" i="3"/>
  <c r="AC247" i="3"/>
  <c r="AC246" i="3"/>
  <c r="AC245" i="3"/>
  <c r="AC244" i="3"/>
  <c r="AC243" i="3"/>
  <c r="AC242" i="3"/>
  <c r="AC241" i="3"/>
  <c r="AC240" i="3"/>
  <c r="AC239" i="3"/>
  <c r="AC238" i="3"/>
  <c r="AC237" i="3"/>
  <c r="AC236" i="3"/>
  <c r="AC230" i="3"/>
  <c r="AC229" i="3"/>
  <c r="AC211" i="3"/>
  <c r="AC210" i="3"/>
  <c r="AC199" i="3"/>
  <c r="AC198" i="3"/>
  <c r="AC169" i="3"/>
  <c r="AC166" i="3"/>
  <c r="AC165" i="3"/>
  <c r="AC160" i="3"/>
  <c r="AC159" i="3"/>
  <c r="AC158" i="3"/>
  <c r="AC157" i="3"/>
  <c r="AC156" i="3"/>
  <c r="AC155" i="3"/>
  <c r="AC154" i="3"/>
  <c r="AC140" i="3"/>
  <c r="AC139" i="3"/>
  <c r="AC132" i="3"/>
  <c r="AC124" i="3"/>
  <c r="AC123" i="3"/>
  <c r="AC120" i="3"/>
  <c r="AC111" i="3"/>
  <c r="AC97" i="3"/>
  <c r="AC27" i="3"/>
  <c r="AC26" i="3"/>
  <c r="AC25" i="3"/>
  <c r="AC17" i="3"/>
  <c r="AG501" i="3"/>
  <c r="AG499" i="3"/>
  <c r="AG498" i="3"/>
  <c r="AG495" i="3"/>
  <c r="AG494" i="3"/>
  <c r="AG493" i="3"/>
  <c r="AG490" i="3"/>
  <c r="AG489" i="3"/>
  <c r="AG488" i="3"/>
  <c r="AG487" i="3"/>
  <c r="AG486" i="3"/>
  <c r="AG485" i="3"/>
  <c r="AG484" i="3"/>
  <c r="AG483" i="3"/>
  <c r="AG482" i="3"/>
  <c r="AG481" i="3"/>
  <c r="AG478" i="3"/>
  <c r="AG477" i="3"/>
  <c r="AG476" i="3"/>
  <c r="AG475" i="3"/>
  <c r="AG474" i="3"/>
  <c r="AG473" i="3"/>
  <c r="AG472" i="3"/>
  <c r="AG471" i="3"/>
  <c r="AG470" i="3"/>
  <c r="AG469" i="3"/>
  <c r="AG468" i="3"/>
  <c r="AG467" i="3"/>
  <c r="AG466" i="3"/>
  <c r="AG465" i="3"/>
  <c r="AG464" i="3"/>
  <c r="AG463" i="3"/>
  <c r="AG462" i="3"/>
  <c r="AG461" i="3"/>
  <c r="AG460" i="3"/>
  <c r="AG459" i="3"/>
  <c r="AG458" i="3"/>
  <c r="AG457" i="3"/>
  <c r="AG456" i="3"/>
  <c r="AG455" i="3"/>
  <c r="AG454" i="3"/>
  <c r="AG453" i="3"/>
  <c r="AG452" i="3"/>
  <c r="AG451" i="3"/>
  <c r="AG450" i="3"/>
  <c r="AG449" i="3"/>
  <c r="AG448" i="3"/>
  <c r="AG447" i="3"/>
  <c r="AG446" i="3"/>
  <c r="AG445" i="3"/>
  <c r="AG444" i="3"/>
  <c r="AG443" i="3"/>
  <c r="AG442" i="3"/>
  <c r="AG441" i="3"/>
  <c r="AG440" i="3"/>
  <c r="AG439" i="3"/>
  <c r="AG438" i="3"/>
  <c r="AG437" i="3"/>
  <c r="AG436" i="3"/>
  <c r="AG435" i="3"/>
  <c r="AG434" i="3"/>
  <c r="AG433" i="3"/>
  <c r="AG432" i="3"/>
  <c r="AG431" i="3"/>
  <c r="AG430" i="3"/>
  <c r="AG429" i="3"/>
  <c r="AG428" i="3"/>
  <c r="AG427" i="3"/>
  <c r="AG426" i="3"/>
  <c r="AG425" i="3"/>
  <c r="AG424" i="3"/>
  <c r="AG423" i="3"/>
  <c r="AG422" i="3"/>
  <c r="AG421" i="3"/>
  <c r="AG420" i="3"/>
  <c r="AG419" i="3"/>
  <c r="AG418" i="3"/>
  <c r="AG417" i="3"/>
  <c r="AG416" i="3"/>
  <c r="AG415" i="3"/>
  <c r="AG414" i="3"/>
  <c r="AG413" i="3"/>
  <c r="AG412" i="3"/>
  <c r="AG411" i="3"/>
  <c r="AG410" i="3"/>
  <c r="AG409" i="3"/>
  <c r="AG408" i="3"/>
  <c r="AG407" i="3"/>
  <c r="AG406" i="3"/>
  <c r="AG405" i="3"/>
  <c r="AG404" i="3"/>
  <c r="AG403" i="3"/>
  <c r="AG402" i="3"/>
  <c r="AG401" i="3"/>
  <c r="AG400" i="3"/>
  <c r="AG399" i="3"/>
  <c r="AG398" i="3"/>
  <c r="AG397" i="3"/>
  <c r="AG396" i="3"/>
  <c r="AG395" i="3"/>
  <c r="AG394" i="3"/>
  <c r="AG393" i="3"/>
  <c r="AG392" i="3"/>
  <c r="AG391" i="3"/>
  <c r="AG390" i="3"/>
  <c r="AG389" i="3"/>
  <c r="AG388" i="3"/>
  <c r="AG387" i="3"/>
  <c r="AG386" i="3"/>
  <c r="AG385" i="3"/>
  <c r="AG384" i="3"/>
  <c r="AG383" i="3"/>
  <c r="AG382" i="3"/>
  <c r="AG381" i="3"/>
  <c r="AG380" i="3"/>
  <c r="AG379" i="3"/>
  <c r="AG378" i="3"/>
  <c r="AG377" i="3"/>
  <c r="AG376" i="3"/>
  <c r="AG375" i="3"/>
  <c r="AG374" i="3"/>
  <c r="AG373" i="3"/>
  <c r="AG372" i="3"/>
  <c r="AG371" i="3"/>
  <c r="AG370" i="3"/>
  <c r="AG369" i="3"/>
  <c r="AG368" i="3"/>
  <c r="AG367" i="3"/>
  <c r="AG366" i="3"/>
  <c r="AG365" i="3"/>
  <c r="AG364" i="3"/>
  <c r="AG363" i="3"/>
  <c r="AG362" i="3"/>
  <c r="AG361" i="3"/>
  <c r="AG360" i="3"/>
  <c r="AG359" i="3"/>
  <c r="AG358" i="3"/>
  <c r="AG357" i="3"/>
  <c r="AG356" i="3"/>
  <c r="AG355" i="3"/>
  <c r="AG354" i="3"/>
  <c r="AG353" i="3"/>
  <c r="AG352" i="3"/>
  <c r="AG351" i="3"/>
  <c r="AG350" i="3"/>
  <c r="AG349" i="3"/>
  <c r="AG348" i="3"/>
  <c r="AG347" i="3"/>
  <c r="AG346" i="3"/>
  <c r="AG345" i="3"/>
  <c r="AG344" i="3"/>
  <c r="AG343" i="3"/>
  <c r="AG342" i="3"/>
  <c r="AG341" i="3"/>
  <c r="AG340" i="3"/>
  <c r="AG339" i="3"/>
  <c r="AG338" i="3"/>
  <c r="AG337" i="3"/>
  <c r="AG336" i="3"/>
  <c r="AG335" i="3"/>
  <c r="AG334" i="3"/>
  <c r="AG333" i="3"/>
  <c r="AG332" i="3"/>
  <c r="AG330" i="3"/>
  <c r="AG329" i="3"/>
  <c r="AG328" i="3"/>
  <c r="AG327" i="3"/>
  <c r="AG326" i="3"/>
  <c r="AG325" i="3"/>
  <c r="AG324" i="3"/>
  <c r="AG323" i="3"/>
  <c r="AG322" i="3"/>
  <c r="AG321" i="3"/>
  <c r="AG320" i="3"/>
  <c r="AG319" i="3"/>
  <c r="AG318" i="3"/>
  <c r="AG317" i="3"/>
  <c r="AG316" i="3"/>
  <c r="AG315" i="3"/>
  <c r="AG314" i="3"/>
  <c r="AG313" i="3"/>
  <c r="AG312" i="3"/>
  <c r="AG311" i="3"/>
  <c r="AG310" i="3"/>
  <c r="AG309" i="3"/>
  <c r="AG308" i="3"/>
  <c r="AG307" i="3"/>
  <c r="AG306" i="3"/>
  <c r="AG305" i="3"/>
  <c r="AG304" i="3"/>
  <c r="AG303" i="3"/>
  <c r="AG302" i="3"/>
  <c r="AG301" i="3"/>
  <c r="AG300" i="3"/>
  <c r="AG299" i="3"/>
  <c r="AG298" i="3"/>
  <c r="AG297" i="3"/>
  <c r="AG296" i="3"/>
  <c r="AG295" i="3"/>
  <c r="AG294" i="3"/>
  <c r="AG293" i="3"/>
  <c r="AG292" i="3"/>
  <c r="AG291" i="3"/>
  <c r="AG290" i="3"/>
  <c r="AG289" i="3"/>
  <c r="AG288" i="3"/>
  <c r="AG287" i="3"/>
  <c r="AG286" i="3"/>
  <c r="AG285" i="3"/>
  <c r="AG284" i="3"/>
  <c r="AG283" i="3"/>
  <c r="AG282" i="3"/>
  <c r="AG281" i="3"/>
  <c r="AG280" i="3"/>
  <c r="AG279" i="3"/>
  <c r="AG278" i="3"/>
  <c r="AG277" i="3"/>
  <c r="AG276" i="3"/>
  <c r="AG275" i="3"/>
  <c r="AG274" i="3"/>
  <c r="AG273" i="3"/>
  <c r="AG272" i="3"/>
  <c r="AG271" i="3"/>
  <c r="AG255" i="3"/>
  <c r="AH255" i="3" s="1"/>
  <c r="AG254" i="3"/>
  <c r="AH254" i="3" s="1"/>
  <c r="AG253" i="3"/>
  <c r="AH253" i="3" s="1"/>
  <c r="AG251" i="3"/>
  <c r="AG250" i="3"/>
  <c r="AH250" i="3" s="1"/>
  <c r="AG249" i="3"/>
  <c r="AH249" i="3" s="1"/>
  <c r="AG248" i="3"/>
  <c r="AH248" i="3" s="1"/>
  <c r="AG247" i="3"/>
  <c r="AH247" i="3" s="1"/>
  <c r="AG246" i="3"/>
  <c r="AH246" i="3" s="1"/>
  <c r="AG245" i="3"/>
  <c r="AH245" i="3" s="1"/>
  <c r="AG244" i="3"/>
  <c r="AH244" i="3" s="1"/>
  <c r="AG243" i="3"/>
  <c r="AH243" i="3" s="1"/>
  <c r="AG242" i="3"/>
  <c r="AH242" i="3" s="1"/>
  <c r="AG241" i="3"/>
  <c r="AH241" i="3" s="1"/>
  <c r="AG240" i="3"/>
  <c r="AH240" i="3" s="1"/>
  <c r="AG239" i="3"/>
  <c r="AH239" i="3" s="1"/>
  <c r="AG238" i="3"/>
  <c r="AH238" i="3" s="1"/>
  <c r="AG237" i="3"/>
  <c r="AH237" i="3" s="1"/>
  <c r="AG236" i="3"/>
  <c r="AG230" i="3"/>
  <c r="AG229" i="3"/>
  <c r="AG211" i="3"/>
  <c r="AG210" i="3"/>
  <c r="AG199" i="3"/>
  <c r="AG198" i="3"/>
  <c r="AG169" i="3"/>
  <c r="AG166" i="3"/>
  <c r="AG165" i="3"/>
  <c r="AG160" i="3"/>
  <c r="AG159" i="3"/>
  <c r="AG158" i="3"/>
  <c r="AG157" i="3"/>
  <c r="AG156" i="3"/>
  <c r="AG155" i="3"/>
  <c r="AG154" i="3"/>
  <c r="AG140" i="3"/>
  <c r="AG139" i="3"/>
  <c r="AG132" i="3"/>
  <c r="AG124" i="3"/>
  <c r="AG123" i="3"/>
  <c r="AG120" i="3"/>
  <c r="AG111" i="3"/>
  <c r="AG97" i="3"/>
  <c r="AG27" i="3"/>
  <c r="AG26" i="3"/>
  <c r="AG25" i="3"/>
  <c r="AG17" i="3"/>
  <c r="AC501" i="3"/>
  <c r="AE501" i="3"/>
  <c r="AE499" i="3"/>
  <c r="AE498" i="3"/>
  <c r="AE495" i="3"/>
  <c r="AE494" i="3"/>
  <c r="AE493" i="3"/>
  <c r="AE490" i="3"/>
  <c r="AE489" i="3"/>
  <c r="AE488" i="3"/>
  <c r="AE487" i="3"/>
  <c r="AE486" i="3"/>
  <c r="AE485" i="3"/>
  <c r="AE484" i="3"/>
  <c r="AE483" i="3"/>
  <c r="AE482" i="3"/>
  <c r="AE481" i="3"/>
  <c r="AE478" i="3"/>
  <c r="AE477" i="3"/>
  <c r="AE476" i="3"/>
  <c r="AE475" i="3"/>
  <c r="AE474" i="3"/>
  <c r="AE473" i="3"/>
  <c r="AE472" i="3"/>
  <c r="AE471" i="3"/>
  <c r="AE470" i="3"/>
  <c r="AE469" i="3"/>
  <c r="AE468" i="3"/>
  <c r="AE467" i="3"/>
  <c r="AE466" i="3"/>
  <c r="AE465" i="3"/>
  <c r="AE464" i="3"/>
  <c r="AE463" i="3"/>
  <c r="AE462" i="3"/>
  <c r="AE461" i="3"/>
  <c r="AE460" i="3"/>
  <c r="AE459" i="3"/>
  <c r="AE458" i="3"/>
  <c r="AE457" i="3"/>
  <c r="AE456" i="3"/>
  <c r="AE455" i="3"/>
  <c r="AE454" i="3"/>
  <c r="AE453" i="3"/>
  <c r="AE452" i="3"/>
  <c r="AE451" i="3"/>
  <c r="AE450" i="3"/>
  <c r="AE449" i="3"/>
  <c r="AE448" i="3"/>
  <c r="AE447" i="3"/>
  <c r="AE446" i="3"/>
  <c r="AE445" i="3"/>
  <c r="AE444" i="3"/>
  <c r="AE443" i="3"/>
  <c r="AE442" i="3"/>
  <c r="AE441" i="3"/>
  <c r="AE440" i="3"/>
  <c r="AE439" i="3"/>
  <c r="AE438" i="3"/>
  <c r="AE437" i="3"/>
  <c r="AE436" i="3"/>
  <c r="AE435" i="3"/>
  <c r="AE434" i="3"/>
  <c r="AE433" i="3"/>
  <c r="AE432" i="3"/>
  <c r="AE431" i="3"/>
  <c r="AE430" i="3"/>
  <c r="AE429" i="3"/>
  <c r="AE428" i="3"/>
  <c r="AE427" i="3"/>
  <c r="AE426" i="3"/>
  <c r="AE425" i="3"/>
  <c r="AE424" i="3"/>
  <c r="AE423" i="3"/>
  <c r="AE422" i="3"/>
  <c r="AE421" i="3"/>
  <c r="AE420" i="3"/>
  <c r="AE419" i="3"/>
  <c r="AE418" i="3"/>
  <c r="AE417" i="3"/>
  <c r="AE416" i="3"/>
  <c r="AE415" i="3"/>
  <c r="AE414" i="3"/>
  <c r="AE413" i="3"/>
  <c r="AE412" i="3"/>
  <c r="AE411" i="3"/>
  <c r="AE410" i="3"/>
  <c r="AE409" i="3"/>
  <c r="AE408" i="3"/>
  <c r="AE407" i="3"/>
  <c r="AE406" i="3"/>
  <c r="AE405" i="3"/>
  <c r="AE404" i="3"/>
  <c r="AE403" i="3"/>
  <c r="AE402" i="3"/>
  <c r="AE401" i="3"/>
  <c r="AE400" i="3"/>
  <c r="AE399" i="3"/>
  <c r="AE398" i="3"/>
  <c r="AE397" i="3"/>
  <c r="AE396" i="3"/>
  <c r="AE395" i="3"/>
  <c r="AE394" i="3"/>
  <c r="AE393" i="3"/>
  <c r="AE392" i="3"/>
  <c r="AE391" i="3"/>
  <c r="AE390" i="3"/>
  <c r="AE389" i="3"/>
  <c r="AE388" i="3"/>
  <c r="AE387" i="3"/>
  <c r="AE386" i="3"/>
  <c r="AE385" i="3"/>
  <c r="AE384" i="3"/>
  <c r="AE383" i="3"/>
  <c r="AE382" i="3"/>
  <c r="AE381" i="3"/>
  <c r="AE380" i="3"/>
  <c r="AE379" i="3"/>
  <c r="AE378" i="3"/>
  <c r="AE377" i="3"/>
  <c r="AE376" i="3"/>
  <c r="AE375" i="3"/>
  <c r="AE374" i="3"/>
  <c r="AE373" i="3"/>
  <c r="AE372" i="3"/>
  <c r="AE371" i="3"/>
  <c r="AE370" i="3"/>
  <c r="AE369" i="3"/>
  <c r="AE368" i="3"/>
  <c r="AE367" i="3"/>
  <c r="AE366" i="3"/>
  <c r="AE365" i="3"/>
  <c r="AE364" i="3"/>
  <c r="AE363" i="3"/>
  <c r="AE362" i="3"/>
  <c r="AE361" i="3"/>
  <c r="AE360" i="3"/>
  <c r="AE359" i="3"/>
  <c r="AE358" i="3"/>
  <c r="AE357" i="3"/>
  <c r="AE356" i="3"/>
  <c r="AE355" i="3"/>
  <c r="AE354" i="3"/>
  <c r="AE353" i="3"/>
  <c r="AE352" i="3"/>
  <c r="AE351" i="3"/>
  <c r="AE350" i="3"/>
  <c r="AE349" i="3"/>
  <c r="AE348" i="3"/>
  <c r="AE347" i="3"/>
  <c r="AE346" i="3"/>
  <c r="AE345" i="3"/>
  <c r="AE344" i="3"/>
  <c r="AE343" i="3"/>
  <c r="AE342" i="3"/>
  <c r="AE341" i="3"/>
  <c r="AE340" i="3"/>
  <c r="AE339" i="3"/>
  <c r="AE338" i="3"/>
  <c r="AE337" i="3"/>
  <c r="AE336" i="3"/>
  <c r="AE335" i="3"/>
  <c r="AE334" i="3"/>
  <c r="AE333" i="3"/>
  <c r="AE332" i="3"/>
  <c r="AE330" i="3"/>
  <c r="AE329" i="3"/>
  <c r="AE328" i="3"/>
  <c r="AE327" i="3"/>
  <c r="AE326" i="3"/>
  <c r="AE325" i="3"/>
  <c r="AE324" i="3"/>
  <c r="AE323" i="3"/>
  <c r="AE322" i="3"/>
  <c r="AE321" i="3"/>
  <c r="AE320" i="3"/>
  <c r="AE319" i="3"/>
  <c r="AE318" i="3"/>
  <c r="AE317" i="3"/>
  <c r="AE316" i="3"/>
  <c r="AE315" i="3"/>
  <c r="AE314" i="3"/>
  <c r="AE313" i="3"/>
  <c r="AE312" i="3"/>
  <c r="AE311" i="3"/>
  <c r="AE310" i="3"/>
  <c r="AE309" i="3"/>
  <c r="AE308" i="3"/>
  <c r="AE307" i="3"/>
  <c r="AE306" i="3"/>
  <c r="AE305" i="3"/>
  <c r="AE304" i="3"/>
  <c r="AE303" i="3"/>
  <c r="AE302" i="3"/>
  <c r="AE301" i="3"/>
  <c r="AE300" i="3"/>
  <c r="AE299" i="3"/>
  <c r="AE298" i="3"/>
  <c r="AE297" i="3"/>
  <c r="AE296" i="3"/>
  <c r="AE295" i="3"/>
  <c r="AE294" i="3"/>
  <c r="AE293" i="3"/>
  <c r="AE292" i="3"/>
  <c r="AE291" i="3"/>
  <c r="AE290" i="3"/>
  <c r="AE289" i="3"/>
  <c r="AE288" i="3"/>
  <c r="AE287" i="3"/>
  <c r="AE286" i="3"/>
  <c r="AE285" i="3"/>
  <c r="AE284" i="3"/>
  <c r="AE283" i="3"/>
  <c r="AE282" i="3"/>
  <c r="AE281" i="3"/>
  <c r="AE280" i="3"/>
  <c r="AE279" i="3"/>
  <c r="AE278" i="3"/>
  <c r="AE277" i="3"/>
  <c r="AE276" i="3"/>
  <c r="AE275" i="3"/>
  <c r="AE274" i="3"/>
  <c r="AE273" i="3"/>
  <c r="AE272" i="3"/>
  <c r="AE271" i="3"/>
  <c r="AE255" i="3"/>
  <c r="AE254" i="3"/>
  <c r="AE253" i="3"/>
  <c r="AE251" i="3"/>
  <c r="AE250" i="3"/>
  <c r="AE249" i="3"/>
  <c r="AE248" i="3"/>
  <c r="AE247" i="3"/>
  <c r="AE246" i="3"/>
  <c r="AE245" i="3"/>
  <c r="AE244" i="3"/>
  <c r="AE243" i="3"/>
  <c r="AE242" i="3"/>
  <c r="AE241" i="3"/>
  <c r="AE240" i="3"/>
  <c r="AE239" i="3"/>
  <c r="AE238" i="3"/>
  <c r="AE237" i="3"/>
  <c r="AE236" i="3"/>
  <c r="AE230" i="3"/>
  <c r="AE229" i="3"/>
  <c r="AE211" i="3"/>
  <c r="AE210" i="3"/>
  <c r="AE199" i="3"/>
  <c r="AE198" i="3"/>
  <c r="AE169" i="3"/>
  <c r="AE166" i="3"/>
  <c r="AE165" i="3"/>
  <c r="AE160" i="3"/>
  <c r="AE159" i="3"/>
  <c r="AE158" i="3"/>
  <c r="AE157" i="3"/>
  <c r="AE156" i="3"/>
  <c r="AE155" i="3"/>
  <c r="AE154" i="3"/>
  <c r="AE140" i="3"/>
  <c r="AE139" i="3"/>
  <c r="AE132" i="3"/>
  <c r="AE124" i="3"/>
  <c r="AE123" i="3"/>
  <c r="AE120" i="3"/>
  <c r="AE111" i="3"/>
  <c r="AE97" i="3"/>
  <c r="AE27" i="3"/>
  <c r="AE26" i="3"/>
  <c r="AE25" i="3"/>
  <c r="AE17" i="3"/>
  <c r="AD480" i="3" l="1"/>
  <c r="AH480" i="3"/>
  <c r="AD479" i="3"/>
  <c r="AH479" i="3"/>
  <c r="AF480" i="3"/>
  <c r="AJ479" i="3"/>
  <c r="AJ480" i="3"/>
  <c r="AF479" i="3"/>
  <c r="F12" i="6"/>
  <c r="L501" i="3"/>
  <c r="L495" i="3"/>
  <c r="L498" i="3"/>
  <c r="L499" i="3"/>
  <c r="T478" i="3"/>
  <c r="L494" i="3" l="1"/>
  <c r="Q349" i="3"/>
  <c r="O349" i="3"/>
  <c r="P349" i="3" s="1"/>
  <c r="R349" i="3" s="1"/>
  <c r="L349" i="3"/>
  <c r="J349" i="3"/>
  <c r="K349" i="3" s="1"/>
  <c r="M349" i="3" s="1"/>
  <c r="A349" i="3"/>
  <c r="L315" i="3"/>
  <c r="AD349" i="3" l="1"/>
  <c r="AH349" i="3"/>
  <c r="S270" i="3"/>
  <c r="S269" i="3"/>
  <c r="S268" i="3"/>
  <c r="S267" i="3"/>
  <c r="S266" i="3"/>
  <c r="S265" i="3"/>
  <c r="S264" i="3"/>
  <c r="S263" i="3"/>
  <c r="S262" i="3"/>
  <c r="S261" i="3"/>
  <c r="S260" i="3"/>
  <c r="S259" i="3"/>
  <c r="S258" i="3"/>
  <c r="N270" i="3"/>
  <c r="N269" i="3"/>
  <c r="N268" i="3"/>
  <c r="N267" i="3"/>
  <c r="N266" i="3"/>
  <c r="N265" i="3"/>
  <c r="N264" i="3"/>
  <c r="N263" i="3"/>
  <c r="N262" i="3"/>
  <c r="N261" i="3"/>
  <c r="N260" i="3"/>
  <c r="N259" i="3"/>
  <c r="N258" i="3"/>
  <c r="I270" i="3"/>
  <c r="I269" i="3"/>
  <c r="I268" i="3"/>
  <c r="I267" i="3"/>
  <c r="I266" i="3"/>
  <c r="I265" i="3"/>
  <c r="I264" i="3"/>
  <c r="I263" i="3"/>
  <c r="I262" i="3"/>
  <c r="I261" i="3"/>
  <c r="I260" i="3"/>
  <c r="I259" i="3"/>
  <c r="I258" i="3"/>
  <c r="S257" i="3"/>
  <c r="N257" i="3"/>
  <c r="I257" i="3"/>
  <c r="S256" i="3"/>
  <c r="N256" i="3"/>
  <c r="I256" i="3"/>
  <c r="S252" i="3"/>
  <c r="N252" i="3"/>
  <c r="I252" i="3"/>
  <c r="S235" i="3"/>
  <c r="S234" i="3"/>
  <c r="S233" i="3"/>
  <c r="S232" i="3"/>
  <c r="T232" i="3" s="1"/>
  <c r="U232" i="3" s="1"/>
  <c r="W232" i="3" s="1"/>
  <c r="S231" i="3"/>
  <c r="S228" i="3"/>
  <c r="N235" i="3"/>
  <c r="N234" i="3"/>
  <c r="N233" i="3"/>
  <c r="N232" i="3"/>
  <c r="Q232" i="3" s="1"/>
  <c r="N231" i="3"/>
  <c r="N228" i="3"/>
  <c r="I235" i="3"/>
  <c r="I234" i="3"/>
  <c r="I233" i="3"/>
  <c r="I232" i="3"/>
  <c r="I231" i="3"/>
  <c r="I228" i="3"/>
  <c r="AA232" i="3"/>
  <c r="S225" i="3"/>
  <c r="S223" i="3"/>
  <c r="S222" i="3"/>
  <c r="S221" i="3"/>
  <c r="S220" i="3"/>
  <c r="S219" i="3"/>
  <c r="S218" i="3"/>
  <c r="S217" i="3"/>
  <c r="S216" i="3"/>
  <c r="S215" i="3"/>
  <c r="S214" i="3"/>
  <c r="S213" i="3"/>
  <c r="S212" i="3"/>
  <c r="S209" i="3"/>
  <c r="N225" i="3"/>
  <c r="N223" i="3"/>
  <c r="N222" i="3"/>
  <c r="N221" i="3"/>
  <c r="N220" i="3"/>
  <c r="N219" i="3"/>
  <c r="N218" i="3"/>
  <c r="N217" i="3"/>
  <c r="N216" i="3"/>
  <c r="N215" i="3"/>
  <c r="N214" i="3"/>
  <c r="N213" i="3"/>
  <c r="N212" i="3"/>
  <c r="N209" i="3"/>
  <c r="I225" i="3"/>
  <c r="I223" i="3"/>
  <c r="I222" i="3"/>
  <c r="I221" i="3"/>
  <c r="I220" i="3"/>
  <c r="I219" i="3"/>
  <c r="I218" i="3"/>
  <c r="I217" i="3"/>
  <c r="I216" i="3"/>
  <c r="I215" i="3"/>
  <c r="I214" i="3"/>
  <c r="I213" i="3"/>
  <c r="I212" i="3"/>
  <c r="I209" i="3"/>
  <c r="S208" i="3"/>
  <c r="S207" i="3"/>
  <c r="S206" i="3"/>
  <c r="S205" i="3"/>
  <c r="S204" i="3"/>
  <c r="S203" i="3"/>
  <c r="S202" i="3"/>
  <c r="S201" i="3"/>
  <c r="S200" i="3"/>
  <c r="S197" i="3"/>
  <c r="S196" i="3"/>
  <c r="S195" i="3"/>
  <c r="S194" i="3"/>
  <c r="S193" i="3"/>
  <c r="S192" i="3"/>
  <c r="S191" i="3"/>
  <c r="S190" i="3"/>
  <c r="S189" i="3"/>
  <c r="S188" i="3"/>
  <c r="S187" i="3"/>
  <c r="S186" i="3"/>
  <c r="N208" i="3"/>
  <c r="N207" i="3"/>
  <c r="N206" i="3"/>
  <c r="N205" i="3"/>
  <c r="N204" i="3"/>
  <c r="N203" i="3"/>
  <c r="N202" i="3"/>
  <c r="N201" i="3"/>
  <c r="N200" i="3"/>
  <c r="N197" i="3"/>
  <c r="N196" i="3"/>
  <c r="N195" i="3"/>
  <c r="N194" i="3"/>
  <c r="N193" i="3"/>
  <c r="N192" i="3"/>
  <c r="N191" i="3"/>
  <c r="N190" i="3"/>
  <c r="N189" i="3"/>
  <c r="N188" i="3"/>
  <c r="N187" i="3"/>
  <c r="N186" i="3"/>
  <c r="I208" i="3"/>
  <c r="I207" i="3"/>
  <c r="I206" i="3"/>
  <c r="I205" i="3"/>
  <c r="I204" i="3"/>
  <c r="I203" i="3"/>
  <c r="I202" i="3"/>
  <c r="I201" i="3"/>
  <c r="I200" i="3"/>
  <c r="I197" i="3"/>
  <c r="I196" i="3"/>
  <c r="I195" i="3"/>
  <c r="I194" i="3"/>
  <c r="I193" i="3"/>
  <c r="I192" i="3"/>
  <c r="I191" i="3"/>
  <c r="I190" i="3"/>
  <c r="I189" i="3"/>
  <c r="I188" i="3"/>
  <c r="I187" i="3"/>
  <c r="I186" i="3"/>
  <c r="S185" i="3"/>
  <c r="S184" i="3"/>
  <c r="S183" i="3"/>
  <c r="S182" i="3"/>
  <c r="S181" i="3"/>
  <c r="S179" i="3"/>
  <c r="S178" i="3"/>
  <c r="S177" i="3"/>
  <c r="S176" i="3"/>
  <c r="S175" i="3"/>
  <c r="S174" i="3"/>
  <c r="S173" i="3"/>
  <c r="S172" i="3"/>
  <c r="S171" i="3"/>
  <c r="S170" i="3"/>
  <c r="N185" i="3"/>
  <c r="N184" i="3"/>
  <c r="N183" i="3"/>
  <c r="N182" i="3"/>
  <c r="N181" i="3"/>
  <c r="N180" i="3"/>
  <c r="N179" i="3"/>
  <c r="N178" i="3"/>
  <c r="N177" i="3"/>
  <c r="N176" i="3"/>
  <c r="N175" i="3"/>
  <c r="N174" i="3"/>
  <c r="N173" i="3"/>
  <c r="N172" i="3"/>
  <c r="N171" i="3"/>
  <c r="N170" i="3"/>
  <c r="S168" i="3"/>
  <c r="S167" i="3"/>
  <c r="N168" i="3"/>
  <c r="N167" i="3"/>
  <c r="I185" i="3"/>
  <c r="I184" i="3"/>
  <c r="I183" i="3"/>
  <c r="I182" i="3"/>
  <c r="I181" i="3"/>
  <c r="I180" i="3"/>
  <c r="I179" i="3"/>
  <c r="I178" i="3"/>
  <c r="I177" i="3"/>
  <c r="I176" i="3"/>
  <c r="I175" i="3"/>
  <c r="I174" i="3"/>
  <c r="I173" i="3"/>
  <c r="I172" i="3"/>
  <c r="I171" i="3"/>
  <c r="I170" i="3"/>
  <c r="I168" i="3"/>
  <c r="I167" i="3"/>
  <c r="S164" i="3"/>
  <c r="S163" i="3"/>
  <c r="N164" i="3"/>
  <c r="N163" i="3"/>
  <c r="I164" i="3"/>
  <c r="I163" i="3"/>
  <c r="S162" i="3"/>
  <c r="S161" i="3"/>
  <c r="N162" i="3"/>
  <c r="N161" i="3"/>
  <c r="I162" i="3"/>
  <c r="I161" i="3"/>
  <c r="S153" i="3"/>
  <c r="S152" i="3"/>
  <c r="S151" i="3"/>
  <c r="S150" i="3"/>
  <c r="S149" i="3"/>
  <c r="S148" i="3"/>
  <c r="S147" i="3"/>
  <c r="S146" i="3"/>
  <c r="S145" i="3"/>
  <c r="S144" i="3"/>
  <c r="S143" i="3"/>
  <c r="S142" i="3"/>
  <c r="S141" i="3"/>
  <c r="S138" i="3"/>
  <c r="S137" i="3"/>
  <c r="S136" i="3"/>
  <c r="S135" i="3"/>
  <c r="S134" i="3"/>
  <c r="S133" i="3"/>
  <c r="S131" i="3"/>
  <c r="S130" i="3"/>
  <c r="S129" i="3"/>
  <c r="S128" i="3"/>
  <c r="S127" i="3"/>
  <c r="S126" i="3"/>
  <c r="N153" i="3"/>
  <c r="N152" i="3"/>
  <c r="N151" i="3"/>
  <c r="N150" i="3"/>
  <c r="N149" i="3"/>
  <c r="N148" i="3"/>
  <c r="N147" i="3"/>
  <c r="N146" i="3"/>
  <c r="N145" i="3"/>
  <c r="N144" i="3"/>
  <c r="N143" i="3"/>
  <c r="N142" i="3"/>
  <c r="N141" i="3"/>
  <c r="N138" i="3"/>
  <c r="N137" i="3"/>
  <c r="N136" i="3"/>
  <c r="N135" i="3"/>
  <c r="N134" i="3"/>
  <c r="N133" i="3"/>
  <c r="N131" i="3"/>
  <c r="N130" i="3"/>
  <c r="N129" i="3"/>
  <c r="N128" i="3"/>
  <c r="N127" i="3"/>
  <c r="N126" i="3"/>
  <c r="AC161" i="3" l="1"/>
  <c r="AC234" i="3"/>
  <c r="AC187" i="3"/>
  <c r="AC195" i="3"/>
  <c r="AC205" i="3"/>
  <c r="AC213" i="3"/>
  <c r="AC221" i="3"/>
  <c r="AC258" i="3"/>
  <c r="AC164" i="3"/>
  <c r="AC193" i="3"/>
  <c r="AC203" i="3"/>
  <c r="AC209" i="3"/>
  <c r="AC219" i="3"/>
  <c r="AC264" i="3"/>
  <c r="AC212" i="3"/>
  <c r="AC220" i="3"/>
  <c r="AC252" i="3"/>
  <c r="AC170" i="3"/>
  <c r="AG204" i="3"/>
  <c r="AC204" i="3"/>
  <c r="AG265" i="3"/>
  <c r="AC265" i="3"/>
  <c r="AG171" i="3"/>
  <c r="AC171" i="3"/>
  <c r="AC266" i="3"/>
  <c r="AC172" i="3"/>
  <c r="AC179" i="3"/>
  <c r="AC188" i="3"/>
  <c r="AC196" i="3"/>
  <c r="AC206" i="3"/>
  <c r="AC214" i="3"/>
  <c r="AC222" i="3"/>
  <c r="AC259" i="3"/>
  <c r="AC267" i="3"/>
  <c r="AC177" i="3"/>
  <c r="AG186" i="3"/>
  <c r="AC186" i="3"/>
  <c r="AG235" i="3"/>
  <c r="AC235" i="3"/>
  <c r="AG162" i="3"/>
  <c r="AC162" i="3"/>
  <c r="AG178" i="3"/>
  <c r="AC178" i="3"/>
  <c r="AG180" i="3"/>
  <c r="AC180" i="3"/>
  <c r="AG189" i="3"/>
  <c r="AC189" i="3"/>
  <c r="AG197" i="3"/>
  <c r="AC197" i="3"/>
  <c r="AG207" i="3"/>
  <c r="AC207" i="3"/>
  <c r="AG215" i="3"/>
  <c r="AC215" i="3"/>
  <c r="AG223" i="3"/>
  <c r="AC223" i="3"/>
  <c r="AG228" i="3"/>
  <c r="AC228" i="3"/>
  <c r="AG256" i="3"/>
  <c r="AC256" i="3"/>
  <c r="AG260" i="3"/>
  <c r="AC260" i="3"/>
  <c r="AG268" i="3"/>
  <c r="AC268" i="3"/>
  <c r="AC181" i="3"/>
  <c r="AC190" i="3"/>
  <c r="AC200" i="3"/>
  <c r="AG216" i="3"/>
  <c r="AC216" i="3"/>
  <c r="AC231" i="3"/>
  <c r="AC167" i="3"/>
  <c r="AC174" i="3"/>
  <c r="AC182" i="3"/>
  <c r="AC191" i="3"/>
  <c r="AC201" i="3"/>
  <c r="AG217" i="3"/>
  <c r="AC217" i="3"/>
  <c r="AG225" i="3"/>
  <c r="AC225" i="3"/>
  <c r="AC232" i="3"/>
  <c r="AG262" i="3"/>
  <c r="AC262" i="3"/>
  <c r="AG270" i="3"/>
  <c r="AC270" i="3"/>
  <c r="AG176" i="3"/>
  <c r="AC176" i="3"/>
  <c r="AG184" i="3"/>
  <c r="AC184" i="3"/>
  <c r="AC185" i="3"/>
  <c r="AG194" i="3"/>
  <c r="AC194" i="3"/>
  <c r="AC173" i="3"/>
  <c r="AC208" i="3"/>
  <c r="AG261" i="3"/>
  <c r="AC261" i="3"/>
  <c r="AG269" i="3"/>
  <c r="AC269" i="3"/>
  <c r="AC163" i="3"/>
  <c r="AG168" i="3"/>
  <c r="AC168" i="3"/>
  <c r="AG175" i="3"/>
  <c r="AC175" i="3"/>
  <c r="AG183" i="3"/>
  <c r="AC183" i="3"/>
  <c r="AC192" i="3"/>
  <c r="AC202" i="3"/>
  <c r="AG218" i="3"/>
  <c r="AC218" i="3"/>
  <c r="AC233" i="3"/>
  <c r="AC257" i="3"/>
  <c r="AC263" i="3"/>
  <c r="AG187" i="3"/>
  <c r="AG195" i="3"/>
  <c r="AG205" i="3"/>
  <c r="AG213" i="3"/>
  <c r="AG221" i="3"/>
  <c r="AG258" i="3"/>
  <c r="AG266" i="3"/>
  <c r="AG172" i="3"/>
  <c r="AG179" i="3"/>
  <c r="AG188" i="3"/>
  <c r="AG196" i="3"/>
  <c r="AG206" i="3"/>
  <c r="AG214" i="3"/>
  <c r="AG222" i="3"/>
  <c r="AG259" i="3"/>
  <c r="AG267" i="3"/>
  <c r="AG181" i="3"/>
  <c r="AG200" i="3"/>
  <c r="AG167" i="3"/>
  <c r="AG174" i="3"/>
  <c r="AG182" i="3"/>
  <c r="AG191" i="3"/>
  <c r="AG201" i="3"/>
  <c r="AG232" i="3"/>
  <c r="AG173" i="3"/>
  <c r="AG208" i="3"/>
  <c r="AG231" i="3"/>
  <c r="AG163" i="3"/>
  <c r="AG192" i="3"/>
  <c r="AG202" i="3"/>
  <c r="AG233" i="3"/>
  <c r="AG257" i="3"/>
  <c r="AG263" i="3"/>
  <c r="AG203" i="3"/>
  <c r="AG209" i="3"/>
  <c r="AG219" i="3"/>
  <c r="AG234" i="3"/>
  <c r="AG264" i="3"/>
  <c r="AG190" i="3"/>
  <c r="AG164" i="3"/>
  <c r="AG193" i="3"/>
  <c r="AG161" i="3"/>
  <c r="AG170" i="3"/>
  <c r="AG177" i="3"/>
  <c r="AG185" i="3"/>
  <c r="AG212" i="3"/>
  <c r="AG220" i="3"/>
  <c r="AG252" i="3"/>
  <c r="AE203" i="3"/>
  <c r="AE219" i="3"/>
  <c r="AE234" i="3"/>
  <c r="AE264" i="3"/>
  <c r="AE161" i="3"/>
  <c r="AE170" i="3"/>
  <c r="AE177" i="3"/>
  <c r="AE185" i="3"/>
  <c r="AE186" i="3"/>
  <c r="AE194" i="3"/>
  <c r="AE204" i="3"/>
  <c r="AE212" i="3"/>
  <c r="AE220" i="3"/>
  <c r="AE235" i="3"/>
  <c r="AE252" i="3"/>
  <c r="AE265" i="3"/>
  <c r="AE162" i="3"/>
  <c r="AE171" i="3"/>
  <c r="AE178" i="3"/>
  <c r="AE187" i="3"/>
  <c r="AE195" i="3"/>
  <c r="AE205" i="3"/>
  <c r="AE213" i="3"/>
  <c r="AE221" i="3"/>
  <c r="AE258" i="3"/>
  <c r="AE266" i="3"/>
  <c r="AE164" i="3"/>
  <c r="AE188" i="3"/>
  <c r="AE267" i="3"/>
  <c r="AE215" i="3"/>
  <c r="AE268" i="3"/>
  <c r="AE184" i="3"/>
  <c r="AE193" i="3"/>
  <c r="AE209" i="3"/>
  <c r="AE206" i="3"/>
  <c r="AE222" i="3"/>
  <c r="AE259" i="3"/>
  <c r="AE207" i="3"/>
  <c r="AE256" i="3"/>
  <c r="AE260" i="3"/>
  <c r="AE173" i="3"/>
  <c r="AE181" i="3"/>
  <c r="AE190" i="3"/>
  <c r="AE200" i="3"/>
  <c r="AE208" i="3"/>
  <c r="AE216" i="3"/>
  <c r="AE231" i="3"/>
  <c r="AE261" i="3"/>
  <c r="AE269" i="3"/>
  <c r="AE179" i="3"/>
  <c r="AE214" i="3"/>
  <c r="AE189" i="3"/>
  <c r="AE167" i="3"/>
  <c r="AE174" i="3"/>
  <c r="AE182" i="3"/>
  <c r="AE191" i="3"/>
  <c r="AE201" i="3"/>
  <c r="AE217" i="3"/>
  <c r="AE225" i="3"/>
  <c r="J232" i="3"/>
  <c r="K232" i="3" s="1"/>
  <c r="M232" i="3" s="1"/>
  <c r="AE232" i="3"/>
  <c r="AE262" i="3"/>
  <c r="AE270" i="3"/>
  <c r="AE176" i="3"/>
  <c r="AE172" i="3"/>
  <c r="AE196" i="3"/>
  <c r="AE180" i="3"/>
  <c r="AE197" i="3"/>
  <c r="AE223" i="3"/>
  <c r="AE228" i="3"/>
  <c r="AE163" i="3"/>
  <c r="AE168" i="3"/>
  <c r="AE175" i="3"/>
  <c r="AE183" i="3"/>
  <c r="AE192" i="3"/>
  <c r="AE202" i="3"/>
  <c r="AE218" i="3"/>
  <c r="AE233" i="3"/>
  <c r="AE257" i="3"/>
  <c r="AE263" i="3"/>
  <c r="L232" i="3"/>
  <c r="O232" i="3"/>
  <c r="P232" i="3" s="1"/>
  <c r="R232" i="3" s="1"/>
  <c r="V232" i="3"/>
  <c r="A232" i="3"/>
  <c r="I153" i="3"/>
  <c r="I152" i="3"/>
  <c r="I151" i="3"/>
  <c r="I150" i="3"/>
  <c r="I149" i="3"/>
  <c r="I148" i="3"/>
  <c r="I147" i="3"/>
  <c r="I146" i="3"/>
  <c r="I145" i="3"/>
  <c r="I144" i="3"/>
  <c r="I143" i="3"/>
  <c r="I142" i="3"/>
  <c r="I141" i="3"/>
  <c r="I138" i="3"/>
  <c r="I137" i="3"/>
  <c r="I136" i="3"/>
  <c r="I135" i="3"/>
  <c r="I134" i="3"/>
  <c r="I133" i="3"/>
  <c r="I131" i="3"/>
  <c r="I130" i="3"/>
  <c r="I129" i="3"/>
  <c r="I128" i="3"/>
  <c r="I127" i="3"/>
  <c r="I126" i="3"/>
  <c r="AH232" i="3" l="1"/>
  <c r="AD232" i="3"/>
  <c r="AG142" i="3"/>
  <c r="AC142" i="3"/>
  <c r="AG150" i="3"/>
  <c r="AC150" i="3"/>
  <c r="AG127" i="3"/>
  <c r="AC127" i="3"/>
  <c r="AG143" i="3"/>
  <c r="AC143" i="3"/>
  <c r="AG128" i="3"/>
  <c r="AC128" i="3"/>
  <c r="AG134" i="3"/>
  <c r="AC134" i="3"/>
  <c r="AG144" i="3"/>
  <c r="AC144" i="3"/>
  <c r="AG152" i="3"/>
  <c r="AC152" i="3"/>
  <c r="AG129" i="3"/>
  <c r="AC129" i="3"/>
  <c r="AG135" i="3"/>
  <c r="AC135" i="3"/>
  <c r="AG145" i="3"/>
  <c r="AC145" i="3"/>
  <c r="AG153" i="3"/>
  <c r="AC153" i="3"/>
  <c r="AG133" i="3"/>
  <c r="AC133" i="3"/>
  <c r="AG151" i="3"/>
  <c r="AC151" i="3"/>
  <c r="AG130" i="3"/>
  <c r="AC130" i="3"/>
  <c r="AG136" i="3"/>
  <c r="AC136" i="3"/>
  <c r="AG146" i="3"/>
  <c r="AC146" i="3"/>
  <c r="AG137" i="3"/>
  <c r="AC137" i="3"/>
  <c r="AG138" i="3"/>
  <c r="AC138" i="3"/>
  <c r="AG148" i="3"/>
  <c r="AC148" i="3"/>
  <c r="AG126" i="3"/>
  <c r="AC126" i="3"/>
  <c r="AG131" i="3"/>
  <c r="AC131" i="3"/>
  <c r="AG147" i="3"/>
  <c r="AC147" i="3"/>
  <c r="AG141" i="3"/>
  <c r="AC141" i="3"/>
  <c r="AG149" i="3"/>
  <c r="AC149" i="3"/>
  <c r="AE142" i="3"/>
  <c r="AE135" i="3"/>
  <c r="AI135" i="3" s="1"/>
  <c r="AE153" i="3"/>
  <c r="AI153" i="3" s="1"/>
  <c r="AE129" i="3"/>
  <c r="AE130" i="3"/>
  <c r="AE136" i="3"/>
  <c r="AI136" i="3" s="1"/>
  <c r="AE146" i="3"/>
  <c r="AE131" i="3"/>
  <c r="AI131" i="3" s="1"/>
  <c r="AE137" i="3"/>
  <c r="AI137" i="3" s="1"/>
  <c r="AE147" i="3"/>
  <c r="AE145" i="3"/>
  <c r="AI145" i="3" s="1"/>
  <c r="AE138" i="3"/>
  <c r="AE148" i="3"/>
  <c r="AI148" i="3" s="1"/>
  <c r="AE141" i="3"/>
  <c r="AI141" i="3" s="1"/>
  <c r="AE149" i="3"/>
  <c r="AI149" i="3" s="1"/>
  <c r="AE126" i="3"/>
  <c r="AI126" i="3" s="1"/>
  <c r="AE150" i="3"/>
  <c r="AE127" i="3"/>
  <c r="AI127" i="3" s="1"/>
  <c r="AE133" i="3"/>
  <c r="AI133" i="3" s="1"/>
  <c r="AE143" i="3"/>
  <c r="AI143" i="3" s="1"/>
  <c r="AE151" i="3"/>
  <c r="AI151" i="3" s="1"/>
  <c r="AE128" i="3"/>
  <c r="AI128" i="3" s="1"/>
  <c r="AE134" i="3"/>
  <c r="AE144" i="3"/>
  <c r="AI144" i="3" s="1"/>
  <c r="AE152" i="3"/>
  <c r="AI152" i="3" s="1"/>
  <c r="S125" i="3"/>
  <c r="V125" i="3" s="1"/>
  <c r="S122" i="3"/>
  <c r="T122" i="3" s="1"/>
  <c r="U122" i="3" s="1"/>
  <c r="W122" i="3" s="1"/>
  <c r="S121" i="3"/>
  <c r="V121" i="3" s="1"/>
  <c r="S119" i="3"/>
  <c r="S118" i="3"/>
  <c r="V118" i="3" s="1"/>
  <c r="S117" i="3"/>
  <c r="T117" i="3" s="1"/>
  <c r="U117" i="3" s="1"/>
  <c r="W117" i="3" s="1"/>
  <c r="S116" i="3"/>
  <c r="V116" i="3" s="1"/>
  <c r="S115" i="3"/>
  <c r="S114" i="3"/>
  <c r="T114" i="3" s="1"/>
  <c r="U114" i="3" s="1"/>
  <c r="W114" i="3" s="1"/>
  <c r="S113" i="3"/>
  <c r="V113" i="3" s="1"/>
  <c r="S112" i="3"/>
  <c r="V112" i="3" s="1"/>
  <c r="S110" i="3"/>
  <c r="V110" i="3" s="1"/>
  <c r="S109" i="3"/>
  <c r="T109" i="3" s="1"/>
  <c r="U109" i="3" s="1"/>
  <c r="W109" i="3" s="1"/>
  <c r="S108" i="3"/>
  <c r="V108" i="3" s="1"/>
  <c r="S107" i="3"/>
  <c r="S106" i="3"/>
  <c r="V106" i="3" s="1"/>
  <c r="S105" i="3"/>
  <c r="V105" i="3" s="1"/>
  <c r="S104" i="3"/>
  <c r="T104" i="3" s="1"/>
  <c r="U104" i="3" s="1"/>
  <c r="W104" i="3" s="1"/>
  <c r="S103" i="3"/>
  <c r="S102" i="3"/>
  <c r="V102" i="3" s="1"/>
  <c r="S101" i="3"/>
  <c r="T101" i="3" s="1"/>
  <c r="U101" i="3" s="1"/>
  <c r="W101" i="3" s="1"/>
  <c r="N125" i="3"/>
  <c r="O125" i="3" s="1"/>
  <c r="P125" i="3" s="1"/>
  <c r="R125" i="3" s="1"/>
  <c r="N122" i="3"/>
  <c r="O122" i="3" s="1"/>
  <c r="P122" i="3" s="1"/>
  <c r="R122" i="3" s="1"/>
  <c r="N121" i="3"/>
  <c r="N119" i="3"/>
  <c r="Q119" i="3" s="1"/>
  <c r="N118" i="3"/>
  <c r="O118" i="3" s="1"/>
  <c r="P118" i="3" s="1"/>
  <c r="R118" i="3" s="1"/>
  <c r="N117" i="3"/>
  <c r="O117" i="3" s="1"/>
  <c r="P117" i="3" s="1"/>
  <c r="R117" i="3" s="1"/>
  <c r="N116" i="3"/>
  <c r="N115" i="3"/>
  <c r="O115" i="3" s="1"/>
  <c r="N114" i="3"/>
  <c r="Q114" i="3" s="1"/>
  <c r="N113" i="3"/>
  <c r="Q113" i="3" s="1"/>
  <c r="N112" i="3"/>
  <c r="N110" i="3"/>
  <c r="Q110" i="3" s="1"/>
  <c r="N109" i="3"/>
  <c r="O109" i="3" s="1"/>
  <c r="P109" i="3" s="1"/>
  <c r="R109" i="3" s="1"/>
  <c r="N108" i="3"/>
  <c r="Q108" i="3" s="1"/>
  <c r="N107" i="3"/>
  <c r="O107" i="3" s="1"/>
  <c r="N106" i="3"/>
  <c r="Q106" i="3" s="1"/>
  <c r="N105" i="3"/>
  <c r="O105" i="3" s="1"/>
  <c r="P105" i="3" s="1"/>
  <c r="R105" i="3" s="1"/>
  <c r="N104" i="3"/>
  <c r="Q104" i="3" s="1"/>
  <c r="N103" i="3"/>
  <c r="N102" i="3"/>
  <c r="Q102" i="3" s="1"/>
  <c r="N101" i="3"/>
  <c r="Q101" i="3" s="1"/>
  <c r="I125" i="3"/>
  <c r="I122" i="3"/>
  <c r="I121" i="3"/>
  <c r="I119" i="3"/>
  <c r="I118" i="3"/>
  <c r="L118" i="3" s="1"/>
  <c r="I117" i="3"/>
  <c r="I116" i="3"/>
  <c r="I115" i="3"/>
  <c r="I114" i="3"/>
  <c r="I113" i="3"/>
  <c r="I112" i="3"/>
  <c r="I110" i="3"/>
  <c r="I109" i="3"/>
  <c r="I108" i="3"/>
  <c r="I107" i="3"/>
  <c r="I106" i="3"/>
  <c r="I105" i="3"/>
  <c r="I104" i="3"/>
  <c r="I103" i="3"/>
  <c r="I102" i="3"/>
  <c r="I101" i="3"/>
  <c r="AI111" i="3"/>
  <c r="AI120" i="3"/>
  <c r="AI123" i="3"/>
  <c r="AI124" i="3"/>
  <c r="AI132" i="3"/>
  <c r="AI140" i="3"/>
  <c r="AI154" i="3"/>
  <c r="AI155" i="3"/>
  <c r="AI157" i="3"/>
  <c r="AI158" i="3"/>
  <c r="AI159" i="3"/>
  <c r="AI162" i="3"/>
  <c r="AI164" i="3"/>
  <c r="AI165" i="3"/>
  <c r="AI166" i="3"/>
  <c r="AI167" i="3"/>
  <c r="AI169" i="3"/>
  <c r="AI170" i="3"/>
  <c r="AI173" i="3"/>
  <c r="AI176" i="3"/>
  <c r="AI177" i="3"/>
  <c r="AI180" i="3"/>
  <c r="AI181" i="3"/>
  <c r="AI183" i="3"/>
  <c r="AI184" i="3"/>
  <c r="AI185" i="3"/>
  <c r="AI187" i="3"/>
  <c r="AI188" i="3"/>
  <c r="AI189" i="3"/>
  <c r="AI192" i="3"/>
  <c r="AI193" i="3"/>
  <c r="AI196" i="3"/>
  <c r="AI197" i="3"/>
  <c r="AI199" i="3"/>
  <c r="AI200" i="3"/>
  <c r="AI201" i="3"/>
  <c r="AI203" i="3"/>
  <c r="AI204" i="3"/>
  <c r="AI205" i="3"/>
  <c r="AI208" i="3"/>
  <c r="AI209" i="3"/>
  <c r="AI212" i="3"/>
  <c r="AI213" i="3"/>
  <c r="AI215" i="3"/>
  <c r="AI216" i="3"/>
  <c r="AI217" i="3"/>
  <c r="AI219" i="3"/>
  <c r="AI220" i="3"/>
  <c r="AI221" i="3"/>
  <c r="AI225" i="3"/>
  <c r="AI228" i="3"/>
  <c r="AI229" i="3"/>
  <c r="AI231" i="3"/>
  <c r="AI233" i="3"/>
  <c r="AI234" i="3"/>
  <c r="AI236" i="3"/>
  <c r="AI252" i="3"/>
  <c r="AI256" i="3"/>
  <c r="AI259" i="3"/>
  <c r="AI260" i="3"/>
  <c r="AI262" i="3"/>
  <c r="AI263" i="3"/>
  <c r="AI264" i="3"/>
  <c r="AI266" i="3"/>
  <c r="AI267" i="3"/>
  <c r="AI268" i="3"/>
  <c r="AI271" i="3"/>
  <c r="AI272" i="3"/>
  <c r="AI275" i="3"/>
  <c r="AI276" i="3"/>
  <c r="AI278" i="3"/>
  <c r="AI279" i="3"/>
  <c r="AI280" i="3"/>
  <c r="AI282" i="3"/>
  <c r="AI283" i="3"/>
  <c r="AI284" i="3"/>
  <c r="AI287" i="3"/>
  <c r="AI288" i="3"/>
  <c r="AI291" i="3"/>
  <c r="AI292" i="3"/>
  <c r="AI294" i="3"/>
  <c r="AI295" i="3"/>
  <c r="AI296" i="3"/>
  <c r="AI298" i="3"/>
  <c r="AI299" i="3"/>
  <c r="AI300" i="3"/>
  <c r="AI303" i="3"/>
  <c r="AI304" i="3"/>
  <c r="AI307" i="3"/>
  <c r="AI308" i="3"/>
  <c r="AI311" i="3"/>
  <c r="AI312" i="3"/>
  <c r="AI314" i="3"/>
  <c r="AI315" i="3"/>
  <c r="AI316" i="3"/>
  <c r="AI320" i="3"/>
  <c r="AI321" i="3"/>
  <c r="AI322" i="3"/>
  <c r="AI324" i="3"/>
  <c r="AI325" i="3"/>
  <c r="AI326" i="3"/>
  <c r="AI329" i="3"/>
  <c r="AI333" i="3"/>
  <c r="AI335" i="3"/>
  <c r="AI336" i="3"/>
  <c r="AI338" i="3"/>
  <c r="AI339" i="3"/>
  <c r="AI340" i="3"/>
  <c r="AI343" i="3"/>
  <c r="AI344" i="3"/>
  <c r="AI347" i="3"/>
  <c r="AI348" i="3"/>
  <c r="AI351" i="3"/>
  <c r="AI352" i="3"/>
  <c r="AI353" i="3"/>
  <c r="AI355" i="3"/>
  <c r="AI356" i="3"/>
  <c r="AI357" i="3"/>
  <c r="AI360" i="3"/>
  <c r="AJ360" i="3" s="1"/>
  <c r="AI361" i="3"/>
  <c r="AI364" i="3"/>
  <c r="AI365" i="3"/>
  <c r="AI367" i="3"/>
  <c r="AI368" i="3"/>
  <c r="AI369" i="3"/>
  <c r="AI371" i="3"/>
  <c r="AI372" i="3"/>
  <c r="AI373" i="3"/>
  <c r="AI377" i="3"/>
  <c r="AI380" i="3"/>
  <c r="AI381" i="3"/>
  <c r="AI383" i="3"/>
  <c r="AI384" i="3"/>
  <c r="AI385" i="3"/>
  <c r="AI388" i="3"/>
  <c r="AI389" i="3"/>
  <c r="AI392" i="3"/>
  <c r="AI393" i="3"/>
  <c r="AI396" i="3"/>
  <c r="AI397" i="3"/>
  <c r="AI399" i="3"/>
  <c r="AI400" i="3"/>
  <c r="AI401" i="3"/>
  <c r="AI403" i="3"/>
  <c r="AI404" i="3"/>
  <c r="AI405" i="3"/>
  <c r="AI408" i="3"/>
  <c r="AI409" i="3"/>
  <c r="AI412" i="3"/>
  <c r="AI413" i="3"/>
  <c r="AI415" i="3"/>
  <c r="AI416" i="3"/>
  <c r="AI417" i="3"/>
  <c r="AI419" i="3"/>
  <c r="AI420" i="3"/>
  <c r="AI421" i="3"/>
  <c r="AI424" i="3"/>
  <c r="AI425" i="3"/>
  <c r="AI428" i="3"/>
  <c r="AI429" i="3"/>
  <c r="AI431" i="3"/>
  <c r="AI432" i="3"/>
  <c r="AI433" i="3"/>
  <c r="AI435" i="3"/>
  <c r="AI436" i="3"/>
  <c r="AI437" i="3"/>
  <c r="AI441" i="3"/>
  <c r="AI444" i="3"/>
  <c r="AI445" i="3"/>
  <c r="AI447" i="3"/>
  <c r="AI448" i="3"/>
  <c r="AI449" i="3"/>
  <c r="AI451" i="3"/>
  <c r="AI452" i="3"/>
  <c r="AI453" i="3"/>
  <c r="AI456" i="3"/>
  <c r="AI457" i="3"/>
  <c r="AI460" i="3"/>
  <c r="AI461" i="3"/>
  <c r="AI463" i="3"/>
  <c r="AI464" i="3"/>
  <c r="AI465" i="3"/>
  <c r="AI467" i="3"/>
  <c r="AI468" i="3"/>
  <c r="AI469" i="3"/>
  <c r="AI472" i="3"/>
  <c r="AI473" i="3"/>
  <c r="AI476" i="3"/>
  <c r="AI477" i="3"/>
  <c r="AI481" i="3"/>
  <c r="AI483" i="3"/>
  <c r="AI484" i="3"/>
  <c r="AI485" i="3"/>
  <c r="AI488" i="3"/>
  <c r="AI489" i="3"/>
  <c r="AI490" i="3"/>
  <c r="AI494" i="3"/>
  <c r="AI498" i="3"/>
  <c r="AI499" i="3"/>
  <c r="AI501" i="3"/>
  <c r="AA101" i="3"/>
  <c r="AA102" i="3"/>
  <c r="AA103" i="3"/>
  <c r="AA104" i="3"/>
  <c r="AA105" i="3"/>
  <c r="AA106" i="3"/>
  <c r="AA107" i="3"/>
  <c r="AA108" i="3"/>
  <c r="AA109" i="3"/>
  <c r="AA110" i="3"/>
  <c r="AA111" i="3"/>
  <c r="AA112" i="3"/>
  <c r="AA113" i="3"/>
  <c r="AA114" i="3"/>
  <c r="AA115" i="3"/>
  <c r="AA116" i="3"/>
  <c r="AA117" i="3"/>
  <c r="AA118" i="3"/>
  <c r="AA119" i="3"/>
  <c r="AA120" i="3"/>
  <c r="AA121" i="3"/>
  <c r="AA122" i="3"/>
  <c r="AA123" i="3"/>
  <c r="AA124" i="3"/>
  <c r="AA125" i="3"/>
  <c r="AA126" i="3"/>
  <c r="AA127" i="3"/>
  <c r="AA128" i="3"/>
  <c r="AA129" i="3"/>
  <c r="AA130" i="3"/>
  <c r="AA131" i="3"/>
  <c r="AA132" i="3"/>
  <c r="AA133" i="3"/>
  <c r="AA134" i="3"/>
  <c r="AA135" i="3"/>
  <c r="AA136" i="3"/>
  <c r="AA137" i="3"/>
  <c r="AA138" i="3"/>
  <c r="AA139" i="3"/>
  <c r="AA140" i="3"/>
  <c r="AA141" i="3"/>
  <c r="AA142" i="3"/>
  <c r="AA143" i="3"/>
  <c r="AA144" i="3"/>
  <c r="AA145" i="3"/>
  <c r="AA146" i="3"/>
  <c r="AA147" i="3"/>
  <c r="AA148" i="3"/>
  <c r="AA149" i="3"/>
  <c r="AA150" i="3"/>
  <c r="AA151" i="3"/>
  <c r="AA152" i="3"/>
  <c r="AA153" i="3"/>
  <c r="AA154" i="3"/>
  <c r="AA155" i="3"/>
  <c r="AA156" i="3"/>
  <c r="AA157" i="3"/>
  <c r="AA158" i="3"/>
  <c r="AA159" i="3"/>
  <c r="AA160" i="3"/>
  <c r="AA161" i="3"/>
  <c r="AA162" i="3"/>
  <c r="AA163" i="3"/>
  <c r="AA164" i="3"/>
  <c r="AA165" i="3"/>
  <c r="AA166" i="3"/>
  <c r="AA167" i="3"/>
  <c r="AA168" i="3"/>
  <c r="AA169" i="3"/>
  <c r="AA170" i="3"/>
  <c r="AA171" i="3"/>
  <c r="AA172" i="3"/>
  <c r="AA173" i="3"/>
  <c r="AA174" i="3"/>
  <c r="AA175" i="3"/>
  <c r="AA176" i="3"/>
  <c r="AA177" i="3"/>
  <c r="AA178" i="3"/>
  <c r="AA179" i="3"/>
  <c r="AA180" i="3"/>
  <c r="AA181" i="3"/>
  <c r="AA182" i="3"/>
  <c r="AA183" i="3"/>
  <c r="AA184" i="3"/>
  <c r="AA185" i="3"/>
  <c r="AA186" i="3"/>
  <c r="AA187" i="3"/>
  <c r="AA188" i="3"/>
  <c r="AA189" i="3"/>
  <c r="AA190" i="3"/>
  <c r="AA191" i="3"/>
  <c r="AA192" i="3"/>
  <c r="AA193" i="3"/>
  <c r="AA194" i="3"/>
  <c r="AA195" i="3"/>
  <c r="AA196" i="3"/>
  <c r="AA197" i="3"/>
  <c r="AA198" i="3"/>
  <c r="AA199" i="3"/>
  <c r="AA200" i="3"/>
  <c r="AA201" i="3"/>
  <c r="AA202" i="3"/>
  <c r="AA203" i="3"/>
  <c r="AA204" i="3"/>
  <c r="AA205" i="3"/>
  <c r="AA206" i="3"/>
  <c r="AA207" i="3"/>
  <c r="AA208" i="3"/>
  <c r="AA209" i="3"/>
  <c r="AA210" i="3"/>
  <c r="AA211" i="3"/>
  <c r="AA212" i="3"/>
  <c r="AA213" i="3"/>
  <c r="AA214" i="3"/>
  <c r="AA215" i="3"/>
  <c r="AA216" i="3"/>
  <c r="AA217" i="3"/>
  <c r="AA218" i="3"/>
  <c r="AA219" i="3"/>
  <c r="AA220" i="3"/>
  <c r="AA221" i="3"/>
  <c r="AA222" i="3"/>
  <c r="AA223" i="3"/>
  <c r="AA225" i="3"/>
  <c r="AA228" i="3"/>
  <c r="AA229" i="3"/>
  <c r="AA230" i="3"/>
  <c r="AA231" i="3"/>
  <c r="AA233" i="3"/>
  <c r="AA234" i="3"/>
  <c r="AA235" i="3"/>
  <c r="AA236" i="3"/>
  <c r="AA237" i="3"/>
  <c r="AA238" i="3"/>
  <c r="AA239" i="3"/>
  <c r="AA240" i="3"/>
  <c r="AA241" i="3"/>
  <c r="AA242" i="3"/>
  <c r="AA243" i="3"/>
  <c r="AA244" i="3"/>
  <c r="AA245" i="3"/>
  <c r="AA246" i="3"/>
  <c r="AA247" i="3"/>
  <c r="AA248" i="3"/>
  <c r="AA249" i="3"/>
  <c r="AA250" i="3"/>
  <c r="AA251" i="3"/>
  <c r="AA252" i="3"/>
  <c r="AA253" i="3"/>
  <c r="AA254" i="3"/>
  <c r="AA255" i="3"/>
  <c r="AA256" i="3"/>
  <c r="AA257" i="3"/>
  <c r="AA258" i="3"/>
  <c r="AA259" i="3"/>
  <c r="AA260" i="3"/>
  <c r="AA261" i="3"/>
  <c r="AA262" i="3"/>
  <c r="AA263" i="3"/>
  <c r="AA264" i="3"/>
  <c r="AA265" i="3"/>
  <c r="AA266" i="3"/>
  <c r="AA267" i="3"/>
  <c r="AA268" i="3"/>
  <c r="AA269" i="3"/>
  <c r="AA270" i="3"/>
  <c r="AA271" i="3"/>
  <c r="AA272" i="3"/>
  <c r="AA273" i="3"/>
  <c r="AA274" i="3"/>
  <c r="AA275" i="3"/>
  <c r="AA276" i="3"/>
  <c r="AA277" i="3"/>
  <c r="AA278" i="3"/>
  <c r="AA279" i="3"/>
  <c r="AA280" i="3"/>
  <c r="AA281" i="3"/>
  <c r="AA282" i="3"/>
  <c r="AA283" i="3"/>
  <c r="AA284" i="3"/>
  <c r="AA285" i="3"/>
  <c r="AA286" i="3"/>
  <c r="AA287" i="3"/>
  <c r="AA288" i="3"/>
  <c r="AA289" i="3"/>
  <c r="AA290" i="3"/>
  <c r="AA291" i="3"/>
  <c r="AA292" i="3"/>
  <c r="AA293" i="3"/>
  <c r="AA294" i="3"/>
  <c r="AA295" i="3"/>
  <c r="AA296" i="3"/>
  <c r="AA297" i="3"/>
  <c r="AA298" i="3"/>
  <c r="AA299" i="3"/>
  <c r="AA300" i="3"/>
  <c r="AA301" i="3"/>
  <c r="AA302" i="3"/>
  <c r="AA303" i="3"/>
  <c r="AA304" i="3"/>
  <c r="AA305" i="3"/>
  <c r="AA306" i="3"/>
  <c r="AA307" i="3"/>
  <c r="AA308" i="3"/>
  <c r="AA309" i="3"/>
  <c r="AA310" i="3"/>
  <c r="AA311" i="3"/>
  <c r="AA312" i="3"/>
  <c r="AA313" i="3"/>
  <c r="AA314" i="3"/>
  <c r="AA315" i="3"/>
  <c r="AA316" i="3"/>
  <c r="AA317" i="3"/>
  <c r="AA318" i="3"/>
  <c r="AA319" i="3"/>
  <c r="AA320" i="3"/>
  <c r="AA321" i="3"/>
  <c r="AA322" i="3"/>
  <c r="AA323" i="3"/>
  <c r="AA324" i="3"/>
  <c r="AA325" i="3"/>
  <c r="AA326" i="3"/>
  <c r="AA327" i="3"/>
  <c r="AA328" i="3"/>
  <c r="AA329" i="3"/>
  <c r="AA330" i="3"/>
  <c r="AA332" i="3"/>
  <c r="AA333" i="3"/>
  <c r="AA334" i="3"/>
  <c r="AA335" i="3"/>
  <c r="AA336" i="3"/>
  <c r="AA337" i="3"/>
  <c r="AA338" i="3"/>
  <c r="AA339" i="3"/>
  <c r="AA340" i="3"/>
  <c r="AA341" i="3"/>
  <c r="AA342" i="3"/>
  <c r="AA343" i="3"/>
  <c r="AA344" i="3"/>
  <c r="AA345" i="3"/>
  <c r="AA346" i="3"/>
  <c r="AA347" i="3"/>
  <c r="AA348" i="3"/>
  <c r="AA350" i="3"/>
  <c r="AA351" i="3"/>
  <c r="AA352" i="3"/>
  <c r="AA353" i="3"/>
  <c r="AA354" i="3"/>
  <c r="AA355" i="3"/>
  <c r="AA356" i="3"/>
  <c r="AA357" i="3"/>
  <c r="AA358" i="3"/>
  <c r="AA359" i="3"/>
  <c r="AA360" i="3"/>
  <c r="AA361" i="3"/>
  <c r="AA362" i="3"/>
  <c r="AA363" i="3"/>
  <c r="AA364" i="3"/>
  <c r="AA365" i="3"/>
  <c r="AA366" i="3"/>
  <c r="AA367" i="3"/>
  <c r="AA368" i="3"/>
  <c r="AA369" i="3"/>
  <c r="AA370" i="3"/>
  <c r="AA371" i="3"/>
  <c r="AA372" i="3"/>
  <c r="AA373" i="3"/>
  <c r="AA374" i="3"/>
  <c r="AA375" i="3"/>
  <c r="AA376" i="3"/>
  <c r="AA377" i="3"/>
  <c r="AA378" i="3"/>
  <c r="AA379" i="3"/>
  <c r="AA380" i="3"/>
  <c r="AA381" i="3"/>
  <c r="AA382" i="3"/>
  <c r="AA383" i="3"/>
  <c r="AA384" i="3"/>
  <c r="AA385" i="3"/>
  <c r="AA386" i="3"/>
  <c r="AA387" i="3"/>
  <c r="AA388" i="3"/>
  <c r="AA389" i="3"/>
  <c r="AA390" i="3"/>
  <c r="AA391" i="3"/>
  <c r="AA392" i="3"/>
  <c r="AA393" i="3"/>
  <c r="AA394" i="3"/>
  <c r="AA395" i="3"/>
  <c r="AA396" i="3"/>
  <c r="AA397" i="3"/>
  <c r="AA398" i="3"/>
  <c r="AA399" i="3"/>
  <c r="AA400" i="3"/>
  <c r="AA401" i="3"/>
  <c r="AA402" i="3"/>
  <c r="AA403" i="3"/>
  <c r="AA404" i="3"/>
  <c r="AA405" i="3"/>
  <c r="AA406" i="3"/>
  <c r="AA407" i="3"/>
  <c r="AA408" i="3"/>
  <c r="AA409" i="3"/>
  <c r="AA410" i="3"/>
  <c r="AA411" i="3"/>
  <c r="AA412" i="3"/>
  <c r="AA413" i="3"/>
  <c r="AA414" i="3"/>
  <c r="AA415" i="3"/>
  <c r="AA416" i="3"/>
  <c r="AA417" i="3"/>
  <c r="AA418" i="3"/>
  <c r="AA419" i="3"/>
  <c r="AA420" i="3"/>
  <c r="AA421" i="3"/>
  <c r="AA422" i="3"/>
  <c r="AA423" i="3"/>
  <c r="AA424" i="3"/>
  <c r="AA425" i="3"/>
  <c r="AA426" i="3"/>
  <c r="AA427" i="3"/>
  <c r="AA428" i="3"/>
  <c r="AA429" i="3"/>
  <c r="AA430" i="3"/>
  <c r="AA431" i="3"/>
  <c r="AA432" i="3"/>
  <c r="AA433" i="3"/>
  <c r="AA434" i="3"/>
  <c r="AA435" i="3"/>
  <c r="AA436" i="3"/>
  <c r="AA437" i="3"/>
  <c r="AA438" i="3"/>
  <c r="AA439" i="3"/>
  <c r="AA440" i="3"/>
  <c r="AA441" i="3"/>
  <c r="AA442" i="3"/>
  <c r="AA443" i="3"/>
  <c r="AA444" i="3"/>
  <c r="AA445" i="3"/>
  <c r="AA446" i="3"/>
  <c r="AA447" i="3"/>
  <c r="AA448" i="3"/>
  <c r="AA449" i="3"/>
  <c r="AA450" i="3"/>
  <c r="AA451" i="3"/>
  <c r="AA452" i="3"/>
  <c r="AA453" i="3"/>
  <c r="AA454" i="3"/>
  <c r="AA455" i="3"/>
  <c r="AA456" i="3"/>
  <c r="AA457" i="3"/>
  <c r="AA458" i="3"/>
  <c r="AA459" i="3"/>
  <c r="AA460" i="3"/>
  <c r="AA461" i="3"/>
  <c r="AA462" i="3"/>
  <c r="AA463" i="3"/>
  <c r="AA464" i="3"/>
  <c r="AA465" i="3"/>
  <c r="AA466" i="3"/>
  <c r="AA467" i="3"/>
  <c r="AA468" i="3"/>
  <c r="AA469" i="3"/>
  <c r="AA470" i="3"/>
  <c r="AA471" i="3"/>
  <c r="AA472" i="3"/>
  <c r="AA473" i="3"/>
  <c r="AA474" i="3"/>
  <c r="AA475" i="3"/>
  <c r="AA476" i="3"/>
  <c r="AA477" i="3"/>
  <c r="AA478" i="3"/>
  <c r="AA481" i="3"/>
  <c r="AA482" i="3"/>
  <c r="AA483" i="3"/>
  <c r="AA484" i="3"/>
  <c r="AA485" i="3"/>
  <c r="AA486" i="3"/>
  <c r="AA487" i="3"/>
  <c r="AA488" i="3"/>
  <c r="AA489" i="3"/>
  <c r="AA490" i="3"/>
  <c r="AA493" i="3"/>
  <c r="AA494" i="3"/>
  <c r="AA495" i="3"/>
  <c r="AA498" i="3"/>
  <c r="AA499" i="3"/>
  <c r="AA501" i="3"/>
  <c r="Y101" i="3"/>
  <c r="Z101" i="3" s="1"/>
  <c r="AB101" i="3" s="1"/>
  <c r="Y102" i="3"/>
  <c r="Z102" i="3" s="1"/>
  <c r="AB102" i="3" s="1"/>
  <c r="Y103" i="3"/>
  <c r="Z103" i="3" s="1"/>
  <c r="AB103" i="3" s="1"/>
  <c r="Y104" i="3"/>
  <c r="Z104" i="3" s="1"/>
  <c r="AB104" i="3" s="1"/>
  <c r="Y105" i="3"/>
  <c r="Z105" i="3" s="1"/>
  <c r="AB105" i="3" s="1"/>
  <c r="Y106" i="3"/>
  <c r="Z106" i="3" s="1"/>
  <c r="AB106" i="3" s="1"/>
  <c r="Y107" i="3"/>
  <c r="Z107" i="3" s="1"/>
  <c r="AB107" i="3" s="1"/>
  <c r="Y108" i="3"/>
  <c r="Z108" i="3" s="1"/>
  <c r="AB108" i="3" s="1"/>
  <c r="Y109" i="3"/>
  <c r="Z109" i="3" s="1"/>
  <c r="AB109" i="3" s="1"/>
  <c r="Y110" i="3"/>
  <c r="Z110" i="3" s="1"/>
  <c r="AB110" i="3" s="1"/>
  <c r="Y111" i="3"/>
  <c r="Z111" i="3" s="1"/>
  <c r="AB111" i="3" s="1"/>
  <c r="Y112" i="3"/>
  <c r="Z112" i="3" s="1"/>
  <c r="AB112" i="3" s="1"/>
  <c r="Y113" i="3"/>
  <c r="Z113" i="3" s="1"/>
  <c r="AB113" i="3" s="1"/>
  <c r="Y114" i="3"/>
  <c r="Z114" i="3" s="1"/>
  <c r="AB114" i="3" s="1"/>
  <c r="Y115" i="3"/>
  <c r="Z115" i="3" s="1"/>
  <c r="AB115" i="3" s="1"/>
  <c r="Y116" i="3"/>
  <c r="Z116" i="3" s="1"/>
  <c r="AB116" i="3" s="1"/>
  <c r="Y117" i="3"/>
  <c r="Z117" i="3" s="1"/>
  <c r="AB117" i="3" s="1"/>
  <c r="Y118" i="3"/>
  <c r="Z118" i="3" s="1"/>
  <c r="AB118" i="3" s="1"/>
  <c r="Y119" i="3"/>
  <c r="Z119" i="3" s="1"/>
  <c r="AB119" i="3" s="1"/>
  <c r="Y120" i="3"/>
  <c r="Z120" i="3" s="1"/>
  <c r="AB120" i="3" s="1"/>
  <c r="Y121" i="3"/>
  <c r="Z121" i="3" s="1"/>
  <c r="AB121" i="3" s="1"/>
  <c r="Y122" i="3"/>
  <c r="Z122" i="3" s="1"/>
  <c r="AB122" i="3" s="1"/>
  <c r="Y123" i="3"/>
  <c r="Z123" i="3" s="1"/>
  <c r="AB123" i="3" s="1"/>
  <c r="Y124" i="3"/>
  <c r="Z124" i="3" s="1"/>
  <c r="AB124" i="3" s="1"/>
  <c r="Y125" i="3"/>
  <c r="Z125" i="3" s="1"/>
  <c r="AB125" i="3" s="1"/>
  <c r="Y126" i="3"/>
  <c r="Z126" i="3" s="1"/>
  <c r="AB126" i="3" s="1"/>
  <c r="Y127" i="3"/>
  <c r="Z127" i="3" s="1"/>
  <c r="AB127" i="3" s="1"/>
  <c r="Y128" i="3"/>
  <c r="Z128" i="3" s="1"/>
  <c r="AB128" i="3" s="1"/>
  <c r="Y129" i="3"/>
  <c r="Z129" i="3" s="1"/>
  <c r="AB129" i="3" s="1"/>
  <c r="Y130" i="3"/>
  <c r="Z130" i="3" s="1"/>
  <c r="AB130" i="3" s="1"/>
  <c r="Y131" i="3"/>
  <c r="Z131" i="3" s="1"/>
  <c r="AB131" i="3" s="1"/>
  <c r="Y132" i="3"/>
  <c r="Z132" i="3" s="1"/>
  <c r="AB132" i="3" s="1"/>
  <c r="Y133" i="3"/>
  <c r="Z133" i="3" s="1"/>
  <c r="AB133" i="3" s="1"/>
  <c r="Y134" i="3"/>
  <c r="Z134" i="3" s="1"/>
  <c r="AB134" i="3" s="1"/>
  <c r="Y135" i="3"/>
  <c r="Z135" i="3" s="1"/>
  <c r="AB135" i="3" s="1"/>
  <c r="Y136" i="3"/>
  <c r="Z136" i="3" s="1"/>
  <c r="AB136" i="3" s="1"/>
  <c r="Y137" i="3"/>
  <c r="Z137" i="3" s="1"/>
  <c r="AB137" i="3" s="1"/>
  <c r="Y138" i="3"/>
  <c r="Z138" i="3" s="1"/>
  <c r="AB138" i="3" s="1"/>
  <c r="Y139" i="3"/>
  <c r="Z139" i="3" s="1"/>
  <c r="AB139" i="3" s="1"/>
  <c r="Y140" i="3"/>
  <c r="Z140" i="3" s="1"/>
  <c r="AB140" i="3" s="1"/>
  <c r="Y141" i="3"/>
  <c r="Z141" i="3" s="1"/>
  <c r="AB141" i="3" s="1"/>
  <c r="Y142" i="3"/>
  <c r="Z142" i="3" s="1"/>
  <c r="AB142" i="3" s="1"/>
  <c r="Y143" i="3"/>
  <c r="Z143" i="3" s="1"/>
  <c r="AB143" i="3" s="1"/>
  <c r="Y144" i="3"/>
  <c r="Z144" i="3" s="1"/>
  <c r="AB144" i="3" s="1"/>
  <c r="Y145" i="3"/>
  <c r="Z145" i="3" s="1"/>
  <c r="AB145" i="3" s="1"/>
  <c r="Y146" i="3"/>
  <c r="Z146" i="3" s="1"/>
  <c r="AB146" i="3" s="1"/>
  <c r="Y147" i="3"/>
  <c r="Z147" i="3" s="1"/>
  <c r="AB147" i="3" s="1"/>
  <c r="Y148" i="3"/>
  <c r="Z148" i="3" s="1"/>
  <c r="AB148" i="3" s="1"/>
  <c r="Y149" i="3"/>
  <c r="Z149" i="3" s="1"/>
  <c r="AB149" i="3" s="1"/>
  <c r="Y150" i="3"/>
  <c r="Z150" i="3" s="1"/>
  <c r="AB150" i="3" s="1"/>
  <c r="Y151" i="3"/>
  <c r="Z151" i="3" s="1"/>
  <c r="AB151" i="3" s="1"/>
  <c r="Y152" i="3"/>
  <c r="Z152" i="3" s="1"/>
  <c r="AB152" i="3" s="1"/>
  <c r="Y153" i="3"/>
  <c r="Z153" i="3" s="1"/>
  <c r="AB153" i="3" s="1"/>
  <c r="Y154" i="3"/>
  <c r="Z154" i="3" s="1"/>
  <c r="AB154" i="3" s="1"/>
  <c r="Y155" i="3"/>
  <c r="Z155" i="3" s="1"/>
  <c r="AB155" i="3" s="1"/>
  <c r="Y156" i="3"/>
  <c r="Z156" i="3" s="1"/>
  <c r="AB156" i="3" s="1"/>
  <c r="Y157" i="3"/>
  <c r="Z157" i="3" s="1"/>
  <c r="AB157" i="3" s="1"/>
  <c r="Y158" i="3"/>
  <c r="Z158" i="3" s="1"/>
  <c r="AB158" i="3" s="1"/>
  <c r="Y159" i="3"/>
  <c r="Z159" i="3" s="1"/>
  <c r="AB159" i="3" s="1"/>
  <c r="Y160" i="3"/>
  <c r="Z160" i="3" s="1"/>
  <c r="AB160" i="3" s="1"/>
  <c r="Y161" i="3"/>
  <c r="Z161" i="3" s="1"/>
  <c r="AB161" i="3" s="1"/>
  <c r="Y162" i="3"/>
  <c r="Z162" i="3" s="1"/>
  <c r="AB162" i="3" s="1"/>
  <c r="Y163" i="3"/>
  <c r="Z163" i="3" s="1"/>
  <c r="AB163" i="3" s="1"/>
  <c r="Y164" i="3"/>
  <c r="Z164" i="3" s="1"/>
  <c r="AB164" i="3" s="1"/>
  <c r="Y165" i="3"/>
  <c r="Z165" i="3" s="1"/>
  <c r="AB165" i="3" s="1"/>
  <c r="Y166" i="3"/>
  <c r="Z166" i="3" s="1"/>
  <c r="AB166" i="3" s="1"/>
  <c r="Y167" i="3"/>
  <c r="Z167" i="3" s="1"/>
  <c r="AB167" i="3" s="1"/>
  <c r="Y168" i="3"/>
  <c r="Z168" i="3" s="1"/>
  <c r="AB168" i="3" s="1"/>
  <c r="Y169" i="3"/>
  <c r="Z169" i="3" s="1"/>
  <c r="AB169" i="3" s="1"/>
  <c r="Y170" i="3"/>
  <c r="Z170" i="3" s="1"/>
  <c r="AB170" i="3" s="1"/>
  <c r="Y171" i="3"/>
  <c r="Z171" i="3" s="1"/>
  <c r="AB171" i="3" s="1"/>
  <c r="Y172" i="3"/>
  <c r="Z172" i="3" s="1"/>
  <c r="AB172" i="3" s="1"/>
  <c r="Y173" i="3"/>
  <c r="Z173" i="3" s="1"/>
  <c r="AB173" i="3" s="1"/>
  <c r="Y174" i="3"/>
  <c r="Z174" i="3" s="1"/>
  <c r="AB174" i="3" s="1"/>
  <c r="Y175" i="3"/>
  <c r="Z175" i="3" s="1"/>
  <c r="AB175" i="3" s="1"/>
  <c r="Y176" i="3"/>
  <c r="Z176" i="3" s="1"/>
  <c r="AB176" i="3" s="1"/>
  <c r="Y177" i="3"/>
  <c r="Z177" i="3" s="1"/>
  <c r="AB177" i="3" s="1"/>
  <c r="Y178" i="3"/>
  <c r="Z178" i="3" s="1"/>
  <c r="AB178" i="3" s="1"/>
  <c r="Y179" i="3"/>
  <c r="Z179" i="3" s="1"/>
  <c r="AB179" i="3" s="1"/>
  <c r="Y180" i="3"/>
  <c r="Z180" i="3" s="1"/>
  <c r="AB180" i="3" s="1"/>
  <c r="Y181" i="3"/>
  <c r="Z181" i="3" s="1"/>
  <c r="AB181" i="3" s="1"/>
  <c r="Y182" i="3"/>
  <c r="Z182" i="3" s="1"/>
  <c r="AB182" i="3" s="1"/>
  <c r="Y183" i="3"/>
  <c r="Z183" i="3" s="1"/>
  <c r="AB183" i="3" s="1"/>
  <c r="Y184" i="3"/>
  <c r="Z184" i="3" s="1"/>
  <c r="AB184" i="3" s="1"/>
  <c r="Y185" i="3"/>
  <c r="Z185" i="3" s="1"/>
  <c r="AB185" i="3" s="1"/>
  <c r="Y186" i="3"/>
  <c r="Z186" i="3" s="1"/>
  <c r="AB186" i="3" s="1"/>
  <c r="Y187" i="3"/>
  <c r="Z187" i="3" s="1"/>
  <c r="AB187" i="3" s="1"/>
  <c r="Y188" i="3"/>
  <c r="Z188" i="3" s="1"/>
  <c r="AB188" i="3" s="1"/>
  <c r="Y189" i="3"/>
  <c r="Z189" i="3" s="1"/>
  <c r="AB189" i="3" s="1"/>
  <c r="Y190" i="3"/>
  <c r="Z190" i="3" s="1"/>
  <c r="AB190" i="3" s="1"/>
  <c r="Y191" i="3"/>
  <c r="Z191" i="3" s="1"/>
  <c r="AB191" i="3" s="1"/>
  <c r="Y192" i="3"/>
  <c r="Z192" i="3" s="1"/>
  <c r="AB192" i="3" s="1"/>
  <c r="Y193" i="3"/>
  <c r="Z193" i="3" s="1"/>
  <c r="AB193" i="3" s="1"/>
  <c r="Y194" i="3"/>
  <c r="Z194" i="3" s="1"/>
  <c r="AB194" i="3" s="1"/>
  <c r="Y195" i="3"/>
  <c r="Z195" i="3" s="1"/>
  <c r="AB195" i="3" s="1"/>
  <c r="Y196" i="3"/>
  <c r="Z196" i="3" s="1"/>
  <c r="AB196" i="3" s="1"/>
  <c r="Y197" i="3"/>
  <c r="Z197" i="3" s="1"/>
  <c r="AB197" i="3" s="1"/>
  <c r="Y198" i="3"/>
  <c r="Z198" i="3" s="1"/>
  <c r="AB198" i="3" s="1"/>
  <c r="Y199" i="3"/>
  <c r="Z199" i="3" s="1"/>
  <c r="AB199" i="3" s="1"/>
  <c r="Y200" i="3"/>
  <c r="Z200" i="3" s="1"/>
  <c r="AB200" i="3" s="1"/>
  <c r="Y201" i="3"/>
  <c r="Z201" i="3" s="1"/>
  <c r="AB201" i="3" s="1"/>
  <c r="Y202" i="3"/>
  <c r="Z202" i="3" s="1"/>
  <c r="AB202" i="3" s="1"/>
  <c r="Y203" i="3"/>
  <c r="Z203" i="3" s="1"/>
  <c r="AB203" i="3" s="1"/>
  <c r="Y204" i="3"/>
  <c r="Z204" i="3" s="1"/>
  <c r="AB204" i="3" s="1"/>
  <c r="Y205" i="3"/>
  <c r="Z205" i="3" s="1"/>
  <c r="AB205" i="3" s="1"/>
  <c r="Y206" i="3"/>
  <c r="Z206" i="3" s="1"/>
  <c r="AB206" i="3" s="1"/>
  <c r="Y207" i="3"/>
  <c r="Z207" i="3" s="1"/>
  <c r="AB207" i="3" s="1"/>
  <c r="Y208" i="3"/>
  <c r="Z208" i="3" s="1"/>
  <c r="AB208" i="3" s="1"/>
  <c r="Y209" i="3"/>
  <c r="Z209" i="3" s="1"/>
  <c r="AB209" i="3" s="1"/>
  <c r="Y210" i="3"/>
  <c r="Z210" i="3" s="1"/>
  <c r="AB210" i="3" s="1"/>
  <c r="Y211" i="3"/>
  <c r="Z211" i="3" s="1"/>
  <c r="AB211" i="3" s="1"/>
  <c r="Y212" i="3"/>
  <c r="Z212" i="3" s="1"/>
  <c r="AB212" i="3" s="1"/>
  <c r="Y213" i="3"/>
  <c r="Z213" i="3" s="1"/>
  <c r="AB213" i="3" s="1"/>
  <c r="Y214" i="3"/>
  <c r="Z214" i="3" s="1"/>
  <c r="AB214" i="3" s="1"/>
  <c r="Y215" i="3"/>
  <c r="Z215" i="3" s="1"/>
  <c r="AB215" i="3" s="1"/>
  <c r="Y216" i="3"/>
  <c r="Z216" i="3" s="1"/>
  <c r="AB216" i="3" s="1"/>
  <c r="Y217" i="3"/>
  <c r="Z217" i="3" s="1"/>
  <c r="AB217" i="3" s="1"/>
  <c r="Y218" i="3"/>
  <c r="Z218" i="3" s="1"/>
  <c r="AB218" i="3" s="1"/>
  <c r="Y219" i="3"/>
  <c r="Z219" i="3" s="1"/>
  <c r="AB219" i="3" s="1"/>
  <c r="Y220" i="3"/>
  <c r="Z220" i="3" s="1"/>
  <c r="AB220" i="3" s="1"/>
  <c r="Y221" i="3"/>
  <c r="Z221" i="3" s="1"/>
  <c r="AB221" i="3" s="1"/>
  <c r="Y222" i="3"/>
  <c r="Z222" i="3" s="1"/>
  <c r="AB222" i="3" s="1"/>
  <c r="Y223" i="3"/>
  <c r="Z223" i="3" s="1"/>
  <c r="AB223" i="3" s="1"/>
  <c r="Y225" i="3"/>
  <c r="Z225" i="3" s="1"/>
  <c r="AB225" i="3" s="1"/>
  <c r="Y228" i="3"/>
  <c r="Z228" i="3" s="1"/>
  <c r="AB228" i="3" s="1"/>
  <c r="Y229" i="3"/>
  <c r="Z229" i="3" s="1"/>
  <c r="AB229" i="3" s="1"/>
  <c r="Y230" i="3"/>
  <c r="Z230" i="3" s="1"/>
  <c r="AB230" i="3" s="1"/>
  <c r="Y231" i="3"/>
  <c r="Z231" i="3" s="1"/>
  <c r="AB231" i="3" s="1"/>
  <c r="Y233" i="3"/>
  <c r="Z233" i="3" s="1"/>
  <c r="AB233" i="3" s="1"/>
  <c r="Y234" i="3"/>
  <c r="Z234" i="3" s="1"/>
  <c r="AB234" i="3" s="1"/>
  <c r="Y235" i="3"/>
  <c r="Z235" i="3" s="1"/>
  <c r="AB235" i="3" s="1"/>
  <c r="Y236" i="3"/>
  <c r="Z236" i="3" s="1"/>
  <c r="AB236" i="3" s="1"/>
  <c r="Y237" i="3"/>
  <c r="Z237" i="3" s="1"/>
  <c r="AB237" i="3" s="1"/>
  <c r="Y238" i="3"/>
  <c r="Z238" i="3" s="1"/>
  <c r="AB238" i="3" s="1"/>
  <c r="Y239" i="3"/>
  <c r="Z239" i="3" s="1"/>
  <c r="AB239" i="3" s="1"/>
  <c r="Y240" i="3"/>
  <c r="Z240" i="3" s="1"/>
  <c r="AB240" i="3" s="1"/>
  <c r="Y241" i="3"/>
  <c r="Z241" i="3" s="1"/>
  <c r="AB241" i="3" s="1"/>
  <c r="Y242" i="3"/>
  <c r="Z242" i="3" s="1"/>
  <c r="AB242" i="3" s="1"/>
  <c r="Y243" i="3"/>
  <c r="Z243" i="3" s="1"/>
  <c r="AB243" i="3" s="1"/>
  <c r="Y244" i="3"/>
  <c r="Z244" i="3" s="1"/>
  <c r="AB244" i="3" s="1"/>
  <c r="Y245" i="3"/>
  <c r="Z245" i="3" s="1"/>
  <c r="AB245" i="3" s="1"/>
  <c r="Y246" i="3"/>
  <c r="Z246" i="3" s="1"/>
  <c r="AB246" i="3" s="1"/>
  <c r="Y247" i="3"/>
  <c r="Z247" i="3" s="1"/>
  <c r="AB247" i="3" s="1"/>
  <c r="Y248" i="3"/>
  <c r="Z248" i="3" s="1"/>
  <c r="AB248" i="3" s="1"/>
  <c r="Y249" i="3"/>
  <c r="Z249" i="3" s="1"/>
  <c r="AB249" i="3" s="1"/>
  <c r="Y250" i="3"/>
  <c r="Z250" i="3" s="1"/>
  <c r="AB250" i="3" s="1"/>
  <c r="Y251" i="3"/>
  <c r="Z251" i="3" s="1"/>
  <c r="AB251" i="3" s="1"/>
  <c r="Y252" i="3"/>
  <c r="Z252" i="3" s="1"/>
  <c r="AB252" i="3" s="1"/>
  <c r="Y253" i="3"/>
  <c r="Z253" i="3" s="1"/>
  <c r="AB253" i="3" s="1"/>
  <c r="Y254" i="3"/>
  <c r="Z254" i="3" s="1"/>
  <c r="AB254" i="3" s="1"/>
  <c r="Y255" i="3"/>
  <c r="Z255" i="3" s="1"/>
  <c r="AB255" i="3" s="1"/>
  <c r="Y256" i="3"/>
  <c r="Z256" i="3" s="1"/>
  <c r="AB256" i="3" s="1"/>
  <c r="Y257" i="3"/>
  <c r="Z257" i="3" s="1"/>
  <c r="AB257" i="3" s="1"/>
  <c r="Y258" i="3"/>
  <c r="Z258" i="3" s="1"/>
  <c r="AB258" i="3" s="1"/>
  <c r="Y259" i="3"/>
  <c r="Z259" i="3" s="1"/>
  <c r="AB259" i="3" s="1"/>
  <c r="Y260" i="3"/>
  <c r="Z260" i="3" s="1"/>
  <c r="AB260" i="3" s="1"/>
  <c r="Y261" i="3"/>
  <c r="Z261" i="3" s="1"/>
  <c r="AB261" i="3" s="1"/>
  <c r="Y262" i="3"/>
  <c r="Z262" i="3" s="1"/>
  <c r="AB262" i="3" s="1"/>
  <c r="Y263" i="3"/>
  <c r="Z263" i="3" s="1"/>
  <c r="AB263" i="3" s="1"/>
  <c r="Y264" i="3"/>
  <c r="Z264" i="3" s="1"/>
  <c r="AB264" i="3" s="1"/>
  <c r="Y265" i="3"/>
  <c r="Z265" i="3" s="1"/>
  <c r="AB265" i="3" s="1"/>
  <c r="Y266" i="3"/>
  <c r="Z266" i="3" s="1"/>
  <c r="AB266" i="3" s="1"/>
  <c r="Y267" i="3"/>
  <c r="Z267" i="3" s="1"/>
  <c r="AB267" i="3" s="1"/>
  <c r="Y268" i="3"/>
  <c r="Z268" i="3" s="1"/>
  <c r="AB268" i="3" s="1"/>
  <c r="Y269" i="3"/>
  <c r="Z269" i="3" s="1"/>
  <c r="AB269" i="3" s="1"/>
  <c r="Y270" i="3"/>
  <c r="Z270" i="3" s="1"/>
  <c r="AB270" i="3" s="1"/>
  <c r="Y271" i="3"/>
  <c r="Z271" i="3" s="1"/>
  <c r="AB271" i="3" s="1"/>
  <c r="Y272" i="3"/>
  <c r="Z272" i="3" s="1"/>
  <c r="AB272" i="3" s="1"/>
  <c r="Y273" i="3"/>
  <c r="Z273" i="3" s="1"/>
  <c r="AB273" i="3" s="1"/>
  <c r="Y274" i="3"/>
  <c r="Z274" i="3" s="1"/>
  <c r="AB274" i="3" s="1"/>
  <c r="Y275" i="3"/>
  <c r="Z275" i="3" s="1"/>
  <c r="AB275" i="3" s="1"/>
  <c r="Y276" i="3"/>
  <c r="Z276" i="3" s="1"/>
  <c r="AB276" i="3" s="1"/>
  <c r="Y277" i="3"/>
  <c r="Z277" i="3" s="1"/>
  <c r="AB277" i="3" s="1"/>
  <c r="Y278" i="3"/>
  <c r="Z278" i="3" s="1"/>
  <c r="AB278" i="3" s="1"/>
  <c r="Y279" i="3"/>
  <c r="Z279" i="3" s="1"/>
  <c r="AB279" i="3" s="1"/>
  <c r="Y280" i="3"/>
  <c r="Z280" i="3" s="1"/>
  <c r="AB280" i="3" s="1"/>
  <c r="Y281" i="3"/>
  <c r="Z281" i="3" s="1"/>
  <c r="AB281" i="3" s="1"/>
  <c r="Y282" i="3"/>
  <c r="Z282" i="3" s="1"/>
  <c r="AB282" i="3" s="1"/>
  <c r="Y283" i="3"/>
  <c r="Z283" i="3" s="1"/>
  <c r="AB283" i="3" s="1"/>
  <c r="Y284" i="3"/>
  <c r="Z284" i="3" s="1"/>
  <c r="AB284" i="3" s="1"/>
  <c r="Y285" i="3"/>
  <c r="Z285" i="3" s="1"/>
  <c r="AB285" i="3" s="1"/>
  <c r="Y286" i="3"/>
  <c r="Z286" i="3" s="1"/>
  <c r="AB286" i="3" s="1"/>
  <c r="Y287" i="3"/>
  <c r="Z287" i="3" s="1"/>
  <c r="AB287" i="3" s="1"/>
  <c r="Y288" i="3"/>
  <c r="Z288" i="3" s="1"/>
  <c r="AB288" i="3" s="1"/>
  <c r="Y289" i="3"/>
  <c r="Z289" i="3" s="1"/>
  <c r="AB289" i="3" s="1"/>
  <c r="Y290" i="3"/>
  <c r="Z290" i="3" s="1"/>
  <c r="AB290" i="3" s="1"/>
  <c r="Y291" i="3"/>
  <c r="Z291" i="3" s="1"/>
  <c r="AB291" i="3" s="1"/>
  <c r="Y292" i="3"/>
  <c r="Z292" i="3" s="1"/>
  <c r="AB292" i="3" s="1"/>
  <c r="Y293" i="3"/>
  <c r="Z293" i="3" s="1"/>
  <c r="AB293" i="3" s="1"/>
  <c r="Y294" i="3"/>
  <c r="Z294" i="3" s="1"/>
  <c r="AB294" i="3" s="1"/>
  <c r="Y295" i="3"/>
  <c r="Z295" i="3" s="1"/>
  <c r="AB295" i="3" s="1"/>
  <c r="Y296" i="3"/>
  <c r="Z296" i="3" s="1"/>
  <c r="AB296" i="3" s="1"/>
  <c r="Y297" i="3"/>
  <c r="Z297" i="3" s="1"/>
  <c r="AB297" i="3" s="1"/>
  <c r="Y298" i="3"/>
  <c r="Z298" i="3" s="1"/>
  <c r="AB298" i="3" s="1"/>
  <c r="Y299" i="3"/>
  <c r="Z299" i="3" s="1"/>
  <c r="AB299" i="3" s="1"/>
  <c r="Y300" i="3"/>
  <c r="Z300" i="3" s="1"/>
  <c r="AB300" i="3" s="1"/>
  <c r="Y301" i="3"/>
  <c r="Z301" i="3" s="1"/>
  <c r="AB301" i="3" s="1"/>
  <c r="Y302" i="3"/>
  <c r="Z302" i="3" s="1"/>
  <c r="AB302" i="3" s="1"/>
  <c r="Y303" i="3"/>
  <c r="Z303" i="3" s="1"/>
  <c r="AB303" i="3" s="1"/>
  <c r="Y304" i="3"/>
  <c r="Z304" i="3" s="1"/>
  <c r="AB304" i="3" s="1"/>
  <c r="Y305" i="3"/>
  <c r="Z305" i="3" s="1"/>
  <c r="AB305" i="3" s="1"/>
  <c r="Y306" i="3"/>
  <c r="Z306" i="3" s="1"/>
  <c r="AB306" i="3" s="1"/>
  <c r="Y307" i="3"/>
  <c r="Z307" i="3" s="1"/>
  <c r="AB307" i="3" s="1"/>
  <c r="Y308" i="3"/>
  <c r="Z308" i="3" s="1"/>
  <c r="AB308" i="3" s="1"/>
  <c r="Y309" i="3"/>
  <c r="Z309" i="3" s="1"/>
  <c r="AB309" i="3" s="1"/>
  <c r="Y310" i="3"/>
  <c r="Z310" i="3" s="1"/>
  <c r="AB310" i="3" s="1"/>
  <c r="Y311" i="3"/>
  <c r="Z311" i="3" s="1"/>
  <c r="AB311" i="3" s="1"/>
  <c r="Y312" i="3"/>
  <c r="Z312" i="3" s="1"/>
  <c r="AB312" i="3" s="1"/>
  <c r="Y313" i="3"/>
  <c r="Z313" i="3" s="1"/>
  <c r="AB313" i="3" s="1"/>
  <c r="Y314" i="3"/>
  <c r="Z314" i="3" s="1"/>
  <c r="AB314" i="3" s="1"/>
  <c r="Y315" i="3"/>
  <c r="Z315" i="3" s="1"/>
  <c r="AB315" i="3" s="1"/>
  <c r="Y316" i="3"/>
  <c r="Z316" i="3" s="1"/>
  <c r="AB316" i="3" s="1"/>
  <c r="Y317" i="3"/>
  <c r="Z317" i="3" s="1"/>
  <c r="AB317" i="3" s="1"/>
  <c r="Y318" i="3"/>
  <c r="Z318" i="3" s="1"/>
  <c r="AB318" i="3" s="1"/>
  <c r="Y319" i="3"/>
  <c r="Z319" i="3" s="1"/>
  <c r="AB319" i="3" s="1"/>
  <c r="Y320" i="3"/>
  <c r="Z320" i="3" s="1"/>
  <c r="AB320" i="3" s="1"/>
  <c r="Y321" i="3"/>
  <c r="Z321" i="3" s="1"/>
  <c r="AB321" i="3" s="1"/>
  <c r="Y322" i="3"/>
  <c r="Z322" i="3" s="1"/>
  <c r="AB322" i="3" s="1"/>
  <c r="Y323" i="3"/>
  <c r="Z323" i="3" s="1"/>
  <c r="AB323" i="3" s="1"/>
  <c r="Y324" i="3"/>
  <c r="Z324" i="3" s="1"/>
  <c r="AB324" i="3" s="1"/>
  <c r="Y325" i="3"/>
  <c r="Z325" i="3" s="1"/>
  <c r="AB325" i="3" s="1"/>
  <c r="Y326" i="3"/>
  <c r="Z326" i="3" s="1"/>
  <c r="AB326" i="3" s="1"/>
  <c r="Y327" i="3"/>
  <c r="Z327" i="3" s="1"/>
  <c r="AB327" i="3" s="1"/>
  <c r="Y328" i="3"/>
  <c r="Z328" i="3" s="1"/>
  <c r="AB328" i="3" s="1"/>
  <c r="Y329" i="3"/>
  <c r="Z329" i="3" s="1"/>
  <c r="AB329" i="3" s="1"/>
  <c r="Y330" i="3"/>
  <c r="Z330" i="3" s="1"/>
  <c r="AB330" i="3" s="1"/>
  <c r="Y332" i="3"/>
  <c r="Z332" i="3" s="1"/>
  <c r="AB332" i="3" s="1"/>
  <c r="Y333" i="3"/>
  <c r="Z333" i="3" s="1"/>
  <c r="AB333" i="3" s="1"/>
  <c r="Y334" i="3"/>
  <c r="Z334" i="3" s="1"/>
  <c r="AB334" i="3" s="1"/>
  <c r="Y335" i="3"/>
  <c r="Z335" i="3" s="1"/>
  <c r="AB335" i="3" s="1"/>
  <c r="Y336" i="3"/>
  <c r="Z336" i="3" s="1"/>
  <c r="AB336" i="3" s="1"/>
  <c r="Y337" i="3"/>
  <c r="Z337" i="3" s="1"/>
  <c r="AB337" i="3" s="1"/>
  <c r="Y338" i="3"/>
  <c r="Z338" i="3" s="1"/>
  <c r="AB338" i="3" s="1"/>
  <c r="Y339" i="3"/>
  <c r="Z339" i="3" s="1"/>
  <c r="AB339" i="3" s="1"/>
  <c r="Y340" i="3"/>
  <c r="Z340" i="3" s="1"/>
  <c r="AB340" i="3" s="1"/>
  <c r="Y341" i="3"/>
  <c r="Z341" i="3" s="1"/>
  <c r="AB341" i="3" s="1"/>
  <c r="Y342" i="3"/>
  <c r="Z342" i="3" s="1"/>
  <c r="AB342" i="3" s="1"/>
  <c r="Y343" i="3"/>
  <c r="Z343" i="3" s="1"/>
  <c r="AB343" i="3" s="1"/>
  <c r="Y344" i="3"/>
  <c r="Z344" i="3" s="1"/>
  <c r="AB344" i="3" s="1"/>
  <c r="Y345" i="3"/>
  <c r="Z345" i="3" s="1"/>
  <c r="AB345" i="3" s="1"/>
  <c r="Y346" i="3"/>
  <c r="Z346" i="3" s="1"/>
  <c r="AB346" i="3" s="1"/>
  <c r="Y347" i="3"/>
  <c r="Z347" i="3" s="1"/>
  <c r="AB347" i="3" s="1"/>
  <c r="Y348" i="3"/>
  <c r="Z348" i="3" s="1"/>
  <c r="AB348" i="3" s="1"/>
  <c r="Y350" i="3"/>
  <c r="Z350" i="3" s="1"/>
  <c r="AB350" i="3" s="1"/>
  <c r="Y351" i="3"/>
  <c r="Z351" i="3" s="1"/>
  <c r="AB351" i="3" s="1"/>
  <c r="Y352" i="3"/>
  <c r="Z352" i="3" s="1"/>
  <c r="AB352" i="3" s="1"/>
  <c r="Y353" i="3"/>
  <c r="Z353" i="3" s="1"/>
  <c r="AB353" i="3" s="1"/>
  <c r="Y354" i="3"/>
  <c r="Z354" i="3" s="1"/>
  <c r="AB354" i="3" s="1"/>
  <c r="Y355" i="3"/>
  <c r="Z355" i="3" s="1"/>
  <c r="AB355" i="3" s="1"/>
  <c r="Y356" i="3"/>
  <c r="Z356" i="3" s="1"/>
  <c r="AB356" i="3" s="1"/>
  <c r="Y357" i="3"/>
  <c r="Z357" i="3" s="1"/>
  <c r="AB357" i="3" s="1"/>
  <c r="Y358" i="3"/>
  <c r="Z358" i="3" s="1"/>
  <c r="AB358" i="3" s="1"/>
  <c r="Y359" i="3"/>
  <c r="Z359" i="3" s="1"/>
  <c r="AB359" i="3" s="1"/>
  <c r="Y360" i="3"/>
  <c r="Z360" i="3" s="1"/>
  <c r="AB360" i="3" s="1"/>
  <c r="Y361" i="3"/>
  <c r="Z361" i="3" s="1"/>
  <c r="AB361" i="3" s="1"/>
  <c r="Y362" i="3"/>
  <c r="Z362" i="3" s="1"/>
  <c r="AB362" i="3" s="1"/>
  <c r="Y363" i="3"/>
  <c r="Z363" i="3" s="1"/>
  <c r="AB363" i="3" s="1"/>
  <c r="Y364" i="3"/>
  <c r="Z364" i="3" s="1"/>
  <c r="AB364" i="3" s="1"/>
  <c r="Y365" i="3"/>
  <c r="Z365" i="3" s="1"/>
  <c r="AB365" i="3" s="1"/>
  <c r="Y366" i="3"/>
  <c r="Z366" i="3" s="1"/>
  <c r="AB366" i="3" s="1"/>
  <c r="Y367" i="3"/>
  <c r="Z367" i="3" s="1"/>
  <c r="AB367" i="3" s="1"/>
  <c r="Y368" i="3"/>
  <c r="Z368" i="3" s="1"/>
  <c r="AB368" i="3" s="1"/>
  <c r="Y369" i="3"/>
  <c r="Z369" i="3" s="1"/>
  <c r="AB369" i="3" s="1"/>
  <c r="Y370" i="3"/>
  <c r="Z370" i="3" s="1"/>
  <c r="AB370" i="3" s="1"/>
  <c r="Y371" i="3"/>
  <c r="Z371" i="3" s="1"/>
  <c r="AB371" i="3" s="1"/>
  <c r="Y372" i="3"/>
  <c r="Z372" i="3" s="1"/>
  <c r="AB372" i="3" s="1"/>
  <c r="Y373" i="3"/>
  <c r="Z373" i="3" s="1"/>
  <c r="AB373" i="3" s="1"/>
  <c r="Y374" i="3"/>
  <c r="Z374" i="3" s="1"/>
  <c r="AB374" i="3" s="1"/>
  <c r="Y375" i="3"/>
  <c r="Z375" i="3" s="1"/>
  <c r="AB375" i="3" s="1"/>
  <c r="Y376" i="3"/>
  <c r="Z376" i="3" s="1"/>
  <c r="AB376" i="3" s="1"/>
  <c r="Y377" i="3"/>
  <c r="Z377" i="3" s="1"/>
  <c r="AB377" i="3" s="1"/>
  <c r="Y378" i="3"/>
  <c r="Z378" i="3" s="1"/>
  <c r="AB378" i="3" s="1"/>
  <c r="Y379" i="3"/>
  <c r="Z379" i="3" s="1"/>
  <c r="AB379" i="3" s="1"/>
  <c r="Y380" i="3"/>
  <c r="Z380" i="3" s="1"/>
  <c r="AB380" i="3" s="1"/>
  <c r="Y381" i="3"/>
  <c r="Z381" i="3" s="1"/>
  <c r="AB381" i="3" s="1"/>
  <c r="Y382" i="3"/>
  <c r="Z382" i="3" s="1"/>
  <c r="AB382" i="3" s="1"/>
  <c r="Y383" i="3"/>
  <c r="Z383" i="3" s="1"/>
  <c r="AB383" i="3" s="1"/>
  <c r="Y384" i="3"/>
  <c r="Z384" i="3" s="1"/>
  <c r="AB384" i="3" s="1"/>
  <c r="Y385" i="3"/>
  <c r="Z385" i="3" s="1"/>
  <c r="AB385" i="3" s="1"/>
  <c r="Y386" i="3"/>
  <c r="Z386" i="3" s="1"/>
  <c r="AB386" i="3" s="1"/>
  <c r="Y387" i="3"/>
  <c r="Z387" i="3" s="1"/>
  <c r="AB387" i="3" s="1"/>
  <c r="Y388" i="3"/>
  <c r="Z388" i="3" s="1"/>
  <c r="AB388" i="3" s="1"/>
  <c r="Y389" i="3"/>
  <c r="Z389" i="3" s="1"/>
  <c r="AB389" i="3" s="1"/>
  <c r="Y390" i="3"/>
  <c r="Z390" i="3" s="1"/>
  <c r="AB390" i="3" s="1"/>
  <c r="Y391" i="3"/>
  <c r="Z391" i="3" s="1"/>
  <c r="AB391" i="3" s="1"/>
  <c r="Y392" i="3"/>
  <c r="Z392" i="3" s="1"/>
  <c r="AB392" i="3" s="1"/>
  <c r="Y393" i="3"/>
  <c r="Z393" i="3" s="1"/>
  <c r="AB393" i="3" s="1"/>
  <c r="Y394" i="3"/>
  <c r="Z394" i="3" s="1"/>
  <c r="AB394" i="3" s="1"/>
  <c r="Y395" i="3"/>
  <c r="Z395" i="3" s="1"/>
  <c r="AB395" i="3" s="1"/>
  <c r="Y396" i="3"/>
  <c r="Z396" i="3" s="1"/>
  <c r="AB396" i="3" s="1"/>
  <c r="Y397" i="3"/>
  <c r="Z397" i="3" s="1"/>
  <c r="AB397" i="3" s="1"/>
  <c r="Y398" i="3"/>
  <c r="Z398" i="3" s="1"/>
  <c r="AB398" i="3" s="1"/>
  <c r="Y399" i="3"/>
  <c r="Z399" i="3" s="1"/>
  <c r="AB399" i="3" s="1"/>
  <c r="Y400" i="3"/>
  <c r="Z400" i="3" s="1"/>
  <c r="AB400" i="3" s="1"/>
  <c r="Y401" i="3"/>
  <c r="Z401" i="3" s="1"/>
  <c r="AB401" i="3" s="1"/>
  <c r="Y402" i="3"/>
  <c r="Z402" i="3" s="1"/>
  <c r="AB402" i="3" s="1"/>
  <c r="Y403" i="3"/>
  <c r="Z403" i="3" s="1"/>
  <c r="AB403" i="3" s="1"/>
  <c r="Y404" i="3"/>
  <c r="Z404" i="3" s="1"/>
  <c r="AB404" i="3" s="1"/>
  <c r="Y405" i="3"/>
  <c r="Z405" i="3" s="1"/>
  <c r="AB405" i="3" s="1"/>
  <c r="Y406" i="3"/>
  <c r="Z406" i="3" s="1"/>
  <c r="AB406" i="3" s="1"/>
  <c r="Y407" i="3"/>
  <c r="Z407" i="3" s="1"/>
  <c r="AB407" i="3" s="1"/>
  <c r="Y408" i="3"/>
  <c r="Z408" i="3" s="1"/>
  <c r="AB408" i="3" s="1"/>
  <c r="Y409" i="3"/>
  <c r="Z409" i="3" s="1"/>
  <c r="AB409" i="3" s="1"/>
  <c r="Y410" i="3"/>
  <c r="Z410" i="3" s="1"/>
  <c r="AB410" i="3" s="1"/>
  <c r="Y411" i="3"/>
  <c r="Z411" i="3" s="1"/>
  <c r="AB411" i="3" s="1"/>
  <c r="Y412" i="3"/>
  <c r="Z412" i="3" s="1"/>
  <c r="AB412" i="3" s="1"/>
  <c r="Y413" i="3"/>
  <c r="Z413" i="3" s="1"/>
  <c r="AB413" i="3" s="1"/>
  <c r="Y414" i="3"/>
  <c r="Z414" i="3" s="1"/>
  <c r="AB414" i="3" s="1"/>
  <c r="Y415" i="3"/>
  <c r="Z415" i="3" s="1"/>
  <c r="AB415" i="3" s="1"/>
  <c r="Y416" i="3"/>
  <c r="Z416" i="3" s="1"/>
  <c r="AB416" i="3" s="1"/>
  <c r="Y417" i="3"/>
  <c r="Z417" i="3" s="1"/>
  <c r="AB417" i="3" s="1"/>
  <c r="Y418" i="3"/>
  <c r="Z418" i="3" s="1"/>
  <c r="AB418" i="3" s="1"/>
  <c r="Y419" i="3"/>
  <c r="Z419" i="3" s="1"/>
  <c r="AB419" i="3" s="1"/>
  <c r="Y420" i="3"/>
  <c r="Z420" i="3" s="1"/>
  <c r="AB420" i="3" s="1"/>
  <c r="Y421" i="3"/>
  <c r="Z421" i="3" s="1"/>
  <c r="AB421" i="3" s="1"/>
  <c r="Y422" i="3"/>
  <c r="Z422" i="3" s="1"/>
  <c r="AB422" i="3" s="1"/>
  <c r="Y423" i="3"/>
  <c r="Z423" i="3" s="1"/>
  <c r="AB423" i="3" s="1"/>
  <c r="Y424" i="3"/>
  <c r="Z424" i="3" s="1"/>
  <c r="AB424" i="3" s="1"/>
  <c r="Y425" i="3"/>
  <c r="Z425" i="3" s="1"/>
  <c r="AB425" i="3" s="1"/>
  <c r="Y426" i="3"/>
  <c r="Z426" i="3" s="1"/>
  <c r="AB426" i="3" s="1"/>
  <c r="Y427" i="3"/>
  <c r="Z427" i="3" s="1"/>
  <c r="AB427" i="3" s="1"/>
  <c r="Y428" i="3"/>
  <c r="Z428" i="3" s="1"/>
  <c r="AB428" i="3" s="1"/>
  <c r="Y429" i="3"/>
  <c r="Z429" i="3" s="1"/>
  <c r="AB429" i="3" s="1"/>
  <c r="Y430" i="3"/>
  <c r="Z430" i="3" s="1"/>
  <c r="AB430" i="3" s="1"/>
  <c r="Y431" i="3"/>
  <c r="Z431" i="3" s="1"/>
  <c r="AB431" i="3" s="1"/>
  <c r="Y432" i="3"/>
  <c r="Z432" i="3" s="1"/>
  <c r="AB432" i="3" s="1"/>
  <c r="Y433" i="3"/>
  <c r="Z433" i="3" s="1"/>
  <c r="AB433" i="3" s="1"/>
  <c r="Y434" i="3"/>
  <c r="Z434" i="3" s="1"/>
  <c r="AB434" i="3" s="1"/>
  <c r="Y435" i="3"/>
  <c r="Z435" i="3" s="1"/>
  <c r="AB435" i="3" s="1"/>
  <c r="Y436" i="3"/>
  <c r="Z436" i="3" s="1"/>
  <c r="AB436" i="3" s="1"/>
  <c r="Y437" i="3"/>
  <c r="Z437" i="3" s="1"/>
  <c r="AB437" i="3" s="1"/>
  <c r="Y438" i="3"/>
  <c r="Z438" i="3" s="1"/>
  <c r="AB438" i="3" s="1"/>
  <c r="Y439" i="3"/>
  <c r="Z439" i="3" s="1"/>
  <c r="AB439" i="3" s="1"/>
  <c r="Y440" i="3"/>
  <c r="Z440" i="3" s="1"/>
  <c r="AB440" i="3" s="1"/>
  <c r="Y441" i="3"/>
  <c r="Z441" i="3" s="1"/>
  <c r="AB441" i="3" s="1"/>
  <c r="Y442" i="3"/>
  <c r="Z442" i="3" s="1"/>
  <c r="AB442" i="3" s="1"/>
  <c r="Y443" i="3"/>
  <c r="Z443" i="3" s="1"/>
  <c r="AB443" i="3" s="1"/>
  <c r="Y444" i="3"/>
  <c r="Z444" i="3" s="1"/>
  <c r="AB444" i="3" s="1"/>
  <c r="Y445" i="3"/>
  <c r="Z445" i="3" s="1"/>
  <c r="AB445" i="3" s="1"/>
  <c r="Y446" i="3"/>
  <c r="Z446" i="3" s="1"/>
  <c r="AB446" i="3" s="1"/>
  <c r="Y447" i="3"/>
  <c r="Z447" i="3" s="1"/>
  <c r="AB447" i="3" s="1"/>
  <c r="Y448" i="3"/>
  <c r="Z448" i="3" s="1"/>
  <c r="AB448" i="3" s="1"/>
  <c r="Y449" i="3"/>
  <c r="Z449" i="3" s="1"/>
  <c r="AB449" i="3" s="1"/>
  <c r="Y450" i="3"/>
  <c r="Z450" i="3" s="1"/>
  <c r="AB450" i="3" s="1"/>
  <c r="Y451" i="3"/>
  <c r="Z451" i="3" s="1"/>
  <c r="AB451" i="3" s="1"/>
  <c r="Y452" i="3"/>
  <c r="Z452" i="3" s="1"/>
  <c r="AB452" i="3" s="1"/>
  <c r="Y453" i="3"/>
  <c r="Z453" i="3" s="1"/>
  <c r="AB453" i="3" s="1"/>
  <c r="Y454" i="3"/>
  <c r="Z454" i="3" s="1"/>
  <c r="AB454" i="3" s="1"/>
  <c r="Y455" i="3"/>
  <c r="Z455" i="3" s="1"/>
  <c r="AB455" i="3" s="1"/>
  <c r="Y456" i="3"/>
  <c r="Z456" i="3" s="1"/>
  <c r="AB456" i="3" s="1"/>
  <c r="Y457" i="3"/>
  <c r="Z457" i="3" s="1"/>
  <c r="AB457" i="3" s="1"/>
  <c r="Y458" i="3"/>
  <c r="Z458" i="3" s="1"/>
  <c r="AB458" i="3" s="1"/>
  <c r="Y459" i="3"/>
  <c r="Z459" i="3" s="1"/>
  <c r="AB459" i="3" s="1"/>
  <c r="Y460" i="3"/>
  <c r="Z460" i="3" s="1"/>
  <c r="AB460" i="3" s="1"/>
  <c r="Y461" i="3"/>
  <c r="Z461" i="3" s="1"/>
  <c r="AB461" i="3" s="1"/>
  <c r="Y462" i="3"/>
  <c r="Z462" i="3" s="1"/>
  <c r="AB462" i="3" s="1"/>
  <c r="Y463" i="3"/>
  <c r="Z463" i="3" s="1"/>
  <c r="AB463" i="3" s="1"/>
  <c r="Y464" i="3"/>
  <c r="Z464" i="3" s="1"/>
  <c r="AB464" i="3" s="1"/>
  <c r="Y465" i="3"/>
  <c r="Z465" i="3" s="1"/>
  <c r="AB465" i="3" s="1"/>
  <c r="Y466" i="3"/>
  <c r="Z466" i="3" s="1"/>
  <c r="AB466" i="3" s="1"/>
  <c r="Y467" i="3"/>
  <c r="Z467" i="3" s="1"/>
  <c r="AB467" i="3" s="1"/>
  <c r="Y468" i="3"/>
  <c r="Z468" i="3" s="1"/>
  <c r="AB468" i="3" s="1"/>
  <c r="Y469" i="3"/>
  <c r="Z469" i="3" s="1"/>
  <c r="AB469" i="3" s="1"/>
  <c r="Y470" i="3"/>
  <c r="Z470" i="3" s="1"/>
  <c r="AB470" i="3" s="1"/>
  <c r="Y471" i="3"/>
  <c r="Z471" i="3" s="1"/>
  <c r="AB471" i="3" s="1"/>
  <c r="Y472" i="3"/>
  <c r="Z472" i="3" s="1"/>
  <c r="AB472" i="3" s="1"/>
  <c r="Y473" i="3"/>
  <c r="Z473" i="3" s="1"/>
  <c r="AB473" i="3" s="1"/>
  <c r="Y474" i="3"/>
  <c r="Z474" i="3" s="1"/>
  <c r="AB474" i="3" s="1"/>
  <c r="Y475" i="3"/>
  <c r="Z475" i="3" s="1"/>
  <c r="AB475" i="3" s="1"/>
  <c r="Y476" i="3"/>
  <c r="Z476" i="3" s="1"/>
  <c r="AB476" i="3" s="1"/>
  <c r="Y477" i="3"/>
  <c r="Z477" i="3" s="1"/>
  <c r="AB477" i="3" s="1"/>
  <c r="Y478" i="3"/>
  <c r="Z478" i="3" s="1"/>
  <c r="AB478" i="3" s="1"/>
  <c r="Y481" i="3"/>
  <c r="Z481" i="3" s="1"/>
  <c r="AB481" i="3" s="1"/>
  <c r="Y482" i="3"/>
  <c r="Z482" i="3" s="1"/>
  <c r="AB482" i="3" s="1"/>
  <c r="Y483" i="3"/>
  <c r="Z483" i="3" s="1"/>
  <c r="AB483" i="3" s="1"/>
  <c r="Y484" i="3"/>
  <c r="Z484" i="3" s="1"/>
  <c r="AB484" i="3" s="1"/>
  <c r="Y485" i="3"/>
  <c r="Z485" i="3" s="1"/>
  <c r="AB485" i="3" s="1"/>
  <c r="Y486" i="3"/>
  <c r="Z486" i="3" s="1"/>
  <c r="AB486" i="3" s="1"/>
  <c r="Y487" i="3"/>
  <c r="Z487" i="3" s="1"/>
  <c r="AB487" i="3" s="1"/>
  <c r="Y488" i="3"/>
  <c r="Z488" i="3" s="1"/>
  <c r="AB488" i="3" s="1"/>
  <c r="Y489" i="3"/>
  <c r="Z489" i="3" s="1"/>
  <c r="AB489" i="3" s="1"/>
  <c r="Y490" i="3"/>
  <c r="Z490" i="3" s="1"/>
  <c r="AB490" i="3" s="1"/>
  <c r="Y493" i="3"/>
  <c r="Z493" i="3" s="1"/>
  <c r="AB493" i="3" s="1"/>
  <c r="Y494" i="3"/>
  <c r="Z494" i="3" s="1"/>
  <c r="AB494" i="3" s="1"/>
  <c r="Y495" i="3"/>
  <c r="Z495" i="3" s="1"/>
  <c r="AB495" i="3" s="1"/>
  <c r="Y498" i="3"/>
  <c r="Z498" i="3" s="1"/>
  <c r="AB498" i="3" s="1"/>
  <c r="Y499" i="3"/>
  <c r="Z499" i="3" s="1"/>
  <c r="AB499" i="3" s="1"/>
  <c r="Y501" i="3"/>
  <c r="Z501" i="3" s="1"/>
  <c r="AB501" i="3" s="1"/>
  <c r="V111" i="3"/>
  <c r="V120" i="3"/>
  <c r="V123" i="3"/>
  <c r="V124" i="3"/>
  <c r="V126" i="3"/>
  <c r="V127" i="3"/>
  <c r="V128" i="3"/>
  <c r="V129" i="3"/>
  <c r="V130" i="3"/>
  <c r="V131" i="3"/>
  <c r="V132" i="3"/>
  <c r="V133" i="3"/>
  <c r="V134" i="3"/>
  <c r="V135" i="3"/>
  <c r="V136" i="3"/>
  <c r="V137" i="3"/>
  <c r="V138" i="3"/>
  <c r="V139" i="3"/>
  <c r="V140" i="3"/>
  <c r="V141" i="3"/>
  <c r="V142" i="3"/>
  <c r="V143" i="3"/>
  <c r="V144" i="3"/>
  <c r="V145" i="3"/>
  <c r="V146" i="3"/>
  <c r="V147" i="3"/>
  <c r="V148" i="3"/>
  <c r="V149" i="3"/>
  <c r="V150" i="3"/>
  <c r="V151" i="3"/>
  <c r="V152" i="3"/>
  <c r="V153" i="3"/>
  <c r="V154" i="3"/>
  <c r="V155" i="3"/>
  <c r="V156" i="3"/>
  <c r="V157" i="3"/>
  <c r="V158" i="3"/>
  <c r="V159" i="3"/>
  <c r="V160" i="3"/>
  <c r="V161" i="3"/>
  <c r="V162" i="3"/>
  <c r="V163" i="3"/>
  <c r="V164" i="3"/>
  <c r="V165" i="3"/>
  <c r="V166" i="3"/>
  <c r="V167" i="3"/>
  <c r="V168" i="3"/>
  <c r="V169" i="3"/>
  <c r="V170" i="3"/>
  <c r="V171" i="3"/>
  <c r="V172" i="3"/>
  <c r="V173" i="3"/>
  <c r="V174" i="3"/>
  <c r="V175" i="3"/>
  <c r="V176" i="3"/>
  <c r="V177" i="3"/>
  <c r="V178" i="3"/>
  <c r="V179" i="3"/>
  <c r="V180" i="3"/>
  <c r="V181" i="3"/>
  <c r="V182" i="3"/>
  <c r="V183" i="3"/>
  <c r="V184" i="3"/>
  <c r="V185" i="3"/>
  <c r="V186" i="3"/>
  <c r="V187" i="3"/>
  <c r="V188" i="3"/>
  <c r="V189" i="3"/>
  <c r="V190" i="3"/>
  <c r="V191" i="3"/>
  <c r="V192" i="3"/>
  <c r="V193" i="3"/>
  <c r="V194" i="3"/>
  <c r="V195" i="3"/>
  <c r="V196" i="3"/>
  <c r="V197" i="3"/>
  <c r="V198" i="3"/>
  <c r="V199" i="3"/>
  <c r="V200" i="3"/>
  <c r="V201" i="3"/>
  <c r="V202" i="3"/>
  <c r="V203" i="3"/>
  <c r="V204" i="3"/>
  <c r="V205" i="3"/>
  <c r="V206" i="3"/>
  <c r="V207" i="3"/>
  <c r="V208" i="3"/>
  <c r="V209" i="3"/>
  <c r="V210" i="3"/>
  <c r="V211" i="3"/>
  <c r="V212" i="3"/>
  <c r="V213" i="3"/>
  <c r="V214" i="3"/>
  <c r="V215" i="3"/>
  <c r="V216" i="3"/>
  <c r="V217" i="3"/>
  <c r="V218" i="3"/>
  <c r="V219" i="3"/>
  <c r="V220" i="3"/>
  <c r="V221" i="3"/>
  <c r="V222" i="3"/>
  <c r="V223" i="3"/>
  <c r="V225" i="3"/>
  <c r="V228" i="3"/>
  <c r="V229" i="3"/>
  <c r="V230" i="3"/>
  <c r="V231" i="3"/>
  <c r="V233" i="3"/>
  <c r="V234" i="3"/>
  <c r="V235" i="3"/>
  <c r="V236" i="3"/>
  <c r="V237" i="3"/>
  <c r="V238" i="3"/>
  <c r="V239" i="3"/>
  <c r="V240" i="3"/>
  <c r="V241" i="3"/>
  <c r="V242" i="3"/>
  <c r="V243" i="3"/>
  <c r="V244" i="3"/>
  <c r="V245" i="3"/>
  <c r="V246" i="3"/>
  <c r="V247" i="3"/>
  <c r="V248" i="3"/>
  <c r="V249" i="3"/>
  <c r="V250" i="3"/>
  <c r="V251" i="3"/>
  <c r="V252" i="3"/>
  <c r="V253" i="3"/>
  <c r="V254" i="3"/>
  <c r="V255" i="3"/>
  <c r="V256" i="3"/>
  <c r="V257" i="3"/>
  <c r="V258" i="3"/>
  <c r="V259" i="3"/>
  <c r="V260" i="3"/>
  <c r="V261" i="3"/>
  <c r="V262" i="3"/>
  <c r="V263" i="3"/>
  <c r="V264" i="3"/>
  <c r="V265" i="3"/>
  <c r="V266" i="3"/>
  <c r="V267" i="3"/>
  <c r="V268" i="3"/>
  <c r="V269" i="3"/>
  <c r="V270" i="3"/>
  <c r="V271" i="3"/>
  <c r="V272" i="3"/>
  <c r="V273" i="3"/>
  <c r="V274" i="3"/>
  <c r="V275" i="3"/>
  <c r="V276" i="3"/>
  <c r="V277" i="3"/>
  <c r="V278" i="3"/>
  <c r="V279" i="3"/>
  <c r="V280" i="3"/>
  <c r="V281" i="3"/>
  <c r="V282" i="3"/>
  <c r="V283" i="3"/>
  <c r="V284" i="3"/>
  <c r="V285" i="3"/>
  <c r="V286" i="3"/>
  <c r="V287" i="3"/>
  <c r="V288" i="3"/>
  <c r="V289" i="3"/>
  <c r="V290" i="3"/>
  <c r="V291" i="3"/>
  <c r="V292" i="3"/>
  <c r="V293" i="3"/>
  <c r="V294" i="3"/>
  <c r="V295" i="3"/>
  <c r="V296" i="3"/>
  <c r="V297" i="3"/>
  <c r="V298" i="3"/>
  <c r="V299" i="3"/>
  <c r="V300" i="3"/>
  <c r="V301" i="3"/>
  <c r="V302" i="3"/>
  <c r="V303" i="3"/>
  <c r="V304" i="3"/>
  <c r="V305" i="3"/>
  <c r="V306" i="3"/>
  <c r="V307" i="3"/>
  <c r="V308" i="3"/>
  <c r="V309" i="3"/>
  <c r="V310" i="3"/>
  <c r="V311" i="3"/>
  <c r="V312" i="3"/>
  <c r="V313" i="3"/>
  <c r="V314" i="3"/>
  <c r="V315" i="3"/>
  <c r="V316" i="3"/>
  <c r="V317" i="3"/>
  <c r="V318" i="3"/>
  <c r="V319" i="3"/>
  <c r="V320" i="3"/>
  <c r="V321" i="3"/>
  <c r="V322" i="3"/>
  <c r="V323" i="3"/>
  <c r="V324" i="3"/>
  <c r="V325" i="3"/>
  <c r="V326" i="3"/>
  <c r="V327" i="3"/>
  <c r="V328" i="3"/>
  <c r="V329" i="3"/>
  <c r="V330" i="3"/>
  <c r="V332" i="3"/>
  <c r="V333" i="3"/>
  <c r="V334" i="3"/>
  <c r="V335" i="3"/>
  <c r="V336" i="3"/>
  <c r="V337" i="3"/>
  <c r="V338" i="3"/>
  <c r="V339" i="3"/>
  <c r="V340" i="3"/>
  <c r="V341" i="3"/>
  <c r="V342" i="3"/>
  <c r="V343" i="3"/>
  <c r="V344" i="3"/>
  <c r="V345" i="3"/>
  <c r="V346" i="3"/>
  <c r="V347" i="3"/>
  <c r="V348" i="3"/>
  <c r="V350" i="3"/>
  <c r="V351" i="3"/>
  <c r="V352" i="3"/>
  <c r="V353" i="3"/>
  <c r="V354" i="3"/>
  <c r="V355" i="3"/>
  <c r="V356" i="3"/>
  <c r="V357" i="3"/>
  <c r="V358" i="3"/>
  <c r="V359" i="3"/>
  <c r="V360" i="3"/>
  <c r="V361" i="3"/>
  <c r="V362" i="3"/>
  <c r="V363" i="3"/>
  <c r="V364" i="3"/>
  <c r="V365" i="3"/>
  <c r="V366" i="3"/>
  <c r="V367" i="3"/>
  <c r="V368" i="3"/>
  <c r="V369" i="3"/>
  <c r="V370" i="3"/>
  <c r="V371" i="3"/>
  <c r="V372" i="3"/>
  <c r="V373" i="3"/>
  <c r="V374" i="3"/>
  <c r="V375" i="3"/>
  <c r="V376" i="3"/>
  <c r="V377" i="3"/>
  <c r="V378" i="3"/>
  <c r="V379" i="3"/>
  <c r="V380" i="3"/>
  <c r="V381" i="3"/>
  <c r="V382" i="3"/>
  <c r="V383" i="3"/>
  <c r="V384" i="3"/>
  <c r="V385" i="3"/>
  <c r="V386" i="3"/>
  <c r="V387" i="3"/>
  <c r="V388" i="3"/>
  <c r="V389" i="3"/>
  <c r="V390" i="3"/>
  <c r="V391" i="3"/>
  <c r="V392" i="3"/>
  <c r="V393" i="3"/>
  <c r="V394" i="3"/>
  <c r="V395" i="3"/>
  <c r="V396" i="3"/>
  <c r="V397" i="3"/>
  <c r="V398" i="3"/>
  <c r="V399" i="3"/>
  <c r="V400" i="3"/>
  <c r="V401" i="3"/>
  <c r="V402" i="3"/>
  <c r="V403" i="3"/>
  <c r="V404" i="3"/>
  <c r="V405" i="3"/>
  <c r="V406" i="3"/>
  <c r="V407" i="3"/>
  <c r="V408" i="3"/>
  <c r="V409" i="3"/>
  <c r="V410" i="3"/>
  <c r="V411" i="3"/>
  <c r="V412" i="3"/>
  <c r="V413" i="3"/>
  <c r="V414" i="3"/>
  <c r="V415" i="3"/>
  <c r="V416" i="3"/>
  <c r="V417" i="3"/>
  <c r="V418" i="3"/>
  <c r="V419" i="3"/>
  <c r="V420" i="3"/>
  <c r="V421" i="3"/>
  <c r="V422" i="3"/>
  <c r="V423" i="3"/>
  <c r="V424" i="3"/>
  <c r="V425" i="3"/>
  <c r="V426" i="3"/>
  <c r="V427" i="3"/>
  <c r="V428" i="3"/>
  <c r="V429" i="3"/>
  <c r="V430" i="3"/>
  <c r="V431" i="3"/>
  <c r="V432" i="3"/>
  <c r="V433" i="3"/>
  <c r="V434" i="3"/>
  <c r="V435" i="3"/>
  <c r="V436" i="3"/>
  <c r="V437" i="3"/>
  <c r="V438" i="3"/>
  <c r="V439" i="3"/>
  <c r="V440" i="3"/>
  <c r="V441" i="3"/>
  <c r="V442" i="3"/>
  <c r="V443" i="3"/>
  <c r="V444" i="3"/>
  <c r="V445" i="3"/>
  <c r="V446" i="3"/>
  <c r="V447" i="3"/>
  <c r="V448" i="3"/>
  <c r="V449" i="3"/>
  <c r="V450" i="3"/>
  <c r="V451" i="3"/>
  <c r="V452" i="3"/>
  <c r="V453" i="3"/>
  <c r="V454" i="3"/>
  <c r="V455" i="3"/>
  <c r="V456" i="3"/>
  <c r="V457" i="3"/>
  <c r="V458" i="3"/>
  <c r="V459" i="3"/>
  <c r="V460" i="3"/>
  <c r="V461" i="3"/>
  <c r="V462" i="3"/>
  <c r="V463" i="3"/>
  <c r="V464" i="3"/>
  <c r="V465" i="3"/>
  <c r="V466" i="3"/>
  <c r="V467" i="3"/>
  <c r="V468" i="3"/>
  <c r="V469" i="3"/>
  <c r="V470" i="3"/>
  <c r="V471" i="3"/>
  <c r="V472" i="3"/>
  <c r="V473" i="3"/>
  <c r="V474" i="3"/>
  <c r="V475" i="3"/>
  <c r="V476" i="3"/>
  <c r="V477" i="3"/>
  <c r="V478" i="3"/>
  <c r="V481" i="3"/>
  <c r="V482" i="3"/>
  <c r="V483" i="3"/>
  <c r="V484" i="3"/>
  <c r="V485" i="3"/>
  <c r="V486" i="3"/>
  <c r="V487" i="3"/>
  <c r="V488" i="3"/>
  <c r="V489" i="3"/>
  <c r="V490" i="3"/>
  <c r="V493" i="3"/>
  <c r="V494" i="3"/>
  <c r="V495" i="3"/>
  <c r="V498" i="3"/>
  <c r="V499" i="3"/>
  <c r="V501" i="3"/>
  <c r="T111" i="3"/>
  <c r="U111" i="3" s="1"/>
  <c r="W111" i="3" s="1"/>
  <c r="T120" i="3"/>
  <c r="U120" i="3" s="1"/>
  <c r="W120" i="3" s="1"/>
  <c r="T123" i="3"/>
  <c r="U123" i="3" s="1"/>
  <c r="W123" i="3" s="1"/>
  <c r="T124" i="3"/>
  <c r="U124" i="3" s="1"/>
  <c r="W124" i="3" s="1"/>
  <c r="T126" i="3"/>
  <c r="U126" i="3" s="1"/>
  <c r="W126" i="3" s="1"/>
  <c r="T127" i="3"/>
  <c r="U127" i="3" s="1"/>
  <c r="W127" i="3" s="1"/>
  <c r="T128" i="3"/>
  <c r="U128" i="3" s="1"/>
  <c r="W128" i="3" s="1"/>
  <c r="T129" i="3"/>
  <c r="U129" i="3" s="1"/>
  <c r="W129" i="3" s="1"/>
  <c r="T130" i="3"/>
  <c r="U130" i="3" s="1"/>
  <c r="W130" i="3" s="1"/>
  <c r="T131" i="3"/>
  <c r="U131" i="3" s="1"/>
  <c r="W131" i="3" s="1"/>
  <c r="T132" i="3"/>
  <c r="U132" i="3" s="1"/>
  <c r="W132" i="3" s="1"/>
  <c r="T133" i="3"/>
  <c r="U133" i="3" s="1"/>
  <c r="W133" i="3" s="1"/>
  <c r="T134" i="3"/>
  <c r="U134" i="3" s="1"/>
  <c r="W134" i="3" s="1"/>
  <c r="T135" i="3"/>
  <c r="U135" i="3" s="1"/>
  <c r="W135" i="3" s="1"/>
  <c r="T136" i="3"/>
  <c r="U136" i="3" s="1"/>
  <c r="W136" i="3" s="1"/>
  <c r="T137" i="3"/>
  <c r="U137" i="3" s="1"/>
  <c r="W137" i="3" s="1"/>
  <c r="T138" i="3"/>
  <c r="U138" i="3" s="1"/>
  <c r="W138" i="3" s="1"/>
  <c r="T139" i="3"/>
  <c r="U139" i="3" s="1"/>
  <c r="W139" i="3" s="1"/>
  <c r="T140" i="3"/>
  <c r="U140" i="3" s="1"/>
  <c r="W140" i="3" s="1"/>
  <c r="T141" i="3"/>
  <c r="U141" i="3" s="1"/>
  <c r="W141" i="3" s="1"/>
  <c r="T142" i="3"/>
  <c r="U142" i="3" s="1"/>
  <c r="W142" i="3" s="1"/>
  <c r="T143" i="3"/>
  <c r="U143" i="3" s="1"/>
  <c r="W143" i="3" s="1"/>
  <c r="T144" i="3"/>
  <c r="U144" i="3" s="1"/>
  <c r="W144" i="3" s="1"/>
  <c r="T145" i="3"/>
  <c r="U145" i="3" s="1"/>
  <c r="W145" i="3" s="1"/>
  <c r="T146" i="3"/>
  <c r="U146" i="3" s="1"/>
  <c r="W146" i="3" s="1"/>
  <c r="T147" i="3"/>
  <c r="U147" i="3" s="1"/>
  <c r="W147" i="3" s="1"/>
  <c r="T148" i="3"/>
  <c r="U148" i="3" s="1"/>
  <c r="W148" i="3" s="1"/>
  <c r="T149" i="3"/>
  <c r="U149" i="3" s="1"/>
  <c r="W149" i="3" s="1"/>
  <c r="T150" i="3"/>
  <c r="U150" i="3" s="1"/>
  <c r="W150" i="3" s="1"/>
  <c r="T151" i="3"/>
  <c r="U151" i="3" s="1"/>
  <c r="W151" i="3" s="1"/>
  <c r="T152" i="3"/>
  <c r="U152" i="3" s="1"/>
  <c r="W152" i="3" s="1"/>
  <c r="T153" i="3"/>
  <c r="U153" i="3" s="1"/>
  <c r="W153" i="3" s="1"/>
  <c r="T154" i="3"/>
  <c r="U154" i="3" s="1"/>
  <c r="W154" i="3" s="1"/>
  <c r="T155" i="3"/>
  <c r="U155" i="3" s="1"/>
  <c r="W155" i="3" s="1"/>
  <c r="T156" i="3"/>
  <c r="U156" i="3" s="1"/>
  <c r="W156" i="3" s="1"/>
  <c r="T157" i="3"/>
  <c r="U157" i="3" s="1"/>
  <c r="W157" i="3" s="1"/>
  <c r="T158" i="3"/>
  <c r="U158" i="3" s="1"/>
  <c r="W158" i="3" s="1"/>
  <c r="T159" i="3"/>
  <c r="U159" i="3" s="1"/>
  <c r="W159" i="3" s="1"/>
  <c r="T160" i="3"/>
  <c r="U160" i="3" s="1"/>
  <c r="W160" i="3" s="1"/>
  <c r="T161" i="3"/>
  <c r="U161" i="3" s="1"/>
  <c r="W161" i="3" s="1"/>
  <c r="T162" i="3"/>
  <c r="U162" i="3" s="1"/>
  <c r="W162" i="3" s="1"/>
  <c r="T163" i="3"/>
  <c r="U163" i="3" s="1"/>
  <c r="W163" i="3" s="1"/>
  <c r="T164" i="3"/>
  <c r="U164" i="3" s="1"/>
  <c r="W164" i="3" s="1"/>
  <c r="T165" i="3"/>
  <c r="U165" i="3" s="1"/>
  <c r="W165" i="3" s="1"/>
  <c r="T166" i="3"/>
  <c r="U166" i="3" s="1"/>
  <c r="W166" i="3" s="1"/>
  <c r="T167" i="3"/>
  <c r="U167" i="3" s="1"/>
  <c r="W167" i="3" s="1"/>
  <c r="T168" i="3"/>
  <c r="U168" i="3" s="1"/>
  <c r="W168" i="3" s="1"/>
  <c r="T169" i="3"/>
  <c r="U169" i="3" s="1"/>
  <c r="W169" i="3" s="1"/>
  <c r="T170" i="3"/>
  <c r="U170" i="3" s="1"/>
  <c r="W170" i="3" s="1"/>
  <c r="T171" i="3"/>
  <c r="U171" i="3" s="1"/>
  <c r="W171" i="3" s="1"/>
  <c r="T172" i="3"/>
  <c r="U172" i="3" s="1"/>
  <c r="W172" i="3" s="1"/>
  <c r="T173" i="3"/>
  <c r="U173" i="3" s="1"/>
  <c r="W173" i="3" s="1"/>
  <c r="T174" i="3"/>
  <c r="U174" i="3" s="1"/>
  <c r="W174" i="3" s="1"/>
  <c r="T175" i="3"/>
  <c r="U175" i="3" s="1"/>
  <c r="W175" i="3" s="1"/>
  <c r="T176" i="3"/>
  <c r="U176" i="3" s="1"/>
  <c r="W176" i="3" s="1"/>
  <c r="T177" i="3"/>
  <c r="U177" i="3" s="1"/>
  <c r="W177" i="3" s="1"/>
  <c r="T178" i="3"/>
  <c r="U178" i="3" s="1"/>
  <c r="W178" i="3" s="1"/>
  <c r="T179" i="3"/>
  <c r="U179" i="3" s="1"/>
  <c r="W179" i="3" s="1"/>
  <c r="T180" i="3"/>
  <c r="U180" i="3" s="1"/>
  <c r="W180" i="3" s="1"/>
  <c r="T181" i="3"/>
  <c r="U181" i="3" s="1"/>
  <c r="W181" i="3" s="1"/>
  <c r="T182" i="3"/>
  <c r="U182" i="3" s="1"/>
  <c r="W182" i="3" s="1"/>
  <c r="T183" i="3"/>
  <c r="U183" i="3" s="1"/>
  <c r="W183" i="3" s="1"/>
  <c r="T184" i="3"/>
  <c r="U184" i="3" s="1"/>
  <c r="W184" i="3" s="1"/>
  <c r="T185" i="3"/>
  <c r="U185" i="3" s="1"/>
  <c r="W185" i="3" s="1"/>
  <c r="T186" i="3"/>
  <c r="U186" i="3" s="1"/>
  <c r="W186" i="3" s="1"/>
  <c r="T187" i="3"/>
  <c r="U187" i="3" s="1"/>
  <c r="W187" i="3" s="1"/>
  <c r="T188" i="3"/>
  <c r="U188" i="3" s="1"/>
  <c r="W188" i="3" s="1"/>
  <c r="T189" i="3"/>
  <c r="U189" i="3" s="1"/>
  <c r="W189" i="3" s="1"/>
  <c r="T190" i="3"/>
  <c r="U190" i="3" s="1"/>
  <c r="W190" i="3" s="1"/>
  <c r="T191" i="3"/>
  <c r="U191" i="3" s="1"/>
  <c r="W191" i="3" s="1"/>
  <c r="T192" i="3"/>
  <c r="U192" i="3" s="1"/>
  <c r="W192" i="3" s="1"/>
  <c r="T193" i="3"/>
  <c r="U193" i="3" s="1"/>
  <c r="W193" i="3" s="1"/>
  <c r="T194" i="3"/>
  <c r="U194" i="3" s="1"/>
  <c r="W194" i="3" s="1"/>
  <c r="T195" i="3"/>
  <c r="U195" i="3" s="1"/>
  <c r="W195" i="3" s="1"/>
  <c r="T196" i="3"/>
  <c r="U196" i="3" s="1"/>
  <c r="W196" i="3" s="1"/>
  <c r="T197" i="3"/>
  <c r="U197" i="3" s="1"/>
  <c r="W197" i="3" s="1"/>
  <c r="T198" i="3"/>
  <c r="U198" i="3" s="1"/>
  <c r="W198" i="3" s="1"/>
  <c r="T199" i="3"/>
  <c r="U199" i="3" s="1"/>
  <c r="W199" i="3" s="1"/>
  <c r="T200" i="3"/>
  <c r="U200" i="3" s="1"/>
  <c r="W200" i="3" s="1"/>
  <c r="T201" i="3"/>
  <c r="U201" i="3" s="1"/>
  <c r="W201" i="3" s="1"/>
  <c r="T202" i="3"/>
  <c r="U202" i="3" s="1"/>
  <c r="W202" i="3" s="1"/>
  <c r="T203" i="3"/>
  <c r="U203" i="3" s="1"/>
  <c r="W203" i="3" s="1"/>
  <c r="T204" i="3"/>
  <c r="U204" i="3" s="1"/>
  <c r="W204" i="3" s="1"/>
  <c r="T205" i="3"/>
  <c r="U205" i="3" s="1"/>
  <c r="W205" i="3" s="1"/>
  <c r="T206" i="3"/>
  <c r="U206" i="3" s="1"/>
  <c r="W206" i="3" s="1"/>
  <c r="T207" i="3"/>
  <c r="U207" i="3" s="1"/>
  <c r="W207" i="3" s="1"/>
  <c r="T208" i="3"/>
  <c r="U208" i="3" s="1"/>
  <c r="W208" i="3" s="1"/>
  <c r="T209" i="3"/>
  <c r="U209" i="3" s="1"/>
  <c r="W209" i="3" s="1"/>
  <c r="T210" i="3"/>
  <c r="U210" i="3" s="1"/>
  <c r="W210" i="3" s="1"/>
  <c r="T211" i="3"/>
  <c r="U211" i="3" s="1"/>
  <c r="W211" i="3" s="1"/>
  <c r="T212" i="3"/>
  <c r="U212" i="3" s="1"/>
  <c r="W212" i="3" s="1"/>
  <c r="T213" i="3"/>
  <c r="U213" i="3" s="1"/>
  <c r="W213" i="3" s="1"/>
  <c r="T214" i="3"/>
  <c r="U214" i="3" s="1"/>
  <c r="W214" i="3" s="1"/>
  <c r="T215" i="3"/>
  <c r="U215" i="3" s="1"/>
  <c r="W215" i="3" s="1"/>
  <c r="T216" i="3"/>
  <c r="U216" i="3" s="1"/>
  <c r="W216" i="3" s="1"/>
  <c r="T217" i="3"/>
  <c r="U217" i="3" s="1"/>
  <c r="W217" i="3" s="1"/>
  <c r="T218" i="3"/>
  <c r="U218" i="3" s="1"/>
  <c r="W218" i="3" s="1"/>
  <c r="T219" i="3"/>
  <c r="U219" i="3" s="1"/>
  <c r="W219" i="3" s="1"/>
  <c r="T220" i="3"/>
  <c r="U220" i="3" s="1"/>
  <c r="W220" i="3" s="1"/>
  <c r="T221" i="3"/>
  <c r="U221" i="3" s="1"/>
  <c r="W221" i="3" s="1"/>
  <c r="T222" i="3"/>
  <c r="U222" i="3" s="1"/>
  <c r="W222" i="3" s="1"/>
  <c r="T223" i="3"/>
  <c r="U223" i="3" s="1"/>
  <c r="W223" i="3" s="1"/>
  <c r="T225" i="3"/>
  <c r="U225" i="3" s="1"/>
  <c r="W225" i="3" s="1"/>
  <c r="T228" i="3"/>
  <c r="U228" i="3" s="1"/>
  <c r="W228" i="3" s="1"/>
  <c r="T229" i="3"/>
  <c r="U229" i="3" s="1"/>
  <c r="W229" i="3" s="1"/>
  <c r="T230" i="3"/>
  <c r="U230" i="3" s="1"/>
  <c r="W230" i="3" s="1"/>
  <c r="T231" i="3"/>
  <c r="U231" i="3" s="1"/>
  <c r="W231" i="3" s="1"/>
  <c r="T233" i="3"/>
  <c r="U233" i="3" s="1"/>
  <c r="W233" i="3" s="1"/>
  <c r="T234" i="3"/>
  <c r="U234" i="3" s="1"/>
  <c r="W234" i="3" s="1"/>
  <c r="T235" i="3"/>
  <c r="U235" i="3" s="1"/>
  <c r="W235" i="3" s="1"/>
  <c r="T236" i="3"/>
  <c r="U236" i="3" s="1"/>
  <c r="W236" i="3" s="1"/>
  <c r="T237" i="3"/>
  <c r="U237" i="3" s="1"/>
  <c r="W237" i="3" s="1"/>
  <c r="T238" i="3"/>
  <c r="U238" i="3" s="1"/>
  <c r="W238" i="3" s="1"/>
  <c r="T239" i="3"/>
  <c r="U239" i="3" s="1"/>
  <c r="W239" i="3" s="1"/>
  <c r="T240" i="3"/>
  <c r="U240" i="3" s="1"/>
  <c r="W240" i="3" s="1"/>
  <c r="T241" i="3"/>
  <c r="U241" i="3" s="1"/>
  <c r="W241" i="3" s="1"/>
  <c r="T242" i="3"/>
  <c r="U242" i="3" s="1"/>
  <c r="W242" i="3" s="1"/>
  <c r="T243" i="3"/>
  <c r="U243" i="3" s="1"/>
  <c r="W243" i="3" s="1"/>
  <c r="T244" i="3"/>
  <c r="U244" i="3" s="1"/>
  <c r="W244" i="3" s="1"/>
  <c r="T245" i="3"/>
  <c r="U245" i="3" s="1"/>
  <c r="W245" i="3" s="1"/>
  <c r="T246" i="3"/>
  <c r="U246" i="3" s="1"/>
  <c r="W246" i="3" s="1"/>
  <c r="T247" i="3"/>
  <c r="U247" i="3" s="1"/>
  <c r="W247" i="3" s="1"/>
  <c r="T248" i="3"/>
  <c r="U248" i="3" s="1"/>
  <c r="W248" i="3" s="1"/>
  <c r="T249" i="3"/>
  <c r="U249" i="3" s="1"/>
  <c r="W249" i="3" s="1"/>
  <c r="T250" i="3"/>
  <c r="U250" i="3" s="1"/>
  <c r="W250" i="3" s="1"/>
  <c r="T251" i="3"/>
  <c r="U251" i="3" s="1"/>
  <c r="W251" i="3" s="1"/>
  <c r="T252" i="3"/>
  <c r="U252" i="3" s="1"/>
  <c r="W252" i="3" s="1"/>
  <c r="T253" i="3"/>
  <c r="U253" i="3" s="1"/>
  <c r="W253" i="3" s="1"/>
  <c r="T254" i="3"/>
  <c r="U254" i="3" s="1"/>
  <c r="W254" i="3" s="1"/>
  <c r="T255" i="3"/>
  <c r="U255" i="3" s="1"/>
  <c r="W255" i="3" s="1"/>
  <c r="T256" i="3"/>
  <c r="U256" i="3" s="1"/>
  <c r="W256" i="3" s="1"/>
  <c r="T257" i="3"/>
  <c r="U257" i="3" s="1"/>
  <c r="W257" i="3" s="1"/>
  <c r="T258" i="3"/>
  <c r="U258" i="3" s="1"/>
  <c r="W258" i="3" s="1"/>
  <c r="T259" i="3"/>
  <c r="U259" i="3" s="1"/>
  <c r="W259" i="3" s="1"/>
  <c r="T260" i="3"/>
  <c r="U260" i="3" s="1"/>
  <c r="W260" i="3" s="1"/>
  <c r="T261" i="3"/>
  <c r="U261" i="3" s="1"/>
  <c r="W261" i="3" s="1"/>
  <c r="T262" i="3"/>
  <c r="U262" i="3" s="1"/>
  <c r="W262" i="3" s="1"/>
  <c r="T263" i="3"/>
  <c r="U263" i="3" s="1"/>
  <c r="W263" i="3" s="1"/>
  <c r="T264" i="3"/>
  <c r="U264" i="3" s="1"/>
  <c r="W264" i="3" s="1"/>
  <c r="T265" i="3"/>
  <c r="U265" i="3" s="1"/>
  <c r="W265" i="3" s="1"/>
  <c r="T266" i="3"/>
  <c r="U266" i="3" s="1"/>
  <c r="W266" i="3" s="1"/>
  <c r="T267" i="3"/>
  <c r="U267" i="3" s="1"/>
  <c r="W267" i="3" s="1"/>
  <c r="T268" i="3"/>
  <c r="U268" i="3" s="1"/>
  <c r="W268" i="3" s="1"/>
  <c r="T269" i="3"/>
  <c r="U269" i="3" s="1"/>
  <c r="W269" i="3" s="1"/>
  <c r="T270" i="3"/>
  <c r="U270" i="3" s="1"/>
  <c r="W270" i="3" s="1"/>
  <c r="T271" i="3"/>
  <c r="U271" i="3" s="1"/>
  <c r="W271" i="3" s="1"/>
  <c r="T272" i="3"/>
  <c r="U272" i="3" s="1"/>
  <c r="W272" i="3" s="1"/>
  <c r="T273" i="3"/>
  <c r="U273" i="3" s="1"/>
  <c r="W273" i="3" s="1"/>
  <c r="T274" i="3"/>
  <c r="U274" i="3" s="1"/>
  <c r="W274" i="3" s="1"/>
  <c r="T275" i="3"/>
  <c r="U275" i="3" s="1"/>
  <c r="W275" i="3" s="1"/>
  <c r="T276" i="3"/>
  <c r="U276" i="3" s="1"/>
  <c r="W276" i="3" s="1"/>
  <c r="T277" i="3"/>
  <c r="U277" i="3" s="1"/>
  <c r="W277" i="3" s="1"/>
  <c r="T278" i="3"/>
  <c r="U278" i="3" s="1"/>
  <c r="W278" i="3" s="1"/>
  <c r="T279" i="3"/>
  <c r="U279" i="3" s="1"/>
  <c r="W279" i="3" s="1"/>
  <c r="T280" i="3"/>
  <c r="U280" i="3" s="1"/>
  <c r="W280" i="3" s="1"/>
  <c r="T281" i="3"/>
  <c r="U281" i="3" s="1"/>
  <c r="W281" i="3" s="1"/>
  <c r="T282" i="3"/>
  <c r="U282" i="3" s="1"/>
  <c r="W282" i="3" s="1"/>
  <c r="T283" i="3"/>
  <c r="U283" i="3" s="1"/>
  <c r="W283" i="3" s="1"/>
  <c r="T284" i="3"/>
  <c r="U284" i="3" s="1"/>
  <c r="W284" i="3" s="1"/>
  <c r="T285" i="3"/>
  <c r="U285" i="3" s="1"/>
  <c r="W285" i="3" s="1"/>
  <c r="T286" i="3"/>
  <c r="U286" i="3" s="1"/>
  <c r="W286" i="3" s="1"/>
  <c r="T287" i="3"/>
  <c r="U287" i="3" s="1"/>
  <c r="W287" i="3" s="1"/>
  <c r="T288" i="3"/>
  <c r="U288" i="3" s="1"/>
  <c r="W288" i="3" s="1"/>
  <c r="T289" i="3"/>
  <c r="U289" i="3" s="1"/>
  <c r="W289" i="3" s="1"/>
  <c r="T290" i="3"/>
  <c r="U290" i="3" s="1"/>
  <c r="W290" i="3" s="1"/>
  <c r="T291" i="3"/>
  <c r="U291" i="3" s="1"/>
  <c r="W291" i="3" s="1"/>
  <c r="T292" i="3"/>
  <c r="U292" i="3" s="1"/>
  <c r="W292" i="3" s="1"/>
  <c r="T293" i="3"/>
  <c r="U293" i="3" s="1"/>
  <c r="W293" i="3" s="1"/>
  <c r="T294" i="3"/>
  <c r="U294" i="3" s="1"/>
  <c r="W294" i="3" s="1"/>
  <c r="T295" i="3"/>
  <c r="U295" i="3" s="1"/>
  <c r="W295" i="3" s="1"/>
  <c r="T296" i="3"/>
  <c r="U296" i="3" s="1"/>
  <c r="W296" i="3" s="1"/>
  <c r="T297" i="3"/>
  <c r="U297" i="3" s="1"/>
  <c r="W297" i="3" s="1"/>
  <c r="T298" i="3"/>
  <c r="U298" i="3" s="1"/>
  <c r="W298" i="3" s="1"/>
  <c r="T299" i="3"/>
  <c r="U299" i="3" s="1"/>
  <c r="W299" i="3" s="1"/>
  <c r="T300" i="3"/>
  <c r="U300" i="3" s="1"/>
  <c r="W300" i="3" s="1"/>
  <c r="T301" i="3"/>
  <c r="U301" i="3" s="1"/>
  <c r="W301" i="3" s="1"/>
  <c r="T302" i="3"/>
  <c r="U302" i="3" s="1"/>
  <c r="W302" i="3" s="1"/>
  <c r="T303" i="3"/>
  <c r="U303" i="3" s="1"/>
  <c r="W303" i="3" s="1"/>
  <c r="T304" i="3"/>
  <c r="U304" i="3" s="1"/>
  <c r="W304" i="3" s="1"/>
  <c r="T305" i="3"/>
  <c r="U305" i="3" s="1"/>
  <c r="W305" i="3" s="1"/>
  <c r="T306" i="3"/>
  <c r="U306" i="3" s="1"/>
  <c r="W306" i="3" s="1"/>
  <c r="T307" i="3"/>
  <c r="U307" i="3" s="1"/>
  <c r="W307" i="3" s="1"/>
  <c r="T308" i="3"/>
  <c r="U308" i="3" s="1"/>
  <c r="W308" i="3" s="1"/>
  <c r="T309" i="3"/>
  <c r="U309" i="3" s="1"/>
  <c r="W309" i="3" s="1"/>
  <c r="T310" i="3"/>
  <c r="U310" i="3" s="1"/>
  <c r="W310" i="3" s="1"/>
  <c r="T311" i="3"/>
  <c r="U311" i="3" s="1"/>
  <c r="W311" i="3" s="1"/>
  <c r="T312" i="3"/>
  <c r="U312" i="3" s="1"/>
  <c r="W312" i="3" s="1"/>
  <c r="T313" i="3"/>
  <c r="U313" i="3" s="1"/>
  <c r="W313" i="3" s="1"/>
  <c r="T314" i="3"/>
  <c r="U314" i="3" s="1"/>
  <c r="W314" i="3" s="1"/>
  <c r="T315" i="3"/>
  <c r="U315" i="3" s="1"/>
  <c r="W315" i="3" s="1"/>
  <c r="T316" i="3"/>
  <c r="U316" i="3" s="1"/>
  <c r="W316" i="3" s="1"/>
  <c r="T317" i="3"/>
  <c r="U317" i="3" s="1"/>
  <c r="W317" i="3" s="1"/>
  <c r="T318" i="3"/>
  <c r="U318" i="3" s="1"/>
  <c r="W318" i="3" s="1"/>
  <c r="T319" i="3"/>
  <c r="U319" i="3" s="1"/>
  <c r="W319" i="3" s="1"/>
  <c r="T320" i="3"/>
  <c r="U320" i="3" s="1"/>
  <c r="W320" i="3" s="1"/>
  <c r="T321" i="3"/>
  <c r="U321" i="3" s="1"/>
  <c r="W321" i="3" s="1"/>
  <c r="T322" i="3"/>
  <c r="U322" i="3" s="1"/>
  <c r="W322" i="3" s="1"/>
  <c r="T323" i="3"/>
  <c r="U323" i="3" s="1"/>
  <c r="W323" i="3" s="1"/>
  <c r="T324" i="3"/>
  <c r="U324" i="3" s="1"/>
  <c r="W324" i="3" s="1"/>
  <c r="T325" i="3"/>
  <c r="U325" i="3" s="1"/>
  <c r="W325" i="3" s="1"/>
  <c r="T326" i="3"/>
  <c r="U326" i="3" s="1"/>
  <c r="W326" i="3" s="1"/>
  <c r="T327" i="3"/>
  <c r="U327" i="3" s="1"/>
  <c r="W327" i="3" s="1"/>
  <c r="T328" i="3"/>
  <c r="U328" i="3" s="1"/>
  <c r="W328" i="3" s="1"/>
  <c r="T329" i="3"/>
  <c r="U329" i="3" s="1"/>
  <c r="W329" i="3" s="1"/>
  <c r="T330" i="3"/>
  <c r="U330" i="3" s="1"/>
  <c r="W330" i="3" s="1"/>
  <c r="T332" i="3"/>
  <c r="U332" i="3" s="1"/>
  <c r="W332" i="3" s="1"/>
  <c r="T333" i="3"/>
  <c r="U333" i="3" s="1"/>
  <c r="W333" i="3" s="1"/>
  <c r="T334" i="3"/>
  <c r="U334" i="3" s="1"/>
  <c r="W334" i="3" s="1"/>
  <c r="T335" i="3"/>
  <c r="U335" i="3" s="1"/>
  <c r="W335" i="3" s="1"/>
  <c r="T336" i="3"/>
  <c r="U336" i="3" s="1"/>
  <c r="W336" i="3" s="1"/>
  <c r="T337" i="3"/>
  <c r="U337" i="3" s="1"/>
  <c r="W337" i="3" s="1"/>
  <c r="T338" i="3"/>
  <c r="U338" i="3" s="1"/>
  <c r="W338" i="3" s="1"/>
  <c r="T339" i="3"/>
  <c r="U339" i="3" s="1"/>
  <c r="W339" i="3" s="1"/>
  <c r="T340" i="3"/>
  <c r="U340" i="3" s="1"/>
  <c r="W340" i="3" s="1"/>
  <c r="T341" i="3"/>
  <c r="U341" i="3" s="1"/>
  <c r="W341" i="3" s="1"/>
  <c r="T342" i="3"/>
  <c r="U342" i="3" s="1"/>
  <c r="W342" i="3" s="1"/>
  <c r="T343" i="3"/>
  <c r="U343" i="3" s="1"/>
  <c r="W343" i="3" s="1"/>
  <c r="T344" i="3"/>
  <c r="U344" i="3" s="1"/>
  <c r="W344" i="3" s="1"/>
  <c r="T345" i="3"/>
  <c r="U345" i="3" s="1"/>
  <c r="W345" i="3" s="1"/>
  <c r="T346" i="3"/>
  <c r="U346" i="3" s="1"/>
  <c r="W346" i="3" s="1"/>
  <c r="T347" i="3"/>
  <c r="U347" i="3" s="1"/>
  <c r="W347" i="3" s="1"/>
  <c r="T348" i="3"/>
  <c r="U348" i="3" s="1"/>
  <c r="W348" i="3" s="1"/>
  <c r="T350" i="3"/>
  <c r="U350" i="3" s="1"/>
  <c r="W350" i="3" s="1"/>
  <c r="T351" i="3"/>
  <c r="U351" i="3" s="1"/>
  <c r="W351" i="3" s="1"/>
  <c r="T352" i="3"/>
  <c r="U352" i="3" s="1"/>
  <c r="W352" i="3" s="1"/>
  <c r="T353" i="3"/>
  <c r="U353" i="3" s="1"/>
  <c r="W353" i="3" s="1"/>
  <c r="T354" i="3"/>
  <c r="U354" i="3" s="1"/>
  <c r="W354" i="3" s="1"/>
  <c r="T355" i="3"/>
  <c r="U355" i="3" s="1"/>
  <c r="W355" i="3" s="1"/>
  <c r="T356" i="3"/>
  <c r="U356" i="3" s="1"/>
  <c r="W356" i="3" s="1"/>
  <c r="T357" i="3"/>
  <c r="U357" i="3" s="1"/>
  <c r="W357" i="3" s="1"/>
  <c r="T358" i="3"/>
  <c r="U358" i="3" s="1"/>
  <c r="W358" i="3" s="1"/>
  <c r="T359" i="3"/>
  <c r="U359" i="3" s="1"/>
  <c r="W359" i="3" s="1"/>
  <c r="T360" i="3"/>
  <c r="U360" i="3" s="1"/>
  <c r="W360" i="3" s="1"/>
  <c r="T361" i="3"/>
  <c r="U361" i="3" s="1"/>
  <c r="W361" i="3" s="1"/>
  <c r="T362" i="3"/>
  <c r="U362" i="3" s="1"/>
  <c r="W362" i="3" s="1"/>
  <c r="T363" i="3"/>
  <c r="U363" i="3" s="1"/>
  <c r="W363" i="3" s="1"/>
  <c r="T364" i="3"/>
  <c r="U364" i="3" s="1"/>
  <c r="W364" i="3" s="1"/>
  <c r="T365" i="3"/>
  <c r="U365" i="3" s="1"/>
  <c r="W365" i="3" s="1"/>
  <c r="T366" i="3"/>
  <c r="U366" i="3" s="1"/>
  <c r="W366" i="3" s="1"/>
  <c r="T367" i="3"/>
  <c r="U367" i="3" s="1"/>
  <c r="W367" i="3" s="1"/>
  <c r="T368" i="3"/>
  <c r="U368" i="3" s="1"/>
  <c r="W368" i="3" s="1"/>
  <c r="T369" i="3"/>
  <c r="U369" i="3" s="1"/>
  <c r="W369" i="3" s="1"/>
  <c r="T370" i="3"/>
  <c r="U370" i="3" s="1"/>
  <c r="W370" i="3" s="1"/>
  <c r="T371" i="3"/>
  <c r="U371" i="3" s="1"/>
  <c r="W371" i="3" s="1"/>
  <c r="T372" i="3"/>
  <c r="U372" i="3" s="1"/>
  <c r="W372" i="3" s="1"/>
  <c r="T373" i="3"/>
  <c r="U373" i="3" s="1"/>
  <c r="W373" i="3" s="1"/>
  <c r="T374" i="3"/>
  <c r="U374" i="3" s="1"/>
  <c r="W374" i="3" s="1"/>
  <c r="T375" i="3"/>
  <c r="U375" i="3" s="1"/>
  <c r="W375" i="3" s="1"/>
  <c r="T376" i="3"/>
  <c r="U376" i="3" s="1"/>
  <c r="W376" i="3" s="1"/>
  <c r="T377" i="3"/>
  <c r="U377" i="3" s="1"/>
  <c r="W377" i="3" s="1"/>
  <c r="T378" i="3"/>
  <c r="U378" i="3" s="1"/>
  <c r="W378" i="3" s="1"/>
  <c r="T379" i="3"/>
  <c r="U379" i="3" s="1"/>
  <c r="W379" i="3" s="1"/>
  <c r="T380" i="3"/>
  <c r="U380" i="3" s="1"/>
  <c r="W380" i="3" s="1"/>
  <c r="T381" i="3"/>
  <c r="U381" i="3" s="1"/>
  <c r="W381" i="3" s="1"/>
  <c r="T382" i="3"/>
  <c r="U382" i="3" s="1"/>
  <c r="W382" i="3" s="1"/>
  <c r="T383" i="3"/>
  <c r="U383" i="3" s="1"/>
  <c r="W383" i="3" s="1"/>
  <c r="T384" i="3"/>
  <c r="U384" i="3" s="1"/>
  <c r="W384" i="3" s="1"/>
  <c r="T385" i="3"/>
  <c r="U385" i="3" s="1"/>
  <c r="W385" i="3" s="1"/>
  <c r="T386" i="3"/>
  <c r="U386" i="3" s="1"/>
  <c r="W386" i="3" s="1"/>
  <c r="T387" i="3"/>
  <c r="U387" i="3" s="1"/>
  <c r="W387" i="3" s="1"/>
  <c r="T388" i="3"/>
  <c r="U388" i="3" s="1"/>
  <c r="W388" i="3" s="1"/>
  <c r="T389" i="3"/>
  <c r="U389" i="3" s="1"/>
  <c r="W389" i="3" s="1"/>
  <c r="T390" i="3"/>
  <c r="U390" i="3" s="1"/>
  <c r="W390" i="3" s="1"/>
  <c r="T391" i="3"/>
  <c r="U391" i="3" s="1"/>
  <c r="W391" i="3" s="1"/>
  <c r="T392" i="3"/>
  <c r="U392" i="3" s="1"/>
  <c r="W392" i="3" s="1"/>
  <c r="T393" i="3"/>
  <c r="U393" i="3" s="1"/>
  <c r="W393" i="3" s="1"/>
  <c r="T394" i="3"/>
  <c r="U394" i="3" s="1"/>
  <c r="W394" i="3" s="1"/>
  <c r="T395" i="3"/>
  <c r="U395" i="3" s="1"/>
  <c r="W395" i="3" s="1"/>
  <c r="T396" i="3"/>
  <c r="U396" i="3" s="1"/>
  <c r="W396" i="3" s="1"/>
  <c r="T397" i="3"/>
  <c r="U397" i="3" s="1"/>
  <c r="W397" i="3" s="1"/>
  <c r="T398" i="3"/>
  <c r="U398" i="3" s="1"/>
  <c r="W398" i="3" s="1"/>
  <c r="T399" i="3"/>
  <c r="U399" i="3" s="1"/>
  <c r="W399" i="3" s="1"/>
  <c r="T400" i="3"/>
  <c r="U400" i="3" s="1"/>
  <c r="W400" i="3" s="1"/>
  <c r="T401" i="3"/>
  <c r="U401" i="3" s="1"/>
  <c r="W401" i="3" s="1"/>
  <c r="T402" i="3"/>
  <c r="U402" i="3" s="1"/>
  <c r="W402" i="3" s="1"/>
  <c r="T403" i="3"/>
  <c r="U403" i="3" s="1"/>
  <c r="W403" i="3" s="1"/>
  <c r="T404" i="3"/>
  <c r="U404" i="3" s="1"/>
  <c r="W404" i="3" s="1"/>
  <c r="T405" i="3"/>
  <c r="U405" i="3" s="1"/>
  <c r="W405" i="3" s="1"/>
  <c r="T406" i="3"/>
  <c r="U406" i="3" s="1"/>
  <c r="W406" i="3" s="1"/>
  <c r="T407" i="3"/>
  <c r="U407" i="3" s="1"/>
  <c r="W407" i="3" s="1"/>
  <c r="T408" i="3"/>
  <c r="U408" i="3" s="1"/>
  <c r="W408" i="3" s="1"/>
  <c r="T409" i="3"/>
  <c r="U409" i="3" s="1"/>
  <c r="W409" i="3" s="1"/>
  <c r="T410" i="3"/>
  <c r="U410" i="3" s="1"/>
  <c r="W410" i="3" s="1"/>
  <c r="T411" i="3"/>
  <c r="U411" i="3" s="1"/>
  <c r="W411" i="3" s="1"/>
  <c r="T412" i="3"/>
  <c r="U412" i="3" s="1"/>
  <c r="W412" i="3" s="1"/>
  <c r="T413" i="3"/>
  <c r="U413" i="3" s="1"/>
  <c r="W413" i="3" s="1"/>
  <c r="T414" i="3"/>
  <c r="U414" i="3" s="1"/>
  <c r="W414" i="3" s="1"/>
  <c r="T415" i="3"/>
  <c r="U415" i="3" s="1"/>
  <c r="W415" i="3" s="1"/>
  <c r="T416" i="3"/>
  <c r="U416" i="3" s="1"/>
  <c r="W416" i="3" s="1"/>
  <c r="T417" i="3"/>
  <c r="U417" i="3" s="1"/>
  <c r="W417" i="3" s="1"/>
  <c r="T418" i="3"/>
  <c r="U418" i="3" s="1"/>
  <c r="W418" i="3" s="1"/>
  <c r="T419" i="3"/>
  <c r="U419" i="3" s="1"/>
  <c r="W419" i="3" s="1"/>
  <c r="T420" i="3"/>
  <c r="U420" i="3" s="1"/>
  <c r="W420" i="3" s="1"/>
  <c r="T421" i="3"/>
  <c r="U421" i="3" s="1"/>
  <c r="W421" i="3" s="1"/>
  <c r="T422" i="3"/>
  <c r="U422" i="3" s="1"/>
  <c r="W422" i="3" s="1"/>
  <c r="T423" i="3"/>
  <c r="U423" i="3" s="1"/>
  <c r="W423" i="3" s="1"/>
  <c r="T424" i="3"/>
  <c r="U424" i="3" s="1"/>
  <c r="W424" i="3" s="1"/>
  <c r="T425" i="3"/>
  <c r="U425" i="3" s="1"/>
  <c r="W425" i="3" s="1"/>
  <c r="T426" i="3"/>
  <c r="U426" i="3" s="1"/>
  <c r="W426" i="3" s="1"/>
  <c r="T427" i="3"/>
  <c r="U427" i="3" s="1"/>
  <c r="W427" i="3" s="1"/>
  <c r="T428" i="3"/>
  <c r="U428" i="3" s="1"/>
  <c r="W428" i="3" s="1"/>
  <c r="T429" i="3"/>
  <c r="U429" i="3" s="1"/>
  <c r="W429" i="3" s="1"/>
  <c r="T430" i="3"/>
  <c r="U430" i="3" s="1"/>
  <c r="W430" i="3" s="1"/>
  <c r="T431" i="3"/>
  <c r="U431" i="3" s="1"/>
  <c r="W431" i="3" s="1"/>
  <c r="T432" i="3"/>
  <c r="U432" i="3" s="1"/>
  <c r="W432" i="3" s="1"/>
  <c r="T433" i="3"/>
  <c r="U433" i="3" s="1"/>
  <c r="W433" i="3" s="1"/>
  <c r="T434" i="3"/>
  <c r="U434" i="3" s="1"/>
  <c r="W434" i="3" s="1"/>
  <c r="T435" i="3"/>
  <c r="U435" i="3" s="1"/>
  <c r="W435" i="3" s="1"/>
  <c r="T436" i="3"/>
  <c r="U436" i="3" s="1"/>
  <c r="W436" i="3" s="1"/>
  <c r="T437" i="3"/>
  <c r="U437" i="3" s="1"/>
  <c r="W437" i="3" s="1"/>
  <c r="T438" i="3"/>
  <c r="U438" i="3" s="1"/>
  <c r="W438" i="3" s="1"/>
  <c r="T439" i="3"/>
  <c r="U439" i="3" s="1"/>
  <c r="W439" i="3" s="1"/>
  <c r="T440" i="3"/>
  <c r="U440" i="3" s="1"/>
  <c r="W440" i="3" s="1"/>
  <c r="T441" i="3"/>
  <c r="U441" i="3" s="1"/>
  <c r="W441" i="3" s="1"/>
  <c r="T442" i="3"/>
  <c r="U442" i="3" s="1"/>
  <c r="W442" i="3" s="1"/>
  <c r="T443" i="3"/>
  <c r="U443" i="3" s="1"/>
  <c r="W443" i="3" s="1"/>
  <c r="T444" i="3"/>
  <c r="U444" i="3" s="1"/>
  <c r="W444" i="3" s="1"/>
  <c r="T445" i="3"/>
  <c r="U445" i="3" s="1"/>
  <c r="W445" i="3" s="1"/>
  <c r="T446" i="3"/>
  <c r="U446" i="3" s="1"/>
  <c r="W446" i="3" s="1"/>
  <c r="T447" i="3"/>
  <c r="U447" i="3" s="1"/>
  <c r="W447" i="3" s="1"/>
  <c r="T448" i="3"/>
  <c r="U448" i="3" s="1"/>
  <c r="W448" i="3" s="1"/>
  <c r="T449" i="3"/>
  <c r="U449" i="3" s="1"/>
  <c r="W449" i="3" s="1"/>
  <c r="T450" i="3"/>
  <c r="U450" i="3" s="1"/>
  <c r="W450" i="3" s="1"/>
  <c r="T451" i="3"/>
  <c r="U451" i="3" s="1"/>
  <c r="W451" i="3" s="1"/>
  <c r="T452" i="3"/>
  <c r="U452" i="3" s="1"/>
  <c r="W452" i="3" s="1"/>
  <c r="T453" i="3"/>
  <c r="U453" i="3" s="1"/>
  <c r="W453" i="3" s="1"/>
  <c r="T454" i="3"/>
  <c r="U454" i="3" s="1"/>
  <c r="W454" i="3" s="1"/>
  <c r="T455" i="3"/>
  <c r="U455" i="3" s="1"/>
  <c r="W455" i="3" s="1"/>
  <c r="T456" i="3"/>
  <c r="U456" i="3" s="1"/>
  <c r="W456" i="3" s="1"/>
  <c r="T457" i="3"/>
  <c r="U457" i="3" s="1"/>
  <c r="W457" i="3" s="1"/>
  <c r="T458" i="3"/>
  <c r="U458" i="3" s="1"/>
  <c r="W458" i="3" s="1"/>
  <c r="T459" i="3"/>
  <c r="U459" i="3" s="1"/>
  <c r="W459" i="3" s="1"/>
  <c r="T460" i="3"/>
  <c r="U460" i="3" s="1"/>
  <c r="W460" i="3" s="1"/>
  <c r="T461" i="3"/>
  <c r="U461" i="3" s="1"/>
  <c r="W461" i="3" s="1"/>
  <c r="T462" i="3"/>
  <c r="U462" i="3" s="1"/>
  <c r="W462" i="3" s="1"/>
  <c r="T463" i="3"/>
  <c r="U463" i="3" s="1"/>
  <c r="W463" i="3" s="1"/>
  <c r="T464" i="3"/>
  <c r="U464" i="3" s="1"/>
  <c r="W464" i="3" s="1"/>
  <c r="T465" i="3"/>
  <c r="U465" i="3" s="1"/>
  <c r="W465" i="3" s="1"/>
  <c r="T466" i="3"/>
  <c r="U466" i="3" s="1"/>
  <c r="W466" i="3" s="1"/>
  <c r="T467" i="3"/>
  <c r="U467" i="3" s="1"/>
  <c r="W467" i="3" s="1"/>
  <c r="T468" i="3"/>
  <c r="U468" i="3" s="1"/>
  <c r="W468" i="3" s="1"/>
  <c r="T469" i="3"/>
  <c r="U469" i="3" s="1"/>
  <c r="W469" i="3" s="1"/>
  <c r="T470" i="3"/>
  <c r="U470" i="3" s="1"/>
  <c r="W470" i="3" s="1"/>
  <c r="T471" i="3"/>
  <c r="U471" i="3" s="1"/>
  <c r="W471" i="3" s="1"/>
  <c r="T472" i="3"/>
  <c r="U472" i="3" s="1"/>
  <c r="W472" i="3" s="1"/>
  <c r="T473" i="3"/>
  <c r="U473" i="3" s="1"/>
  <c r="W473" i="3" s="1"/>
  <c r="T474" i="3"/>
  <c r="U474" i="3" s="1"/>
  <c r="W474" i="3" s="1"/>
  <c r="T475" i="3"/>
  <c r="U475" i="3" s="1"/>
  <c r="W475" i="3" s="1"/>
  <c r="T476" i="3"/>
  <c r="U476" i="3" s="1"/>
  <c r="W476" i="3" s="1"/>
  <c r="T477" i="3"/>
  <c r="U477" i="3" s="1"/>
  <c r="W477" i="3" s="1"/>
  <c r="U478" i="3"/>
  <c r="W478" i="3" s="1"/>
  <c r="T481" i="3"/>
  <c r="U481" i="3" s="1"/>
  <c r="W481" i="3" s="1"/>
  <c r="T482" i="3"/>
  <c r="U482" i="3" s="1"/>
  <c r="W482" i="3" s="1"/>
  <c r="T483" i="3"/>
  <c r="U483" i="3" s="1"/>
  <c r="W483" i="3" s="1"/>
  <c r="T484" i="3"/>
  <c r="U484" i="3" s="1"/>
  <c r="W484" i="3" s="1"/>
  <c r="T485" i="3"/>
  <c r="U485" i="3" s="1"/>
  <c r="W485" i="3" s="1"/>
  <c r="T486" i="3"/>
  <c r="U486" i="3" s="1"/>
  <c r="W486" i="3" s="1"/>
  <c r="T487" i="3"/>
  <c r="U487" i="3" s="1"/>
  <c r="W487" i="3" s="1"/>
  <c r="T488" i="3"/>
  <c r="U488" i="3" s="1"/>
  <c r="W488" i="3" s="1"/>
  <c r="T489" i="3"/>
  <c r="U489" i="3" s="1"/>
  <c r="W489" i="3" s="1"/>
  <c r="T490" i="3"/>
  <c r="U490" i="3" s="1"/>
  <c r="W490" i="3" s="1"/>
  <c r="T493" i="3"/>
  <c r="U493" i="3" s="1"/>
  <c r="W493" i="3" s="1"/>
  <c r="T494" i="3"/>
  <c r="U494" i="3" s="1"/>
  <c r="W494" i="3" s="1"/>
  <c r="T495" i="3"/>
  <c r="U495" i="3" s="1"/>
  <c r="W495" i="3" s="1"/>
  <c r="T498" i="3"/>
  <c r="U498" i="3" s="1"/>
  <c r="W498" i="3" s="1"/>
  <c r="T499" i="3"/>
  <c r="U499" i="3" s="1"/>
  <c r="W499" i="3" s="1"/>
  <c r="T501" i="3"/>
  <c r="U501" i="3" s="1"/>
  <c r="W501" i="3" s="1"/>
  <c r="Q111" i="3"/>
  <c r="Q120" i="3"/>
  <c r="Q123" i="3"/>
  <c r="Q124" i="3"/>
  <c r="Q126" i="3"/>
  <c r="Q127" i="3"/>
  <c r="Q128" i="3"/>
  <c r="Q129" i="3"/>
  <c r="Q130" i="3"/>
  <c r="Q131" i="3"/>
  <c r="Q132" i="3"/>
  <c r="Q133" i="3"/>
  <c r="Q134" i="3"/>
  <c r="Q135" i="3"/>
  <c r="Q136" i="3"/>
  <c r="Q137" i="3"/>
  <c r="Q138" i="3"/>
  <c r="Q139" i="3"/>
  <c r="Q140" i="3"/>
  <c r="Q141" i="3"/>
  <c r="Q142" i="3"/>
  <c r="Q143" i="3"/>
  <c r="Q144" i="3"/>
  <c r="Q145" i="3"/>
  <c r="Q146" i="3"/>
  <c r="Q147" i="3"/>
  <c r="Q148" i="3"/>
  <c r="Q149" i="3"/>
  <c r="Q150" i="3"/>
  <c r="Q151" i="3"/>
  <c r="Q152" i="3"/>
  <c r="Q153" i="3"/>
  <c r="Q154" i="3"/>
  <c r="Q155" i="3"/>
  <c r="Q156" i="3"/>
  <c r="Q157" i="3"/>
  <c r="Q158" i="3"/>
  <c r="Q159" i="3"/>
  <c r="Q160" i="3"/>
  <c r="Q161" i="3"/>
  <c r="Q162" i="3"/>
  <c r="Q163" i="3"/>
  <c r="Q164" i="3"/>
  <c r="Q165" i="3"/>
  <c r="Q166" i="3"/>
  <c r="Q167" i="3"/>
  <c r="Q168" i="3"/>
  <c r="Q169" i="3"/>
  <c r="Q170" i="3"/>
  <c r="Q171" i="3"/>
  <c r="Q172" i="3"/>
  <c r="Q173" i="3"/>
  <c r="Q174" i="3"/>
  <c r="Q175" i="3"/>
  <c r="Q176" i="3"/>
  <c r="Q177" i="3"/>
  <c r="Q178" i="3"/>
  <c r="Q179" i="3"/>
  <c r="Q180" i="3"/>
  <c r="Q181" i="3"/>
  <c r="Q182" i="3"/>
  <c r="Q183" i="3"/>
  <c r="Q184" i="3"/>
  <c r="Q185" i="3"/>
  <c r="Q186" i="3"/>
  <c r="Q187" i="3"/>
  <c r="Q188" i="3"/>
  <c r="Q189" i="3"/>
  <c r="Q190" i="3"/>
  <c r="Q191" i="3"/>
  <c r="Q192" i="3"/>
  <c r="Q193" i="3"/>
  <c r="Q194" i="3"/>
  <c r="Q195" i="3"/>
  <c r="Q196" i="3"/>
  <c r="Q197" i="3"/>
  <c r="Q198" i="3"/>
  <c r="Q199" i="3"/>
  <c r="Q200" i="3"/>
  <c r="Q201" i="3"/>
  <c r="Q202" i="3"/>
  <c r="Q203" i="3"/>
  <c r="Q204" i="3"/>
  <c r="Q205" i="3"/>
  <c r="Q206" i="3"/>
  <c r="Q207" i="3"/>
  <c r="Q208" i="3"/>
  <c r="Q209" i="3"/>
  <c r="Q210" i="3"/>
  <c r="Q211" i="3"/>
  <c r="Q212" i="3"/>
  <c r="Q213" i="3"/>
  <c r="Q214" i="3"/>
  <c r="Q215" i="3"/>
  <c r="Q216" i="3"/>
  <c r="Q217" i="3"/>
  <c r="Q218" i="3"/>
  <c r="Q219" i="3"/>
  <c r="Q220" i="3"/>
  <c r="Q221" i="3"/>
  <c r="Q222" i="3"/>
  <c r="Q223" i="3"/>
  <c r="Q225" i="3"/>
  <c r="Q228" i="3"/>
  <c r="Q229" i="3"/>
  <c r="Q230" i="3"/>
  <c r="Q231" i="3"/>
  <c r="Q233" i="3"/>
  <c r="Q234" i="3"/>
  <c r="Q235" i="3"/>
  <c r="Q236" i="3"/>
  <c r="Q237" i="3"/>
  <c r="Q238" i="3"/>
  <c r="Q239" i="3"/>
  <c r="Q240" i="3"/>
  <c r="Q241" i="3"/>
  <c r="Q242" i="3"/>
  <c r="Q243" i="3"/>
  <c r="Q244" i="3"/>
  <c r="Q245" i="3"/>
  <c r="Q246" i="3"/>
  <c r="Q247" i="3"/>
  <c r="Q248" i="3"/>
  <c r="Q249" i="3"/>
  <c r="Q250" i="3"/>
  <c r="Q251" i="3"/>
  <c r="Q252" i="3"/>
  <c r="Q253" i="3"/>
  <c r="Q254" i="3"/>
  <c r="Q255" i="3"/>
  <c r="Q256" i="3"/>
  <c r="Q257" i="3"/>
  <c r="Q258" i="3"/>
  <c r="Q259" i="3"/>
  <c r="Q260" i="3"/>
  <c r="Q261" i="3"/>
  <c r="Q262" i="3"/>
  <c r="Q263" i="3"/>
  <c r="Q264" i="3"/>
  <c r="Q265" i="3"/>
  <c r="Q266" i="3"/>
  <c r="Q267" i="3"/>
  <c r="Q268" i="3"/>
  <c r="Q269" i="3"/>
  <c r="Q270" i="3"/>
  <c r="Q271" i="3"/>
  <c r="Q272" i="3"/>
  <c r="Q273" i="3"/>
  <c r="Q274" i="3"/>
  <c r="Q275" i="3"/>
  <c r="Q276" i="3"/>
  <c r="Q277" i="3"/>
  <c r="Q278" i="3"/>
  <c r="Q279" i="3"/>
  <c r="Q280" i="3"/>
  <c r="Q281" i="3"/>
  <c r="Q282" i="3"/>
  <c r="Q283" i="3"/>
  <c r="Q284" i="3"/>
  <c r="Q285" i="3"/>
  <c r="Q286" i="3"/>
  <c r="Q287" i="3"/>
  <c r="Q288" i="3"/>
  <c r="Q289" i="3"/>
  <c r="Q290" i="3"/>
  <c r="Q291" i="3"/>
  <c r="Q292" i="3"/>
  <c r="Q293" i="3"/>
  <c r="Q294" i="3"/>
  <c r="Q295" i="3"/>
  <c r="Q296" i="3"/>
  <c r="Q297" i="3"/>
  <c r="Q298" i="3"/>
  <c r="Q299" i="3"/>
  <c r="Q300" i="3"/>
  <c r="Q301" i="3"/>
  <c r="Q302" i="3"/>
  <c r="Q303" i="3"/>
  <c r="Q304" i="3"/>
  <c r="Q305" i="3"/>
  <c r="Q306" i="3"/>
  <c r="Q307" i="3"/>
  <c r="Q308" i="3"/>
  <c r="Q309" i="3"/>
  <c r="Q310" i="3"/>
  <c r="Q311" i="3"/>
  <c r="Q312" i="3"/>
  <c r="Q313" i="3"/>
  <c r="Q314" i="3"/>
  <c r="Q315" i="3"/>
  <c r="Q316" i="3"/>
  <c r="Q317" i="3"/>
  <c r="Q318" i="3"/>
  <c r="Q319" i="3"/>
  <c r="Q320" i="3"/>
  <c r="Q321" i="3"/>
  <c r="Q322" i="3"/>
  <c r="Q323" i="3"/>
  <c r="Q324" i="3"/>
  <c r="Q325" i="3"/>
  <c r="Q326" i="3"/>
  <c r="Q327" i="3"/>
  <c r="Q328" i="3"/>
  <c r="Q329" i="3"/>
  <c r="Q330" i="3"/>
  <c r="Q332" i="3"/>
  <c r="Q333" i="3"/>
  <c r="Q334" i="3"/>
  <c r="Q335" i="3"/>
  <c r="Q336" i="3"/>
  <c r="Q337" i="3"/>
  <c r="Q338" i="3"/>
  <c r="Q339" i="3"/>
  <c r="Q340" i="3"/>
  <c r="Q341" i="3"/>
  <c r="Q342" i="3"/>
  <c r="Q343" i="3"/>
  <c r="Q344" i="3"/>
  <c r="Q345" i="3"/>
  <c r="Q346" i="3"/>
  <c r="Q347" i="3"/>
  <c r="Q348" i="3"/>
  <c r="Q350" i="3"/>
  <c r="Q351" i="3"/>
  <c r="Q352" i="3"/>
  <c r="Q353" i="3"/>
  <c r="Q354" i="3"/>
  <c r="Q355" i="3"/>
  <c r="Q356" i="3"/>
  <c r="Q357" i="3"/>
  <c r="Q358" i="3"/>
  <c r="Q359" i="3"/>
  <c r="Q360" i="3"/>
  <c r="Q361" i="3"/>
  <c r="Q362" i="3"/>
  <c r="Q363" i="3"/>
  <c r="Q364" i="3"/>
  <c r="Q365" i="3"/>
  <c r="Q366" i="3"/>
  <c r="Q367" i="3"/>
  <c r="Q368" i="3"/>
  <c r="Q369" i="3"/>
  <c r="Q370" i="3"/>
  <c r="Q371" i="3"/>
  <c r="Q372" i="3"/>
  <c r="Q373" i="3"/>
  <c r="Q374" i="3"/>
  <c r="Q375" i="3"/>
  <c r="Q376" i="3"/>
  <c r="Q377" i="3"/>
  <c r="Q378" i="3"/>
  <c r="Q379" i="3"/>
  <c r="Q380" i="3"/>
  <c r="Q381" i="3"/>
  <c r="Q382" i="3"/>
  <c r="Q383" i="3"/>
  <c r="Q384" i="3"/>
  <c r="Q385" i="3"/>
  <c r="Q386" i="3"/>
  <c r="Q387" i="3"/>
  <c r="Q388" i="3"/>
  <c r="Q389" i="3"/>
  <c r="Q390" i="3"/>
  <c r="Q391" i="3"/>
  <c r="Q392" i="3"/>
  <c r="Q393" i="3"/>
  <c r="Q394" i="3"/>
  <c r="Q395" i="3"/>
  <c r="Q396" i="3"/>
  <c r="Q397" i="3"/>
  <c r="Q398" i="3"/>
  <c r="Q399" i="3"/>
  <c r="Q400" i="3"/>
  <c r="Q401" i="3"/>
  <c r="Q402" i="3"/>
  <c r="Q403" i="3"/>
  <c r="Q404" i="3"/>
  <c r="Q405" i="3"/>
  <c r="Q406" i="3"/>
  <c r="Q407" i="3"/>
  <c r="Q408" i="3"/>
  <c r="Q409" i="3"/>
  <c r="Q410" i="3"/>
  <c r="Q411" i="3"/>
  <c r="Q412" i="3"/>
  <c r="Q413" i="3"/>
  <c r="Q414" i="3"/>
  <c r="Q415" i="3"/>
  <c r="Q416" i="3"/>
  <c r="Q417" i="3"/>
  <c r="Q418" i="3"/>
  <c r="Q419" i="3"/>
  <c r="Q420" i="3"/>
  <c r="Q421" i="3"/>
  <c r="Q422" i="3"/>
  <c r="Q423" i="3"/>
  <c r="Q424" i="3"/>
  <c r="Q425" i="3"/>
  <c r="Q426" i="3"/>
  <c r="Q427" i="3"/>
  <c r="Q428" i="3"/>
  <c r="Q429" i="3"/>
  <c r="Q430" i="3"/>
  <c r="Q431" i="3"/>
  <c r="Q432" i="3"/>
  <c r="Q433" i="3"/>
  <c r="Q434" i="3"/>
  <c r="Q435" i="3"/>
  <c r="Q436" i="3"/>
  <c r="Q437" i="3"/>
  <c r="Q438" i="3"/>
  <c r="Q439" i="3"/>
  <c r="Q440" i="3"/>
  <c r="Q441" i="3"/>
  <c r="Q442" i="3"/>
  <c r="Q443" i="3"/>
  <c r="Q444" i="3"/>
  <c r="Q445" i="3"/>
  <c r="Q446" i="3"/>
  <c r="Q447" i="3"/>
  <c r="Q448" i="3"/>
  <c r="Q449" i="3"/>
  <c r="Q450" i="3"/>
  <c r="Q451" i="3"/>
  <c r="Q452" i="3"/>
  <c r="Q453" i="3"/>
  <c r="Q454" i="3"/>
  <c r="Q455" i="3"/>
  <c r="Q456" i="3"/>
  <c r="Q457" i="3"/>
  <c r="Q458" i="3"/>
  <c r="Q459" i="3"/>
  <c r="Q460" i="3"/>
  <c r="Q461" i="3"/>
  <c r="Q462" i="3"/>
  <c r="Q463" i="3"/>
  <c r="Q464" i="3"/>
  <c r="Q465" i="3"/>
  <c r="Q466" i="3"/>
  <c r="Q467" i="3"/>
  <c r="Q468" i="3"/>
  <c r="Q469" i="3"/>
  <c r="Q470" i="3"/>
  <c r="Q471" i="3"/>
  <c r="Q472" i="3"/>
  <c r="Q473" i="3"/>
  <c r="Q474" i="3"/>
  <c r="Q475" i="3"/>
  <c r="Q476" i="3"/>
  <c r="Q477" i="3"/>
  <c r="Q478" i="3"/>
  <c r="Q481" i="3"/>
  <c r="Q482" i="3"/>
  <c r="Q483" i="3"/>
  <c r="Q484" i="3"/>
  <c r="Q485" i="3"/>
  <c r="Q486" i="3"/>
  <c r="Q487" i="3"/>
  <c r="Q488" i="3"/>
  <c r="Q489" i="3"/>
  <c r="Q490" i="3"/>
  <c r="Q493" i="3"/>
  <c r="Q494" i="3"/>
  <c r="Q495" i="3"/>
  <c r="Q498" i="3"/>
  <c r="Q499" i="3"/>
  <c r="Q501" i="3"/>
  <c r="O111" i="3"/>
  <c r="P111" i="3" s="1"/>
  <c r="R111" i="3" s="1"/>
  <c r="O120" i="3"/>
  <c r="P120" i="3" s="1"/>
  <c r="R120" i="3" s="1"/>
  <c r="O123" i="3"/>
  <c r="P123" i="3" s="1"/>
  <c r="R123" i="3" s="1"/>
  <c r="O124" i="3"/>
  <c r="P124" i="3" s="1"/>
  <c r="R124" i="3" s="1"/>
  <c r="O126" i="3"/>
  <c r="P126" i="3" s="1"/>
  <c r="R126" i="3" s="1"/>
  <c r="O127" i="3"/>
  <c r="P127" i="3" s="1"/>
  <c r="R127" i="3" s="1"/>
  <c r="O128" i="3"/>
  <c r="P128" i="3" s="1"/>
  <c r="R128" i="3" s="1"/>
  <c r="O129" i="3"/>
  <c r="P129" i="3" s="1"/>
  <c r="R129" i="3" s="1"/>
  <c r="O130" i="3"/>
  <c r="P130" i="3" s="1"/>
  <c r="R130" i="3" s="1"/>
  <c r="O131" i="3"/>
  <c r="P131" i="3" s="1"/>
  <c r="R131" i="3" s="1"/>
  <c r="O132" i="3"/>
  <c r="P132" i="3" s="1"/>
  <c r="R132" i="3" s="1"/>
  <c r="O133" i="3"/>
  <c r="P133" i="3" s="1"/>
  <c r="R133" i="3" s="1"/>
  <c r="O134" i="3"/>
  <c r="P134" i="3" s="1"/>
  <c r="R134" i="3" s="1"/>
  <c r="O135" i="3"/>
  <c r="P135" i="3" s="1"/>
  <c r="R135" i="3" s="1"/>
  <c r="O136" i="3"/>
  <c r="P136" i="3" s="1"/>
  <c r="R136" i="3" s="1"/>
  <c r="O137" i="3"/>
  <c r="P137" i="3" s="1"/>
  <c r="R137" i="3" s="1"/>
  <c r="O138" i="3"/>
  <c r="P138" i="3" s="1"/>
  <c r="R138" i="3" s="1"/>
  <c r="O139" i="3"/>
  <c r="P139" i="3" s="1"/>
  <c r="R139" i="3" s="1"/>
  <c r="O140" i="3"/>
  <c r="P140" i="3" s="1"/>
  <c r="R140" i="3" s="1"/>
  <c r="O141" i="3"/>
  <c r="P141" i="3" s="1"/>
  <c r="R141" i="3" s="1"/>
  <c r="O142" i="3"/>
  <c r="P142" i="3" s="1"/>
  <c r="R142" i="3" s="1"/>
  <c r="O143" i="3"/>
  <c r="P143" i="3" s="1"/>
  <c r="R143" i="3" s="1"/>
  <c r="O144" i="3"/>
  <c r="P144" i="3" s="1"/>
  <c r="R144" i="3" s="1"/>
  <c r="O145" i="3"/>
  <c r="P145" i="3" s="1"/>
  <c r="R145" i="3" s="1"/>
  <c r="O146" i="3"/>
  <c r="P146" i="3" s="1"/>
  <c r="R146" i="3" s="1"/>
  <c r="O147" i="3"/>
  <c r="P147" i="3" s="1"/>
  <c r="R147" i="3" s="1"/>
  <c r="O148" i="3"/>
  <c r="P148" i="3" s="1"/>
  <c r="R148" i="3" s="1"/>
  <c r="O149" i="3"/>
  <c r="P149" i="3" s="1"/>
  <c r="R149" i="3" s="1"/>
  <c r="O150" i="3"/>
  <c r="P150" i="3" s="1"/>
  <c r="R150" i="3" s="1"/>
  <c r="O151" i="3"/>
  <c r="P151" i="3" s="1"/>
  <c r="R151" i="3" s="1"/>
  <c r="O152" i="3"/>
  <c r="P152" i="3" s="1"/>
  <c r="R152" i="3" s="1"/>
  <c r="O153" i="3"/>
  <c r="P153" i="3" s="1"/>
  <c r="R153" i="3" s="1"/>
  <c r="O154" i="3"/>
  <c r="P154" i="3" s="1"/>
  <c r="R154" i="3" s="1"/>
  <c r="O155" i="3"/>
  <c r="P155" i="3" s="1"/>
  <c r="R155" i="3" s="1"/>
  <c r="O156" i="3"/>
  <c r="P156" i="3" s="1"/>
  <c r="R156" i="3" s="1"/>
  <c r="O157" i="3"/>
  <c r="P157" i="3" s="1"/>
  <c r="R157" i="3" s="1"/>
  <c r="O158" i="3"/>
  <c r="P158" i="3" s="1"/>
  <c r="R158" i="3" s="1"/>
  <c r="O159" i="3"/>
  <c r="P159" i="3" s="1"/>
  <c r="R159" i="3" s="1"/>
  <c r="O160" i="3"/>
  <c r="P160" i="3" s="1"/>
  <c r="R160" i="3" s="1"/>
  <c r="O161" i="3"/>
  <c r="P161" i="3" s="1"/>
  <c r="R161" i="3" s="1"/>
  <c r="O162" i="3"/>
  <c r="P162" i="3" s="1"/>
  <c r="R162" i="3" s="1"/>
  <c r="O163" i="3"/>
  <c r="P163" i="3" s="1"/>
  <c r="R163" i="3" s="1"/>
  <c r="O164" i="3"/>
  <c r="P164" i="3" s="1"/>
  <c r="R164" i="3" s="1"/>
  <c r="O165" i="3"/>
  <c r="P165" i="3" s="1"/>
  <c r="R165" i="3" s="1"/>
  <c r="O166" i="3"/>
  <c r="P166" i="3" s="1"/>
  <c r="R166" i="3" s="1"/>
  <c r="O167" i="3"/>
  <c r="P167" i="3" s="1"/>
  <c r="R167" i="3" s="1"/>
  <c r="O168" i="3"/>
  <c r="P168" i="3" s="1"/>
  <c r="R168" i="3" s="1"/>
  <c r="O169" i="3"/>
  <c r="P169" i="3" s="1"/>
  <c r="R169" i="3" s="1"/>
  <c r="O170" i="3"/>
  <c r="P170" i="3" s="1"/>
  <c r="R170" i="3" s="1"/>
  <c r="O171" i="3"/>
  <c r="P171" i="3" s="1"/>
  <c r="R171" i="3" s="1"/>
  <c r="O172" i="3"/>
  <c r="P172" i="3" s="1"/>
  <c r="R172" i="3" s="1"/>
  <c r="O173" i="3"/>
  <c r="P173" i="3" s="1"/>
  <c r="R173" i="3" s="1"/>
  <c r="O174" i="3"/>
  <c r="P174" i="3" s="1"/>
  <c r="R174" i="3" s="1"/>
  <c r="O175" i="3"/>
  <c r="P175" i="3" s="1"/>
  <c r="R175" i="3" s="1"/>
  <c r="O176" i="3"/>
  <c r="P176" i="3" s="1"/>
  <c r="R176" i="3" s="1"/>
  <c r="O177" i="3"/>
  <c r="P177" i="3" s="1"/>
  <c r="R177" i="3" s="1"/>
  <c r="O178" i="3"/>
  <c r="P178" i="3" s="1"/>
  <c r="R178" i="3" s="1"/>
  <c r="O179" i="3"/>
  <c r="P179" i="3" s="1"/>
  <c r="R179" i="3" s="1"/>
  <c r="O180" i="3"/>
  <c r="P180" i="3" s="1"/>
  <c r="R180" i="3" s="1"/>
  <c r="O181" i="3"/>
  <c r="P181" i="3" s="1"/>
  <c r="R181" i="3" s="1"/>
  <c r="O182" i="3"/>
  <c r="P182" i="3" s="1"/>
  <c r="R182" i="3" s="1"/>
  <c r="O183" i="3"/>
  <c r="P183" i="3" s="1"/>
  <c r="R183" i="3" s="1"/>
  <c r="O184" i="3"/>
  <c r="P184" i="3" s="1"/>
  <c r="R184" i="3" s="1"/>
  <c r="O185" i="3"/>
  <c r="P185" i="3" s="1"/>
  <c r="R185" i="3" s="1"/>
  <c r="O186" i="3"/>
  <c r="P186" i="3" s="1"/>
  <c r="R186" i="3" s="1"/>
  <c r="O187" i="3"/>
  <c r="P187" i="3" s="1"/>
  <c r="R187" i="3" s="1"/>
  <c r="O188" i="3"/>
  <c r="P188" i="3" s="1"/>
  <c r="R188" i="3" s="1"/>
  <c r="O189" i="3"/>
  <c r="P189" i="3" s="1"/>
  <c r="R189" i="3" s="1"/>
  <c r="O190" i="3"/>
  <c r="P190" i="3" s="1"/>
  <c r="R190" i="3" s="1"/>
  <c r="O191" i="3"/>
  <c r="P191" i="3" s="1"/>
  <c r="R191" i="3" s="1"/>
  <c r="O192" i="3"/>
  <c r="P192" i="3" s="1"/>
  <c r="R192" i="3" s="1"/>
  <c r="O193" i="3"/>
  <c r="P193" i="3" s="1"/>
  <c r="R193" i="3" s="1"/>
  <c r="O194" i="3"/>
  <c r="P194" i="3" s="1"/>
  <c r="R194" i="3" s="1"/>
  <c r="O195" i="3"/>
  <c r="P195" i="3" s="1"/>
  <c r="R195" i="3" s="1"/>
  <c r="O196" i="3"/>
  <c r="P196" i="3" s="1"/>
  <c r="R196" i="3" s="1"/>
  <c r="O197" i="3"/>
  <c r="P197" i="3" s="1"/>
  <c r="R197" i="3" s="1"/>
  <c r="O198" i="3"/>
  <c r="P198" i="3" s="1"/>
  <c r="R198" i="3" s="1"/>
  <c r="O199" i="3"/>
  <c r="P199" i="3" s="1"/>
  <c r="R199" i="3" s="1"/>
  <c r="O200" i="3"/>
  <c r="P200" i="3" s="1"/>
  <c r="R200" i="3" s="1"/>
  <c r="O201" i="3"/>
  <c r="P201" i="3" s="1"/>
  <c r="R201" i="3" s="1"/>
  <c r="O202" i="3"/>
  <c r="P202" i="3" s="1"/>
  <c r="R202" i="3" s="1"/>
  <c r="O203" i="3"/>
  <c r="P203" i="3" s="1"/>
  <c r="R203" i="3" s="1"/>
  <c r="O204" i="3"/>
  <c r="P204" i="3" s="1"/>
  <c r="R204" i="3" s="1"/>
  <c r="O205" i="3"/>
  <c r="P205" i="3" s="1"/>
  <c r="R205" i="3" s="1"/>
  <c r="O206" i="3"/>
  <c r="P206" i="3" s="1"/>
  <c r="R206" i="3" s="1"/>
  <c r="O207" i="3"/>
  <c r="P207" i="3" s="1"/>
  <c r="R207" i="3" s="1"/>
  <c r="O208" i="3"/>
  <c r="P208" i="3" s="1"/>
  <c r="R208" i="3" s="1"/>
  <c r="O209" i="3"/>
  <c r="P209" i="3" s="1"/>
  <c r="R209" i="3" s="1"/>
  <c r="O210" i="3"/>
  <c r="P210" i="3" s="1"/>
  <c r="R210" i="3" s="1"/>
  <c r="O211" i="3"/>
  <c r="P211" i="3" s="1"/>
  <c r="R211" i="3" s="1"/>
  <c r="O212" i="3"/>
  <c r="P212" i="3" s="1"/>
  <c r="R212" i="3" s="1"/>
  <c r="O213" i="3"/>
  <c r="P213" i="3" s="1"/>
  <c r="R213" i="3" s="1"/>
  <c r="O214" i="3"/>
  <c r="P214" i="3" s="1"/>
  <c r="R214" i="3" s="1"/>
  <c r="O215" i="3"/>
  <c r="P215" i="3" s="1"/>
  <c r="R215" i="3" s="1"/>
  <c r="O216" i="3"/>
  <c r="P216" i="3" s="1"/>
  <c r="R216" i="3" s="1"/>
  <c r="O217" i="3"/>
  <c r="P217" i="3" s="1"/>
  <c r="R217" i="3" s="1"/>
  <c r="O218" i="3"/>
  <c r="P218" i="3" s="1"/>
  <c r="R218" i="3" s="1"/>
  <c r="O219" i="3"/>
  <c r="P219" i="3" s="1"/>
  <c r="R219" i="3" s="1"/>
  <c r="O220" i="3"/>
  <c r="P220" i="3" s="1"/>
  <c r="R220" i="3" s="1"/>
  <c r="O221" i="3"/>
  <c r="P221" i="3" s="1"/>
  <c r="R221" i="3" s="1"/>
  <c r="O222" i="3"/>
  <c r="P222" i="3" s="1"/>
  <c r="R222" i="3" s="1"/>
  <c r="O223" i="3"/>
  <c r="P223" i="3" s="1"/>
  <c r="R223" i="3" s="1"/>
  <c r="O225" i="3"/>
  <c r="P225" i="3" s="1"/>
  <c r="R225" i="3" s="1"/>
  <c r="O228" i="3"/>
  <c r="P228" i="3" s="1"/>
  <c r="R228" i="3" s="1"/>
  <c r="O229" i="3"/>
  <c r="P229" i="3" s="1"/>
  <c r="R229" i="3" s="1"/>
  <c r="O230" i="3"/>
  <c r="P230" i="3" s="1"/>
  <c r="R230" i="3" s="1"/>
  <c r="O231" i="3"/>
  <c r="P231" i="3" s="1"/>
  <c r="R231" i="3" s="1"/>
  <c r="O233" i="3"/>
  <c r="P233" i="3" s="1"/>
  <c r="R233" i="3" s="1"/>
  <c r="O234" i="3"/>
  <c r="P234" i="3" s="1"/>
  <c r="R234" i="3" s="1"/>
  <c r="O235" i="3"/>
  <c r="P235" i="3" s="1"/>
  <c r="R235" i="3" s="1"/>
  <c r="O236" i="3"/>
  <c r="P236" i="3" s="1"/>
  <c r="R236" i="3" s="1"/>
  <c r="O237" i="3"/>
  <c r="P237" i="3" s="1"/>
  <c r="R237" i="3" s="1"/>
  <c r="O238" i="3"/>
  <c r="P238" i="3" s="1"/>
  <c r="R238" i="3" s="1"/>
  <c r="O239" i="3"/>
  <c r="P239" i="3" s="1"/>
  <c r="R239" i="3" s="1"/>
  <c r="O240" i="3"/>
  <c r="P240" i="3" s="1"/>
  <c r="R240" i="3" s="1"/>
  <c r="O241" i="3"/>
  <c r="P241" i="3" s="1"/>
  <c r="R241" i="3" s="1"/>
  <c r="O242" i="3"/>
  <c r="P242" i="3" s="1"/>
  <c r="R242" i="3" s="1"/>
  <c r="O243" i="3"/>
  <c r="P243" i="3" s="1"/>
  <c r="R243" i="3" s="1"/>
  <c r="O244" i="3"/>
  <c r="P244" i="3" s="1"/>
  <c r="R244" i="3" s="1"/>
  <c r="O245" i="3"/>
  <c r="P245" i="3" s="1"/>
  <c r="R245" i="3" s="1"/>
  <c r="O246" i="3"/>
  <c r="P246" i="3" s="1"/>
  <c r="R246" i="3" s="1"/>
  <c r="O247" i="3"/>
  <c r="P247" i="3" s="1"/>
  <c r="R247" i="3" s="1"/>
  <c r="O248" i="3"/>
  <c r="P248" i="3" s="1"/>
  <c r="R248" i="3" s="1"/>
  <c r="O249" i="3"/>
  <c r="P249" i="3" s="1"/>
  <c r="R249" i="3" s="1"/>
  <c r="O250" i="3"/>
  <c r="P250" i="3" s="1"/>
  <c r="R250" i="3" s="1"/>
  <c r="O251" i="3"/>
  <c r="P251" i="3" s="1"/>
  <c r="R251" i="3" s="1"/>
  <c r="O252" i="3"/>
  <c r="P252" i="3" s="1"/>
  <c r="R252" i="3" s="1"/>
  <c r="O253" i="3"/>
  <c r="P253" i="3" s="1"/>
  <c r="R253" i="3" s="1"/>
  <c r="O254" i="3"/>
  <c r="P254" i="3" s="1"/>
  <c r="R254" i="3" s="1"/>
  <c r="O255" i="3"/>
  <c r="P255" i="3" s="1"/>
  <c r="R255" i="3" s="1"/>
  <c r="O256" i="3"/>
  <c r="P256" i="3" s="1"/>
  <c r="R256" i="3" s="1"/>
  <c r="O257" i="3"/>
  <c r="P257" i="3" s="1"/>
  <c r="R257" i="3" s="1"/>
  <c r="O258" i="3"/>
  <c r="P258" i="3" s="1"/>
  <c r="R258" i="3" s="1"/>
  <c r="O259" i="3"/>
  <c r="P259" i="3" s="1"/>
  <c r="R259" i="3" s="1"/>
  <c r="O260" i="3"/>
  <c r="P260" i="3" s="1"/>
  <c r="R260" i="3" s="1"/>
  <c r="O261" i="3"/>
  <c r="P261" i="3" s="1"/>
  <c r="R261" i="3" s="1"/>
  <c r="O262" i="3"/>
  <c r="P262" i="3" s="1"/>
  <c r="R262" i="3" s="1"/>
  <c r="O263" i="3"/>
  <c r="P263" i="3" s="1"/>
  <c r="R263" i="3" s="1"/>
  <c r="O264" i="3"/>
  <c r="P264" i="3" s="1"/>
  <c r="R264" i="3" s="1"/>
  <c r="O265" i="3"/>
  <c r="P265" i="3" s="1"/>
  <c r="R265" i="3" s="1"/>
  <c r="O266" i="3"/>
  <c r="P266" i="3" s="1"/>
  <c r="R266" i="3" s="1"/>
  <c r="O267" i="3"/>
  <c r="P267" i="3" s="1"/>
  <c r="R267" i="3" s="1"/>
  <c r="O268" i="3"/>
  <c r="P268" i="3" s="1"/>
  <c r="R268" i="3" s="1"/>
  <c r="O269" i="3"/>
  <c r="P269" i="3" s="1"/>
  <c r="R269" i="3" s="1"/>
  <c r="O270" i="3"/>
  <c r="P270" i="3" s="1"/>
  <c r="R270" i="3" s="1"/>
  <c r="O271" i="3"/>
  <c r="P271" i="3" s="1"/>
  <c r="R271" i="3" s="1"/>
  <c r="O272" i="3"/>
  <c r="P272" i="3" s="1"/>
  <c r="R272" i="3" s="1"/>
  <c r="O273" i="3"/>
  <c r="P273" i="3" s="1"/>
  <c r="R273" i="3" s="1"/>
  <c r="O274" i="3"/>
  <c r="P274" i="3" s="1"/>
  <c r="R274" i="3" s="1"/>
  <c r="O275" i="3"/>
  <c r="P275" i="3" s="1"/>
  <c r="R275" i="3" s="1"/>
  <c r="O276" i="3"/>
  <c r="P276" i="3" s="1"/>
  <c r="R276" i="3" s="1"/>
  <c r="O277" i="3"/>
  <c r="P277" i="3" s="1"/>
  <c r="R277" i="3" s="1"/>
  <c r="O278" i="3"/>
  <c r="P278" i="3" s="1"/>
  <c r="R278" i="3" s="1"/>
  <c r="O279" i="3"/>
  <c r="P279" i="3" s="1"/>
  <c r="R279" i="3" s="1"/>
  <c r="O280" i="3"/>
  <c r="P280" i="3" s="1"/>
  <c r="R280" i="3" s="1"/>
  <c r="O281" i="3"/>
  <c r="P281" i="3" s="1"/>
  <c r="R281" i="3" s="1"/>
  <c r="O282" i="3"/>
  <c r="P282" i="3" s="1"/>
  <c r="R282" i="3" s="1"/>
  <c r="O283" i="3"/>
  <c r="P283" i="3" s="1"/>
  <c r="R283" i="3" s="1"/>
  <c r="O284" i="3"/>
  <c r="P284" i="3" s="1"/>
  <c r="R284" i="3" s="1"/>
  <c r="O285" i="3"/>
  <c r="P285" i="3" s="1"/>
  <c r="R285" i="3" s="1"/>
  <c r="O286" i="3"/>
  <c r="P286" i="3" s="1"/>
  <c r="R286" i="3" s="1"/>
  <c r="O287" i="3"/>
  <c r="P287" i="3" s="1"/>
  <c r="R287" i="3" s="1"/>
  <c r="O288" i="3"/>
  <c r="P288" i="3" s="1"/>
  <c r="R288" i="3" s="1"/>
  <c r="O289" i="3"/>
  <c r="P289" i="3" s="1"/>
  <c r="R289" i="3" s="1"/>
  <c r="O290" i="3"/>
  <c r="P290" i="3" s="1"/>
  <c r="R290" i="3" s="1"/>
  <c r="O291" i="3"/>
  <c r="P291" i="3" s="1"/>
  <c r="R291" i="3" s="1"/>
  <c r="O292" i="3"/>
  <c r="P292" i="3" s="1"/>
  <c r="R292" i="3" s="1"/>
  <c r="O293" i="3"/>
  <c r="P293" i="3" s="1"/>
  <c r="R293" i="3" s="1"/>
  <c r="O294" i="3"/>
  <c r="P294" i="3" s="1"/>
  <c r="R294" i="3" s="1"/>
  <c r="O295" i="3"/>
  <c r="P295" i="3" s="1"/>
  <c r="R295" i="3" s="1"/>
  <c r="O296" i="3"/>
  <c r="P296" i="3" s="1"/>
  <c r="R296" i="3" s="1"/>
  <c r="O297" i="3"/>
  <c r="P297" i="3" s="1"/>
  <c r="R297" i="3" s="1"/>
  <c r="O298" i="3"/>
  <c r="P298" i="3" s="1"/>
  <c r="R298" i="3" s="1"/>
  <c r="O299" i="3"/>
  <c r="P299" i="3" s="1"/>
  <c r="R299" i="3" s="1"/>
  <c r="O300" i="3"/>
  <c r="P300" i="3" s="1"/>
  <c r="R300" i="3" s="1"/>
  <c r="O301" i="3"/>
  <c r="P301" i="3" s="1"/>
  <c r="R301" i="3" s="1"/>
  <c r="O302" i="3"/>
  <c r="P302" i="3" s="1"/>
  <c r="R302" i="3" s="1"/>
  <c r="O303" i="3"/>
  <c r="P303" i="3" s="1"/>
  <c r="R303" i="3" s="1"/>
  <c r="O304" i="3"/>
  <c r="P304" i="3" s="1"/>
  <c r="R304" i="3" s="1"/>
  <c r="O305" i="3"/>
  <c r="P305" i="3" s="1"/>
  <c r="R305" i="3" s="1"/>
  <c r="O306" i="3"/>
  <c r="P306" i="3" s="1"/>
  <c r="R306" i="3" s="1"/>
  <c r="O307" i="3"/>
  <c r="P307" i="3" s="1"/>
  <c r="R307" i="3" s="1"/>
  <c r="O308" i="3"/>
  <c r="P308" i="3" s="1"/>
  <c r="R308" i="3" s="1"/>
  <c r="O309" i="3"/>
  <c r="P309" i="3" s="1"/>
  <c r="R309" i="3" s="1"/>
  <c r="O310" i="3"/>
  <c r="P310" i="3" s="1"/>
  <c r="R310" i="3" s="1"/>
  <c r="O311" i="3"/>
  <c r="P311" i="3" s="1"/>
  <c r="R311" i="3" s="1"/>
  <c r="O312" i="3"/>
  <c r="P312" i="3" s="1"/>
  <c r="R312" i="3" s="1"/>
  <c r="O313" i="3"/>
  <c r="P313" i="3" s="1"/>
  <c r="R313" i="3" s="1"/>
  <c r="O314" i="3"/>
  <c r="P314" i="3" s="1"/>
  <c r="R314" i="3" s="1"/>
  <c r="O315" i="3"/>
  <c r="P315" i="3" s="1"/>
  <c r="R315" i="3" s="1"/>
  <c r="O316" i="3"/>
  <c r="P316" i="3" s="1"/>
  <c r="R316" i="3" s="1"/>
  <c r="O317" i="3"/>
  <c r="P317" i="3" s="1"/>
  <c r="R317" i="3" s="1"/>
  <c r="O318" i="3"/>
  <c r="P318" i="3" s="1"/>
  <c r="R318" i="3" s="1"/>
  <c r="O319" i="3"/>
  <c r="P319" i="3" s="1"/>
  <c r="R319" i="3" s="1"/>
  <c r="O320" i="3"/>
  <c r="P320" i="3" s="1"/>
  <c r="R320" i="3" s="1"/>
  <c r="O321" i="3"/>
  <c r="P321" i="3" s="1"/>
  <c r="R321" i="3" s="1"/>
  <c r="O322" i="3"/>
  <c r="P322" i="3" s="1"/>
  <c r="R322" i="3" s="1"/>
  <c r="O323" i="3"/>
  <c r="P323" i="3" s="1"/>
  <c r="R323" i="3" s="1"/>
  <c r="O324" i="3"/>
  <c r="P324" i="3" s="1"/>
  <c r="R324" i="3" s="1"/>
  <c r="O325" i="3"/>
  <c r="P325" i="3" s="1"/>
  <c r="R325" i="3" s="1"/>
  <c r="O326" i="3"/>
  <c r="P326" i="3" s="1"/>
  <c r="R326" i="3" s="1"/>
  <c r="O327" i="3"/>
  <c r="P327" i="3" s="1"/>
  <c r="R327" i="3" s="1"/>
  <c r="O328" i="3"/>
  <c r="P328" i="3" s="1"/>
  <c r="R328" i="3" s="1"/>
  <c r="O329" i="3"/>
  <c r="P329" i="3" s="1"/>
  <c r="R329" i="3" s="1"/>
  <c r="O330" i="3"/>
  <c r="P330" i="3" s="1"/>
  <c r="R330" i="3" s="1"/>
  <c r="O332" i="3"/>
  <c r="P332" i="3" s="1"/>
  <c r="R332" i="3" s="1"/>
  <c r="O333" i="3"/>
  <c r="P333" i="3" s="1"/>
  <c r="R333" i="3" s="1"/>
  <c r="O334" i="3"/>
  <c r="P334" i="3" s="1"/>
  <c r="R334" i="3" s="1"/>
  <c r="O335" i="3"/>
  <c r="P335" i="3" s="1"/>
  <c r="R335" i="3" s="1"/>
  <c r="O336" i="3"/>
  <c r="P336" i="3" s="1"/>
  <c r="R336" i="3" s="1"/>
  <c r="O337" i="3"/>
  <c r="P337" i="3" s="1"/>
  <c r="R337" i="3" s="1"/>
  <c r="O338" i="3"/>
  <c r="P338" i="3" s="1"/>
  <c r="R338" i="3" s="1"/>
  <c r="O339" i="3"/>
  <c r="P339" i="3" s="1"/>
  <c r="R339" i="3" s="1"/>
  <c r="O340" i="3"/>
  <c r="P340" i="3" s="1"/>
  <c r="R340" i="3" s="1"/>
  <c r="O341" i="3"/>
  <c r="P341" i="3" s="1"/>
  <c r="R341" i="3" s="1"/>
  <c r="O342" i="3"/>
  <c r="P342" i="3" s="1"/>
  <c r="R342" i="3" s="1"/>
  <c r="O343" i="3"/>
  <c r="P343" i="3" s="1"/>
  <c r="R343" i="3" s="1"/>
  <c r="O344" i="3"/>
  <c r="P344" i="3" s="1"/>
  <c r="R344" i="3" s="1"/>
  <c r="O345" i="3"/>
  <c r="P345" i="3" s="1"/>
  <c r="R345" i="3" s="1"/>
  <c r="O346" i="3"/>
  <c r="P346" i="3" s="1"/>
  <c r="R346" i="3" s="1"/>
  <c r="O347" i="3"/>
  <c r="P347" i="3" s="1"/>
  <c r="R347" i="3" s="1"/>
  <c r="O348" i="3"/>
  <c r="P348" i="3" s="1"/>
  <c r="R348" i="3" s="1"/>
  <c r="O350" i="3"/>
  <c r="P350" i="3" s="1"/>
  <c r="R350" i="3" s="1"/>
  <c r="O351" i="3"/>
  <c r="P351" i="3" s="1"/>
  <c r="R351" i="3" s="1"/>
  <c r="O352" i="3"/>
  <c r="P352" i="3" s="1"/>
  <c r="R352" i="3" s="1"/>
  <c r="O353" i="3"/>
  <c r="P353" i="3" s="1"/>
  <c r="R353" i="3" s="1"/>
  <c r="O354" i="3"/>
  <c r="P354" i="3" s="1"/>
  <c r="R354" i="3" s="1"/>
  <c r="O355" i="3"/>
  <c r="P355" i="3" s="1"/>
  <c r="R355" i="3" s="1"/>
  <c r="O356" i="3"/>
  <c r="P356" i="3" s="1"/>
  <c r="R356" i="3" s="1"/>
  <c r="O357" i="3"/>
  <c r="P357" i="3" s="1"/>
  <c r="R357" i="3" s="1"/>
  <c r="O358" i="3"/>
  <c r="P358" i="3" s="1"/>
  <c r="R358" i="3" s="1"/>
  <c r="O359" i="3"/>
  <c r="P359" i="3" s="1"/>
  <c r="R359" i="3" s="1"/>
  <c r="O360" i="3"/>
  <c r="P360" i="3" s="1"/>
  <c r="R360" i="3" s="1"/>
  <c r="O361" i="3"/>
  <c r="P361" i="3" s="1"/>
  <c r="R361" i="3" s="1"/>
  <c r="O362" i="3"/>
  <c r="P362" i="3" s="1"/>
  <c r="R362" i="3" s="1"/>
  <c r="O363" i="3"/>
  <c r="P363" i="3" s="1"/>
  <c r="R363" i="3" s="1"/>
  <c r="O364" i="3"/>
  <c r="P364" i="3" s="1"/>
  <c r="R364" i="3" s="1"/>
  <c r="O365" i="3"/>
  <c r="P365" i="3" s="1"/>
  <c r="R365" i="3" s="1"/>
  <c r="O366" i="3"/>
  <c r="P366" i="3" s="1"/>
  <c r="R366" i="3" s="1"/>
  <c r="O367" i="3"/>
  <c r="P367" i="3" s="1"/>
  <c r="R367" i="3" s="1"/>
  <c r="O368" i="3"/>
  <c r="P368" i="3" s="1"/>
  <c r="R368" i="3" s="1"/>
  <c r="O369" i="3"/>
  <c r="P369" i="3" s="1"/>
  <c r="R369" i="3" s="1"/>
  <c r="O370" i="3"/>
  <c r="P370" i="3" s="1"/>
  <c r="R370" i="3" s="1"/>
  <c r="O371" i="3"/>
  <c r="P371" i="3" s="1"/>
  <c r="R371" i="3" s="1"/>
  <c r="O372" i="3"/>
  <c r="P372" i="3" s="1"/>
  <c r="R372" i="3" s="1"/>
  <c r="O373" i="3"/>
  <c r="P373" i="3" s="1"/>
  <c r="R373" i="3" s="1"/>
  <c r="O374" i="3"/>
  <c r="P374" i="3" s="1"/>
  <c r="R374" i="3" s="1"/>
  <c r="O375" i="3"/>
  <c r="P375" i="3" s="1"/>
  <c r="R375" i="3" s="1"/>
  <c r="O376" i="3"/>
  <c r="P376" i="3" s="1"/>
  <c r="R376" i="3" s="1"/>
  <c r="O377" i="3"/>
  <c r="P377" i="3" s="1"/>
  <c r="R377" i="3" s="1"/>
  <c r="O378" i="3"/>
  <c r="P378" i="3" s="1"/>
  <c r="R378" i="3" s="1"/>
  <c r="O379" i="3"/>
  <c r="P379" i="3" s="1"/>
  <c r="R379" i="3" s="1"/>
  <c r="O380" i="3"/>
  <c r="P380" i="3" s="1"/>
  <c r="R380" i="3" s="1"/>
  <c r="O381" i="3"/>
  <c r="P381" i="3" s="1"/>
  <c r="R381" i="3" s="1"/>
  <c r="O382" i="3"/>
  <c r="P382" i="3" s="1"/>
  <c r="R382" i="3" s="1"/>
  <c r="O383" i="3"/>
  <c r="P383" i="3" s="1"/>
  <c r="R383" i="3" s="1"/>
  <c r="O384" i="3"/>
  <c r="P384" i="3" s="1"/>
  <c r="R384" i="3" s="1"/>
  <c r="O385" i="3"/>
  <c r="P385" i="3" s="1"/>
  <c r="R385" i="3" s="1"/>
  <c r="O386" i="3"/>
  <c r="P386" i="3" s="1"/>
  <c r="R386" i="3" s="1"/>
  <c r="O387" i="3"/>
  <c r="P387" i="3" s="1"/>
  <c r="R387" i="3" s="1"/>
  <c r="O388" i="3"/>
  <c r="P388" i="3" s="1"/>
  <c r="R388" i="3" s="1"/>
  <c r="O389" i="3"/>
  <c r="P389" i="3" s="1"/>
  <c r="R389" i="3" s="1"/>
  <c r="O390" i="3"/>
  <c r="P390" i="3" s="1"/>
  <c r="R390" i="3" s="1"/>
  <c r="O391" i="3"/>
  <c r="P391" i="3" s="1"/>
  <c r="R391" i="3" s="1"/>
  <c r="O392" i="3"/>
  <c r="P392" i="3" s="1"/>
  <c r="R392" i="3" s="1"/>
  <c r="O393" i="3"/>
  <c r="P393" i="3" s="1"/>
  <c r="R393" i="3" s="1"/>
  <c r="O394" i="3"/>
  <c r="P394" i="3" s="1"/>
  <c r="R394" i="3" s="1"/>
  <c r="O395" i="3"/>
  <c r="P395" i="3" s="1"/>
  <c r="R395" i="3" s="1"/>
  <c r="O396" i="3"/>
  <c r="P396" i="3" s="1"/>
  <c r="R396" i="3" s="1"/>
  <c r="O397" i="3"/>
  <c r="P397" i="3" s="1"/>
  <c r="R397" i="3" s="1"/>
  <c r="O398" i="3"/>
  <c r="P398" i="3" s="1"/>
  <c r="R398" i="3" s="1"/>
  <c r="O399" i="3"/>
  <c r="P399" i="3" s="1"/>
  <c r="R399" i="3" s="1"/>
  <c r="O400" i="3"/>
  <c r="P400" i="3" s="1"/>
  <c r="R400" i="3" s="1"/>
  <c r="O401" i="3"/>
  <c r="P401" i="3" s="1"/>
  <c r="R401" i="3" s="1"/>
  <c r="O402" i="3"/>
  <c r="P402" i="3" s="1"/>
  <c r="R402" i="3" s="1"/>
  <c r="O403" i="3"/>
  <c r="P403" i="3" s="1"/>
  <c r="R403" i="3" s="1"/>
  <c r="O404" i="3"/>
  <c r="P404" i="3" s="1"/>
  <c r="R404" i="3" s="1"/>
  <c r="O405" i="3"/>
  <c r="P405" i="3" s="1"/>
  <c r="R405" i="3" s="1"/>
  <c r="O406" i="3"/>
  <c r="P406" i="3" s="1"/>
  <c r="R406" i="3" s="1"/>
  <c r="O407" i="3"/>
  <c r="P407" i="3" s="1"/>
  <c r="R407" i="3" s="1"/>
  <c r="O408" i="3"/>
  <c r="P408" i="3" s="1"/>
  <c r="R408" i="3" s="1"/>
  <c r="O409" i="3"/>
  <c r="P409" i="3" s="1"/>
  <c r="R409" i="3" s="1"/>
  <c r="O410" i="3"/>
  <c r="P410" i="3" s="1"/>
  <c r="R410" i="3" s="1"/>
  <c r="O411" i="3"/>
  <c r="P411" i="3" s="1"/>
  <c r="R411" i="3" s="1"/>
  <c r="O412" i="3"/>
  <c r="P412" i="3" s="1"/>
  <c r="R412" i="3" s="1"/>
  <c r="O413" i="3"/>
  <c r="P413" i="3" s="1"/>
  <c r="R413" i="3" s="1"/>
  <c r="O414" i="3"/>
  <c r="P414" i="3" s="1"/>
  <c r="R414" i="3" s="1"/>
  <c r="O415" i="3"/>
  <c r="P415" i="3" s="1"/>
  <c r="R415" i="3" s="1"/>
  <c r="O416" i="3"/>
  <c r="P416" i="3" s="1"/>
  <c r="R416" i="3" s="1"/>
  <c r="O417" i="3"/>
  <c r="P417" i="3" s="1"/>
  <c r="R417" i="3" s="1"/>
  <c r="O418" i="3"/>
  <c r="P418" i="3" s="1"/>
  <c r="R418" i="3" s="1"/>
  <c r="O419" i="3"/>
  <c r="P419" i="3" s="1"/>
  <c r="R419" i="3" s="1"/>
  <c r="O420" i="3"/>
  <c r="P420" i="3" s="1"/>
  <c r="R420" i="3" s="1"/>
  <c r="O421" i="3"/>
  <c r="P421" i="3" s="1"/>
  <c r="R421" i="3" s="1"/>
  <c r="O422" i="3"/>
  <c r="P422" i="3" s="1"/>
  <c r="R422" i="3" s="1"/>
  <c r="O423" i="3"/>
  <c r="P423" i="3" s="1"/>
  <c r="R423" i="3" s="1"/>
  <c r="O424" i="3"/>
  <c r="P424" i="3" s="1"/>
  <c r="R424" i="3" s="1"/>
  <c r="O425" i="3"/>
  <c r="P425" i="3" s="1"/>
  <c r="R425" i="3" s="1"/>
  <c r="O426" i="3"/>
  <c r="P426" i="3" s="1"/>
  <c r="R426" i="3" s="1"/>
  <c r="O427" i="3"/>
  <c r="P427" i="3" s="1"/>
  <c r="R427" i="3" s="1"/>
  <c r="O428" i="3"/>
  <c r="P428" i="3" s="1"/>
  <c r="R428" i="3" s="1"/>
  <c r="O429" i="3"/>
  <c r="P429" i="3" s="1"/>
  <c r="R429" i="3" s="1"/>
  <c r="O430" i="3"/>
  <c r="P430" i="3" s="1"/>
  <c r="R430" i="3" s="1"/>
  <c r="O431" i="3"/>
  <c r="P431" i="3" s="1"/>
  <c r="R431" i="3" s="1"/>
  <c r="O432" i="3"/>
  <c r="P432" i="3" s="1"/>
  <c r="R432" i="3" s="1"/>
  <c r="O433" i="3"/>
  <c r="P433" i="3" s="1"/>
  <c r="R433" i="3" s="1"/>
  <c r="O434" i="3"/>
  <c r="P434" i="3" s="1"/>
  <c r="R434" i="3" s="1"/>
  <c r="O435" i="3"/>
  <c r="P435" i="3" s="1"/>
  <c r="R435" i="3" s="1"/>
  <c r="O436" i="3"/>
  <c r="P436" i="3" s="1"/>
  <c r="R436" i="3" s="1"/>
  <c r="O437" i="3"/>
  <c r="P437" i="3" s="1"/>
  <c r="R437" i="3" s="1"/>
  <c r="O438" i="3"/>
  <c r="P438" i="3" s="1"/>
  <c r="R438" i="3" s="1"/>
  <c r="O439" i="3"/>
  <c r="P439" i="3" s="1"/>
  <c r="R439" i="3" s="1"/>
  <c r="O440" i="3"/>
  <c r="P440" i="3" s="1"/>
  <c r="R440" i="3" s="1"/>
  <c r="O441" i="3"/>
  <c r="P441" i="3" s="1"/>
  <c r="R441" i="3" s="1"/>
  <c r="O442" i="3"/>
  <c r="P442" i="3" s="1"/>
  <c r="R442" i="3" s="1"/>
  <c r="O443" i="3"/>
  <c r="P443" i="3" s="1"/>
  <c r="R443" i="3" s="1"/>
  <c r="O444" i="3"/>
  <c r="P444" i="3" s="1"/>
  <c r="R444" i="3" s="1"/>
  <c r="O445" i="3"/>
  <c r="P445" i="3" s="1"/>
  <c r="R445" i="3" s="1"/>
  <c r="O446" i="3"/>
  <c r="P446" i="3" s="1"/>
  <c r="R446" i="3" s="1"/>
  <c r="O447" i="3"/>
  <c r="P447" i="3" s="1"/>
  <c r="R447" i="3" s="1"/>
  <c r="O448" i="3"/>
  <c r="P448" i="3" s="1"/>
  <c r="R448" i="3" s="1"/>
  <c r="O449" i="3"/>
  <c r="P449" i="3" s="1"/>
  <c r="R449" i="3" s="1"/>
  <c r="O450" i="3"/>
  <c r="P450" i="3" s="1"/>
  <c r="R450" i="3" s="1"/>
  <c r="O451" i="3"/>
  <c r="P451" i="3" s="1"/>
  <c r="R451" i="3" s="1"/>
  <c r="O452" i="3"/>
  <c r="P452" i="3" s="1"/>
  <c r="R452" i="3" s="1"/>
  <c r="O453" i="3"/>
  <c r="P453" i="3" s="1"/>
  <c r="R453" i="3" s="1"/>
  <c r="O454" i="3"/>
  <c r="P454" i="3" s="1"/>
  <c r="R454" i="3" s="1"/>
  <c r="O455" i="3"/>
  <c r="P455" i="3" s="1"/>
  <c r="R455" i="3" s="1"/>
  <c r="O456" i="3"/>
  <c r="P456" i="3" s="1"/>
  <c r="R456" i="3" s="1"/>
  <c r="O457" i="3"/>
  <c r="P457" i="3" s="1"/>
  <c r="R457" i="3" s="1"/>
  <c r="O458" i="3"/>
  <c r="P458" i="3" s="1"/>
  <c r="R458" i="3" s="1"/>
  <c r="O459" i="3"/>
  <c r="P459" i="3" s="1"/>
  <c r="R459" i="3" s="1"/>
  <c r="O460" i="3"/>
  <c r="P460" i="3" s="1"/>
  <c r="R460" i="3" s="1"/>
  <c r="O461" i="3"/>
  <c r="P461" i="3" s="1"/>
  <c r="R461" i="3" s="1"/>
  <c r="O462" i="3"/>
  <c r="P462" i="3" s="1"/>
  <c r="R462" i="3" s="1"/>
  <c r="O463" i="3"/>
  <c r="P463" i="3" s="1"/>
  <c r="R463" i="3" s="1"/>
  <c r="O464" i="3"/>
  <c r="P464" i="3" s="1"/>
  <c r="R464" i="3" s="1"/>
  <c r="O465" i="3"/>
  <c r="P465" i="3" s="1"/>
  <c r="R465" i="3" s="1"/>
  <c r="O466" i="3"/>
  <c r="P466" i="3" s="1"/>
  <c r="R466" i="3" s="1"/>
  <c r="O467" i="3"/>
  <c r="P467" i="3" s="1"/>
  <c r="R467" i="3" s="1"/>
  <c r="O468" i="3"/>
  <c r="P468" i="3" s="1"/>
  <c r="R468" i="3" s="1"/>
  <c r="O469" i="3"/>
  <c r="P469" i="3" s="1"/>
  <c r="R469" i="3" s="1"/>
  <c r="O470" i="3"/>
  <c r="P470" i="3" s="1"/>
  <c r="R470" i="3" s="1"/>
  <c r="O471" i="3"/>
  <c r="P471" i="3" s="1"/>
  <c r="R471" i="3" s="1"/>
  <c r="O472" i="3"/>
  <c r="P472" i="3" s="1"/>
  <c r="R472" i="3" s="1"/>
  <c r="O473" i="3"/>
  <c r="P473" i="3" s="1"/>
  <c r="R473" i="3" s="1"/>
  <c r="O474" i="3"/>
  <c r="P474" i="3" s="1"/>
  <c r="R474" i="3" s="1"/>
  <c r="O475" i="3"/>
  <c r="P475" i="3" s="1"/>
  <c r="R475" i="3" s="1"/>
  <c r="O476" i="3"/>
  <c r="P476" i="3" s="1"/>
  <c r="R476" i="3" s="1"/>
  <c r="O477" i="3"/>
  <c r="P477" i="3" s="1"/>
  <c r="R477" i="3" s="1"/>
  <c r="O478" i="3"/>
  <c r="P478" i="3" s="1"/>
  <c r="R478" i="3" s="1"/>
  <c r="O481" i="3"/>
  <c r="P481" i="3" s="1"/>
  <c r="R481" i="3" s="1"/>
  <c r="O482" i="3"/>
  <c r="P482" i="3" s="1"/>
  <c r="R482" i="3" s="1"/>
  <c r="O483" i="3"/>
  <c r="P483" i="3" s="1"/>
  <c r="R483" i="3" s="1"/>
  <c r="O484" i="3"/>
  <c r="P484" i="3" s="1"/>
  <c r="R484" i="3" s="1"/>
  <c r="O485" i="3"/>
  <c r="P485" i="3" s="1"/>
  <c r="R485" i="3" s="1"/>
  <c r="O486" i="3"/>
  <c r="P486" i="3" s="1"/>
  <c r="R486" i="3" s="1"/>
  <c r="O487" i="3"/>
  <c r="P487" i="3" s="1"/>
  <c r="R487" i="3" s="1"/>
  <c r="O488" i="3"/>
  <c r="P488" i="3" s="1"/>
  <c r="R488" i="3" s="1"/>
  <c r="O489" i="3"/>
  <c r="P489" i="3" s="1"/>
  <c r="R489" i="3" s="1"/>
  <c r="O490" i="3"/>
  <c r="P490" i="3" s="1"/>
  <c r="R490" i="3" s="1"/>
  <c r="O493" i="3"/>
  <c r="P493" i="3" s="1"/>
  <c r="R493" i="3" s="1"/>
  <c r="O494" i="3"/>
  <c r="P494" i="3" s="1"/>
  <c r="R494" i="3" s="1"/>
  <c r="O495" i="3"/>
  <c r="P495" i="3" s="1"/>
  <c r="R495" i="3" s="1"/>
  <c r="O498" i="3"/>
  <c r="P498" i="3" s="1"/>
  <c r="R498" i="3" s="1"/>
  <c r="O499" i="3"/>
  <c r="P499" i="3" s="1"/>
  <c r="R499" i="3" s="1"/>
  <c r="O501" i="3"/>
  <c r="P501" i="3" s="1"/>
  <c r="R501" i="3" s="1"/>
  <c r="L111" i="3"/>
  <c r="L120" i="3"/>
  <c r="L123" i="3"/>
  <c r="L124" i="3"/>
  <c r="L126" i="3"/>
  <c r="L127" i="3"/>
  <c r="L128" i="3"/>
  <c r="L129" i="3"/>
  <c r="AH129" i="3" s="1"/>
  <c r="L130" i="3"/>
  <c r="L131" i="3"/>
  <c r="L132" i="3"/>
  <c r="L133" i="3"/>
  <c r="L134" i="3"/>
  <c r="L135" i="3"/>
  <c r="L136" i="3"/>
  <c r="L137" i="3"/>
  <c r="AH137" i="3" s="1"/>
  <c r="L138" i="3"/>
  <c r="L139" i="3"/>
  <c r="L140" i="3"/>
  <c r="L141" i="3"/>
  <c r="L142" i="3"/>
  <c r="L143" i="3"/>
  <c r="L144" i="3"/>
  <c r="L145" i="3"/>
  <c r="AH145" i="3" s="1"/>
  <c r="L146" i="3"/>
  <c r="L147" i="3"/>
  <c r="L148" i="3"/>
  <c r="L149" i="3"/>
  <c r="L150" i="3"/>
  <c r="L151" i="3"/>
  <c r="L152" i="3"/>
  <c r="L153" i="3"/>
  <c r="AH153" i="3" s="1"/>
  <c r="L154" i="3"/>
  <c r="L155" i="3"/>
  <c r="L156" i="3"/>
  <c r="L157" i="3"/>
  <c r="L158" i="3"/>
  <c r="L159" i="3"/>
  <c r="L160" i="3"/>
  <c r="L161" i="3"/>
  <c r="AH161" i="3" s="1"/>
  <c r="L162" i="3"/>
  <c r="L163" i="3"/>
  <c r="L164" i="3"/>
  <c r="L165" i="3"/>
  <c r="L166" i="3"/>
  <c r="L167" i="3"/>
  <c r="L168" i="3"/>
  <c r="L169" i="3"/>
  <c r="AH169" i="3" s="1"/>
  <c r="L170" i="3"/>
  <c r="L171" i="3"/>
  <c r="L172" i="3"/>
  <c r="L173" i="3"/>
  <c r="L174" i="3"/>
  <c r="L175" i="3"/>
  <c r="L176" i="3"/>
  <c r="L177" i="3"/>
  <c r="AH177" i="3" s="1"/>
  <c r="L178" i="3"/>
  <c r="L179" i="3"/>
  <c r="L180" i="3"/>
  <c r="L181" i="3"/>
  <c r="L182" i="3"/>
  <c r="L183" i="3"/>
  <c r="L184" i="3"/>
  <c r="L185" i="3"/>
  <c r="AH185" i="3" s="1"/>
  <c r="L186" i="3"/>
  <c r="L187" i="3"/>
  <c r="L188" i="3"/>
  <c r="L189" i="3"/>
  <c r="L190" i="3"/>
  <c r="L191" i="3"/>
  <c r="L192" i="3"/>
  <c r="L193" i="3"/>
  <c r="AH193" i="3" s="1"/>
  <c r="L194" i="3"/>
  <c r="L195" i="3"/>
  <c r="L196" i="3"/>
  <c r="L197" i="3"/>
  <c r="L198" i="3"/>
  <c r="L199" i="3"/>
  <c r="L200" i="3"/>
  <c r="L201" i="3"/>
  <c r="AH201" i="3" s="1"/>
  <c r="L202" i="3"/>
  <c r="L203" i="3"/>
  <c r="L204" i="3"/>
  <c r="L205" i="3"/>
  <c r="L206" i="3"/>
  <c r="L207" i="3"/>
  <c r="L208" i="3"/>
  <c r="L209" i="3"/>
  <c r="AH209" i="3" s="1"/>
  <c r="L210" i="3"/>
  <c r="L211" i="3"/>
  <c r="L212" i="3"/>
  <c r="L213" i="3"/>
  <c r="L214" i="3"/>
  <c r="L215" i="3"/>
  <c r="L216" i="3"/>
  <c r="L217" i="3"/>
  <c r="AH217" i="3" s="1"/>
  <c r="L218" i="3"/>
  <c r="L219" i="3"/>
  <c r="L220" i="3"/>
  <c r="L221" i="3"/>
  <c r="L222" i="3"/>
  <c r="L223" i="3"/>
  <c r="L225" i="3"/>
  <c r="L228" i="3"/>
  <c r="AH228" i="3" s="1"/>
  <c r="L229" i="3"/>
  <c r="L230" i="3"/>
  <c r="L231" i="3"/>
  <c r="L233" i="3"/>
  <c r="L234" i="3"/>
  <c r="L235" i="3"/>
  <c r="L236" i="3"/>
  <c r="L252" i="3"/>
  <c r="AH252" i="3" s="1"/>
  <c r="L253" i="3"/>
  <c r="L254" i="3"/>
  <c r="L255" i="3"/>
  <c r="L256" i="3"/>
  <c r="L257" i="3"/>
  <c r="L258" i="3"/>
  <c r="L259" i="3"/>
  <c r="L260" i="3"/>
  <c r="AH260" i="3" s="1"/>
  <c r="L261" i="3"/>
  <c r="L262" i="3"/>
  <c r="L263" i="3"/>
  <c r="L264" i="3"/>
  <c r="L265" i="3"/>
  <c r="L266" i="3"/>
  <c r="L267" i="3"/>
  <c r="L268" i="3"/>
  <c r="AH268" i="3" s="1"/>
  <c r="L269" i="3"/>
  <c r="L270" i="3"/>
  <c r="L271" i="3"/>
  <c r="L272" i="3"/>
  <c r="L273" i="3"/>
  <c r="L274" i="3"/>
  <c r="L275" i="3"/>
  <c r="L276" i="3"/>
  <c r="L277" i="3"/>
  <c r="L278" i="3"/>
  <c r="L279" i="3"/>
  <c r="L280" i="3"/>
  <c r="L281" i="3"/>
  <c r="L282" i="3"/>
  <c r="L283" i="3"/>
  <c r="L284" i="3"/>
  <c r="L285" i="3"/>
  <c r="L286" i="3"/>
  <c r="L287" i="3"/>
  <c r="L288" i="3"/>
  <c r="L289" i="3"/>
  <c r="L290" i="3"/>
  <c r="L291" i="3"/>
  <c r="L292" i="3"/>
  <c r="L293" i="3"/>
  <c r="L294" i="3"/>
  <c r="L295" i="3"/>
  <c r="L296" i="3"/>
  <c r="L297" i="3"/>
  <c r="L298" i="3"/>
  <c r="L299" i="3"/>
  <c r="L300" i="3"/>
  <c r="L301" i="3"/>
  <c r="L302" i="3"/>
  <c r="L303" i="3"/>
  <c r="L304" i="3"/>
  <c r="L305" i="3"/>
  <c r="L306" i="3"/>
  <c r="L307" i="3"/>
  <c r="L308" i="3"/>
  <c r="L309" i="3"/>
  <c r="L310" i="3"/>
  <c r="L311" i="3"/>
  <c r="L312" i="3"/>
  <c r="L313" i="3"/>
  <c r="L314" i="3"/>
  <c r="L316" i="3"/>
  <c r="L317" i="3"/>
  <c r="L318" i="3"/>
  <c r="L319" i="3"/>
  <c r="L320" i="3"/>
  <c r="L321" i="3"/>
  <c r="L322" i="3"/>
  <c r="L323" i="3"/>
  <c r="L324" i="3"/>
  <c r="L325" i="3"/>
  <c r="L326" i="3"/>
  <c r="L327" i="3"/>
  <c r="L328" i="3"/>
  <c r="L329" i="3"/>
  <c r="L330" i="3"/>
  <c r="L332" i="3"/>
  <c r="L333" i="3"/>
  <c r="L334" i="3"/>
  <c r="L335" i="3"/>
  <c r="L336" i="3"/>
  <c r="L337" i="3"/>
  <c r="L338" i="3"/>
  <c r="L339" i="3"/>
  <c r="L340" i="3"/>
  <c r="L341" i="3"/>
  <c r="L342" i="3"/>
  <c r="L343" i="3"/>
  <c r="L344" i="3"/>
  <c r="L345" i="3"/>
  <c r="L346" i="3"/>
  <c r="L347" i="3"/>
  <c r="L348" i="3"/>
  <c r="L350" i="3"/>
  <c r="L351" i="3"/>
  <c r="L352" i="3"/>
  <c r="L353" i="3"/>
  <c r="L354" i="3"/>
  <c r="L355" i="3"/>
  <c r="L356" i="3"/>
  <c r="L357" i="3"/>
  <c r="L358" i="3"/>
  <c r="L359" i="3"/>
  <c r="L360" i="3"/>
  <c r="L361" i="3"/>
  <c r="L362" i="3"/>
  <c r="L363" i="3"/>
  <c r="L364" i="3"/>
  <c r="L365" i="3"/>
  <c r="L366" i="3"/>
  <c r="L367" i="3"/>
  <c r="L368" i="3"/>
  <c r="L369" i="3"/>
  <c r="L370" i="3"/>
  <c r="L371" i="3"/>
  <c r="L372" i="3"/>
  <c r="L373" i="3"/>
  <c r="L374" i="3"/>
  <c r="L375" i="3"/>
  <c r="L376" i="3"/>
  <c r="L377" i="3"/>
  <c r="L378" i="3"/>
  <c r="L379" i="3"/>
  <c r="L380" i="3"/>
  <c r="L381" i="3"/>
  <c r="L382" i="3"/>
  <c r="L383" i="3"/>
  <c r="L384" i="3"/>
  <c r="L385" i="3"/>
  <c r="L386" i="3"/>
  <c r="L387" i="3"/>
  <c r="L388" i="3"/>
  <c r="L389" i="3"/>
  <c r="L390" i="3"/>
  <c r="L391" i="3"/>
  <c r="L392" i="3"/>
  <c r="L393" i="3"/>
  <c r="L394" i="3"/>
  <c r="L395" i="3"/>
  <c r="L396" i="3"/>
  <c r="L397" i="3"/>
  <c r="L398" i="3"/>
  <c r="L399" i="3"/>
  <c r="L400" i="3"/>
  <c r="L401" i="3"/>
  <c r="L402" i="3"/>
  <c r="L403" i="3"/>
  <c r="L404" i="3"/>
  <c r="L405" i="3"/>
  <c r="L406" i="3"/>
  <c r="L407" i="3"/>
  <c r="L408" i="3"/>
  <c r="L409" i="3"/>
  <c r="L410" i="3"/>
  <c r="L411" i="3"/>
  <c r="L412" i="3"/>
  <c r="L413" i="3"/>
  <c r="L414" i="3"/>
  <c r="L415" i="3"/>
  <c r="L416" i="3"/>
  <c r="L417" i="3"/>
  <c r="L418" i="3"/>
  <c r="L419" i="3"/>
  <c r="L420" i="3"/>
  <c r="L421" i="3"/>
  <c r="L422" i="3"/>
  <c r="L423" i="3"/>
  <c r="L424" i="3"/>
  <c r="L425" i="3"/>
  <c r="L426" i="3"/>
  <c r="L427" i="3"/>
  <c r="L428" i="3"/>
  <c r="L429" i="3"/>
  <c r="L430" i="3"/>
  <c r="L431" i="3"/>
  <c r="L432" i="3"/>
  <c r="L433" i="3"/>
  <c r="L434" i="3"/>
  <c r="L435" i="3"/>
  <c r="L436" i="3"/>
  <c r="L437" i="3"/>
  <c r="L438" i="3"/>
  <c r="L439" i="3"/>
  <c r="L440" i="3"/>
  <c r="L441" i="3"/>
  <c r="L442" i="3"/>
  <c r="L443" i="3"/>
  <c r="L444" i="3"/>
  <c r="L445" i="3"/>
  <c r="L446" i="3"/>
  <c r="L447" i="3"/>
  <c r="L448" i="3"/>
  <c r="L449" i="3"/>
  <c r="L450" i="3"/>
  <c r="L451" i="3"/>
  <c r="L452" i="3"/>
  <c r="L453" i="3"/>
  <c r="L454" i="3"/>
  <c r="L455" i="3"/>
  <c r="L456" i="3"/>
  <c r="L457" i="3"/>
  <c r="L458" i="3"/>
  <c r="L459" i="3"/>
  <c r="L460" i="3"/>
  <c r="L461" i="3"/>
  <c r="L462" i="3"/>
  <c r="L463" i="3"/>
  <c r="L464" i="3"/>
  <c r="L465" i="3"/>
  <c r="L466" i="3"/>
  <c r="L467" i="3"/>
  <c r="L468" i="3"/>
  <c r="L469" i="3"/>
  <c r="L470" i="3"/>
  <c r="L471" i="3"/>
  <c r="L472" i="3"/>
  <c r="L473" i="3"/>
  <c r="L474" i="3"/>
  <c r="L475" i="3"/>
  <c r="L476" i="3"/>
  <c r="L477" i="3"/>
  <c r="L478" i="3"/>
  <c r="L481" i="3"/>
  <c r="L482" i="3"/>
  <c r="L483" i="3"/>
  <c r="L484" i="3"/>
  <c r="L485" i="3"/>
  <c r="L486" i="3"/>
  <c r="L487" i="3"/>
  <c r="L488" i="3"/>
  <c r="L489" i="3"/>
  <c r="L490" i="3"/>
  <c r="L493" i="3"/>
  <c r="J111" i="3"/>
  <c r="K111" i="3" s="1"/>
  <c r="M111" i="3" s="1"/>
  <c r="J120" i="3"/>
  <c r="K120" i="3" s="1"/>
  <c r="M120" i="3" s="1"/>
  <c r="J123" i="3"/>
  <c r="K123" i="3" s="1"/>
  <c r="M123" i="3" s="1"/>
  <c r="J124" i="3"/>
  <c r="K124" i="3" s="1"/>
  <c r="M124" i="3" s="1"/>
  <c r="J126" i="3"/>
  <c r="K126" i="3" s="1"/>
  <c r="M126" i="3" s="1"/>
  <c r="J127" i="3"/>
  <c r="K127" i="3" s="1"/>
  <c r="M127" i="3" s="1"/>
  <c r="J128" i="3"/>
  <c r="K128" i="3" s="1"/>
  <c r="M128" i="3" s="1"/>
  <c r="J129" i="3"/>
  <c r="K129" i="3" s="1"/>
  <c r="M129" i="3" s="1"/>
  <c r="J130" i="3"/>
  <c r="K130" i="3" s="1"/>
  <c r="M130" i="3" s="1"/>
  <c r="J131" i="3"/>
  <c r="K131" i="3" s="1"/>
  <c r="M131" i="3" s="1"/>
  <c r="J132" i="3"/>
  <c r="K132" i="3" s="1"/>
  <c r="M132" i="3" s="1"/>
  <c r="J133" i="3"/>
  <c r="K133" i="3" s="1"/>
  <c r="M133" i="3" s="1"/>
  <c r="J134" i="3"/>
  <c r="K134" i="3" s="1"/>
  <c r="M134" i="3" s="1"/>
  <c r="J135" i="3"/>
  <c r="K135" i="3" s="1"/>
  <c r="M135" i="3" s="1"/>
  <c r="J136" i="3"/>
  <c r="K136" i="3" s="1"/>
  <c r="M136" i="3" s="1"/>
  <c r="J137" i="3"/>
  <c r="K137" i="3" s="1"/>
  <c r="M137" i="3" s="1"/>
  <c r="J138" i="3"/>
  <c r="K138" i="3" s="1"/>
  <c r="M138" i="3" s="1"/>
  <c r="J139" i="3"/>
  <c r="K139" i="3" s="1"/>
  <c r="M139" i="3" s="1"/>
  <c r="J140" i="3"/>
  <c r="K140" i="3" s="1"/>
  <c r="M140" i="3" s="1"/>
  <c r="J141" i="3"/>
  <c r="K141" i="3" s="1"/>
  <c r="M141" i="3" s="1"/>
  <c r="J142" i="3"/>
  <c r="K142" i="3" s="1"/>
  <c r="M142" i="3" s="1"/>
  <c r="J143" i="3"/>
  <c r="K143" i="3" s="1"/>
  <c r="M143" i="3" s="1"/>
  <c r="J144" i="3"/>
  <c r="K144" i="3" s="1"/>
  <c r="M144" i="3" s="1"/>
  <c r="J145" i="3"/>
  <c r="K145" i="3" s="1"/>
  <c r="M145" i="3" s="1"/>
  <c r="J146" i="3"/>
  <c r="K146" i="3" s="1"/>
  <c r="M146" i="3" s="1"/>
  <c r="J147" i="3"/>
  <c r="K147" i="3" s="1"/>
  <c r="M147" i="3" s="1"/>
  <c r="J148" i="3"/>
  <c r="K148" i="3" s="1"/>
  <c r="M148" i="3" s="1"/>
  <c r="J149" i="3"/>
  <c r="K149" i="3" s="1"/>
  <c r="M149" i="3" s="1"/>
  <c r="J150" i="3"/>
  <c r="K150" i="3" s="1"/>
  <c r="M150" i="3" s="1"/>
  <c r="J151" i="3"/>
  <c r="K151" i="3" s="1"/>
  <c r="M151" i="3" s="1"/>
  <c r="J152" i="3"/>
  <c r="K152" i="3" s="1"/>
  <c r="M152" i="3" s="1"/>
  <c r="J153" i="3"/>
  <c r="K153" i="3" s="1"/>
  <c r="M153" i="3" s="1"/>
  <c r="J154" i="3"/>
  <c r="K154" i="3" s="1"/>
  <c r="M154" i="3" s="1"/>
  <c r="J155" i="3"/>
  <c r="K155" i="3" s="1"/>
  <c r="M155" i="3" s="1"/>
  <c r="J156" i="3"/>
  <c r="K156" i="3" s="1"/>
  <c r="M156" i="3" s="1"/>
  <c r="J157" i="3"/>
  <c r="K157" i="3" s="1"/>
  <c r="M157" i="3" s="1"/>
  <c r="J158" i="3"/>
  <c r="K158" i="3" s="1"/>
  <c r="M158" i="3" s="1"/>
  <c r="J159" i="3"/>
  <c r="K159" i="3" s="1"/>
  <c r="M159" i="3" s="1"/>
  <c r="J160" i="3"/>
  <c r="K160" i="3" s="1"/>
  <c r="M160" i="3" s="1"/>
  <c r="J161" i="3"/>
  <c r="K161" i="3" s="1"/>
  <c r="M161" i="3" s="1"/>
  <c r="J162" i="3"/>
  <c r="K162" i="3" s="1"/>
  <c r="M162" i="3" s="1"/>
  <c r="J163" i="3"/>
  <c r="K163" i="3" s="1"/>
  <c r="M163" i="3" s="1"/>
  <c r="J164" i="3"/>
  <c r="K164" i="3" s="1"/>
  <c r="M164" i="3" s="1"/>
  <c r="J165" i="3"/>
  <c r="K165" i="3" s="1"/>
  <c r="M165" i="3" s="1"/>
  <c r="J166" i="3"/>
  <c r="K166" i="3" s="1"/>
  <c r="M166" i="3" s="1"/>
  <c r="J167" i="3"/>
  <c r="K167" i="3" s="1"/>
  <c r="M167" i="3" s="1"/>
  <c r="J168" i="3"/>
  <c r="K168" i="3" s="1"/>
  <c r="M168" i="3" s="1"/>
  <c r="J169" i="3"/>
  <c r="K169" i="3" s="1"/>
  <c r="M169" i="3" s="1"/>
  <c r="J170" i="3"/>
  <c r="K170" i="3" s="1"/>
  <c r="M170" i="3" s="1"/>
  <c r="J171" i="3"/>
  <c r="K171" i="3" s="1"/>
  <c r="M171" i="3" s="1"/>
  <c r="J172" i="3"/>
  <c r="K172" i="3" s="1"/>
  <c r="M172" i="3" s="1"/>
  <c r="J173" i="3"/>
  <c r="K173" i="3" s="1"/>
  <c r="M173" i="3" s="1"/>
  <c r="J174" i="3"/>
  <c r="K174" i="3" s="1"/>
  <c r="M174" i="3" s="1"/>
  <c r="J175" i="3"/>
  <c r="K175" i="3" s="1"/>
  <c r="M175" i="3" s="1"/>
  <c r="J176" i="3"/>
  <c r="K176" i="3" s="1"/>
  <c r="M176" i="3" s="1"/>
  <c r="J177" i="3"/>
  <c r="K177" i="3" s="1"/>
  <c r="M177" i="3" s="1"/>
  <c r="J178" i="3"/>
  <c r="K178" i="3" s="1"/>
  <c r="M178" i="3" s="1"/>
  <c r="J179" i="3"/>
  <c r="K179" i="3" s="1"/>
  <c r="M179" i="3" s="1"/>
  <c r="J180" i="3"/>
  <c r="K180" i="3" s="1"/>
  <c r="M180" i="3" s="1"/>
  <c r="J181" i="3"/>
  <c r="K181" i="3" s="1"/>
  <c r="M181" i="3" s="1"/>
  <c r="J182" i="3"/>
  <c r="K182" i="3" s="1"/>
  <c r="M182" i="3" s="1"/>
  <c r="J183" i="3"/>
  <c r="K183" i="3" s="1"/>
  <c r="M183" i="3" s="1"/>
  <c r="J184" i="3"/>
  <c r="K184" i="3" s="1"/>
  <c r="M184" i="3" s="1"/>
  <c r="J185" i="3"/>
  <c r="K185" i="3" s="1"/>
  <c r="M185" i="3" s="1"/>
  <c r="J186" i="3"/>
  <c r="K186" i="3" s="1"/>
  <c r="M186" i="3" s="1"/>
  <c r="J187" i="3"/>
  <c r="K187" i="3" s="1"/>
  <c r="M187" i="3" s="1"/>
  <c r="J188" i="3"/>
  <c r="K188" i="3" s="1"/>
  <c r="M188" i="3" s="1"/>
  <c r="J189" i="3"/>
  <c r="K189" i="3" s="1"/>
  <c r="M189" i="3" s="1"/>
  <c r="J190" i="3"/>
  <c r="K190" i="3" s="1"/>
  <c r="M190" i="3" s="1"/>
  <c r="J191" i="3"/>
  <c r="K191" i="3" s="1"/>
  <c r="M191" i="3" s="1"/>
  <c r="J192" i="3"/>
  <c r="K192" i="3" s="1"/>
  <c r="M192" i="3" s="1"/>
  <c r="J193" i="3"/>
  <c r="K193" i="3" s="1"/>
  <c r="M193" i="3" s="1"/>
  <c r="J194" i="3"/>
  <c r="K194" i="3" s="1"/>
  <c r="M194" i="3" s="1"/>
  <c r="J195" i="3"/>
  <c r="K195" i="3" s="1"/>
  <c r="M195" i="3" s="1"/>
  <c r="J196" i="3"/>
  <c r="K196" i="3" s="1"/>
  <c r="M196" i="3" s="1"/>
  <c r="J197" i="3"/>
  <c r="K197" i="3" s="1"/>
  <c r="M197" i="3" s="1"/>
  <c r="J198" i="3"/>
  <c r="K198" i="3" s="1"/>
  <c r="M198" i="3" s="1"/>
  <c r="J199" i="3"/>
  <c r="K199" i="3" s="1"/>
  <c r="M199" i="3" s="1"/>
  <c r="J200" i="3"/>
  <c r="K200" i="3" s="1"/>
  <c r="M200" i="3" s="1"/>
  <c r="J201" i="3"/>
  <c r="K201" i="3" s="1"/>
  <c r="M201" i="3" s="1"/>
  <c r="J202" i="3"/>
  <c r="K202" i="3" s="1"/>
  <c r="M202" i="3" s="1"/>
  <c r="J203" i="3"/>
  <c r="K203" i="3" s="1"/>
  <c r="M203" i="3" s="1"/>
  <c r="J204" i="3"/>
  <c r="K204" i="3" s="1"/>
  <c r="M204" i="3" s="1"/>
  <c r="J205" i="3"/>
  <c r="K205" i="3" s="1"/>
  <c r="M205" i="3" s="1"/>
  <c r="J206" i="3"/>
  <c r="K206" i="3" s="1"/>
  <c r="M206" i="3" s="1"/>
  <c r="J207" i="3"/>
  <c r="K207" i="3" s="1"/>
  <c r="M207" i="3" s="1"/>
  <c r="J208" i="3"/>
  <c r="K208" i="3" s="1"/>
  <c r="M208" i="3" s="1"/>
  <c r="J209" i="3"/>
  <c r="K209" i="3" s="1"/>
  <c r="M209" i="3" s="1"/>
  <c r="J210" i="3"/>
  <c r="K210" i="3" s="1"/>
  <c r="M210" i="3" s="1"/>
  <c r="J211" i="3"/>
  <c r="K211" i="3" s="1"/>
  <c r="M211" i="3" s="1"/>
  <c r="J212" i="3"/>
  <c r="K212" i="3" s="1"/>
  <c r="M212" i="3" s="1"/>
  <c r="J213" i="3"/>
  <c r="K213" i="3" s="1"/>
  <c r="M213" i="3" s="1"/>
  <c r="J214" i="3"/>
  <c r="K214" i="3" s="1"/>
  <c r="M214" i="3" s="1"/>
  <c r="J215" i="3"/>
  <c r="K215" i="3" s="1"/>
  <c r="M215" i="3" s="1"/>
  <c r="J216" i="3"/>
  <c r="K216" i="3" s="1"/>
  <c r="M216" i="3" s="1"/>
  <c r="J217" i="3"/>
  <c r="K217" i="3" s="1"/>
  <c r="M217" i="3" s="1"/>
  <c r="J218" i="3"/>
  <c r="K218" i="3" s="1"/>
  <c r="M218" i="3" s="1"/>
  <c r="J219" i="3"/>
  <c r="K219" i="3" s="1"/>
  <c r="M219" i="3" s="1"/>
  <c r="J220" i="3"/>
  <c r="K220" i="3" s="1"/>
  <c r="M220" i="3" s="1"/>
  <c r="J221" i="3"/>
  <c r="K221" i="3" s="1"/>
  <c r="M221" i="3" s="1"/>
  <c r="J222" i="3"/>
  <c r="K222" i="3" s="1"/>
  <c r="M222" i="3" s="1"/>
  <c r="J223" i="3"/>
  <c r="K223" i="3" s="1"/>
  <c r="M223" i="3" s="1"/>
  <c r="J225" i="3"/>
  <c r="K225" i="3" s="1"/>
  <c r="M225" i="3" s="1"/>
  <c r="J228" i="3"/>
  <c r="K228" i="3" s="1"/>
  <c r="M228" i="3" s="1"/>
  <c r="J229" i="3"/>
  <c r="K229" i="3" s="1"/>
  <c r="M229" i="3" s="1"/>
  <c r="J230" i="3"/>
  <c r="K230" i="3" s="1"/>
  <c r="M230" i="3" s="1"/>
  <c r="J231" i="3"/>
  <c r="K231" i="3" s="1"/>
  <c r="M231" i="3" s="1"/>
  <c r="J233" i="3"/>
  <c r="K233" i="3" s="1"/>
  <c r="M233" i="3" s="1"/>
  <c r="J234" i="3"/>
  <c r="K234" i="3" s="1"/>
  <c r="M234" i="3" s="1"/>
  <c r="J235" i="3"/>
  <c r="K235" i="3" s="1"/>
  <c r="M235" i="3" s="1"/>
  <c r="J236" i="3"/>
  <c r="K236" i="3" s="1"/>
  <c r="M236" i="3" s="1"/>
  <c r="J252" i="3"/>
  <c r="K252" i="3" s="1"/>
  <c r="M252" i="3" s="1"/>
  <c r="J253" i="3"/>
  <c r="K253" i="3" s="1"/>
  <c r="M253" i="3" s="1"/>
  <c r="J254" i="3"/>
  <c r="K254" i="3" s="1"/>
  <c r="M254" i="3" s="1"/>
  <c r="J255" i="3"/>
  <c r="K255" i="3" s="1"/>
  <c r="M255" i="3" s="1"/>
  <c r="J256" i="3"/>
  <c r="K256" i="3" s="1"/>
  <c r="M256" i="3" s="1"/>
  <c r="J257" i="3"/>
  <c r="K257" i="3" s="1"/>
  <c r="M257" i="3" s="1"/>
  <c r="J258" i="3"/>
  <c r="K258" i="3" s="1"/>
  <c r="M258" i="3" s="1"/>
  <c r="J259" i="3"/>
  <c r="K259" i="3" s="1"/>
  <c r="M259" i="3" s="1"/>
  <c r="J260" i="3"/>
  <c r="K260" i="3" s="1"/>
  <c r="M260" i="3" s="1"/>
  <c r="J261" i="3"/>
  <c r="K261" i="3" s="1"/>
  <c r="M261" i="3" s="1"/>
  <c r="J262" i="3"/>
  <c r="K262" i="3" s="1"/>
  <c r="M262" i="3" s="1"/>
  <c r="J263" i="3"/>
  <c r="K263" i="3" s="1"/>
  <c r="M263" i="3" s="1"/>
  <c r="J264" i="3"/>
  <c r="K264" i="3" s="1"/>
  <c r="M264" i="3" s="1"/>
  <c r="J265" i="3"/>
  <c r="K265" i="3" s="1"/>
  <c r="M265" i="3" s="1"/>
  <c r="J266" i="3"/>
  <c r="K266" i="3" s="1"/>
  <c r="M266" i="3" s="1"/>
  <c r="J267" i="3"/>
  <c r="K267" i="3" s="1"/>
  <c r="M267" i="3" s="1"/>
  <c r="J268" i="3"/>
  <c r="K268" i="3" s="1"/>
  <c r="M268" i="3" s="1"/>
  <c r="J269" i="3"/>
  <c r="K269" i="3" s="1"/>
  <c r="M269" i="3" s="1"/>
  <c r="J270" i="3"/>
  <c r="K270" i="3" s="1"/>
  <c r="M270" i="3" s="1"/>
  <c r="J271" i="3"/>
  <c r="K271" i="3" s="1"/>
  <c r="M271" i="3" s="1"/>
  <c r="J272" i="3"/>
  <c r="K272" i="3" s="1"/>
  <c r="M272" i="3" s="1"/>
  <c r="J273" i="3"/>
  <c r="K273" i="3" s="1"/>
  <c r="M273" i="3" s="1"/>
  <c r="J274" i="3"/>
  <c r="K274" i="3" s="1"/>
  <c r="M274" i="3" s="1"/>
  <c r="J275" i="3"/>
  <c r="K275" i="3" s="1"/>
  <c r="M275" i="3" s="1"/>
  <c r="J276" i="3"/>
  <c r="K276" i="3" s="1"/>
  <c r="M276" i="3" s="1"/>
  <c r="J277" i="3"/>
  <c r="K277" i="3" s="1"/>
  <c r="M277" i="3" s="1"/>
  <c r="J278" i="3"/>
  <c r="K278" i="3" s="1"/>
  <c r="M278" i="3" s="1"/>
  <c r="J279" i="3"/>
  <c r="K279" i="3" s="1"/>
  <c r="M279" i="3" s="1"/>
  <c r="J280" i="3"/>
  <c r="K280" i="3" s="1"/>
  <c r="M280" i="3" s="1"/>
  <c r="J281" i="3"/>
  <c r="K281" i="3" s="1"/>
  <c r="M281" i="3" s="1"/>
  <c r="J282" i="3"/>
  <c r="K282" i="3" s="1"/>
  <c r="M282" i="3" s="1"/>
  <c r="J283" i="3"/>
  <c r="K283" i="3" s="1"/>
  <c r="M283" i="3" s="1"/>
  <c r="J284" i="3"/>
  <c r="K284" i="3" s="1"/>
  <c r="M284" i="3" s="1"/>
  <c r="J285" i="3"/>
  <c r="K285" i="3" s="1"/>
  <c r="M285" i="3" s="1"/>
  <c r="J286" i="3"/>
  <c r="K286" i="3" s="1"/>
  <c r="M286" i="3" s="1"/>
  <c r="J287" i="3"/>
  <c r="K287" i="3" s="1"/>
  <c r="M287" i="3" s="1"/>
  <c r="J288" i="3"/>
  <c r="K288" i="3" s="1"/>
  <c r="M288" i="3" s="1"/>
  <c r="J289" i="3"/>
  <c r="K289" i="3" s="1"/>
  <c r="M289" i="3" s="1"/>
  <c r="J290" i="3"/>
  <c r="K290" i="3" s="1"/>
  <c r="M290" i="3" s="1"/>
  <c r="J291" i="3"/>
  <c r="K291" i="3" s="1"/>
  <c r="M291" i="3" s="1"/>
  <c r="J292" i="3"/>
  <c r="K292" i="3" s="1"/>
  <c r="M292" i="3" s="1"/>
  <c r="J293" i="3"/>
  <c r="K293" i="3" s="1"/>
  <c r="M293" i="3" s="1"/>
  <c r="J294" i="3"/>
  <c r="K294" i="3" s="1"/>
  <c r="M294" i="3" s="1"/>
  <c r="J295" i="3"/>
  <c r="K295" i="3" s="1"/>
  <c r="M295" i="3" s="1"/>
  <c r="J296" i="3"/>
  <c r="K296" i="3" s="1"/>
  <c r="M296" i="3" s="1"/>
  <c r="J297" i="3"/>
  <c r="K297" i="3" s="1"/>
  <c r="M297" i="3" s="1"/>
  <c r="J298" i="3"/>
  <c r="K298" i="3" s="1"/>
  <c r="M298" i="3" s="1"/>
  <c r="J299" i="3"/>
  <c r="K299" i="3" s="1"/>
  <c r="M299" i="3" s="1"/>
  <c r="J300" i="3"/>
  <c r="K300" i="3" s="1"/>
  <c r="M300" i="3" s="1"/>
  <c r="J301" i="3"/>
  <c r="K301" i="3" s="1"/>
  <c r="M301" i="3" s="1"/>
  <c r="J302" i="3"/>
  <c r="K302" i="3" s="1"/>
  <c r="M302" i="3" s="1"/>
  <c r="J303" i="3"/>
  <c r="K303" i="3" s="1"/>
  <c r="M303" i="3" s="1"/>
  <c r="J304" i="3"/>
  <c r="K304" i="3" s="1"/>
  <c r="M304" i="3" s="1"/>
  <c r="J305" i="3"/>
  <c r="K305" i="3" s="1"/>
  <c r="M305" i="3" s="1"/>
  <c r="J306" i="3"/>
  <c r="K306" i="3" s="1"/>
  <c r="M306" i="3" s="1"/>
  <c r="J307" i="3"/>
  <c r="K307" i="3" s="1"/>
  <c r="M307" i="3" s="1"/>
  <c r="J308" i="3"/>
  <c r="K308" i="3" s="1"/>
  <c r="M308" i="3" s="1"/>
  <c r="J309" i="3"/>
  <c r="K309" i="3" s="1"/>
  <c r="M309" i="3" s="1"/>
  <c r="J310" i="3"/>
  <c r="K310" i="3" s="1"/>
  <c r="M310" i="3" s="1"/>
  <c r="J311" i="3"/>
  <c r="K311" i="3" s="1"/>
  <c r="M311" i="3" s="1"/>
  <c r="J312" i="3"/>
  <c r="K312" i="3" s="1"/>
  <c r="M312" i="3" s="1"/>
  <c r="J313" i="3"/>
  <c r="K313" i="3" s="1"/>
  <c r="M313" i="3" s="1"/>
  <c r="J314" i="3"/>
  <c r="K314" i="3" s="1"/>
  <c r="M314" i="3" s="1"/>
  <c r="J315" i="3"/>
  <c r="K315" i="3" s="1"/>
  <c r="M315" i="3" s="1"/>
  <c r="J316" i="3"/>
  <c r="K316" i="3" s="1"/>
  <c r="M316" i="3" s="1"/>
  <c r="J317" i="3"/>
  <c r="K317" i="3" s="1"/>
  <c r="M317" i="3" s="1"/>
  <c r="J318" i="3"/>
  <c r="K318" i="3" s="1"/>
  <c r="M318" i="3" s="1"/>
  <c r="J319" i="3"/>
  <c r="K319" i="3" s="1"/>
  <c r="M319" i="3" s="1"/>
  <c r="J320" i="3"/>
  <c r="K320" i="3" s="1"/>
  <c r="M320" i="3" s="1"/>
  <c r="J321" i="3"/>
  <c r="K321" i="3" s="1"/>
  <c r="M321" i="3" s="1"/>
  <c r="J322" i="3"/>
  <c r="K322" i="3" s="1"/>
  <c r="M322" i="3" s="1"/>
  <c r="J323" i="3"/>
  <c r="K323" i="3" s="1"/>
  <c r="M323" i="3" s="1"/>
  <c r="J324" i="3"/>
  <c r="K324" i="3" s="1"/>
  <c r="M324" i="3" s="1"/>
  <c r="J325" i="3"/>
  <c r="K325" i="3" s="1"/>
  <c r="M325" i="3" s="1"/>
  <c r="J326" i="3"/>
  <c r="K326" i="3" s="1"/>
  <c r="M326" i="3" s="1"/>
  <c r="J327" i="3"/>
  <c r="K327" i="3" s="1"/>
  <c r="M327" i="3" s="1"/>
  <c r="J328" i="3"/>
  <c r="K328" i="3" s="1"/>
  <c r="M328" i="3" s="1"/>
  <c r="J329" i="3"/>
  <c r="K329" i="3" s="1"/>
  <c r="M329" i="3" s="1"/>
  <c r="J330" i="3"/>
  <c r="K330" i="3" s="1"/>
  <c r="M330" i="3" s="1"/>
  <c r="J332" i="3"/>
  <c r="K332" i="3" s="1"/>
  <c r="M332" i="3" s="1"/>
  <c r="J333" i="3"/>
  <c r="K333" i="3" s="1"/>
  <c r="M333" i="3" s="1"/>
  <c r="J334" i="3"/>
  <c r="K334" i="3" s="1"/>
  <c r="M334" i="3" s="1"/>
  <c r="J335" i="3"/>
  <c r="K335" i="3" s="1"/>
  <c r="M335" i="3" s="1"/>
  <c r="J336" i="3"/>
  <c r="K336" i="3" s="1"/>
  <c r="M336" i="3" s="1"/>
  <c r="J337" i="3"/>
  <c r="K337" i="3" s="1"/>
  <c r="M337" i="3" s="1"/>
  <c r="J338" i="3"/>
  <c r="K338" i="3" s="1"/>
  <c r="M338" i="3" s="1"/>
  <c r="J339" i="3"/>
  <c r="K339" i="3" s="1"/>
  <c r="M339" i="3" s="1"/>
  <c r="J340" i="3"/>
  <c r="K340" i="3" s="1"/>
  <c r="M340" i="3" s="1"/>
  <c r="J341" i="3"/>
  <c r="K341" i="3" s="1"/>
  <c r="M341" i="3" s="1"/>
  <c r="J342" i="3"/>
  <c r="K342" i="3" s="1"/>
  <c r="M342" i="3" s="1"/>
  <c r="J343" i="3"/>
  <c r="K343" i="3" s="1"/>
  <c r="M343" i="3" s="1"/>
  <c r="J344" i="3"/>
  <c r="K344" i="3" s="1"/>
  <c r="M344" i="3" s="1"/>
  <c r="J345" i="3"/>
  <c r="K345" i="3" s="1"/>
  <c r="M345" i="3" s="1"/>
  <c r="J346" i="3"/>
  <c r="K346" i="3" s="1"/>
  <c r="M346" i="3" s="1"/>
  <c r="J347" i="3"/>
  <c r="K347" i="3" s="1"/>
  <c r="M347" i="3" s="1"/>
  <c r="J348" i="3"/>
  <c r="K348" i="3" s="1"/>
  <c r="M348" i="3" s="1"/>
  <c r="J350" i="3"/>
  <c r="K350" i="3" s="1"/>
  <c r="M350" i="3" s="1"/>
  <c r="J351" i="3"/>
  <c r="K351" i="3" s="1"/>
  <c r="M351" i="3" s="1"/>
  <c r="J352" i="3"/>
  <c r="K352" i="3" s="1"/>
  <c r="M352" i="3" s="1"/>
  <c r="J353" i="3"/>
  <c r="K353" i="3" s="1"/>
  <c r="M353" i="3" s="1"/>
  <c r="J354" i="3"/>
  <c r="K354" i="3" s="1"/>
  <c r="M354" i="3" s="1"/>
  <c r="J355" i="3"/>
  <c r="K355" i="3" s="1"/>
  <c r="M355" i="3" s="1"/>
  <c r="J356" i="3"/>
  <c r="K356" i="3" s="1"/>
  <c r="M356" i="3" s="1"/>
  <c r="J357" i="3"/>
  <c r="K357" i="3" s="1"/>
  <c r="M357" i="3" s="1"/>
  <c r="J358" i="3"/>
  <c r="K358" i="3" s="1"/>
  <c r="M358" i="3" s="1"/>
  <c r="J359" i="3"/>
  <c r="K359" i="3" s="1"/>
  <c r="M359" i="3" s="1"/>
  <c r="J360" i="3"/>
  <c r="K360" i="3" s="1"/>
  <c r="M360" i="3" s="1"/>
  <c r="J361" i="3"/>
  <c r="K361" i="3" s="1"/>
  <c r="M361" i="3" s="1"/>
  <c r="J362" i="3"/>
  <c r="K362" i="3" s="1"/>
  <c r="M362" i="3" s="1"/>
  <c r="J363" i="3"/>
  <c r="K363" i="3" s="1"/>
  <c r="M363" i="3" s="1"/>
  <c r="J364" i="3"/>
  <c r="K364" i="3" s="1"/>
  <c r="M364" i="3" s="1"/>
  <c r="J365" i="3"/>
  <c r="K365" i="3" s="1"/>
  <c r="M365" i="3" s="1"/>
  <c r="J366" i="3"/>
  <c r="K366" i="3" s="1"/>
  <c r="M366" i="3" s="1"/>
  <c r="J367" i="3"/>
  <c r="K367" i="3" s="1"/>
  <c r="M367" i="3" s="1"/>
  <c r="J368" i="3"/>
  <c r="K368" i="3" s="1"/>
  <c r="M368" i="3" s="1"/>
  <c r="J369" i="3"/>
  <c r="K369" i="3" s="1"/>
  <c r="M369" i="3" s="1"/>
  <c r="J370" i="3"/>
  <c r="K370" i="3" s="1"/>
  <c r="M370" i="3" s="1"/>
  <c r="J371" i="3"/>
  <c r="K371" i="3" s="1"/>
  <c r="M371" i="3" s="1"/>
  <c r="J372" i="3"/>
  <c r="K372" i="3" s="1"/>
  <c r="M372" i="3" s="1"/>
  <c r="J373" i="3"/>
  <c r="K373" i="3" s="1"/>
  <c r="M373" i="3" s="1"/>
  <c r="J374" i="3"/>
  <c r="K374" i="3" s="1"/>
  <c r="M374" i="3" s="1"/>
  <c r="J375" i="3"/>
  <c r="K375" i="3" s="1"/>
  <c r="M375" i="3" s="1"/>
  <c r="J376" i="3"/>
  <c r="K376" i="3" s="1"/>
  <c r="M376" i="3" s="1"/>
  <c r="J377" i="3"/>
  <c r="K377" i="3" s="1"/>
  <c r="M377" i="3" s="1"/>
  <c r="J378" i="3"/>
  <c r="K378" i="3" s="1"/>
  <c r="M378" i="3" s="1"/>
  <c r="J379" i="3"/>
  <c r="K379" i="3" s="1"/>
  <c r="M379" i="3" s="1"/>
  <c r="J380" i="3"/>
  <c r="K380" i="3" s="1"/>
  <c r="M380" i="3" s="1"/>
  <c r="J381" i="3"/>
  <c r="K381" i="3" s="1"/>
  <c r="M381" i="3" s="1"/>
  <c r="J382" i="3"/>
  <c r="K382" i="3" s="1"/>
  <c r="M382" i="3" s="1"/>
  <c r="J383" i="3"/>
  <c r="K383" i="3" s="1"/>
  <c r="M383" i="3" s="1"/>
  <c r="J384" i="3"/>
  <c r="K384" i="3" s="1"/>
  <c r="M384" i="3" s="1"/>
  <c r="J385" i="3"/>
  <c r="K385" i="3" s="1"/>
  <c r="M385" i="3" s="1"/>
  <c r="J386" i="3"/>
  <c r="K386" i="3" s="1"/>
  <c r="M386" i="3" s="1"/>
  <c r="J387" i="3"/>
  <c r="K387" i="3" s="1"/>
  <c r="M387" i="3" s="1"/>
  <c r="J388" i="3"/>
  <c r="K388" i="3" s="1"/>
  <c r="M388" i="3" s="1"/>
  <c r="J389" i="3"/>
  <c r="K389" i="3" s="1"/>
  <c r="M389" i="3" s="1"/>
  <c r="J390" i="3"/>
  <c r="K390" i="3" s="1"/>
  <c r="M390" i="3" s="1"/>
  <c r="J391" i="3"/>
  <c r="K391" i="3" s="1"/>
  <c r="M391" i="3" s="1"/>
  <c r="J392" i="3"/>
  <c r="K392" i="3" s="1"/>
  <c r="M392" i="3" s="1"/>
  <c r="J393" i="3"/>
  <c r="K393" i="3" s="1"/>
  <c r="M393" i="3" s="1"/>
  <c r="J394" i="3"/>
  <c r="K394" i="3" s="1"/>
  <c r="M394" i="3" s="1"/>
  <c r="J395" i="3"/>
  <c r="K395" i="3" s="1"/>
  <c r="M395" i="3" s="1"/>
  <c r="J396" i="3"/>
  <c r="K396" i="3" s="1"/>
  <c r="M396" i="3" s="1"/>
  <c r="J397" i="3"/>
  <c r="K397" i="3" s="1"/>
  <c r="M397" i="3" s="1"/>
  <c r="J398" i="3"/>
  <c r="K398" i="3" s="1"/>
  <c r="M398" i="3" s="1"/>
  <c r="J399" i="3"/>
  <c r="K399" i="3" s="1"/>
  <c r="M399" i="3" s="1"/>
  <c r="J400" i="3"/>
  <c r="K400" i="3" s="1"/>
  <c r="M400" i="3" s="1"/>
  <c r="J401" i="3"/>
  <c r="K401" i="3" s="1"/>
  <c r="M401" i="3" s="1"/>
  <c r="J402" i="3"/>
  <c r="K402" i="3" s="1"/>
  <c r="M402" i="3" s="1"/>
  <c r="J403" i="3"/>
  <c r="K403" i="3" s="1"/>
  <c r="M403" i="3" s="1"/>
  <c r="J404" i="3"/>
  <c r="K404" i="3" s="1"/>
  <c r="M404" i="3" s="1"/>
  <c r="J405" i="3"/>
  <c r="K405" i="3" s="1"/>
  <c r="M405" i="3" s="1"/>
  <c r="J406" i="3"/>
  <c r="K406" i="3" s="1"/>
  <c r="M406" i="3" s="1"/>
  <c r="J407" i="3"/>
  <c r="K407" i="3" s="1"/>
  <c r="M407" i="3" s="1"/>
  <c r="J408" i="3"/>
  <c r="K408" i="3" s="1"/>
  <c r="M408" i="3" s="1"/>
  <c r="J409" i="3"/>
  <c r="K409" i="3" s="1"/>
  <c r="M409" i="3" s="1"/>
  <c r="J410" i="3"/>
  <c r="K410" i="3" s="1"/>
  <c r="M410" i="3" s="1"/>
  <c r="J411" i="3"/>
  <c r="K411" i="3" s="1"/>
  <c r="M411" i="3" s="1"/>
  <c r="J412" i="3"/>
  <c r="K412" i="3" s="1"/>
  <c r="M412" i="3" s="1"/>
  <c r="J413" i="3"/>
  <c r="K413" i="3" s="1"/>
  <c r="M413" i="3" s="1"/>
  <c r="J414" i="3"/>
  <c r="K414" i="3" s="1"/>
  <c r="M414" i="3" s="1"/>
  <c r="J415" i="3"/>
  <c r="K415" i="3" s="1"/>
  <c r="M415" i="3" s="1"/>
  <c r="J416" i="3"/>
  <c r="K416" i="3" s="1"/>
  <c r="M416" i="3" s="1"/>
  <c r="J417" i="3"/>
  <c r="K417" i="3" s="1"/>
  <c r="M417" i="3" s="1"/>
  <c r="J418" i="3"/>
  <c r="K418" i="3" s="1"/>
  <c r="M418" i="3" s="1"/>
  <c r="J419" i="3"/>
  <c r="K419" i="3" s="1"/>
  <c r="M419" i="3" s="1"/>
  <c r="J420" i="3"/>
  <c r="K420" i="3" s="1"/>
  <c r="M420" i="3" s="1"/>
  <c r="J421" i="3"/>
  <c r="K421" i="3" s="1"/>
  <c r="M421" i="3" s="1"/>
  <c r="J422" i="3"/>
  <c r="K422" i="3" s="1"/>
  <c r="M422" i="3" s="1"/>
  <c r="J423" i="3"/>
  <c r="K423" i="3" s="1"/>
  <c r="M423" i="3" s="1"/>
  <c r="J424" i="3"/>
  <c r="K424" i="3" s="1"/>
  <c r="M424" i="3" s="1"/>
  <c r="J425" i="3"/>
  <c r="K425" i="3" s="1"/>
  <c r="M425" i="3" s="1"/>
  <c r="J426" i="3"/>
  <c r="K426" i="3" s="1"/>
  <c r="M426" i="3" s="1"/>
  <c r="J427" i="3"/>
  <c r="K427" i="3" s="1"/>
  <c r="M427" i="3" s="1"/>
  <c r="J428" i="3"/>
  <c r="K428" i="3" s="1"/>
  <c r="M428" i="3" s="1"/>
  <c r="J429" i="3"/>
  <c r="K429" i="3" s="1"/>
  <c r="M429" i="3" s="1"/>
  <c r="J430" i="3"/>
  <c r="K430" i="3" s="1"/>
  <c r="M430" i="3" s="1"/>
  <c r="J431" i="3"/>
  <c r="K431" i="3" s="1"/>
  <c r="M431" i="3" s="1"/>
  <c r="J432" i="3"/>
  <c r="K432" i="3" s="1"/>
  <c r="M432" i="3" s="1"/>
  <c r="J433" i="3"/>
  <c r="K433" i="3" s="1"/>
  <c r="M433" i="3" s="1"/>
  <c r="J434" i="3"/>
  <c r="K434" i="3" s="1"/>
  <c r="M434" i="3" s="1"/>
  <c r="J435" i="3"/>
  <c r="K435" i="3" s="1"/>
  <c r="M435" i="3" s="1"/>
  <c r="J436" i="3"/>
  <c r="K436" i="3" s="1"/>
  <c r="M436" i="3" s="1"/>
  <c r="J437" i="3"/>
  <c r="K437" i="3" s="1"/>
  <c r="M437" i="3" s="1"/>
  <c r="J438" i="3"/>
  <c r="K438" i="3" s="1"/>
  <c r="M438" i="3" s="1"/>
  <c r="J439" i="3"/>
  <c r="K439" i="3" s="1"/>
  <c r="M439" i="3" s="1"/>
  <c r="J440" i="3"/>
  <c r="K440" i="3" s="1"/>
  <c r="M440" i="3" s="1"/>
  <c r="J441" i="3"/>
  <c r="K441" i="3" s="1"/>
  <c r="M441" i="3" s="1"/>
  <c r="J442" i="3"/>
  <c r="K442" i="3" s="1"/>
  <c r="M442" i="3" s="1"/>
  <c r="J443" i="3"/>
  <c r="K443" i="3" s="1"/>
  <c r="M443" i="3" s="1"/>
  <c r="J444" i="3"/>
  <c r="K444" i="3" s="1"/>
  <c r="M444" i="3" s="1"/>
  <c r="J445" i="3"/>
  <c r="K445" i="3" s="1"/>
  <c r="M445" i="3" s="1"/>
  <c r="J446" i="3"/>
  <c r="K446" i="3" s="1"/>
  <c r="M446" i="3" s="1"/>
  <c r="J447" i="3"/>
  <c r="K447" i="3" s="1"/>
  <c r="M447" i="3" s="1"/>
  <c r="J448" i="3"/>
  <c r="K448" i="3" s="1"/>
  <c r="M448" i="3" s="1"/>
  <c r="J449" i="3"/>
  <c r="K449" i="3" s="1"/>
  <c r="M449" i="3" s="1"/>
  <c r="J450" i="3"/>
  <c r="K450" i="3" s="1"/>
  <c r="M450" i="3" s="1"/>
  <c r="J451" i="3"/>
  <c r="K451" i="3" s="1"/>
  <c r="M451" i="3" s="1"/>
  <c r="J452" i="3"/>
  <c r="K452" i="3" s="1"/>
  <c r="M452" i="3" s="1"/>
  <c r="J453" i="3"/>
  <c r="K453" i="3" s="1"/>
  <c r="M453" i="3" s="1"/>
  <c r="J454" i="3"/>
  <c r="K454" i="3" s="1"/>
  <c r="M454" i="3" s="1"/>
  <c r="J455" i="3"/>
  <c r="K455" i="3" s="1"/>
  <c r="M455" i="3" s="1"/>
  <c r="J456" i="3"/>
  <c r="K456" i="3" s="1"/>
  <c r="M456" i="3" s="1"/>
  <c r="J457" i="3"/>
  <c r="K457" i="3" s="1"/>
  <c r="M457" i="3" s="1"/>
  <c r="J458" i="3"/>
  <c r="K458" i="3" s="1"/>
  <c r="M458" i="3" s="1"/>
  <c r="J459" i="3"/>
  <c r="K459" i="3" s="1"/>
  <c r="M459" i="3" s="1"/>
  <c r="J460" i="3"/>
  <c r="K460" i="3" s="1"/>
  <c r="M460" i="3" s="1"/>
  <c r="J461" i="3"/>
  <c r="K461" i="3" s="1"/>
  <c r="M461" i="3" s="1"/>
  <c r="J462" i="3"/>
  <c r="K462" i="3" s="1"/>
  <c r="M462" i="3" s="1"/>
  <c r="J463" i="3"/>
  <c r="K463" i="3" s="1"/>
  <c r="M463" i="3" s="1"/>
  <c r="J464" i="3"/>
  <c r="K464" i="3" s="1"/>
  <c r="M464" i="3" s="1"/>
  <c r="J465" i="3"/>
  <c r="K465" i="3" s="1"/>
  <c r="M465" i="3" s="1"/>
  <c r="J466" i="3"/>
  <c r="K466" i="3" s="1"/>
  <c r="M466" i="3" s="1"/>
  <c r="J467" i="3"/>
  <c r="K467" i="3" s="1"/>
  <c r="M467" i="3" s="1"/>
  <c r="J468" i="3"/>
  <c r="K468" i="3" s="1"/>
  <c r="M468" i="3" s="1"/>
  <c r="J469" i="3"/>
  <c r="K469" i="3" s="1"/>
  <c r="M469" i="3" s="1"/>
  <c r="J470" i="3"/>
  <c r="K470" i="3" s="1"/>
  <c r="M470" i="3" s="1"/>
  <c r="J471" i="3"/>
  <c r="K471" i="3" s="1"/>
  <c r="M471" i="3" s="1"/>
  <c r="J472" i="3"/>
  <c r="K472" i="3" s="1"/>
  <c r="M472" i="3" s="1"/>
  <c r="J473" i="3"/>
  <c r="K473" i="3" s="1"/>
  <c r="M473" i="3" s="1"/>
  <c r="J474" i="3"/>
  <c r="K474" i="3" s="1"/>
  <c r="M474" i="3" s="1"/>
  <c r="J475" i="3"/>
  <c r="K475" i="3" s="1"/>
  <c r="M475" i="3" s="1"/>
  <c r="J476" i="3"/>
  <c r="K476" i="3" s="1"/>
  <c r="M476" i="3" s="1"/>
  <c r="J477" i="3"/>
  <c r="K477" i="3" s="1"/>
  <c r="M477" i="3" s="1"/>
  <c r="J478" i="3"/>
  <c r="K478" i="3" s="1"/>
  <c r="M478" i="3" s="1"/>
  <c r="J481" i="3"/>
  <c r="K481" i="3" s="1"/>
  <c r="M481" i="3" s="1"/>
  <c r="J482" i="3"/>
  <c r="K482" i="3" s="1"/>
  <c r="M482" i="3" s="1"/>
  <c r="J483" i="3"/>
  <c r="K483" i="3" s="1"/>
  <c r="M483" i="3" s="1"/>
  <c r="J484" i="3"/>
  <c r="K484" i="3" s="1"/>
  <c r="M484" i="3" s="1"/>
  <c r="J485" i="3"/>
  <c r="K485" i="3" s="1"/>
  <c r="M485" i="3" s="1"/>
  <c r="J486" i="3"/>
  <c r="K486" i="3" s="1"/>
  <c r="M486" i="3" s="1"/>
  <c r="J487" i="3"/>
  <c r="K487" i="3" s="1"/>
  <c r="M487" i="3" s="1"/>
  <c r="J488" i="3"/>
  <c r="K488" i="3" s="1"/>
  <c r="M488" i="3" s="1"/>
  <c r="J489" i="3"/>
  <c r="K489" i="3" s="1"/>
  <c r="M489" i="3" s="1"/>
  <c r="J490" i="3"/>
  <c r="K490" i="3" s="1"/>
  <c r="M490" i="3" s="1"/>
  <c r="J493" i="3"/>
  <c r="K493" i="3" s="1"/>
  <c r="M493" i="3" s="1"/>
  <c r="J494" i="3"/>
  <c r="K494" i="3" s="1"/>
  <c r="M494" i="3" s="1"/>
  <c r="J495" i="3"/>
  <c r="K495" i="3" s="1"/>
  <c r="M495" i="3" s="1"/>
  <c r="J498" i="3"/>
  <c r="K498" i="3" s="1"/>
  <c r="M498" i="3" s="1"/>
  <c r="J499" i="3"/>
  <c r="K499" i="3" s="1"/>
  <c r="M499" i="3" s="1"/>
  <c r="J501" i="3"/>
  <c r="K501" i="3" s="1"/>
  <c r="M501" i="3" s="1"/>
  <c r="AH258" i="3" l="1"/>
  <c r="AH266" i="3"/>
  <c r="AH164" i="3"/>
  <c r="AH156" i="3"/>
  <c r="AH132" i="3"/>
  <c r="AH123" i="3"/>
  <c r="AH256" i="3"/>
  <c r="AH220" i="3"/>
  <c r="AH204" i="3"/>
  <c r="AH188" i="3"/>
  <c r="AH172" i="3"/>
  <c r="AH140" i="3"/>
  <c r="AH264" i="3"/>
  <c r="AH231" i="3"/>
  <c r="AH212" i="3"/>
  <c r="AH196" i="3"/>
  <c r="AH180" i="3"/>
  <c r="AH148" i="3"/>
  <c r="AH269" i="3"/>
  <c r="AH261" i="3"/>
  <c r="AH234" i="3"/>
  <c r="AH222" i="3"/>
  <c r="AH214" i="3"/>
  <c r="AH206" i="3"/>
  <c r="AH198" i="3"/>
  <c r="AH190" i="3"/>
  <c r="AH182" i="3"/>
  <c r="AH174" i="3"/>
  <c r="AH166" i="3"/>
  <c r="AH158" i="3"/>
  <c r="AH150" i="3"/>
  <c r="AH142" i="3"/>
  <c r="AH134" i="3"/>
  <c r="AH126" i="3"/>
  <c r="AH271" i="3"/>
  <c r="AH263" i="3"/>
  <c r="AH230" i="3"/>
  <c r="AH219" i="3"/>
  <c r="AH211" i="3"/>
  <c r="AH203" i="3"/>
  <c r="AH195" i="3"/>
  <c r="AH187" i="3"/>
  <c r="AH179" i="3"/>
  <c r="AH171" i="3"/>
  <c r="AH163" i="3"/>
  <c r="AH155" i="3"/>
  <c r="AH147" i="3"/>
  <c r="AH139" i="3"/>
  <c r="AH131" i="3"/>
  <c r="AH270" i="3"/>
  <c r="AH262" i="3"/>
  <c r="AH229" i="3"/>
  <c r="AH218" i="3"/>
  <c r="AH210" i="3"/>
  <c r="AH202" i="3"/>
  <c r="AH194" i="3"/>
  <c r="AH186" i="3"/>
  <c r="AH178" i="3"/>
  <c r="AH170" i="3"/>
  <c r="AH162" i="3"/>
  <c r="AH154" i="3"/>
  <c r="AH146" i="3"/>
  <c r="AH138" i="3"/>
  <c r="AH130" i="3"/>
  <c r="AH111" i="3"/>
  <c r="AH236" i="3"/>
  <c r="AH225" i="3"/>
  <c r="AH216" i="3"/>
  <c r="AH208" i="3"/>
  <c r="AH200" i="3"/>
  <c r="AH192" i="3"/>
  <c r="AH184" i="3"/>
  <c r="AH176" i="3"/>
  <c r="AH168" i="3"/>
  <c r="AH160" i="3"/>
  <c r="AH152" i="3"/>
  <c r="AH144" i="3"/>
  <c r="AH136" i="3"/>
  <c r="AH128" i="3"/>
  <c r="AH120" i="3"/>
  <c r="AH267" i="3"/>
  <c r="AH259" i="3"/>
  <c r="AH235" i="3"/>
  <c r="AH223" i="3"/>
  <c r="AH215" i="3"/>
  <c r="AH207" i="3"/>
  <c r="AH199" i="3"/>
  <c r="AH191" i="3"/>
  <c r="AH183" i="3"/>
  <c r="AH175" i="3"/>
  <c r="AH167" i="3"/>
  <c r="AH159" i="3"/>
  <c r="AH151" i="3"/>
  <c r="AH143" i="3"/>
  <c r="AH135" i="3"/>
  <c r="AH127" i="3"/>
  <c r="AH265" i="3"/>
  <c r="AH257" i="3"/>
  <c r="AH233" i="3"/>
  <c r="AH221" i="3"/>
  <c r="AH213" i="3"/>
  <c r="AH205" i="3"/>
  <c r="AH197" i="3"/>
  <c r="AH189" i="3"/>
  <c r="AH181" i="3"/>
  <c r="AH173" i="3"/>
  <c r="AH165" i="3"/>
  <c r="AH157" i="3"/>
  <c r="AH149" i="3"/>
  <c r="AH141" i="3"/>
  <c r="AH133" i="3"/>
  <c r="AH124" i="3"/>
  <c r="AD471" i="3"/>
  <c r="AH471" i="3"/>
  <c r="AD447" i="3"/>
  <c r="AH447" i="3"/>
  <c r="AD423" i="3"/>
  <c r="AH423" i="3"/>
  <c r="AD399" i="3"/>
  <c r="AH399" i="3"/>
  <c r="AD375" i="3"/>
  <c r="AH375" i="3"/>
  <c r="AD359" i="3"/>
  <c r="AH359" i="3"/>
  <c r="AH342" i="3"/>
  <c r="AD342" i="3"/>
  <c r="AH317" i="3"/>
  <c r="AD317" i="3"/>
  <c r="AD284" i="3"/>
  <c r="AH284" i="3"/>
  <c r="AD268" i="3"/>
  <c r="AD228" i="3"/>
  <c r="AD193" i="3"/>
  <c r="AD177" i="3"/>
  <c r="AD153" i="3"/>
  <c r="AD137" i="3"/>
  <c r="AH499" i="3"/>
  <c r="AD499" i="3"/>
  <c r="AD488" i="3"/>
  <c r="AH488" i="3"/>
  <c r="AH422" i="3"/>
  <c r="AD422" i="3"/>
  <c r="AH341" i="3"/>
  <c r="AD341" i="3"/>
  <c r="AH461" i="3"/>
  <c r="AD461" i="3"/>
  <c r="AH429" i="3"/>
  <c r="AD429" i="3"/>
  <c r="AH405" i="3"/>
  <c r="AD405" i="3"/>
  <c r="AH373" i="3"/>
  <c r="AD373" i="3"/>
  <c r="AH348" i="3"/>
  <c r="AD348" i="3"/>
  <c r="AH306" i="3"/>
  <c r="AD306" i="3"/>
  <c r="AD235" i="3"/>
  <c r="AD183" i="3"/>
  <c r="AD143" i="3"/>
  <c r="AD495" i="3"/>
  <c r="AH495" i="3"/>
  <c r="AH460" i="3"/>
  <c r="AD460" i="3"/>
  <c r="AH420" i="3"/>
  <c r="AD420" i="3"/>
  <c r="AH380" i="3"/>
  <c r="AD380" i="3"/>
  <c r="AH330" i="3"/>
  <c r="AD330" i="3"/>
  <c r="AH297" i="3"/>
  <c r="AD297" i="3"/>
  <c r="AD265" i="3"/>
  <c r="AD198" i="3"/>
  <c r="AD182" i="3"/>
  <c r="AD158" i="3"/>
  <c r="AD126" i="3"/>
  <c r="AH467" i="3"/>
  <c r="AD467" i="3"/>
  <c r="AH435" i="3"/>
  <c r="AD435" i="3"/>
  <c r="AH403" i="3"/>
  <c r="AD403" i="3"/>
  <c r="AH363" i="3"/>
  <c r="AD363" i="3"/>
  <c r="AH321" i="3"/>
  <c r="AD321" i="3"/>
  <c r="AD296" i="3"/>
  <c r="AH296" i="3"/>
  <c r="AD264" i="3"/>
  <c r="AD213" i="3"/>
  <c r="AD181" i="3"/>
  <c r="AD149" i="3"/>
  <c r="AD489" i="3"/>
  <c r="AH489" i="3"/>
  <c r="AD455" i="3"/>
  <c r="AH455" i="3"/>
  <c r="AD431" i="3"/>
  <c r="AH431" i="3"/>
  <c r="AD415" i="3"/>
  <c r="AH415" i="3"/>
  <c r="AD391" i="3"/>
  <c r="AH391" i="3"/>
  <c r="AD367" i="3"/>
  <c r="AH367" i="3"/>
  <c r="AH325" i="3"/>
  <c r="AD325" i="3"/>
  <c r="AD292" i="3"/>
  <c r="AH292" i="3"/>
  <c r="AD260" i="3"/>
  <c r="AD201" i="3"/>
  <c r="AD169" i="3"/>
  <c r="AH462" i="3"/>
  <c r="AD462" i="3"/>
  <c r="AH430" i="3"/>
  <c r="AD430" i="3"/>
  <c r="AH406" i="3"/>
  <c r="AD406" i="3"/>
  <c r="AH382" i="3"/>
  <c r="AD382" i="3"/>
  <c r="AD350" i="3"/>
  <c r="AH350" i="3"/>
  <c r="AH316" i="3"/>
  <c r="AD316" i="3"/>
  <c r="AH291" i="3"/>
  <c r="AD291" i="3"/>
  <c r="AH275" i="3"/>
  <c r="AD275" i="3"/>
  <c r="AD259" i="3"/>
  <c r="AD200" i="3"/>
  <c r="AD176" i="3"/>
  <c r="AD152" i="3"/>
  <c r="AD487" i="3"/>
  <c r="AH487" i="3"/>
  <c r="AD453" i="3"/>
  <c r="AH453" i="3"/>
  <c r="AH437" i="3"/>
  <c r="AD437" i="3"/>
  <c r="AH413" i="3"/>
  <c r="AD413" i="3"/>
  <c r="AH381" i="3"/>
  <c r="AD381" i="3"/>
  <c r="AH365" i="3"/>
  <c r="AD365" i="3"/>
  <c r="AH332" i="3"/>
  <c r="AD332" i="3"/>
  <c r="AH314" i="3"/>
  <c r="AD314" i="3"/>
  <c r="AH282" i="3"/>
  <c r="AD282" i="3"/>
  <c r="AD258" i="3"/>
  <c r="AD199" i="3"/>
  <c r="AD159" i="3"/>
  <c r="AH476" i="3"/>
  <c r="AD476" i="3"/>
  <c r="AH452" i="3"/>
  <c r="AD452" i="3"/>
  <c r="AH436" i="3"/>
  <c r="AD436" i="3"/>
  <c r="AH396" i="3"/>
  <c r="AD396" i="3"/>
  <c r="AH372" i="3"/>
  <c r="AD372" i="3"/>
  <c r="AH347" i="3"/>
  <c r="AD347" i="3"/>
  <c r="AH313" i="3"/>
  <c r="AD313" i="3"/>
  <c r="AH281" i="3"/>
  <c r="AD281" i="3"/>
  <c r="AD234" i="3"/>
  <c r="AD222" i="3"/>
  <c r="AD190" i="3"/>
  <c r="AD150" i="3"/>
  <c r="AH485" i="3"/>
  <c r="AD485" i="3"/>
  <c r="AH451" i="3"/>
  <c r="AD451" i="3"/>
  <c r="AH419" i="3"/>
  <c r="AD419" i="3"/>
  <c r="AH387" i="3"/>
  <c r="AD387" i="3"/>
  <c r="AH355" i="3"/>
  <c r="AD355" i="3"/>
  <c r="AH338" i="3"/>
  <c r="AD338" i="3"/>
  <c r="AH304" i="3"/>
  <c r="AD304" i="3"/>
  <c r="AH272" i="3"/>
  <c r="AD272" i="3"/>
  <c r="AD256" i="3"/>
  <c r="AD197" i="3"/>
  <c r="AD173" i="3"/>
  <c r="AD141" i="3"/>
  <c r="AH484" i="3"/>
  <c r="AD484" i="3"/>
  <c r="AH474" i="3"/>
  <c r="AD474" i="3"/>
  <c r="AH466" i="3"/>
  <c r="AD466" i="3"/>
  <c r="AH458" i="3"/>
  <c r="AD458" i="3"/>
  <c r="AH450" i="3"/>
  <c r="AD450" i="3"/>
  <c r="AH442" i="3"/>
  <c r="AD442" i="3"/>
  <c r="AH434" i="3"/>
  <c r="AD434" i="3"/>
  <c r="AH426" i="3"/>
  <c r="AD426" i="3"/>
  <c r="AH418" i="3"/>
  <c r="AD418" i="3"/>
  <c r="AH410" i="3"/>
  <c r="AD410" i="3"/>
  <c r="AH402" i="3"/>
  <c r="AD402" i="3"/>
  <c r="AH394" i="3"/>
  <c r="AD394" i="3"/>
  <c r="AH386" i="3"/>
  <c r="AD386" i="3"/>
  <c r="AH378" i="3"/>
  <c r="AD378" i="3"/>
  <c r="AH370" i="3"/>
  <c r="AD370" i="3"/>
  <c r="AH362" i="3"/>
  <c r="AD362" i="3"/>
  <c r="AH354" i="3"/>
  <c r="AD354" i="3"/>
  <c r="AD345" i="3"/>
  <c r="AH345" i="3"/>
  <c r="AH337" i="3"/>
  <c r="AD337" i="3"/>
  <c r="AD328" i="3"/>
  <c r="AH328" i="3"/>
  <c r="AH320" i="3"/>
  <c r="AD320" i="3"/>
  <c r="AH311" i="3"/>
  <c r="AD311" i="3"/>
  <c r="AD303" i="3"/>
  <c r="AH303" i="3"/>
  <c r="AD295" i="3"/>
  <c r="AH295" i="3"/>
  <c r="AH287" i="3"/>
  <c r="AD287" i="3"/>
  <c r="AD279" i="3"/>
  <c r="AH279" i="3"/>
  <c r="AD271" i="3"/>
  <c r="AD263" i="3"/>
  <c r="AD255" i="3"/>
  <c r="AD231" i="3"/>
  <c r="AD220" i="3"/>
  <c r="AD212" i="3"/>
  <c r="AD204" i="3"/>
  <c r="AD196" i="3"/>
  <c r="AD188" i="3"/>
  <c r="AD180" i="3"/>
  <c r="AD172" i="3"/>
  <c r="AD164" i="3"/>
  <c r="AD156" i="3"/>
  <c r="AD148" i="3"/>
  <c r="AD140" i="3"/>
  <c r="AD132" i="3"/>
  <c r="AD123" i="3"/>
  <c r="AD481" i="3"/>
  <c r="AH481" i="3"/>
  <c r="AD463" i="3"/>
  <c r="AH463" i="3"/>
  <c r="AD439" i="3"/>
  <c r="AH439" i="3"/>
  <c r="AD407" i="3"/>
  <c r="AH407" i="3"/>
  <c r="AD383" i="3"/>
  <c r="AH383" i="3"/>
  <c r="AD351" i="3"/>
  <c r="AH351" i="3"/>
  <c r="AD334" i="3"/>
  <c r="AH334" i="3"/>
  <c r="AH308" i="3"/>
  <c r="AD308" i="3"/>
  <c r="AH300" i="3"/>
  <c r="AD300" i="3"/>
  <c r="AH276" i="3"/>
  <c r="AD276" i="3"/>
  <c r="AD252" i="3"/>
  <c r="AD217" i="3"/>
  <c r="AD209" i="3"/>
  <c r="AD185" i="3"/>
  <c r="AD161" i="3"/>
  <c r="AD145" i="3"/>
  <c r="AD129" i="3"/>
  <c r="AH315" i="3"/>
  <c r="AD315" i="3"/>
  <c r="AH470" i="3"/>
  <c r="AD470" i="3"/>
  <c r="AH438" i="3"/>
  <c r="AD438" i="3"/>
  <c r="AH398" i="3"/>
  <c r="AD398" i="3"/>
  <c r="AH366" i="3"/>
  <c r="AD366" i="3"/>
  <c r="AD333" i="3"/>
  <c r="AH333" i="3"/>
  <c r="AH307" i="3"/>
  <c r="AD307" i="3"/>
  <c r="AD267" i="3"/>
  <c r="AD225" i="3"/>
  <c r="AD184" i="3"/>
  <c r="AD160" i="3"/>
  <c r="AD136" i="3"/>
  <c r="AH477" i="3"/>
  <c r="AD477" i="3"/>
  <c r="AH445" i="3"/>
  <c r="AD445" i="3"/>
  <c r="AD397" i="3"/>
  <c r="AH397" i="3"/>
  <c r="AD357" i="3"/>
  <c r="AH357" i="3"/>
  <c r="AH323" i="3"/>
  <c r="AD323" i="3"/>
  <c r="AH290" i="3"/>
  <c r="AD290" i="3"/>
  <c r="AH274" i="3"/>
  <c r="AD274" i="3"/>
  <c r="AD215" i="3"/>
  <c r="AD191" i="3"/>
  <c r="AD167" i="3"/>
  <c r="AD135" i="3"/>
  <c r="AH468" i="3"/>
  <c r="AD468" i="3"/>
  <c r="AH428" i="3"/>
  <c r="AD428" i="3"/>
  <c r="AH404" i="3"/>
  <c r="AD404" i="3"/>
  <c r="AH364" i="3"/>
  <c r="AD364" i="3"/>
  <c r="AH339" i="3"/>
  <c r="AD339" i="3"/>
  <c r="AH305" i="3"/>
  <c r="AD305" i="3"/>
  <c r="AH273" i="3"/>
  <c r="AD273" i="3"/>
  <c r="AD206" i="3"/>
  <c r="AD166" i="3"/>
  <c r="AD134" i="3"/>
  <c r="AH494" i="3"/>
  <c r="AD494" i="3"/>
  <c r="AH459" i="3"/>
  <c r="AD459" i="3"/>
  <c r="AH411" i="3"/>
  <c r="AD411" i="3"/>
  <c r="AH371" i="3"/>
  <c r="AD371" i="3"/>
  <c r="AH329" i="3"/>
  <c r="AD329" i="3"/>
  <c r="AD280" i="3"/>
  <c r="AH280" i="3"/>
  <c r="AD221" i="3"/>
  <c r="AD189" i="3"/>
  <c r="AD157" i="3"/>
  <c r="AD124" i="3"/>
  <c r="AH493" i="3"/>
  <c r="AD493" i="3"/>
  <c r="AH483" i="3"/>
  <c r="AD483" i="3"/>
  <c r="AD465" i="3"/>
  <c r="AH465" i="3"/>
  <c r="AD457" i="3"/>
  <c r="AH457" i="3"/>
  <c r="AD449" i="3"/>
  <c r="AH449" i="3"/>
  <c r="AD441" i="3"/>
  <c r="AH441" i="3"/>
  <c r="AD433" i="3"/>
  <c r="AH433" i="3"/>
  <c r="AD425" i="3"/>
  <c r="AH425" i="3"/>
  <c r="AD417" i="3"/>
  <c r="AH417" i="3"/>
  <c r="AD409" i="3"/>
  <c r="AH409" i="3"/>
  <c r="AD401" i="3"/>
  <c r="AH401" i="3"/>
  <c r="AD393" i="3"/>
  <c r="AH393" i="3"/>
  <c r="AD385" i="3"/>
  <c r="AH385" i="3"/>
  <c r="AD377" i="3"/>
  <c r="AH377" i="3"/>
  <c r="AD369" i="3"/>
  <c r="AH369" i="3"/>
  <c r="AD361" i="3"/>
  <c r="AH361" i="3"/>
  <c r="AD353" i="3"/>
  <c r="AH353" i="3"/>
  <c r="AD344" i="3"/>
  <c r="AH344" i="3"/>
  <c r="AH336" i="3"/>
  <c r="AD336" i="3"/>
  <c r="AH327" i="3"/>
  <c r="AD327" i="3"/>
  <c r="AH319" i="3"/>
  <c r="AD319" i="3"/>
  <c r="AD310" i="3"/>
  <c r="AH310" i="3"/>
  <c r="AH302" i="3"/>
  <c r="AD302" i="3"/>
  <c r="AH294" i="3"/>
  <c r="AD294" i="3"/>
  <c r="AH286" i="3"/>
  <c r="AD286" i="3"/>
  <c r="AD278" i="3"/>
  <c r="AH278" i="3"/>
  <c r="AD270" i="3"/>
  <c r="AD262" i="3"/>
  <c r="AD254" i="3"/>
  <c r="AD230" i="3"/>
  <c r="AD219" i="3"/>
  <c r="AD211" i="3"/>
  <c r="AD203" i="3"/>
  <c r="AD195" i="3"/>
  <c r="AD187" i="3"/>
  <c r="AD179" i="3"/>
  <c r="AD171" i="3"/>
  <c r="AD163" i="3"/>
  <c r="AD155" i="3"/>
  <c r="AD147" i="3"/>
  <c r="AD139" i="3"/>
  <c r="AD131" i="3"/>
  <c r="AD120" i="3"/>
  <c r="AD478" i="3"/>
  <c r="AH478" i="3"/>
  <c r="AH454" i="3"/>
  <c r="AD454" i="3"/>
  <c r="AH446" i="3"/>
  <c r="AD446" i="3"/>
  <c r="AD414" i="3"/>
  <c r="AH414" i="3"/>
  <c r="AH390" i="3"/>
  <c r="AD390" i="3"/>
  <c r="AH374" i="3"/>
  <c r="AD374" i="3"/>
  <c r="AH358" i="3"/>
  <c r="AD358" i="3"/>
  <c r="AH324" i="3"/>
  <c r="AD324" i="3"/>
  <c r="AH299" i="3"/>
  <c r="AD299" i="3"/>
  <c r="AH283" i="3"/>
  <c r="AD283" i="3"/>
  <c r="AD236" i="3"/>
  <c r="AD216" i="3"/>
  <c r="AD208" i="3"/>
  <c r="AD192" i="3"/>
  <c r="AD168" i="3"/>
  <c r="AD144" i="3"/>
  <c r="AD128" i="3"/>
  <c r="AH498" i="3"/>
  <c r="AD498" i="3"/>
  <c r="AH469" i="3"/>
  <c r="AD469" i="3"/>
  <c r="AH421" i="3"/>
  <c r="AD421" i="3"/>
  <c r="AD389" i="3"/>
  <c r="AH389" i="3"/>
  <c r="AH340" i="3"/>
  <c r="AD340" i="3"/>
  <c r="AH298" i="3"/>
  <c r="AD298" i="3"/>
  <c r="AD266" i="3"/>
  <c r="AD223" i="3"/>
  <c r="AD207" i="3"/>
  <c r="AD175" i="3"/>
  <c r="AD151" i="3"/>
  <c r="AD127" i="3"/>
  <c r="AH486" i="3"/>
  <c r="AD486" i="3"/>
  <c r="AH444" i="3"/>
  <c r="AD444" i="3"/>
  <c r="AH412" i="3"/>
  <c r="AD412" i="3"/>
  <c r="AH388" i="3"/>
  <c r="AD388" i="3"/>
  <c r="AH356" i="3"/>
  <c r="AD356" i="3"/>
  <c r="AH322" i="3"/>
  <c r="AD322" i="3"/>
  <c r="AH289" i="3"/>
  <c r="AD289" i="3"/>
  <c r="AD257" i="3"/>
  <c r="AD214" i="3"/>
  <c r="AD174" i="3"/>
  <c r="AD142" i="3"/>
  <c r="AH475" i="3"/>
  <c r="AD475" i="3"/>
  <c r="AH443" i="3"/>
  <c r="AD443" i="3"/>
  <c r="AH427" i="3"/>
  <c r="AD427" i="3"/>
  <c r="AH395" i="3"/>
  <c r="AD395" i="3"/>
  <c r="AH379" i="3"/>
  <c r="AD379" i="3"/>
  <c r="AH346" i="3"/>
  <c r="AD346" i="3"/>
  <c r="AH312" i="3"/>
  <c r="AD312" i="3"/>
  <c r="AH288" i="3"/>
  <c r="AD288" i="3"/>
  <c r="AD233" i="3"/>
  <c r="AD205" i="3"/>
  <c r="AD165" i="3"/>
  <c r="AD133" i="3"/>
  <c r="AD473" i="3"/>
  <c r="AH473" i="3"/>
  <c r="AH490" i="3"/>
  <c r="AD490" i="3"/>
  <c r="AH482" i="3"/>
  <c r="AD482" i="3"/>
  <c r="AD472" i="3"/>
  <c r="AH472" i="3"/>
  <c r="AD464" i="3"/>
  <c r="AH464" i="3"/>
  <c r="AD456" i="3"/>
  <c r="AH456" i="3"/>
  <c r="AD448" i="3"/>
  <c r="AH448" i="3"/>
  <c r="AD440" i="3"/>
  <c r="AH440" i="3"/>
  <c r="AD432" i="3"/>
  <c r="AH432" i="3"/>
  <c r="AD424" i="3"/>
  <c r="AH424" i="3"/>
  <c r="AD416" i="3"/>
  <c r="AH416" i="3"/>
  <c r="AD408" i="3"/>
  <c r="AH408" i="3"/>
  <c r="AD400" i="3"/>
  <c r="AH400" i="3"/>
  <c r="AD392" i="3"/>
  <c r="AH392" i="3"/>
  <c r="AD384" i="3"/>
  <c r="AH384" i="3"/>
  <c r="AD376" i="3"/>
  <c r="AH376" i="3"/>
  <c r="AD368" i="3"/>
  <c r="AH368" i="3"/>
  <c r="AD360" i="3"/>
  <c r="AH360" i="3"/>
  <c r="AD352" i="3"/>
  <c r="AH352" i="3"/>
  <c r="AD343" i="3"/>
  <c r="AH343" i="3"/>
  <c r="AH335" i="3"/>
  <c r="AD335" i="3"/>
  <c r="AH326" i="3"/>
  <c r="AD326" i="3"/>
  <c r="AH318" i="3"/>
  <c r="AD318" i="3"/>
  <c r="AD309" i="3"/>
  <c r="AH309" i="3"/>
  <c r="AH301" i="3"/>
  <c r="AD301" i="3"/>
  <c r="AD293" i="3"/>
  <c r="AH293" i="3"/>
  <c r="AD285" i="3"/>
  <c r="AH285" i="3"/>
  <c r="AH277" i="3"/>
  <c r="AD277" i="3"/>
  <c r="AD269" i="3"/>
  <c r="AD261" i="3"/>
  <c r="AD253" i="3"/>
  <c r="AD229" i="3"/>
  <c r="AD218" i="3"/>
  <c r="AD210" i="3"/>
  <c r="AD202" i="3"/>
  <c r="AD194" i="3"/>
  <c r="AD186" i="3"/>
  <c r="AD178" i="3"/>
  <c r="AD170" i="3"/>
  <c r="AD162" i="3"/>
  <c r="AD154" i="3"/>
  <c r="AD146" i="3"/>
  <c r="AD138" i="3"/>
  <c r="AD130" i="3"/>
  <c r="AD111" i="3"/>
  <c r="AD501" i="3"/>
  <c r="AH501" i="3"/>
  <c r="O113" i="3"/>
  <c r="P113" i="3" s="1"/>
  <c r="R113" i="3" s="1"/>
  <c r="J118" i="3"/>
  <c r="K118" i="3" s="1"/>
  <c r="M118" i="3" s="1"/>
  <c r="V109" i="3"/>
  <c r="AC107" i="3"/>
  <c r="AC116" i="3"/>
  <c r="AC108" i="3"/>
  <c r="AC117" i="3"/>
  <c r="AC101" i="3"/>
  <c r="AC109" i="3"/>
  <c r="AC118" i="3"/>
  <c r="AC102" i="3"/>
  <c r="AC110" i="3"/>
  <c r="AC119" i="3"/>
  <c r="AC103" i="3"/>
  <c r="AC112" i="3"/>
  <c r="AC121" i="3"/>
  <c r="AG104" i="3"/>
  <c r="AC104" i="3"/>
  <c r="AG113" i="3"/>
  <c r="AC113" i="3"/>
  <c r="AG122" i="3"/>
  <c r="AC122" i="3"/>
  <c r="Q122" i="3"/>
  <c r="AG105" i="3"/>
  <c r="AC105" i="3"/>
  <c r="AG114" i="3"/>
  <c r="AC114" i="3"/>
  <c r="AG125" i="3"/>
  <c r="AC125" i="3"/>
  <c r="AG106" i="3"/>
  <c r="AC106" i="3"/>
  <c r="AG115" i="3"/>
  <c r="AC115" i="3"/>
  <c r="AG107" i="3"/>
  <c r="AG116" i="3"/>
  <c r="AG108" i="3"/>
  <c r="AG117" i="3"/>
  <c r="AG101" i="3"/>
  <c r="AG109" i="3"/>
  <c r="AG118" i="3"/>
  <c r="AG102" i="3"/>
  <c r="AG110" i="3"/>
  <c r="AG119" i="3"/>
  <c r="AG103" i="3"/>
  <c r="AG112" i="3"/>
  <c r="AG121" i="3"/>
  <c r="J105" i="3"/>
  <c r="K105" i="3" s="1"/>
  <c r="M105" i="3" s="1"/>
  <c r="L125" i="3"/>
  <c r="L107" i="3"/>
  <c r="L116" i="3"/>
  <c r="J103" i="3"/>
  <c r="K103" i="3" s="1"/>
  <c r="M103" i="3" s="1"/>
  <c r="L112" i="3"/>
  <c r="L121" i="3"/>
  <c r="L105" i="3"/>
  <c r="V101" i="3"/>
  <c r="J112" i="3"/>
  <c r="K112" i="3" s="1"/>
  <c r="M112" i="3" s="1"/>
  <c r="L103" i="3"/>
  <c r="J121" i="3"/>
  <c r="K121" i="3" s="1"/>
  <c r="M121" i="3" s="1"/>
  <c r="T118" i="3"/>
  <c r="U118" i="3" s="1"/>
  <c r="W118" i="3" s="1"/>
  <c r="O108" i="3"/>
  <c r="P108" i="3" s="1"/>
  <c r="R108" i="3" s="1"/>
  <c r="T121" i="3"/>
  <c r="U121" i="3" s="1"/>
  <c r="W121" i="3" s="1"/>
  <c r="AJ321" i="3"/>
  <c r="J116" i="3"/>
  <c r="K116" i="3" s="1"/>
  <c r="M116" i="3" s="1"/>
  <c r="J107" i="3"/>
  <c r="K107" i="3" s="1"/>
  <c r="M107" i="3" s="1"/>
  <c r="T125" i="3"/>
  <c r="U125" i="3" s="1"/>
  <c r="W125" i="3" s="1"/>
  <c r="T105" i="3"/>
  <c r="U105" i="3" s="1"/>
  <c r="W105" i="3" s="1"/>
  <c r="T113" i="3"/>
  <c r="U113" i="3" s="1"/>
  <c r="W113" i="3" s="1"/>
  <c r="V122" i="3"/>
  <c r="V104" i="3"/>
  <c r="AJ428" i="3"/>
  <c r="AJ388" i="3"/>
  <c r="AJ372" i="3"/>
  <c r="AJ347" i="3"/>
  <c r="AJ490" i="3"/>
  <c r="AJ452" i="3"/>
  <c r="AJ400" i="3"/>
  <c r="AE105" i="3"/>
  <c r="AI105" i="3" s="1"/>
  <c r="AE114" i="3"/>
  <c r="AI114" i="3" s="1"/>
  <c r="AE125" i="3"/>
  <c r="AI125" i="3" s="1"/>
  <c r="AE107" i="3"/>
  <c r="AI107" i="3" s="1"/>
  <c r="AE116" i="3"/>
  <c r="AI116" i="3" s="1"/>
  <c r="AE106" i="3"/>
  <c r="AJ279" i="3"/>
  <c r="J108" i="3"/>
  <c r="K108" i="3" s="1"/>
  <c r="M108" i="3" s="1"/>
  <c r="AE108" i="3"/>
  <c r="AI108" i="3" s="1"/>
  <c r="AE117" i="3"/>
  <c r="AI117" i="3" s="1"/>
  <c r="O101" i="3"/>
  <c r="P101" i="3" s="1"/>
  <c r="R101" i="3" s="1"/>
  <c r="Q109" i="3"/>
  <c r="AJ472" i="3"/>
  <c r="AJ432" i="3"/>
  <c r="AJ352" i="3"/>
  <c r="AE101" i="3"/>
  <c r="AI101" i="3" s="1"/>
  <c r="AE109" i="3"/>
  <c r="AI109" i="3" s="1"/>
  <c r="AE118" i="3"/>
  <c r="AI118" i="3" s="1"/>
  <c r="AE115" i="3"/>
  <c r="AI115" i="3" s="1"/>
  <c r="Q118" i="3"/>
  <c r="AH118" i="3" s="1"/>
  <c r="V114" i="3"/>
  <c r="AE102" i="3"/>
  <c r="AE110" i="3"/>
  <c r="AE119" i="3"/>
  <c r="AI119" i="3" s="1"/>
  <c r="AE104" i="3"/>
  <c r="AI104" i="3" s="1"/>
  <c r="J113" i="3"/>
  <c r="K113" i="3" s="1"/>
  <c r="M113" i="3" s="1"/>
  <c r="AE113" i="3"/>
  <c r="AI113" i="3" s="1"/>
  <c r="AE122" i="3"/>
  <c r="AI122" i="3" s="1"/>
  <c r="AE103" i="3"/>
  <c r="AE112" i="3"/>
  <c r="AI112" i="3" s="1"/>
  <c r="AE121" i="3"/>
  <c r="AI121" i="3" s="1"/>
  <c r="AJ404" i="3"/>
  <c r="AJ392" i="3"/>
  <c r="AJ364" i="3"/>
  <c r="AJ315" i="3"/>
  <c r="AJ448" i="3"/>
  <c r="AJ408" i="3"/>
  <c r="AJ339" i="3"/>
  <c r="AJ468" i="3"/>
  <c r="AJ456" i="3"/>
  <c r="AJ444" i="3"/>
  <c r="AJ416" i="3"/>
  <c r="AJ335" i="3"/>
  <c r="AJ287" i="3"/>
  <c r="AJ311" i="3"/>
  <c r="AJ464" i="3"/>
  <c r="AJ436" i="3"/>
  <c r="AJ424" i="3"/>
  <c r="AJ412" i="3"/>
  <c r="AJ384" i="3"/>
  <c r="AJ356" i="3"/>
  <c r="AJ343" i="3"/>
  <c r="AJ295" i="3"/>
  <c r="AJ271" i="3"/>
  <c r="AJ488" i="3"/>
  <c r="AJ476" i="3"/>
  <c r="AJ368" i="3"/>
  <c r="AJ380" i="3"/>
  <c r="AJ303" i="3"/>
  <c r="AJ154" i="3"/>
  <c r="AJ299" i="3"/>
  <c r="AJ275" i="3"/>
  <c r="AJ283" i="3"/>
  <c r="AJ259" i="3"/>
  <c r="AJ307" i="3"/>
  <c r="AJ267" i="3"/>
  <c r="AJ499" i="3"/>
  <c r="AJ420" i="3"/>
  <c r="AJ396" i="3"/>
  <c r="AJ484" i="3"/>
  <c r="AJ460" i="3"/>
  <c r="AJ325" i="3"/>
  <c r="AJ291" i="3"/>
  <c r="O114" i="3"/>
  <c r="P114" i="3" s="1"/>
  <c r="R114" i="3" s="1"/>
  <c r="Q125" i="3"/>
  <c r="T108" i="3"/>
  <c r="U108" i="3" s="1"/>
  <c r="W108" i="3" s="1"/>
  <c r="Q105" i="3"/>
  <c r="V117" i="3"/>
  <c r="AJ263" i="3"/>
  <c r="J125" i="3"/>
  <c r="K125" i="3" s="1"/>
  <c r="M125" i="3" s="1"/>
  <c r="Q117" i="3"/>
  <c r="L101" i="3"/>
  <c r="O104" i="3"/>
  <c r="P104" i="3" s="1"/>
  <c r="R104" i="3" s="1"/>
  <c r="T112" i="3"/>
  <c r="U112" i="3" s="1"/>
  <c r="W112" i="3" s="1"/>
  <c r="J109" i="3"/>
  <c r="K109" i="3" s="1"/>
  <c r="M109" i="3" s="1"/>
  <c r="J101" i="3"/>
  <c r="K101" i="3" s="1"/>
  <c r="M101" i="3" s="1"/>
  <c r="L109" i="3"/>
  <c r="J114" i="3"/>
  <c r="K114" i="3" s="1"/>
  <c r="M114" i="3" s="1"/>
  <c r="L114" i="3"/>
  <c r="T116" i="3"/>
  <c r="U116" i="3" s="1"/>
  <c r="W116" i="3" s="1"/>
  <c r="AJ333" i="3"/>
  <c r="AJ401" i="3"/>
  <c r="AJ498" i="3"/>
  <c r="AJ483" i="3"/>
  <c r="AJ467" i="3"/>
  <c r="AJ463" i="3"/>
  <c r="AJ451" i="3"/>
  <c r="AJ447" i="3"/>
  <c r="AJ435" i="3"/>
  <c r="AJ431" i="3"/>
  <c r="AJ419" i="3"/>
  <c r="AJ415" i="3"/>
  <c r="AJ403" i="3"/>
  <c r="AJ399" i="3"/>
  <c r="AJ383" i="3"/>
  <c r="AJ371" i="3"/>
  <c r="AJ367" i="3"/>
  <c r="AJ355" i="3"/>
  <c r="AJ351" i="3"/>
  <c r="AJ338" i="3"/>
  <c r="AJ324" i="3"/>
  <c r="AJ314" i="3"/>
  <c r="AJ298" i="3"/>
  <c r="AJ294" i="3"/>
  <c r="AJ282" i="3"/>
  <c r="AJ278" i="3"/>
  <c r="AJ266" i="3"/>
  <c r="AJ262" i="3"/>
  <c r="AJ234" i="3"/>
  <c r="O112" i="3"/>
  <c r="P112" i="3" s="1"/>
  <c r="R112" i="3" s="1"/>
  <c r="AJ120" i="3"/>
  <c r="Q112" i="3"/>
  <c r="AF298" i="3"/>
  <c r="L113" i="3"/>
  <c r="AH113" i="3" s="1"/>
  <c r="L108" i="3"/>
  <c r="AH108" i="3" s="1"/>
  <c r="AF475" i="3"/>
  <c r="AF411" i="3"/>
  <c r="AF346" i="3"/>
  <c r="AF290" i="3"/>
  <c r="Q107" i="3"/>
  <c r="L122" i="3"/>
  <c r="O116" i="3"/>
  <c r="P116" i="3" s="1"/>
  <c r="R116" i="3" s="1"/>
  <c r="Q116" i="3"/>
  <c r="L117" i="3"/>
  <c r="J104" i="3"/>
  <c r="K104" i="3" s="1"/>
  <c r="M104" i="3" s="1"/>
  <c r="Q121" i="3"/>
  <c r="J122" i="3"/>
  <c r="K122" i="3" s="1"/>
  <c r="M122" i="3" s="1"/>
  <c r="J117" i="3"/>
  <c r="K117" i="3" s="1"/>
  <c r="M117" i="3" s="1"/>
  <c r="L104" i="3"/>
  <c r="O103" i="3"/>
  <c r="P103" i="3" s="1"/>
  <c r="R103" i="3" s="1"/>
  <c r="AI493" i="3"/>
  <c r="AJ493" i="3" s="1"/>
  <c r="AF493" i="3"/>
  <c r="AI387" i="3"/>
  <c r="AJ387" i="3" s="1"/>
  <c r="AF387" i="3"/>
  <c r="AI334" i="3"/>
  <c r="AJ334" i="3" s="1"/>
  <c r="AF334" i="3"/>
  <c r="AF310" i="3"/>
  <c r="AI310" i="3"/>
  <c r="AJ310" i="3" s="1"/>
  <c r="AJ208" i="3"/>
  <c r="AJ204" i="3"/>
  <c r="AJ200" i="3"/>
  <c r="AJ196" i="3"/>
  <c r="AJ192" i="3"/>
  <c r="AJ188" i="3"/>
  <c r="AJ184" i="3"/>
  <c r="AJ180" i="3"/>
  <c r="AJ176" i="3"/>
  <c r="AJ169" i="3"/>
  <c r="AJ158" i="3"/>
  <c r="AJ123" i="3"/>
  <c r="AJ501" i="3"/>
  <c r="AJ494" i="3"/>
  <c r="AJ489" i="3"/>
  <c r="AJ481" i="3"/>
  <c r="AJ473" i="3"/>
  <c r="AJ469" i="3"/>
  <c r="AJ453" i="3"/>
  <c r="AJ449" i="3"/>
  <c r="AJ437" i="3"/>
  <c r="AJ417" i="3"/>
  <c r="AJ405" i="3"/>
  <c r="AJ389" i="3"/>
  <c r="AJ385" i="3"/>
  <c r="AJ373" i="3"/>
  <c r="AJ369" i="3"/>
  <c r="AJ353" i="3"/>
  <c r="AJ340" i="3"/>
  <c r="AJ329" i="3"/>
  <c r="AJ326" i="3"/>
  <c r="AJ322" i="3"/>
  <c r="AJ316" i="3"/>
  <c r="AJ312" i="3"/>
  <c r="AJ296" i="3"/>
  <c r="AJ284" i="3"/>
  <c r="AJ264" i="3"/>
  <c r="AJ252" i="3"/>
  <c r="AJ203" i="3"/>
  <c r="AJ199" i="3"/>
  <c r="AJ187" i="3"/>
  <c r="AJ183" i="3"/>
  <c r="AJ157" i="3"/>
  <c r="AJ111" i="3"/>
  <c r="AJ433" i="3"/>
  <c r="AJ268" i="3"/>
  <c r="AJ233" i="3"/>
  <c r="AJ228" i="3"/>
  <c r="AJ236" i="3"/>
  <c r="AJ231" i="3"/>
  <c r="AJ220" i="3"/>
  <c r="AJ216" i="3"/>
  <c r="AJ212" i="3"/>
  <c r="AJ219" i="3"/>
  <c r="AJ215" i="3"/>
  <c r="AJ225" i="3"/>
  <c r="AJ221" i="3"/>
  <c r="AJ209" i="3"/>
  <c r="AJ201" i="3"/>
  <c r="AJ193" i="3"/>
  <c r="AF192" i="3"/>
  <c r="AJ167" i="3"/>
  <c r="AJ181" i="3"/>
  <c r="AJ162" i="3"/>
  <c r="AI440" i="3"/>
  <c r="AJ440" i="3" s="1"/>
  <c r="AF440" i="3"/>
  <c r="AI376" i="3"/>
  <c r="AJ376" i="3" s="1"/>
  <c r="AF376" i="3"/>
  <c r="AI319" i="3"/>
  <c r="AJ319" i="3" s="1"/>
  <c r="AF319" i="3"/>
  <c r="AI255" i="3"/>
  <c r="AJ255" i="3" s="1"/>
  <c r="AF255" i="3"/>
  <c r="AF483" i="3"/>
  <c r="AF431" i="3"/>
  <c r="AF324" i="3"/>
  <c r="AF278" i="3"/>
  <c r="AF236" i="3"/>
  <c r="AF183" i="3"/>
  <c r="AF474" i="3"/>
  <c r="AF410" i="3"/>
  <c r="AF345" i="3"/>
  <c r="AF289" i="3"/>
  <c r="AF174" i="3"/>
  <c r="AF463" i="3"/>
  <c r="AF419" i="3"/>
  <c r="AF367" i="3"/>
  <c r="AF266" i="3"/>
  <c r="AF215" i="3"/>
  <c r="AF157" i="3"/>
  <c r="AI289" i="3"/>
  <c r="AJ289" i="3" s="1"/>
  <c r="AI174" i="3"/>
  <c r="AJ174" i="3" s="1"/>
  <c r="AF451" i="3"/>
  <c r="AF399" i="3"/>
  <c r="AF355" i="3"/>
  <c r="AF203" i="3"/>
  <c r="AI410" i="3"/>
  <c r="AJ410" i="3" s="1"/>
  <c r="AF494" i="3"/>
  <c r="AF489" i="3"/>
  <c r="AF481" i="3"/>
  <c r="AF473" i="3"/>
  <c r="AF469" i="3"/>
  <c r="AF465" i="3"/>
  <c r="AF457" i="3"/>
  <c r="AF449" i="3"/>
  <c r="AF441" i="3"/>
  <c r="AF433" i="3"/>
  <c r="AF425" i="3"/>
  <c r="AF417" i="3"/>
  <c r="AF409" i="3"/>
  <c r="AF401" i="3"/>
  <c r="AF393" i="3"/>
  <c r="AF385" i="3"/>
  <c r="AF377" i="3"/>
  <c r="AF373" i="3"/>
  <c r="AF365" i="3"/>
  <c r="AF357" i="3"/>
  <c r="AF348" i="3"/>
  <c r="AF340" i="3"/>
  <c r="AF326" i="3"/>
  <c r="AF322" i="3"/>
  <c r="AF320" i="3"/>
  <c r="AF312" i="3"/>
  <c r="AF304" i="3"/>
  <c r="AF296" i="3"/>
  <c r="AF288" i="3"/>
  <c r="AF284" i="3"/>
  <c r="AF276" i="3"/>
  <c r="AF268" i="3"/>
  <c r="AF260" i="3"/>
  <c r="AF252" i="3"/>
  <c r="AF234" i="3"/>
  <c r="AF225" i="3"/>
  <c r="AF217" i="3"/>
  <c r="AF209" i="3"/>
  <c r="AF201" i="3"/>
  <c r="AF197" i="3"/>
  <c r="AF189" i="3"/>
  <c r="AF181" i="3"/>
  <c r="AF173" i="3"/>
  <c r="AF166" i="3"/>
  <c r="AF461" i="3"/>
  <c r="AF501" i="3"/>
  <c r="AF485" i="3"/>
  <c r="AF477" i="3"/>
  <c r="AF453" i="3"/>
  <c r="AF445" i="3"/>
  <c r="AF437" i="3"/>
  <c r="AF429" i="3"/>
  <c r="AF421" i="3"/>
  <c r="AF413" i="3"/>
  <c r="AF405" i="3"/>
  <c r="AF397" i="3"/>
  <c r="AF389" i="3"/>
  <c r="AF381" i="3"/>
  <c r="AF369" i="3"/>
  <c r="AF361" i="3"/>
  <c r="AF353" i="3"/>
  <c r="AF344" i="3"/>
  <c r="AF336" i="3"/>
  <c r="AF329" i="3"/>
  <c r="AF316" i="3"/>
  <c r="AF308" i="3"/>
  <c r="AF300" i="3"/>
  <c r="AF292" i="3"/>
  <c r="AF280" i="3"/>
  <c r="AF272" i="3"/>
  <c r="AF264" i="3"/>
  <c r="AF256" i="3"/>
  <c r="AF229" i="3"/>
  <c r="AF221" i="3"/>
  <c r="AF213" i="3"/>
  <c r="AF205" i="3"/>
  <c r="AF193" i="3"/>
  <c r="AF185" i="3"/>
  <c r="AF177" i="3"/>
  <c r="AF170" i="3"/>
  <c r="AF315" i="3"/>
  <c r="AF283" i="3"/>
  <c r="AF271" i="3"/>
  <c r="AF220" i="3"/>
  <c r="AF188" i="3"/>
  <c r="AF176" i="3"/>
  <c r="AF452" i="3"/>
  <c r="AF204" i="3"/>
  <c r="AF472" i="3"/>
  <c r="AF408" i="3"/>
  <c r="AF343" i="3"/>
  <c r="AF287" i="3"/>
  <c r="AF154" i="3"/>
  <c r="AI474" i="3"/>
  <c r="AJ474" i="3" s="1"/>
  <c r="AI345" i="3"/>
  <c r="AJ345" i="3" s="1"/>
  <c r="AF499" i="3"/>
  <c r="AF488" i="3"/>
  <c r="AF468" i="3"/>
  <c r="AF456" i="3"/>
  <c r="AF436" i="3"/>
  <c r="AF424" i="3"/>
  <c r="AF404" i="3"/>
  <c r="AF392" i="3"/>
  <c r="AF372" i="3"/>
  <c r="AF360" i="3"/>
  <c r="AF339" i="3"/>
  <c r="AF303" i="3"/>
  <c r="AF208" i="3"/>
  <c r="AF167" i="3"/>
  <c r="AF388" i="3"/>
  <c r="AF325" i="3"/>
  <c r="AF267" i="3"/>
  <c r="AI495" i="3"/>
  <c r="AJ495" i="3" s="1"/>
  <c r="AF495" i="3"/>
  <c r="AF486" i="3"/>
  <c r="AI486" i="3"/>
  <c r="AJ486" i="3" s="1"/>
  <c r="AI482" i="3"/>
  <c r="AJ482" i="3" s="1"/>
  <c r="AF482" i="3"/>
  <c r="AI478" i="3"/>
  <c r="AJ478" i="3" s="1"/>
  <c r="AF478" i="3"/>
  <c r="AF470" i="3"/>
  <c r="AI470" i="3"/>
  <c r="AJ470" i="3" s="1"/>
  <c r="AI466" i="3"/>
  <c r="AJ466" i="3" s="1"/>
  <c r="AF466" i="3"/>
  <c r="AI462" i="3"/>
  <c r="AJ462" i="3" s="1"/>
  <c r="AF462" i="3"/>
  <c r="AI458" i="3"/>
  <c r="AJ458" i="3" s="1"/>
  <c r="AF458" i="3"/>
  <c r="AF454" i="3"/>
  <c r="AI454" i="3"/>
  <c r="AJ454" i="3" s="1"/>
  <c r="AI450" i="3"/>
  <c r="AJ450" i="3" s="1"/>
  <c r="AF450" i="3"/>
  <c r="AI446" i="3"/>
  <c r="AJ446" i="3" s="1"/>
  <c r="AF446" i="3"/>
  <c r="AF442" i="3"/>
  <c r="AI442" i="3"/>
  <c r="AJ442" i="3" s="1"/>
  <c r="AF438" i="3"/>
  <c r="AI438" i="3"/>
  <c r="AJ438" i="3" s="1"/>
  <c r="AI434" i="3"/>
  <c r="AJ434" i="3" s="1"/>
  <c r="AF434" i="3"/>
  <c r="AI430" i="3"/>
  <c r="AJ430" i="3" s="1"/>
  <c r="AF430" i="3"/>
  <c r="AI426" i="3"/>
  <c r="AJ426" i="3" s="1"/>
  <c r="AF426" i="3"/>
  <c r="AF422" i="3"/>
  <c r="AI422" i="3"/>
  <c r="AJ422" i="3" s="1"/>
  <c r="AI418" i="3"/>
  <c r="AJ418" i="3" s="1"/>
  <c r="AF418" i="3"/>
  <c r="AI414" i="3"/>
  <c r="AJ414" i="3" s="1"/>
  <c r="AF414" i="3"/>
  <c r="AF406" i="3"/>
  <c r="AI406" i="3"/>
  <c r="AJ406" i="3" s="1"/>
  <c r="AI402" i="3"/>
  <c r="AJ402" i="3" s="1"/>
  <c r="AF402" i="3"/>
  <c r="AI398" i="3"/>
  <c r="AJ398" i="3" s="1"/>
  <c r="AF398" i="3"/>
  <c r="AI394" i="3"/>
  <c r="AJ394" i="3" s="1"/>
  <c r="AF394" i="3"/>
  <c r="AF390" i="3"/>
  <c r="AI390" i="3"/>
  <c r="AJ390" i="3" s="1"/>
  <c r="AI386" i="3"/>
  <c r="AJ386" i="3" s="1"/>
  <c r="AF386" i="3"/>
  <c r="AI382" i="3"/>
  <c r="AJ382" i="3" s="1"/>
  <c r="AF382" i="3"/>
  <c r="AF378" i="3"/>
  <c r="AI378" i="3"/>
  <c r="AJ378" i="3" s="1"/>
  <c r="AF374" i="3"/>
  <c r="AI374" i="3"/>
  <c r="AJ374" i="3" s="1"/>
  <c r="AI370" i="3"/>
  <c r="AJ370" i="3" s="1"/>
  <c r="AF370" i="3"/>
  <c r="AI366" i="3"/>
  <c r="AJ366" i="3" s="1"/>
  <c r="AF366" i="3"/>
  <c r="AI362" i="3"/>
  <c r="AJ362" i="3" s="1"/>
  <c r="AF362" i="3"/>
  <c r="AF358" i="3"/>
  <c r="AI358" i="3"/>
  <c r="AJ358" i="3" s="1"/>
  <c r="AI354" i="3"/>
  <c r="AJ354" i="3" s="1"/>
  <c r="AF354" i="3"/>
  <c r="AI350" i="3"/>
  <c r="AJ350" i="3" s="1"/>
  <c r="AF350" i="3"/>
  <c r="AF341" i="3"/>
  <c r="AI341" i="3"/>
  <c r="AJ341" i="3" s="1"/>
  <c r="AI337" i="3"/>
  <c r="AJ337" i="3" s="1"/>
  <c r="AF337" i="3"/>
  <c r="AI330" i="3"/>
  <c r="AJ330" i="3" s="1"/>
  <c r="AF330" i="3"/>
  <c r="AF327" i="3"/>
  <c r="AI327" i="3"/>
  <c r="AJ327" i="3" s="1"/>
  <c r="AI323" i="3"/>
  <c r="AJ323" i="3" s="1"/>
  <c r="AF323" i="3"/>
  <c r="AF317" i="3"/>
  <c r="AI317" i="3"/>
  <c r="AJ317" i="3" s="1"/>
  <c r="AI313" i="3"/>
  <c r="AJ313" i="3" s="1"/>
  <c r="AF313" i="3"/>
  <c r="AI309" i="3"/>
  <c r="AJ309" i="3" s="1"/>
  <c r="AF309" i="3"/>
  <c r="AI305" i="3"/>
  <c r="AJ305" i="3" s="1"/>
  <c r="AF305" i="3"/>
  <c r="AF301" i="3"/>
  <c r="AI301" i="3"/>
  <c r="AJ301" i="3" s="1"/>
  <c r="AI297" i="3"/>
  <c r="AJ297" i="3" s="1"/>
  <c r="AF297" i="3"/>
  <c r="AI293" i="3"/>
  <c r="AJ293" i="3" s="1"/>
  <c r="AF293" i="3"/>
  <c r="AF285" i="3"/>
  <c r="AI285" i="3"/>
  <c r="AJ285" i="3" s="1"/>
  <c r="AI281" i="3"/>
  <c r="AJ281" i="3" s="1"/>
  <c r="AF281" i="3"/>
  <c r="AI277" i="3"/>
  <c r="AJ277" i="3" s="1"/>
  <c r="AF277" i="3"/>
  <c r="AI273" i="3"/>
  <c r="AJ273" i="3" s="1"/>
  <c r="AF273" i="3"/>
  <c r="AF269" i="3"/>
  <c r="AI269" i="3"/>
  <c r="AJ269" i="3" s="1"/>
  <c r="AI265" i="3"/>
  <c r="AJ265" i="3" s="1"/>
  <c r="AF265" i="3"/>
  <c r="AI261" i="3"/>
  <c r="AJ261" i="3" s="1"/>
  <c r="AF261" i="3"/>
  <c r="AF257" i="3"/>
  <c r="AI257" i="3"/>
  <c r="AJ257" i="3" s="1"/>
  <c r="AF253" i="3"/>
  <c r="AI253" i="3"/>
  <c r="AJ253" i="3" s="1"/>
  <c r="AI235" i="3"/>
  <c r="AJ235" i="3" s="1"/>
  <c r="AF235" i="3"/>
  <c r="AI230" i="3"/>
  <c r="AJ230" i="3" s="1"/>
  <c r="AF230" i="3"/>
  <c r="AF222" i="3"/>
  <c r="AI222" i="3"/>
  <c r="AJ222" i="3" s="1"/>
  <c r="AI218" i="3"/>
  <c r="AJ218" i="3" s="1"/>
  <c r="AF218" i="3"/>
  <c r="AF214" i="3"/>
  <c r="AI214" i="3"/>
  <c r="AJ214" i="3" s="1"/>
  <c r="AI210" i="3"/>
  <c r="AJ210" i="3" s="1"/>
  <c r="AF210" i="3"/>
  <c r="AI206" i="3"/>
  <c r="AJ206" i="3" s="1"/>
  <c r="AF206" i="3"/>
  <c r="AF202" i="3"/>
  <c r="AI202" i="3"/>
  <c r="AJ202" i="3" s="1"/>
  <c r="AI198" i="3"/>
  <c r="AJ198" i="3" s="1"/>
  <c r="AF198" i="3"/>
  <c r="AI194" i="3"/>
  <c r="AJ194" i="3" s="1"/>
  <c r="AF194" i="3"/>
  <c r="AI190" i="3"/>
  <c r="AJ190" i="3" s="1"/>
  <c r="AF190" i="3"/>
  <c r="AF186" i="3"/>
  <c r="AI186" i="3"/>
  <c r="AJ186" i="3" s="1"/>
  <c r="AI182" i="3"/>
  <c r="AJ182" i="3" s="1"/>
  <c r="AF182" i="3"/>
  <c r="AI178" i="3"/>
  <c r="AJ178" i="3" s="1"/>
  <c r="AF178" i="3"/>
  <c r="AI171" i="3"/>
  <c r="AJ171" i="3" s="1"/>
  <c r="AF171" i="3"/>
  <c r="AF168" i="3"/>
  <c r="AI168" i="3"/>
  <c r="AJ168" i="3" s="1"/>
  <c r="AI160" i="3"/>
  <c r="AJ160" i="3" s="1"/>
  <c r="AF160" i="3"/>
  <c r="AI156" i="3"/>
  <c r="AJ156" i="3" s="1"/>
  <c r="AF156" i="3"/>
  <c r="AF484" i="3"/>
  <c r="AF420" i="3"/>
  <c r="AF356" i="3"/>
  <c r="AF299" i="3"/>
  <c r="AF447" i="3"/>
  <c r="AF415" i="3"/>
  <c r="AF383" i="3"/>
  <c r="AF351" i="3"/>
  <c r="AF294" i="3"/>
  <c r="AF262" i="3"/>
  <c r="AF231" i="3"/>
  <c r="AF199" i="3"/>
  <c r="AI487" i="3"/>
  <c r="AJ487" i="3" s="1"/>
  <c r="AF487" i="3"/>
  <c r="AI471" i="3"/>
  <c r="AJ471" i="3" s="1"/>
  <c r="AF471" i="3"/>
  <c r="AI459" i="3"/>
  <c r="AJ459" i="3" s="1"/>
  <c r="AF459" i="3"/>
  <c r="AI455" i="3"/>
  <c r="AJ455" i="3" s="1"/>
  <c r="AF455" i="3"/>
  <c r="AF443" i="3"/>
  <c r="AI443" i="3"/>
  <c r="AJ443" i="3" s="1"/>
  <c r="AI439" i="3"/>
  <c r="AJ439" i="3" s="1"/>
  <c r="AF439" i="3"/>
  <c r="AI427" i="3"/>
  <c r="AJ427" i="3" s="1"/>
  <c r="AF427" i="3"/>
  <c r="AI423" i="3"/>
  <c r="AJ423" i="3" s="1"/>
  <c r="AF423" i="3"/>
  <c r="AI407" i="3"/>
  <c r="AJ407" i="3" s="1"/>
  <c r="AF407" i="3"/>
  <c r="AI395" i="3"/>
  <c r="AJ395" i="3" s="1"/>
  <c r="AF395" i="3"/>
  <c r="AI391" i="3"/>
  <c r="AJ391" i="3" s="1"/>
  <c r="AF391" i="3"/>
  <c r="AF379" i="3"/>
  <c r="AI379" i="3"/>
  <c r="AJ379" i="3" s="1"/>
  <c r="AI375" i="3"/>
  <c r="AJ375" i="3" s="1"/>
  <c r="AF375" i="3"/>
  <c r="AI363" i="3"/>
  <c r="AJ363" i="3" s="1"/>
  <c r="AF363" i="3"/>
  <c r="AI359" i="3"/>
  <c r="AJ359" i="3" s="1"/>
  <c r="AF359" i="3"/>
  <c r="AI342" i="3"/>
  <c r="AJ342" i="3" s="1"/>
  <c r="AF342" i="3"/>
  <c r="AI332" i="3"/>
  <c r="AJ332" i="3" s="1"/>
  <c r="AF332" i="3"/>
  <c r="AI328" i="3"/>
  <c r="AJ328" i="3" s="1"/>
  <c r="AF328" i="3"/>
  <c r="AI318" i="3"/>
  <c r="AJ318" i="3" s="1"/>
  <c r="AF318" i="3"/>
  <c r="AI306" i="3"/>
  <c r="AJ306" i="3" s="1"/>
  <c r="AF306" i="3"/>
  <c r="AI302" i="3"/>
  <c r="AJ302" i="3" s="1"/>
  <c r="AF302" i="3"/>
  <c r="AI286" i="3"/>
  <c r="AJ286" i="3" s="1"/>
  <c r="AF286" i="3"/>
  <c r="AI274" i="3"/>
  <c r="AJ274" i="3" s="1"/>
  <c r="AF274" i="3"/>
  <c r="AI270" i="3"/>
  <c r="AJ270" i="3" s="1"/>
  <c r="AF270" i="3"/>
  <c r="AF258" i="3"/>
  <c r="AI258" i="3"/>
  <c r="AJ258" i="3" s="1"/>
  <c r="AI254" i="3"/>
  <c r="AJ254" i="3" s="1"/>
  <c r="AF254" i="3"/>
  <c r="AI223" i="3"/>
  <c r="AJ223" i="3" s="1"/>
  <c r="AF223" i="3"/>
  <c r="AI211" i="3"/>
  <c r="AJ211" i="3" s="1"/>
  <c r="AF211" i="3"/>
  <c r="AI207" i="3"/>
  <c r="AJ207" i="3" s="1"/>
  <c r="AF207" i="3"/>
  <c r="AI195" i="3"/>
  <c r="AJ195" i="3" s="1"/>
  <c r="AF195" i="3"/>
  <c r="AI191" i="3"/>
  <c r="AJ191" i="3" s="1"/>
  <c r="AF191" i="3"/>
  <c r="AI179" i="3"/>
  <c r="AJ179" i="3" s="1"/>
  <c r="AF179" i="3"/>
  <c r="AI175" i="3"/>
  <c r="AJ175" i="3" s="1"/>
  <c r="AF175" i="3"/>
  <c r="AI172" i="3"/>
  <c r="AJ172" i="3" s="1"/>
  <c r="AF172" i="3"/>
  <c r="AF498" i="3"/>
  <c r="AF467" i="3"/>
  <c r="AF435" i="3"/>
  <c r="AF403" i="3"/>
  <c r="AF371" i="3"/>
  <c r="AF338" i="3"/>
  <c r="AF314" i="3"/>
  <c r="AF282" i="3"/>
  <c r="AF219" i="3"/>
  <c r="AF187" i="3"/>
  <c r="AI475" i="3"/>
  <c r="AJ475" i="3" s="1"/>
  <c r="AI411" i="3"/>
  <c r="AJ411" i="3" s="1"/>
  <c r="AI346" i="3"/>
  <c r="AJ346" i="3" s="1"/>
  <c r="AI290" i="3"/>
  <c r="AJ290" i="3" s="1"/>
  <c r="AF490" i="3"/>
  <c r="AF476" i="3"/>
  <c r="AF460" i="3"/>
  <c r="AF444" i="3"/>
  <c r="AF428" i="3"/>
  <c r="AF412" i="3"/>
  <c r="AF396" i="3"/>
  <c r="AF380" i="3"/>
  <c r="AF364" i="3"/>
  <c r="AF347" i="3"/>
  <c r="AF333" i="3"/>
  <c r="AF307" i="3"/>
  <c r="AF291" i="3"/>
  <c r="AF275" i="3"/>
  <c r="AF259" i="3"/>
  <c r="AF228" i="3"/>
  <c r="AF212" i="3"/>
  <c r="AF196" i="3"/>
  <c r="AF180" i="3"/>
  <c r="AF169" i="3"/>
  <c r="AJ465" i="3"/>
  <c r="AJ336" i="3"/>
  <c r="AJ280" i="3"/>
  <c r="AJ217" i="3"/>
  <c r="AJ344" i="3"/>
  <c r="AF464" i="3"/>
  <c r="AF448" i="3"/>
  <c r="AF432" i="3"/>
  <c r="AF416" i="3"/>
  <c r="AF400" i="3"/>
  <c r="AF384" i="3"/>
  <c r="AF368" i="3"/>
  <c r="AF352" i="3"/>
  <c r="AF335" i="3"/>
  <c r="AF321" i="3"/>
  <c r="AF311" i="3"/>
  <c r="AF295" i="3"/>
  <c r="AF279" i="3"/>
  <c r="AF263" i="3"/>
  <c r="AF233" i="3"/>
  <c r="AF216" i="3"/>
  <c r="AF200" i="3"/>
  <c r="AF184" i="3"/>
  <c r="AF158" i="3"/>
  <c r="AJ485" i="3"/>
  <c r="AJ421" i="3"/>
  <c r="AJ357" i="3"/>
  <c r="AJ300" i="3"/>
  <c r="AJ477" i="3"/>
  <c r="AJ461" i="3"/>
  <c r="AJ457" i="3"/>
  <c r="AJ445" i="3"/>
  <c r="AJ441" i="3"/>
  <c r="AJ429" i="3"/>
  <c r="AJ425" i="3"/>
  <c r="AJ413" i="3"/>
  <c r="AJ409" i="3"/>
  <c r="AJ397" i="3"/>
  <c r="AJ393" i="3"/>
  <c r="AJ381" i="3"/>
  <c r="AJ377" i="3"/>
  <c r="AJ365" i="3"/>
  <c r="AJ361" i="3"/>
  <c r="AJ348" i="3"/>
  <c r="AJ320" i="3"/>
  <c r="AJ308" i="3"/>
  <c r="AJ304" i="3"/>
  <c r="AJ292" i="3"/>
  <c r="AJ288" i="3"/>
  <c r="AJ276" i="3"/>
  <c r="AJ272" i="3"/>
  <c r="AJ260" i="3"/>
  <c r="AJ256" i="3"/>
  <c r="AJ229" i="3"/>
  <c r="AJ213" i="3"/>
  <c r="AJ205" i="3"/>
  <c r="AJ197" i="3"/>
  <c r="AJ189" i="3"/>
  <c r="AJ185" i="3"/>
  <c r="AJ177" i="3"/>
  <c r="AJ173" i="3"/>
  <c r="AJ170" i="3"/>
  <c r="AJ166" i="3"/>
  <c r="AJ159" i="3"/>
  <c r="AJ155" i="3"/>
  <c r="AJ124" i="3"/>
  <c r="AF159" i="3"/>
  <c r="AF155" i="3"/>
  <c r="AJ165" i="3"/>
  <c r="AJ164" i="3"/>
  <c r="AF161" i="3"/>
  <c r="AI161" i="3"/>
  <c r="AJ161" i="3" s="1"/>
  <c r="AF164" i="3"/>
  <c r="AF163" i="3"/>
  <c r="AI163" i="3"/>
  <c r="AJ163" i="3" s="1"/>
  <c r="AF165" i="3"/>
  <c r="AF162" i="3"/>
  <c r="AJ145" i="3"/>
  <c r="AJ133" i="3"/>
  <c r="AJ152" i="3"/>
  <c r="AJ148" i="3"/>
  <c r="AJ144" i="3"/>
  <c r="AJ140" i="3"/>
  <c r="AJ136" i="3"/>
  <c r="AJ132" i="3"/>
  <c r="AJ131" i="3"/>
  <c r="AJ127" i="3"/>
  <c r="AJ153" i="3"/>
  <c r="AJ149" i="3"/>
  <c r="AJ141" i="3"/>
  <c r="AJ137" i="3"/>
  <c r="AJ128" i="3"/>
  <c r="AF135" i="3"/>
  <c r="AF131" i="3"/>
  <c r="AF153" i="3"/>
  <c r="AF143" i="3"/>
  <c r="AF133" i="3"/>
  <c r="AF128" i="3"/>
  <c r="AJ126" i="3"/>
  <c r="AF152" i="3"/>
  <c r="AF148" i="3"/>
  <c r="AF144" i="3"/>
  <c r="AF140" i="3"/>
  <c r="AF136" i="3"/>
  <c r="AJ151" i="3"/>
  <c r="AF147" i="3"/>
  <c r="AJ143" i="3"/>
  <c r="AF139" i="3"/>
  <c r="AJ135" i="3"/>
  <c r="AF151" i="3"/>
  <c r="AF141" i="3"/>
  <c r="AF132" i="3"/>
  <c r="AF127" i="3"/>
  <c r="AI147" i="3"/>
  <c r="AJ147" i="3" s="1"/>
  <c r="AF145" i="3"/>
  <c r="AF149" i="3"/>
  <c r="AF137" i="3"/>
  <c r="AI139" i="3"/>
  <c r="AJ139" i="3" s="1"/>
  <c r="AF130" i="3"/>
  <c r="AF126" i="3"/>
  <c r="AF129" i="3"/>
  <c r="AI129" i="3"/>
  <c r="AJ129" i="3" s="1"/>
  <c r="AF150" i="3"/>
  <c r="AI150" i="3"/>
  <c r="AJ150" i="3" s="1"/>
  <c r="AF146" i="3"/>
  <c r="AI146" i="3"/>
  <c r="AJ146" i="3" s="1"/>
  <c r="AF142" i="3"/>
  <c r="AI142" i="3"/>
  <c r="AJ142" i="3" s="1"/>
  <c r="AF138" i="3"/>
  <c r="AI138" i="3"/>
  <c r="AJ138" i="3" s="1"/>
  <c r="AF134" i="3"/>
  <c r="AI134" i="3"/>
  <c r="AJ134" i="3" s="1"/>
  <c r="AI130" i="3"/>
  <c r="AJ130" i="3" s="1"/>
  <c r="V119" i="3"/>
  <c r="V115" i="3"/>
  <c r="V107" i="3"/>
  <c r="V103" i="3"/>
  <c r="T119" i="3"/>
  <c r="U119" i="3" s="1"/>
  <c r="W119" i="3" s="1"/>
  <c r="T115" i="3"/>
  <c r="U115" i="3" s="1"/>
  <c r="W115" i="3" s="1"/>
  <c r="T107" i="3"/>
  <c r="U107" i="3" s="1"/>
  <c r="W107" i="3" s="1"/>
  <c r="T103" i="3"/>
  <c r="U103" i="3" s="1"/>
  <c r="W103" i="3" s="1"/>
  <c r="T110" i="3"/>
  <c r="U110" i="3" s="1"/>
  <c r="W110" i="3" s="1"/>
  <c r="T106" i="3"/>
  <c r="U106" i="3" s="1"/>
  <c r="W106" i="3" s="1"/>
  <c r="T102" i="3"/>
  <c r="U102" i="3" s="1"/>
  <c r="W102" i="3" s="1"/>
  <c r="O119" i="3"/>
  <c r="P119" i="3" s="1"/>
  <c r="R119" i="3" s="1"/>
  <c r="O110" i="3"/>
  <c r="P110" i="3" s="1"/>
  <c r="R110" i="3" s="1"/>
  <c r="O106" i="3"/>
  <c r="P106" i="3" s="1"/>
  <c r="R106" i="3" s="1"/>
  <c r="O102" i="3"/>
  <c r="P102" i="3" s="1"/>
  <c r="R102" i="3" s="1"/>
  <c r="P115" i="3"/>
  <c r="R115" i="3" s="1"/>
  <c r="P107" i="3"/>
  <c r="R107" i="3" s="1"/>
  <c r="Q115" i="3"/>
  <c r="Q103" i="3"/>
  <c r="O121" i="3"/>
  <c r="P121" i="3" s="1"/>
  <c r="R121" i="3" s="1"/>
  <c r="J119" i="3"/>
  <c r="K119" i="3" s="1"/>
  <c r="M119" i="3" s="1"/>
  <c r="J115" i="3"/>
  <c r="K115" i="3" s="1"/>
  <c r="M115" i="3" s="1"/>
  <c r="L119" i="3"/>
  <c r="L115" i="3"/>
  <c r="AF123" i="3"/>
  <c r="J110" i="3"/>
  <c r="K110" i="3" s="1"/>
  <c r="M110" i="3" s="1"/>
  <c r="J106" i="3"/>
  <c r="K106" i="3" s="1"/>
  <c r="M106" i="3" s="1"/>
  <c r="J102" i="3"/>
  <c r="K102" i="3" s="1"/>
  <c r="M102" i="3" s="1"/>
  <c r="L110" i="3"/>
  <c r="AH110" i="3" s="1"/>
  <c r="L106" i="3"/>
  <c r="AH106" i="3" s="1"/>
  <c r="L102" i="3"/>
  <c r="AF111" i="3"/>
  <c r="AF124" i="3"/>
  <c r="AF120" i="3"/>
  <c r="AH109" i="3" l="1"/>
  <c r="AH104" i="3"/>
  <c r="AH114" i="3"/>
  <c r="AH117" i="3"/>
  <c r="AH116" i="3"/>
  <c r="AH122" i="3"/>
  <c r="AH115" i="3"/>
  <c r="AH103" i="3"/>
  <c r="AH107" i="3"/>
  <c r="AH119" i="3"/>
  <c r="AH125" i="3"/>
  <c r="AH105" i="3"/>
  <c r="AH121" i="3"/>
  <c r="AH112" i="3"/>
  <c r="AD116" i="3"/>
  <c r="AD118" i="3"/>
  <c r="AD101" i="3"/>
  <c r="AH101" i="3"/>
  <c r="AD117" i="3"/>
  <c r="AD115" i="3"/>
  <c r="AD108" i="3"/>
  <c r="AD103" i="3"/>
  <c r="AD107" i="3"/>
  <c r="AD110" i="3"/>
  <c r="AD105" i="3"/>
  <c r="AD114" i="3"/>
  <c r="AD112" i="3"/>
  <c r="AH102" i="3"/>
  <c r="AD102" i="3"/>
  <c r="AD119" i="3"/>
  <c r="AD113" i="3"/>
  <c r="AD125" i="3"/>
  <c r="AD121" i="3"/>
  <c r="AD109" i="3"/>
  <c r="AD106" i="3"/>
  <c r="AD104" i="3"/>
  <c r="AD122" i="3"/>
  <c r="AJ114" i="3"/>
  <c r="AJ118" i="3"/>
  <c r="AJ121" i="3"/>
  <c r="AJ101" i="3"/>
  <c r="AJ109" i="3"/>
  <c r="AJ125" i="3"/>
  <c r="AF101" i="3"/>
  <c r="AF118" i="3"/>
  <c r="AF105" i="3"/>
  <c r="AF114" i="3"/>
  <c r="AF109" i="3"/>
  <c r="AJ116" i="3"/>
  <c r="AJ113" i="3"/>
  <c r="AJ108" i="3"/>
  <c r="AF125" i="3"/>
  <c r="AJ112" i="3"/>
  <c r="AJ122" i="3"/>
  <c r="AF116" i="3"/>
  <c r="AF113" i="3"/>
  <c r="AF112" i="3"/>
  <c r="AJ115" i="3"/>
  <c r="AF117" i="3"/>
  <c r="AF103" i="3"/>
  <c r="AJ105" i="3"/>
  <c r="AF108" i="3"/>
  <c r="AF107" i="3"/>
  <c r="AJ104" i="3"/>
  <c r="AJ107" i="3"/>
  <c r="AF104" i="3"/>
  <c r="AF122" i="3"/>
  <c r="AJ117" i="3"/>
  <c r="AF119" i="3"/>
  <c r="AF121" i="3"/>
  <c r="AF115" i="3"/>
  <c r="AI103" i="3"/>
  <c r="AJ103" i="3" s="1"/>
  <c r="AJ119" i="3"/>
  <c r="AI106" i="3"/>
  <c r="AJ106" i="3" s="1"/>
  <c r="AF106" i="3"/>
  <c r="AI102" i="3"/>
  <c r="AJ102" i="3" s="1"/>
  <c r="AF102" i="3"/>
  <c r="AI110" i="3"/>
  <c r="AJ110" i="3" s="1"/>
  <c r="AF110" i="3"/>
  <c r="A271" i="3" l="1"/>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2" i="3"/>
  <c r="A333" i="3"/>
  <c r="A334" i="3"/>
  <c r="A335" i="3"/>
  <c r="A336" i="3"/>
  <c r="A337" i="3"/>
  <c r="A338" i="3"/>
  <c r="A339" i="3"/>
  <c r="A340" i="3"/>
  <c r="A341" i="3"/>
  <c r="A342" i="3"/>
  <c r="A343" i="3"/>
  <c r="A344" i="3"/>
  <c r="A345" i="3"/>
  <c r="A346" i="3"/>
  <c r="A347" i="3"/>
  <c r="A348"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81" i="3"/>
  <c r="A482" i="3"/>
  <c r="A483" i="3"/>
  <c r="A484" i="3"/>
  <c r="A485" i="3"/>
  <c r="A486" i="3"/>
  <c r="A487" i="3"/>
  <c r="A488" i="3"/>
  <c r="A489" i="3"/>
  <c r="A490" i="3"/>
  <c r="A493" i="3"/>
  <c r="A494" i="3"/>
  <c r="A495" i="3"/>
  <c r="A498" i="3"/>
  <c r="A499" i="3"/>
  <c r="A501"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5" i="3"/>
  <c r="A228" i="3"/>
  <c r="A229" i="3"/>
  <c r="A230" i="3"/>
  <c r="A231" i="3"/>
  <c r="A233" i="3"/>
  <c r="A234" i="3"/>
  <c r="A235" i="3"/>
  <c r="A236" i="3"/>
  <c r="A252" i="3"/>
  <c r="A253" i="3"/>
  <c r="A254" i="3"/>
  <c r="A255" i="3"/>
  <c r="A256" i="3"/>
  <c r="A257" i="3"/>
  <c r="A258" i="3"/>
  <c r="A259" i="3"/>
  <c r="A260" i="3"/>
  <c r="A261" i="3"/>
  <c r="A262" i="3"/>
  <c r="A263" i="3"/>
  <c r="A264" i="3"/>
  <c r="A265" i="3"/>
  <c r="A266" i="3"/>
  <c r="A267" i="3"/>
  <c r="A268" i="3"/>
  <c r="A269" i="3"/>
  <c r="A270" i="3"/>
  <c r="K75" i="3" l="1"/>
  <c r="I75" i="3" s="1"/>
  <c r="I72" i="3"/>
  <c r="I73" i="3"/>
  <c r="I74" i="3"/>
  <c r="I76" i="3"/>
  <c r="I71" i="3"/>
  <c r="N10" i="3"/>
  <c r="Q10" i="3" s="1"/>
  <c r="AG76" i="3" l="1"/>
  <c r="AH76" i="3" s="1"/>
  <c r="AC76" i="3"/>
  <c r="AG72" i="3"/>
  <c r="AH72" i="3" s="1"/>
  <c r="AC72" i="3"/>
  <c r="AG71" i="3"/>
  <c r="AH71" i="3" s="1"/>
  <c r="AC71" i="3"/>
  <c r="AG74" i="3"/>
  <c r="AH74" i="3" s="1"/>
  <c r="AC74" i="3"/>
  <c r="AG73" i="3"/>
  <c r="AH73" i="3" s="1"/>
  <c r="AC73" i="3"/>
  <c r="AG75" i="3"/>
  <c r="AH75" i="3" s="1"/>
  <c r="AC75" i="3"/>
  <c r="AE74" i="3"/>
  <c r="AE76" i="3"/>
  <c r="AE75" i="3"/>
  <c r="AE72" i="3"/>
  <c r="AE71" i="3"/>
  <c r="AE73" i="3"/>
  <c r="O10" i="3"/>
  <c r="P10" i="3" s="1"/>
  <c r="R10" i="3" s="1"/>
  <c r="S81" i="3"/>
  <c r="T81" i="3" s="1"/>
  <c r="N81" i="3"/>
  <c r="O81" i="3" s="1"/>
  <c r="I81" i="3"/>
  <c r="S94" i="3"/>
  <c r="T94" i="3" s="1"/>
  <c r="N94" i="3"/>
  <c r="O94" i="3" s="1"/>
  <c r="K94" i="3"/>
  <c r="I94" i="3" s="1"/>
  <c r="S85" i="3"/>
  <c r="T85" i="3" s="1"/>
  <c r="N85" i="3"/>
  <c r="O85" i="3" s="1"/>
  <c r="I85" i="3"/>
  <c r="S88" i="3"/>
  <c r="T88" i="3" s="1"/>
  <c r="N88" i="3"/>
  <c r="O88" i="3" s="1"/>
  <c r="I88" i="3"/>
  <c r="S91" i="3"/>
  <c r="T91" i="3" s="1"/>
  <c r="N91" i="3"/>
  <c r="O91" i="3" s="1"/>
  <c r="I91" i="3"/>
  <c r="S95" i="3"/>
  <c r="T95" i="3" s="1"/>
  <c r="R95" i="3"/>
  <c r="N95" i="3"/>
  <c r="Q95" i="3" s="1"/>
  <c r="I95" i="3"/>
  <c r="S87" i="3"/>
  <c r="T87" i="3" s="1"/>
  <c r="N87" i="3"/>
  <c r="O87" i="3" s="1"/>
  <c r="I87" i="3"/>
  <c r="U80" i="3"/>
  <c r="S80" i="3" s="1"/>
  <c r="T80" i="3" s="1"/>
  <c r="P80" i="3"/>
  <c r="N80" i="3" s="1"/>
  <c r="O80" i="3" s="1"/>
  <c r="K80" i="3"/>
  <c r="I80" i="3" s="1"/>
  <c r="S98" i="3"/>
  <c r="T98" i="3" s="1"/>
  <c r="N98" i="3"/>
  <c r="O98" i="3" s="1"/>
  <c r="I98" i="3"/>
  <c r="S93" i="3"/>
  <c r="T93" i="3" s="1"/>
  <c r="N93" i="3"/>
  <c r="O93" i="3" s="1"/>
  <c r="K93" i="3"/>
  <c r="I93" i="3" s="1"/>
  <c r="S83" i="3"/>
  <c r="T83" i="3" s="1"/>
  <c r="N83" i="3"/>
  <c r="O83" i="3" s="1"/>
  <c r="K83" i="3"/>
  <c r="I83" i="3" s="1"/>
  <c r="S78" i="3"/>
  <c r="T78" i="3" s="1"/>
  <c r="N78" i="3"/>
  <c r="O78" i="3" s="1"/>
  <c r="K78" i="3"/>
  <c r="I78" i="3" s="1"/>
  <c r="U69" i="3"/>
  <c r="S69" i="3" s="1"/>
  <c r="T69" i="3" s="1"/>
  <c r="P69" i="3"/>
  <c r="N69" i="3" s="1"/>
  <c r="O69" i="3" s="1"/>
  <c r="K69" i="3"/>
  <c r="I69" i="3" s="1"/>
  <c r="S89" i="3"/>
  <c r="T89" i="3" s="1"/>
  <c r="N89" i="3"/>
  <c r="O89" i="3" s="1"/>
  <c r="I89" i="3"/>
  <c r="S96" i="3"/>
  <c r="T96" i="3" s="1"/>
  <c r="P96" i="3"/>
  <c r="N96" i="3" s="1"/>
  <c r="O96" i="3" s="1"/>
  <c r="K96" i="3"/>
  <c r="I96" i="3" s="1"/>
  <c r="N82" i="3"/>
  <c r="I82" i="3"/>
  <c r="S84" i="3"/>
  <c r="T84" i="3" s="1"/>
  <c r="N84" i="3"/>
  <c r="O84" i="3" s="1"/>
  <c r="I84" i="3"/>
  <c r="S77" i="3"/>
  <c r="T77" i="3" s="1"/>
  <c r="N77" i="3"/>
  <c r="O77" i="3" s="1"/>
  <c r="I77" i="3"/>
  <c r="S90" i="3"/>
  <c r="T90" i="3" s="1"/>
  <c r="N90" i="3"/>
  <c r="O90" i="3" s="1"/>
  <c r="I90" i="3"/>
  <c r="S79" i="3"/>
  <c r="N79" i="3"/>
  <c r="O79" i="3" s="1"/>
  <c r="I79" i="3"/>
  <c r="S86" i="3"/>
  <c r="T86" i="3" s="1"/>
  <c r="P86" i="3"/>
  <c r="N86" i="3" s="1"/>
  <c r="O86" i="3" s="1"/>
  <c r="I86" i="3"/>
  <c r="S92" i="3"/>
  <c r="P92" i="3"/>
  <c r="N92" i="3" s="1"/>
  <c r="I92" i="3"/>
  <c r="S99" i="3"/>
  <c r="N99" i="3"/>
  <c r="I99" i="3"/>
  <c r="I7" i="3"/>
  <c r="I50" i="3"/>
  <c r="I49" i="3"/>
  <c r="O26" i="3"/>
  <c r="P26" i="3" s="1"/>
  <c r="R26" i="3" s="1"/>
  <c r="Q26" i="3"/>
  <c r="O27" i="3"/>
  <c r="P27" i="3" s="1"/>
  <c r="R27" i="3" s="1"/>
  <c r="Q27" i="3"/>
  <c r="AC82" i="3" l="1"/>
  <c r="AC69" i="3"/>
  <c r="AC77" i="3"/>
  <c r="AG95" i="3"/>
  <c r="AC95" i="3"/>
  <c r="AG83" i="3"/>
  <c r="AC83" i="3"/>
  <c r="AG7" i="3"/>
  <c r="AH7" i="3" s="1"/>
  <c r="AC7" i="3"/>
  <c r="AC99" i="3"/>
  <c r="AC78" i="3"/>
  <c r="AG92" i="3"/>
  <c r="AC92" i="3"/>
  <c r="AC79" i="3"/>
  <c r="AC98" i="3"/>
  <c r="AC88" i="3"/>
  <c r="AG89" i="3"/>
  <c r="AC89" i="3"/>
  <c r="AG81" i="3"/>
  <c r="AC81" i="3"/>
  <c r="AG90" i="3"/>
  <c r="AC90" i="3"/>
  <c r="AG80" i="3"/>
  <c r="AC80" i="3"/>
  <c r="AG85" i="3"/>
  <c r="AC85" i="3"/>
  <c r="AG49" i="3"/>
  <c r="AH49" i="3" s="1"/>
  <c r="AC49" i="3"/>
  <c r="AG50" i="3"/>
  <c r="AH50" i="3" s="1"/>
  <c r="AC50" i="3"/>
  <c r="AG86" i="3"/>
  <c r="AC86" i="3"/>
  <c r="AG93" i="3"/>
  <c r="AC93" i="3"/>
  <c r="AG91" i="3"/>
  <c r="AC91" i="3"/>
  <c r="AG84" i="3"/>
  <c r="AC84" i="3"/>
  <c r="AC96" i="3"/>
  <c r="AG87" i="3"/>
  <c r="AC87" i="3"/>
  <c r="AG94" i="3"/>
  <c r="AC94" i="3"/>
  <c r="AG82" i="3"/>
  <c r="AG69" i="3"/>
  <c r="AG77" i="3"/>
  <c r="AG96" i="3"/>
  <c r="AG99" i="3"/>
  <c r="AG78" i="3"/>
  <c r="AG79" i="3"/>
  <c r="AG98" i="3"/>
  <c r="AG88" i="3"/>
  <c r="AE7" i="3"/>
  <c r="AE49" i="3"/>
  <c r="AE50" i="3"/>
  <c r="AE84" i="3"/>
  <c r="AE89" i="3"/>
  <c r="AE93" i="3"/>
  <c r="AE95" i="3"/>
  <c r="AE86" i="3"/>
  <c r="AE81" i="3"/>
  <c r="AE91" i="3"/>
  <c r="AE77" i="3"/>
  <c r="AE96" i="3"/>
  <c r="AE94" i="3"/>
  <c r="AE99" i="3"/>
  <c r="AE78" i="3"/>
  <c r="AE79" i="3"/>
  <c r="AE98" i="3"/>
  <c r="AE88" i="3"/>
  <c r="AE87" i="3"/>
  <c r="AE92" i="3"/>
  <c r="L83" i="3"/>
  <c r="AE83" i="3"/>
  <c r="AE90" i="3"/>
  <c r="L80" i="3"/>
  <c r="AE80" i="3"/>
  <c r="AE85" i="3"/>
  <c r="AE82" i="3"/>
  <c r="AE69" i="3"/>
  <c r="Q99" i="3"/>
  <c r="O99" i="3"/>
  <c r="O95" i="3"/>
  <c r="I48" i="3"/>
  <c r="I40" i="3"/>
  <c r="I39" i="3"/>
  <c r="I37" i="3"/>
  <c r="I35" i="3"/>
  <c r="I34" i="3"/>
  <c r="I33" i="3"/>
  <c r="I32" i="3"/>
  <c r="I31" i="3"/>
  <c r="I30" i="3"/>
  <c r="I29" i="3"/>
  <c r="I28" i="3"/>
  <c r="I24" i="3"/>
  <c r="I23" i="3"/>
  <c r="I22" i="3"/>
  <c r="I21" i="3"/>
  <c r="I20" i="3"/>
  <c r="I19" i="3"/>
  <c r="I18" i="3"/>
  <c r="I16" i="3"/>
  <c r="I15" i="3"/>
  <c r="I14" i="3"/>
  <c r="I12" i="3"/>
  <c r="I11" i="3"/>
  <c r="I70" i="3"/>
  <c r="I68" i="3"/>
  <c r="I67" i="3"/>
  <c r="I66" i="3"/>
  <c r="I65" i="3"/>
  <c r="A7" i="3"/>
  <c r="I64" i="3"/>
  <c r="I63" i="3"/>
  <c r="I62" i="3"/>
  <c r="I61" i="3"/>
  <c r="I60" i="3"/>
  <c r="I59" i="3"/>
  <c r="I58" i="3"/>
  <c r="I57" i="3"/>
  <c r="I56" i="3"/>
  <c r="I55" i="3"/>
  <c r="I54" i="3"/>
  <c r="I53" i="3"/>
  <c r="I52" i="3"/>
  <c r="AG53" i="3" l="1"/>
  <c r="AH53" i="3" s="1"/>
  <c r="AC53" i="3"/>
  <c r="AG61" i="3"/>
  <c r="AH61" i="3" s="1"/>
  <c r="AC61" i="3"/>
  <c r="AG66" i="3"/>
  <c r="AH66" i="3" s="1"/>
  <c r="AC66" i="3"/>
  <c r="AG16" i="3"/>
  <c r="AH16" i="3" s="1"/>
  <c r="AC16" i="3"/>
  <c r="AG28" i="3"/>
  <c r="AH28" i="3" s="1"/>
  <c r="AC28" i="3"/>
  <c r="AG37" i="3"/>
  <c r="AH37" i="3" s="1"/>
  <c r="AC37" i="3"/>
  <c r="AG60" i="3"/>
  <c r="AH60" i="3" s="1"/>
  <c r="AC60" i="3"/>
  <c r="AG65" i="3"/>
  <c r="AH65" i="3" s="1"/>
  <c r="AC65" i="3"/>
  <c r="AG35" i="3"/>
  <c r="AH35" i="3" s="1"/>
  <c r="AC35" i="3"/>
  <c r="AG29" i="3"/>
  <c r="AH29" i="3" s="1"/>
  <c r="AC29" i="3"/>
  <c r="AG55" i="3"/>
  <c r="AH55" i="3" s="1"/>
  <c r="AC55" i="3"/>
  <c r="AG63" i="3"/>
  <c r="AH63" i="3" s="1"/>
  <c r="AC63" i="3"/>
  <c r="AG68" i="3"/>
  <c r="AH68" i="3" s="1"/>
  <c r="AC68" i="3"/>
  <c r="AG19" i="3"/>
  <c r="AH19" i="3" s="1"/>
  <c r="AC19" i="3"/>
  <c r="AG30" i="3"/>
  <c r="AH30" i="3" s="1"/>
  <c r="AC30" i="3"/>
  <c r="AG40" i="3"/>
  <c r="AH40" i="3" s="1"/>
  <c r="AC40" i="3"/>
  <c r="AG24" i="3"/>
  <c r="AH24" i="3" s="1"/>
  <c r="AC24" i="3"/>
  <c r="AG62" i="3"/>
  <c r="AH62" i="3" s="1"/>
  <c r="AC62" i="3"/>
  <c r="AG39" i="3"/>
  <c r="AH39" i="3" s="1"/>
  <c r="AC39" i="3"/>
  <c r="AG56" i="3"/>
  <c r="AH56" i="3" s="1"/>
  <c r="AC56" i="3"/>
  <c r="AG64" i="3"/>
  <c r="AH64" i="3" s="1"/>
  <c r="AC64" i="3"/>
  <c r="AG70" i="3"/>
  <c r="AH70" i="3" s="1"/>
  <c r="AC70" i="3"/>
  <c r="AG20" i="3"/>
  <c r="AH20" i="3" s="1"/>
  <c r="AC20" i="3"/>
  <c r="AG31" i="3"/>
  <c r="AH31" i="3" s="1"/>
  <c r="AC31" i="3"/>
  <c r="AG48" i="3"/>
  <c r="AH48" i="3" s="1"/>
  <c r="AC48" i="3"/>
  <c r="AG57" i="3"/>
  <c r="AH57" i="3" s="1"/>
  <c r="AC57" i="3"/>
  <c r="AG11" i="3"/>
  <c r="AH11" i="3" s="1"/>
  <c r="AC11" i="3"/>
  <c r="AG21" i="3"/>
  <c r="AH21" i="3" s="1"/>
  <c r="AC21" i="3"/>
  <c r="AG32" i="3"/>
  <c r="AH32" i="3" s="1"/>
  <c r="AC32" i="3"/>
  <c r="AG52" i="3"/>
  <c r="AH52" i="3" s="1"/>
  <c r="AC52" i="3"/>
  <c r="AG15" i="3"/>
  <c r="AH15" i="3" s="1"/>
  <c r="AC15" i="3"/>
  <c r="AG54" i="3"/>
  <c r="AH54" i="3" s="1"/>
  <c r="AC54" i="3"/>
  <c r="AG18" i="3"/>
  <c r="AH18" i="3" s="1"/>
  <c r="AC18" i="3"/>
  <c r="AG58" i="3"/>
  <c r="AH58" i="3" s="1"/>
  <c r="AC58" i="3"/>
  <c r="AG12" i="3"/>
  <c r="AH12" i="3" s="1"/>
  <c r="AC12" i="3"/>
  <c r="AG22" i="3"/>
  <c r="AH22" i="3" s="1"/>
  <c r="AC22" i="3"/>
  <c r="AG33" i="3"/>
  <c r="AH33" i="3" s="1"/>
  <c r="AC33" i="3"/>
  <c r="AG67" i="3"/>
  <c r="AH67" i="3" s="1"/>
  <c r="AC67" i="3"/>
  <c r="AG59" i="3"/>
  <c r="AH59" i="3" s="1"/>
  <c r="AC59" i="3"/>
  <c r="AG14" i="3"/>
  <c r="AH14" i="3" s="1"/>
  <c r="AC14" i="3"/>
  <c r="AG23" i="3"/>
  <c r="AH23" i="3" s="1"/>
  <c r="AC23" i="3"/>
  <c r="AG34" i="3"/>
  <c r="AH34" i="3" s="1"/>
  <c r="AC34" i="3"/>
  <c r="AE56" i="3"/>
  <c r="AE57" i="3"/>
  <c r="AE20" i="3"/>
  <c r="AE11" i="3"/>
  <c r="AE32" i="3"/>
  <c r="AE59" i="3"/>
  <c r="AE22" i="3"/>
  <c r="AE52" i="3"/>
  <c r="AE60" i="3"/>
  <c r="AE14" i="3"/>
  <c r="AE23" i="3"/>
  <c r="AE34" i="3"/>
  <c r="AE64" i="3"/>
  <c r="AE30" i="3"/>
  <c r="AE31" i="3"/>
  <c r="AE21" i="3"/>
  <c r="AE12" i="3"/>
  <c r="AE33" i="3"/>
  <c r="AE53" i="3"/>
  <c r="AE61" i="3"/>
  <c r="AE65" i="3"/>
  <c r="AE15" i="3"/>
  <c r="AE24" i="3"/>
  <c r="J35" i="3"/>
  <c r="K35" i="3" s="1"/>
  <c r="AE35" i="3"/>
  <c r="AE68" i="3"/>
  <c r="AE19" i="3"/>
  <c r="AE40" i="3"/>
  <c r="AE70" i="3"/>
  <c r="AE48" i="3"/>
  <c r="AE58" i="3"/>
  <c r="AE54" i="3"/>
  <c r="AE62" i="3"/>
  <c r="AE66" i="3"/>
  <c r="AE16" i="3"/>
  <c r="AE28" i="3"/>
  <c r="AE37" i="3"/>
  <c r="AE55" i="3"/>
  <c r="AE63" i="3"/>
  <c r="AE67" i="3"/>
  <c r="AE18" i="3"/>
  <c r="AE29" i="3"/>
  <c r="AE39" i="3"/>
  <c r="N51" i="3"/>
  <c r="I51" i="3"/>
  <c r="AC51" i="3" l="1"/>
  <c r="AG51" i="3"/>
  <c r="AE51" i="3"/>
  <c r="S47" i="3"/>
  <c r="N47" i="3"/>
  <c r="I47" i="3"/>
  <c r="S46" i="3"/>
  <c r="N46" i="3"/>
  <c r="I46" i="3"/>
  <c r="L48" i="3"/>
  <c r="L49" i="3"/>
  <c r="L50" i="3"/>
  <c r="L51" i="3"/>
  <c r="L52" i="3"/>
  <c r="L53" i="3"/>
  <c r="L54" i="3"/>
  <c r="L55" i="3"/>
  <c r="L56" i="3"/>
  <c r="L57" i="3"/>
  <c r="L58" i="3"/>
  <c r="L59" i="3"/>
  <c r="L60" i="3"/>
  <c r="L61" i="3"/>
  <c r="L62" i="3"/>
  <c r="L63" i="3"/>
  <c r="L64" i="3"/>
  <c r="L65" i="3"/>
  <c r="L66" i="3"/>
  <c r="L67" i="3"/>
  <c r="L68" i="3"/>
  <c r="L69" i="3"/>
  <c r="L70" i="3"/>
  <c r="L71" i="3"/>
  <c r="L77" i="3"/>
  <c r="L78" i="3"/>
  <c r="L79" i="3"/>
  <c r="L81" i="3"/>
  <c r="L82" i="3"/>
  <c r="L84" i="3"/>
  <c r="L85" i="3"/>
  <c r="L86" i="3"/>
  <c r="L87" i="3"/>
  <c r="L88" i="3"/>
  <c r="L89" i="3"/>
  <c r="L90" i="3"/>
  <c r="L91" i="3"/>
  <c r="L92" i="3"/>
  <c r="L93" i="3"/>
  <c r="L94" i="3"/>
  <c r="L95" i="3"/>
  <c r="L96" i="3"/>
  <c r="L97" i="3"/>
  <c r="L98" i="3"/>
  <c r="L99" i="3"/>
  <c r="J48" i="3"/>
  <c r="K48" i="3" s="1"/>
  <c r="M48" i="3" s="1"/>
  <c r="J49" i="3"/>
  <c r="K49" i="3" s="1"/>
  <c r="M49" i="3" s="1"/>
  <c r="J50" i="3"/>
  <c r="K50" i="3" s="1"/>
  <c r="M50" i="3" s="1"/>
  <c r="J51" i="3"/>
  <c r="K51" i="3" s="1"/>
  <c r="M51" i="3" s="1"/>
  <c r="J52" i="3"/>
  <c r="K52" i="3" s="1"/>
  <c r="M52" i="3" s="1"/>
  <c r="J53" i="3"/>
  <c r="K53" i="3" s="1"/>
  <c r="M53" i="3" s="1"/>
  <c r="J54" i="3"/>
  <c r="K54" i="3" s="1"/>
  <c r="M54" i="3" s="1"/>
  <c r="J55" i="3"/>
  <c r="K55" i="3" s="1"/>
  <c r="M55" i="3" s="1"/>
  <c r="J56" i="3"/>
  <c r="K56" i="3" s="1"/>
  <c r="M56" i="3" s="1"/>
  <c r="J57" i="3"/>
  <c r="K57" i="3" s="1"/>
  <c r="M57" i="3" s="1"/>
  <c r="J58" i="3"/>
  <c r="K58" i="3" s="1"/>
  <c r="M58" i="3" s="1"/>
  <c r="J59" i="3"/>
  <c r="K59" i="3" s="1"/>
  <c r="M59" i="3" s="1"/>
  <c r="J60" i="3"/>
  <c r="K60" i="3" s="1"/>
  <c r="M60" i="3" s="1"/>
  <c r="J61" i="3"/>
  <c r="K61" i="3" s="1"/>
  <c r="M61" i="3" s="1"/>
  <c r="J62" i="3"/>
  <c r="K62" i="3" s="1"/>
  <c r="M62" i="3" s="1"/>
  <c r="J63" i="3"/>
  <c r="K63" i="3" s="1"/>
  <c r="M63" i="3" s="1"/>
  <c r="J64" i="3"/>
  <c r="K64" i="3" s="1"/>
  <c r="M64" i="3" s="1"/>
  <c r="J65" i="3"/>
  <c r="K65" i="3" s="1"/>
  <c r="M65" i="3" s="1"/>
  <c r="J66" i="3"/>
  <c r="K66" i="3" s="1"/>
  <c r="M66" i="3" s="1"/>
  <c r="J67" i="3"/>
  <c r="K67" i="3" s="1"/>
  <c r="M67" i="3" s="1"/>
  <c r="J68" i="3"/>
  <c r="K68" i="3" s="1"/>
  <c r="M68" i="3" s="1"/>
  <c r="J69" i="3"/>
  <c r="M69" i="3" s="1"/>
  <c r="J70" i="3"/>
  <c r="K70" i="3" s="1"/>
  <c r="M70" i="3" s="1"/>
  <c r="J71" i="3"/>
  <c r="M71" i="3" s="1"/>
  <c r="J77" i="3"/>
  <c r="M77" i="3" s="1"/>
  <c r="J78" i="3"/>
  <c r="M78" i="3" s="1"/>
  <c r="J79" i="3"/>
  <c r="M79" i="3" s="1"/>
  <c r="J80" i="3"/>
  <c r="M80" i="3" s="1"/>
  <c r="J81" i="3"/>
  <c r="M81" i="3" s="1"/>
  <c r="J82" i="3"/>
  <c r="M82" i="3" s="1"/>
  <c r="J83" i="3"/>
  <c r="M83" i="3" s="1"/>
  <c r="J84" i="3"/>
  <c r="M84" i="3" s="1"/>
  <c r="J85" i="3"/>
  <c r="M85" i="3" s="1"/>
  <c r="J86" i="3"/>
  <c r="M86" i="3" s="1"/>
  <c r="J87" i="3"/>
  <c r="M87" i="3" s="1"/>
  <c r="J88" i="3"/>
  <c r="M88" i="3" s="1"/>
  <c r="J89" i="3"/>
  <c r="M89" i="3" s="1"/>
  <c r="J90" i="3"/>
  <c r="M90" i="3" s="1"/>
  <c r="J91" i="3"/>
  <c r="M91" i="3" s="1"/>
  <c r="J92" i="3"/>
  <c r="M92" i="3" s="1"/>
  <c r="J93" i="3"/>
  <c r="M93" i="3" s="1"/>
  <c r="J94" i="3"/>
  <c r="M94" i="3" s="1"/>
  <c r="J95" i="3"/>
  <c r="M95" i="3" s="1"/>
  <c r="J96" i="3"/>
  <c r="M96" i="3" s="1"/>
  <c r="J97" i="3"/>
  <c r="K97" i="3" s="1"/>
  <c r="M97" i="3" s="1"/>
  <c r="J98" i="3"/>
  <c r="J99" i="3"/>
  <c r="M99" i="3" s="1"/>
  <c r="S45" i="3"/>
  <c r="N45" i="3"/>
  <c r="I45" i="3"/>
  <c r="I44" i="3"/>
  <c r="N44" i="3"/>
  <c r="AG47" i="3" l="1"/>
  <c r="AC47" i="3"/>
  <c r="AC46" i="3"/>
  <c r="AC45" i="3"/>
  <c r="AG46" i="3"/>
  <c r="AG45" i="3"/>
  <c r="J47" i="3"/>
  <c r="K47" i="3" s="1"/>
  <c r="M47" i="3" s="1"/>
  <c r="AE47" i="3"/>
  <c r="J45" i="3"/>
  <c r="K45" i="3" s="1"/>
  <c r="AE45" i="3"/>
  <c r="AE46" i="3"/>
  <c r="L47" i="3"/>
  <c r="J46" i="3"/>
  <c r="K46" i="3" s="1"/>
  <c r="M46" i="3" s="1"/>
  <c r="L46" i="3"/>
  <c r="S36" i="3"/>
  <c r="N36" i="3"/>
  <c r="I36" i="3"/>
  <c r="AG36" i="3" l="1"/>
  <c r="AC36" i="3"/>
  <c r="AE36" i="3"/>
  <c r="I38" i="3"/>
  <c r="AG38" i="3" l="1"/>
  <c r="AH38" i="3" s="1"/>
  <c r="AC38" i="3"/>
  <c r="AE38" i="3"/>
  <c r="S44" i="3"/>
  <c r="AG44" i="3" l="1"/>
  <c r="AC44" i="3"/>
  <c r="AE44" i="3"/>
  <c r="S43" i="3"/>
  <c r="I43" i="3"/>
  <c r="N43" i="3"/>
  <c r="AC43" i="3" l="1"/>
  <c r="AG43" i="3"/>
  <c r="AE43" i="3"/>
  <c r="S42" i="3"/>
  <c r="N42" i="3"/>
  <c r="I42" i="3"/>
  <c r="S41" i="3"/>
  <c r="N41" i="3"/>
  <c r="I41" i="3"/>
  <c r="AC41" i="3" l="1"/>
  <c r="AG42" i="3"/>
  <c r="AC42" i="3"/>
  <c r="AG41" i="3"/>
  <c r="AE42" i="3"/>
  <c r="AE41" i="3"/>
  <c r="M35" i="3"/>
  <c r="L28" i="3"/>
  <c r="L29" i="3"/>
  <c r="L30" i="3"/>
  <c r="L31" i="3"/>
  <c r="L32" i="3"/>
  <c r="L33" i="3"/>
  <c r="L34" i="3"/>
  <c r="L35" i="3"/>
  <c r="L36" i="3"/>
  <c r="L37" i="3"/>
  <c r="L38" i="3"/>
  <c r="L40" i="3"/>
  <c r="L41" i="3"/>
  <c r="L42" i="3"/>
  <c r="L43" i="3"/>
  <c r="L44" i="3"/>
  <c r="L45" i="3"/>
  <c r="L27" i="3"/>
  <c r="L39" i="3"/>
  <c r="L25" i="3" l="1"/>
  <c r="L18" i="3"/>
  <c r="L19" i="3"/>
  <c r="L20" i="3"/>
  <c r="L21" i="3"/>
  <c r="L22" i="3"/>
  <c r="L23" i="3"/>
  <c r="L24" i="3"/>
  <c r="L26" i="3"/>
  <c r="L17" i="3"/>
  <c r="S13" i="3" l="1"/>
  <c r="N13" i="3"/>
  <c r="I13" i="3"/>
  <c r="I10" i="3"/>
  <c r="S9" i="3"/>
  <c r="AG13" i="3" l="1"/>
  <c r="AC13" i="3"/>
  <c r="AG10" i="3"/>
  <c r="AC10" i="3"/>
  <c r="AE10" i="3"/>
  <c r="AE13" i="3"/>
  <c r="N9" i="3"/>
  <c r="I9" i="3" l="1"/>
  <c r="AG9" i="3" l="1"/>
  <c r="AC9" i="3"/>
  <c r="AE9" i="3"/>
  <c r="J9" i="3"/>
  <c r="K9" i="3" s="1"/>
  <c r="M9" i="3" s="1"/>
  <c r="L9" i="3"/>
  <c r="S8" i="3" l="1"/>
  <c r="N8" i="3" l="1"/>
  <c r="I8" i="3" l="1"/>
  <c r="AG8" i="3" l="1"/>
  <c r="AC8" i="3"/>
  <c r="AE8" i="3"/>
  <c r="AI8" i="3" s="1"/>
  <c r="S6" i="3"/>
  <c r="V6" i="3" s="1"/>
  <c r="N6" i="3"/>
  <c r="Q6" i="3" s="1"/>
  <c r="I6" i="3"/>
  <c r="S5" i="3"/>
  <c r="V5" i="3" s="1"/>
  <c r="N5" i="3"/>
  <c r="I5" i="3"/>
  <c r="AI7" i="3"/>
  <c r="AI9" i="3"/>
  <c r="AI10" i="3"/>
  <c r="AI11" i="3"/>
  <c r="AI13" i="3"/>
  <c r="AI14" i="3"/>
  <c r="AI15" i="3"/>
  <c r="AI17" i="3"/>
  <c r="AI19" i="3"/>
  <c r="AI21" i="3"/>
  <c r="AI23" i="3"/>
  <c r="AI25" i="3"/>
  <c r="AI26" i="3"/>
  <c r="AI27" i="3"/>
  <c r="AI29" i="3"/>
  <c r="AI30" i="3"/>
  <c r="AI31" i="3"/>
  <c r="AI32" i="3"/>
  <c r="AI33" i="3"/>
  <c r="AI35" i="3"/>
  <c r="AI37" i="3"/>
  <c r="AI39" i="3"/>
  <c r="AI41" i="3"/>
  <c r="AI42" i="3"/>
  <c r="AI43" i="3"/>
  <c r="AI46" i="3"/>
  <c r="AI47" i="3"/>
  <c r="AI49" i="3"/>
  <c r="AI51" i="3"/>
  <c r="AI53" i="3"/>
  <c r="AI55" i="3"/>
  <c r="AI57" i="3"/>
  <c r="AI58" i="3"/>
  <c r="AI59" i="3"/>
  <c r="AI61" i="3"/>
  <c r="AI62" i="3"/>
  <c r="AI63" i="3"/>
  <c r="AI65" i="3"/>
  <c r="AI67" i="3"/>
  <c r="AI69" i="3"/>
  <c r="AI71" i="3"/>
  <c r="AI77" i="3"/>
  <c r="AI78" i="3"/>
  <c r="AI79" i="3"/>
  <c r="AI81" i="3"/>
  <c r="AI82" i="3"/>
  <c r="AI83" i="3"/>
  <c r="AI85" i="3"/>
  <c r="AI86" i="3"/>
  <c r="AI87" i="3"/>
  <c r="AI89" i="3"/>
  <c r="AI90" i="3"/>
  <c r="AI91" i="3"/>
  <c r="AI93" i="3"/>
  <c r="AI94" i="3"/>
  <c r="AI95" i="3"/>
  <c r="AI97" i="3"/>
  <c r="AI98" i="3"/>
  <c r="AI99" i="3"/>
  <c r="AA6" i="3"/>
  <c r="AA7" i="3"/>
  <c r="AA8" i="3"/>
  <c r="AA9" i="3"/>
  <c r="AA10" i="3"/>
  <c r="AA11" i="3"/>
  <c r="AA12" i="3"/>
  <c r="AA13" i="3"/>
  <c r="AA14" i="3"/>
  <c r="AA15" i="3"/>
  <c r="AA16" i="3"/>
  <c r="AA17" i="3"/>
  <c r="AA18" i="3"/>
  <c r="AA19" i="3"/>
  <c r="AA20" i="3"/>
  <c r="AA21" i="3"/>
  <c r="AA22" i="3"/>
  <c r="AA23" i="3"/>
  <c r="AA24" i="3"/>
  <c r="AA25" i="3"/>
  <c r="AA26" i="3"/>
  <c r="AA27" i="3"/>
  <c r="AA28" i="3"/>
  <c r="AA29" i="3"/>
  <c r="AA30" i="3"/>
  <c r="AA31" i="3"/>
  <c r="AA32" i="3"/>
  <c r="AA33" i="3"/>
  <c r="AA34" i="3"/>
  <c r="AA35" i="3"/>
  <c r="AA36" i="3"/>
  <c r="AA37" i="3"/>
  <c r="AA38" i="3"/>
  <c r="AA39" i="3"/>
  <c r="AA40" i="3"/>
  <c r="AA41" i="3"/>
  <c r="AA42" i="3"/>
  <c r="AA43" i="3"/>
  <c r="AA44" i="3"/>
  <c r="AA45" i="3"/>
  <c r="AA46" i="3"/>
  <c r="AA47" i="3"/>
  <c r="AA48" i="3"/>
  <c r="AA49" i="3"/>
  <c r="AA50" i="3"/>
  <c r="AA51" i="3"/>
  <c r="AA52" i="3"/>
  <c r="AA53" i="3"/>
  <c r="AA54" i="3"/>
  <c r="AA55" i="3"/>
  <c r="AA56" i="3"/>
  <c r="AA57" i="3"/>
  <c r="AA58" i="3"/>
  <c r="AA59" i="3"/>
  <c r="AA60" i="3"/>
  <c r="AA61" i="3"/>
  <c r="AA62" i="3"/>
  <c r="AA63" i="3"/>
  <c r="AA64" i="3"/>
  <c r="AA65" i="3"/>
  <c r="AA66" i="3"/>
  <c r="AA67" i="3"/>
  <c r="AA68" i="3"/>
  <c r="AA69" i="3"/>
  <c r="AA70" i="3"/>
  <c r="AA71" i="3"/>
  <c r="AA72" i="3"/>
  <c r="AA73" i="3"/>
  <c r="AA74" i="3"/>
  <c r="AA75" i="3"/>
  <c r="AA76" i="3"/>
  <c r="AA77" i="3"/>
  <c r="AA78" i="3"/>
  <c r="AA79" i="3"/>
  <c r="AA80" i="3"/>
  <c r="AA81" i="3"/>
  <c r="AA82" i="3"/>
  <c r="AA83" i="3"/>
  <c r="AA84" i="3"/>
  <c r="AA85" i="3"/>
  <c r="AA86" i="3"/>
  <c r="AA87" i="3"/>
  <c r="AA88" i="3"/>
  <c r="AA89" i="3"/>
  <c r="AA90" i="3"/>
  <c r="AA91" i="3"/>
  <c r="AA92" i="3"/>
  <c r="AA93" i="3"/>
  <c r="AA94" i="3"/>
  <c r="AA95" i="3"/>
  <c r="AA96" i="3"/>
  <c r="AA97" i="3"/>
  <c r="AA98" i="3"/>
  <c r="AA99" i="3"/>
  <c r="Y6" i="3"/>
  <c r="Z6" i="3" s="1"/>
  <c r="AB6" i="3" s="1"/>
  <c r="Y7" i="3"/>
  <c r="Z7" i="3" s="1"/>
  <c r="AB7" i="3" s="1"/>
  <c r="Y8" i="3"/>
  <c r="Z8" i="3" s="1"/>
  <c r="AB8" i="3" s="1"/>
  <c r="Y9" i="3"/>
  <c r="Z9" i="3" s="1"/>
  <c r="AB9" i="3" s="1"/>
  <c r="Y10" i="3"/>
  <c r="Z10" i="3" s="1"/>
  <c r="AB10" i="3" s="1"/>
  <c r="Y11" i="3"/>
  <c r="Z11" i="3" s="1"/>
  <c r="AB11" i="3" s="1"/>
  <c r="Y12" i="3"/>
  <c r="Z12" i="3" s="1"/>
  <c r="AB12" i="3" s="1"/>
  <c r="Y13" i="3"/>
  <c r="Z13" i="3" s="1"/>
  <c r="AB13" i="3" s="1"/>
  <c r="Y14" i="3"/>
  <c r="Z14" i="3" s="1"/>
  <c r="AB14" i="3" s="1"/>
  <c r="Y15" i="3"/>
  <c r="Z15" i="3" s="1"/>
  <c r="AB15" i="3" s="1"/>
  <c r="Y16" i="3"/>
  <c r="Z16" i="3" s="1"/>
  <c r="AB16" i="3" s="1"/>
  <c r="Y17" i="3"/>
  <c r="Z17" i="3" s="1"/>
  <c r="AB17" i="3" s="1"/>
  <c r="Y18" i="3"/>
  <c r="Z18" i="3" s="1"/>
  <c r="AB18" i="3" s="1"/>
  <c r="Y19" i="3"/>
  <c r="Z19" i="3" s="1"/>
  <c r="AB19" i="3" s="1"/>
  <c r="Y20" i="3"/>
  <c r="Z20" i="3" s="1"/>
  <c r="AB20" i="3" s="1"/>
  <c r="Y21" i="3"/>
  <c r="Z21" i="3" s="1"/>
  <c r="AB21" i="3" s="1"/>
  <c r="Y22" i="3"/>
  <c r="Z22" i="3" s="1"/>
  <c r="AB22" i="3" s="1"/>
  <c r="Y23" i="3"/>
  <c r="Z23" i="3" s="1"/>
  <c r="AB23" i="3" s="1"/>
  <c r="Y24" i="3"/>
  <c r="Z24" i="3" s="1"/>
  <c r="AB24" i="3" s="1"/>
  <c r="Y25" i="3"/>
  <c r="Z25" i="3" s="1"/>
  <c r="AB25" i="3" s="1"/>
  <c r="Y26" i="3"/>
  <c r="Z26" i="3" s="1"/>
  <c r="AB26" i="3" s="1"/>
  <c r="Y27" i="3"/>
  <c r="Z27" i="3" s="1"/>
  <c r="AB27" i="3" s="1"/>
  <c r="Y28" i="3"/>
  <c r="Z28" i="3" s="1"/>
  <c r="AB28" i="3" s="1"/>
  <c r="Y29" i="3"/>
  <c r="Z29" i="3" s="1"/>
  <c r="AB29" i="3" s="1"/>
  <c r="Y30" i="3"/>
  <c r="Z30" i="3" s="1"/>
  <c r="AB30" i="3" s="1"/>
  <c r="Y31" i="3"/>
  <c r="Z31" i="3" s="1"/>
  <c r="AB31" i="3" s="1"/>
  <c r="Y32" i="3"/>
  <c r="Z32" i="3" s="1"/>
  <c r="AB32" i="3" s="1"/>
  <c r="Y33" i="3"/>
  <c r="Z33" i="3" s="1"/>
  <c r="AB33" i="3" s="1"/>
  <c r="Y34" i="3"/>
  <c r="Z34" i="3" s="1"/>
  <c r="AB34" i="3" s="1"/>
  <c r="Y35" i="3"/>
  <c r="Z35" i="3" s="1"/>
  <c r="AB35" i="3" s="1"/>
  <c r="Y36" i="3"/>
  <c r="Z36" i="3" s="1"/>
  <c r="AB36" i="3" s="1"/>
  <c r="Y37" i="3"/>
  <c r="Z37" i="3" s="1"/>
  <c r="AB37" i="3" s="1"/>
  <c r="Y38" i="3"/>
  <c r="Z38" i="3" s="1"/>
  <c r="AB38" i="3" s="1"/>
  <c r="Y39" i="3"/>
  <c r="Z39" i="3" s="1"/>
  <c r="AB39" i="3" s="1"/>
  <c r="Y40" i="3"/>
  <c r="Z40" i="3" s="1"/>
  <c r="AB40" i="3" s="1"/>
  <c r="Y41" i="3"/>
  <c r="Z41" i="3" s="1"/>
  <c r="AB41" i="3" s="1"/>
  <c r="Y42" i="3"/>
  <c r="Z42" i="3" s="1"/>
  <c r="AB42" i="3" s="1"/>
  <c r="Y43" i="3"/>
  <c r="Z43" i="3" s="1"/>
  <c r="AB43" i="3" s="1"/>
  <c r="Y44" i="3"/>
  <c r="Z44" i="3" s="1"/>
  <c r="AB44" i="3" s="1"/>
  <c r="Y45" i="3"/>
  <c r="Z45" i="3" s="1"/>
  <c r="AB45" i="3" s="1"/>
  <c r="Y46" i="3"/>
  <c r="Z46" i="3" s="1"/>
  <c r="AB46" i="3" s="1"/>
  <c r="Y47" i="3"/>
  <c r="Z47" i="3" s="1"/>
  <c r="AB47" i="3" s="1"/>
  <c r="Y48" i="3"/>
  <c r="Z48" i="3" s="1"/>
  <c r="AB48" i="3" s="1"/>
  <c r="Y49" i="3"/>
  <c r="Z49" i="3" s="1"/>
  <c r="AB49" i="3" s="1"/>
  <c r="Y50" i="3"/>
  <c r="Z50" i="3" s="1"/>
  <c r="AB50" i="3" s="1"/>
  <c r="Y51" i="3"/>
  <c r="Z51" i="3" s="1"/>
  <c r="AB51" i="3" s="1"/>
  <c r="Y52" i="3"/>
  <c r="Z52" i="3" s="1"/>
  <c r="AB52" i="3" s="1"/>
  <c r="Y53" i="3"/>
  <c r="Z53" i="3" s="1"/>
  <c r="AB53" i="3" s="1"/>
  <c r="Y54" i="3"/>
  <c r="Z54" i="3" s="1"/>
  <c r="AB54" i="3" s="1"/>
  <c r="Y55" i="3"/>
  <c r="Z55" i="3" s="1"/>
  <c r="AB55" i="3" s="1"/>
  <c r="Y56" i="3"/>
  <c r="Z56" i="3" s="1"/>
  <c r="AB56" i="3" s="1"/>
  <c r="Y57" i="3"/>
  <c r="Z57" i="3" s="1"/>
  <c r="AB57" i="3" s="1"/>
  <c r="Y58" i="3"/>
  <c r="Z58" i="3" s="1"/>
  <c r="AB58" i="3" s="1"/>
  <c r="Y59" i="3"/>
  <c r="Z59" i="3" s="1"/>
  <c r="AB59" i="3" s="1"/>
  <c r="Y60" i="3"/>
  <c r="Z60" i="3" s="1"/>
  <c r="AB60" i="3" s="1"/>
  <c r="Y61" i="3"/>
  <c r="Z61" i="3" s="1"/>
  <c r="AB61" i="3" s="1"/>
  <c r="Y62" i="3"/>
  <c r="Z62" i="3" s="1"/>
  <c r="AB62" i="3" s="1"/>
  <c r="Y63" i="3"/>
  <c r="Z63" i="3" s="1"/>
  <c r="AB63" i="3" s="1"/>
  <c r="Y64" i="3"/>
  <c r="Z64" i="3" s="1"/>
  <c r="AB64" i="3" s="1"/>
  <c r="Y65" i="3"/>
  <c r="Z65" i="3" s="1"/>
  <c r="AB65" i="3" s="1"/>
  <c r="Y66" i="3"/>
  <c r="Z66" i="3" s="1"/>
  <c r="AB66" i="3" s="1"/>
  <c r="Y67" i="3"/>
  <c r="Z67" i="3" s="1"/>
  <c r="AB67" i="3" s="1"/>
  <c r="Y68" i="3"/>
  <c r="Z68" i="3" s="1"/>
  <c r="AB68" i="3" s="1"/>
  <c r="Y69" i="3"/>
  <c r="Z69" i="3" s="1"/>
  <c r="AB69" i="3" s="1"/>
  <c r="Y70" i="3"/>
  <c r="Z70" i="3" s="1"/>
  <c r="AB70" i="3" s="1"/>
  <c r="Y71" i="3"/>
  <c r="Z71" i="3" s="1"/>
  <c r="AB71" i="3" s="1"/>
  <c r="Y72" i="3"/>
  <c r="Z72" i="3" s="1"/>
  <c r="AB72" i="3" s="1"/>
  <c r="Y73" i="3"/>
  <c r="Z73" i="3" s="1"/>
  <c r="AB73" i="3" s="1"/>
  <c r="Y74" i="3"/>
  <c r="Z74" i="3" s="1"/>
  <c r="AB74" i="3" s="1"/>
  <c r="Y75" i="3"/>
  <c r="Z75" i="3" s="1"/>
  <c r="AB75" i="3" s="1"/>
  <c r="Y76" i="3"/>
  <c r="Z76" i="3" s="1"/>
  <c r="AB76" i="3" s="1"/>
  <c r="Y77" i="3"/>
  <c r="Z77" i="3" s="1"/>
  <c r="AB77" i="3" s="1"/>
  <c r="Y78" i="3"/>
  <c r="Z78" i="3" s="1"/>
  <c r="AB78" i="3" s="1"/>
  <c r="Y79" i="3"/>
  <c r="Z79" i="3" s="1"/>
  <c r="AB79" i="3" s="1"/>
  <c r="Y80" i="3"/>
  <c r="Z80" i="3" s="1"/>
  <c r="AB80" i="3" s="1"/>
  <c r="Y81" i="3"/>
  <c r="Z81" i="3" s="1"/>
  <c r="AB81" i="3" s="1"/>
  <c r="Y82" i="3"/>
  <c r="Z82" i="3" s="1"/>
  <c r="AB82" i="3" s="1"/>
  <c r="Y83" i="3"/>
  <c r="Z83" i="3" s="1"/>
  <c r="AB83" i="3" s="1"/>
  <c r="Y84" i="3"/>
  <c r="Z84" i="3" s="1"/>
  <c r="AB84" i="3" s="1"/>
  <c r="Y85" i="3"/>
  <c r="Z85" i="3" s="1"/>
  <c r="AB85" i="3" s="1"/>
  <c r="Y86" i="3"/>
  <c r="Z86" i="3" s="1"/>
  <c r="AB86" i="3" s="1"/>
  <c r="Y87" i="3"/>
  <c r="Z87" i="3" s="1"/>
  <c r="AB87" i="3" s="1"/>
  <c r="Y88" i="3"/>
  <c r="Z88" i="3" s="1"/>
  <c r="AB88" i="3" s="1"/>
  <c r="Y89" i="3"/>
  <c r="Z89" i="3" s="1"/>
  <c r="AB89" i="3" s="1"/>
  <c r="Y90" i="3"/>
  <c r="Z90" i="3" s="1"/>
  <c r="AB90" i="3" s="1"/>
  <c r="Y91" i="3"/>
  <c r="Z91" i="3" s="1"/>
  <c r="AB91" i="3" s="1"/>
  <c r="Y92" i="3"/>
  <c r="Z92" i="3" s="1"/>
  <c r="AB92" i="3" s="1"/>
  <c r="Y93" i="3"/>
  <c r="Z93" i="3" s="1"/>
  <c r="AB93" i="3" s="1"/>
  <c r="Y94" i="3"/>
  <c r="Z94" i="3" s="1"/>
  <c r="AB94" i="3" s="1"/>
  <c r="Y95" i="3"/>
  <c r="Z95" i="3" s="1"/>
  <c r="AB95" i="3" s="1"/>
  <c r="Y96" i="3"/>
  <c r="Z96" i="3" s="1"/>
  <c r="AB96" i="3" s="1"/>
  <c r="Y97" i="3"/>
  <c r="Z97" i="3" s="1"/>
  <c r="AB97" i="3" s="1"/>
  <c r="Y98" i="3"/>
  <c r="Z98" i="3" s="1"/>
  <c r="AB98" i="3" s="1"/>
  <c r="Y99" i="3"/>
  <c r="Z99" i="3" s="1"/>
  <c r="AB99" i="3" s="1"/>
  <c r="AA5" i="3"/>
  <c r="Y5" i="3"/>
  <c r="Z5" i="3" s="1"/>
  <c r="AB5" i="3" s="1"/>
  <c r="V7" i="3"/>
  <c r="V8" i="3"/>
  <c r="V9" i="3"/>
  <c r="V10" i="3"/>
  <c r="V11" i="3"/>
  <c r="V12" i="3"/>
  <c r="V13" i="3"/>
  <c r="V14" i="3"/>
  <c r="V15" i="3"/>
  <c r="V16" i="3"/>
  <c r="V17" i="3"/>
  <c r="V18" i="3"/>
  <c r="V19" i="3"/>
  <c r="V20" i="3"/>
  <c r="V21" i="3"/>
  <c r="V22" i="3"/>
  <c r="V23" i="3"/>
  <c r="V24" i="3"/>
  <c r="V25" i="3"/>
  <c r="V26" i="3"/>
  <c r="V27" i="3"/>
  <c r="V28" i="3"/>
  <c r="V29" i="3"/>
  <c r="V30" i="3"/>
  <c r="V31" i="3"/>
  <c r="V32" i="3"/>
  <c r="V33" i="3"/>
  <c r="V34" i="3"/>
  <c r="V35" i="3"/>
  <c r="V36" i="3"/>
  <c r="V37" i="3"/>
  <c r="V38" i="3"/>
  <c r="V39" i="3"/>
  <c r="V40" i="3"/>
  <c r="V41" i="3"/>
  <c r="V42" i="3"/>
  <c r="V43" i="3"/>
  <c r="V44" i="3"/>
  <c r="V45" i="3"/>
  <c r="V46" i="3"/>
  <c r="V47" i="3"/>
  <c r="V48" i="3"/>
  <c r="V49" i="3"/>
  <c r="V50" i="3"/>
  <c r="V51" i="3"/>
  <c r="V52" i="3"/>
  <c r="V53" i="3"/>
  <c r="V54" i="3"/>
  <c r="V55" i="3"/>
  <c r="V56" i="3"/>
  <c r="V57" i="3"/>
  <c r="V58" i="3"/>
  <c r="V59" i="3"/>
  <c r="V60" i="3"/>
  <c r="V61" i="3"/>
  <c r="V62" i="3"/>
  <c r="V63" i="3"/>
  <c r="V64" i="3"/>
  <c r="V65" i="3"/>
  <c r="V66" i="3"/>
  <c r="V67" i="3"/>
  <c r="V68" i="3"/>
  <c r="V69" i="3"/>
  <c r="V70" i="3"/>
  <c r="V71" i="3"/>
  <c r="V72" i="3"/>
  <c r="V73" i="3"/>
  <c r="V74" i="3"/>
  <c r="V75" i="3"/>
  <c r="V76" i="3"/>
  <c r="V77" i="3"/>
  <c r="V78" i="3"/>
  <c r="V79" i="3"/>
  <c r="V80" i="3"/>
  <c r="V81" i="3"/>
  <c r="V82" i="3"/>
  <c r="V83" i="3"/>
  <c r="V84" i="3"/>
  <c r="V85" i="3"/>
  <c r="V86" i="3"/>
  <c r="V87" i="3"/>
  <c r="V88" i="3"/>
  <c r="V89" i="3"/>
  <c r="V90" i="3"/>
  <c r="V91" i="3"/>
  <c r="V92" i="3"/>
  <c r="V93" i="3"/>
  <c r="V94" i="3"/>
  <c r="V95" i="3"/>
  <c r="V96" i="3"/>
  <c r="V97" i="3"/>
  <c r="V98" i="3"/>
  <c r="V99" i="3"/>
  <c r="T7" i="3"/>
  <c r="U7" i="3" s="1"/>
  <c r="W7" i="3" s="1"/>
  <c r="T8" i="3"/>
  <c r="U8" i="3" s="1"/>
  <c r="W8" i="3" s="1"/>
  <c r="T9" i="3"/>
  <c r="U9" i="3" s="1"/>
  <c r="W9" i="3" s="1"/>
  <c r="T10" i="3"/>
  <c r="U10" i="3" s="1"/>
  <c r="W10" i="3" s="1"/>
  <c r="T11" i="3"/>
  <c r="U11" i="3" s="1"/>
  <c r="W11" i="3" s="1"/>
  <c r="T12" i="3"/>
  <c r="U12" i="3" s="1"/>
  <c r="W12" i="3" s="1"/>
  <c r="T13" i="3"/>
  <c r="W13" i="3" s="1"/>
  <c r="T14" i="3"/>
  <c r="U14" i="3" s="1"/>
  <c r="W14" i="3" s="1"/>
  <c r="T15" i="3"/>
  <c r="U15" i="3" s="1"/>
  <c r="W15" i="3" s="1"/>
  <c r="T16" i="3"/>
  <c r="U16" i="3" s="1"/>
  <c r="W16" i="3" s="1"/>
  <c r="T17" i="3"/>
  <c r="U17" i="3" s="1"/>
  <c r="W17" i="3" s="1"/>
  <c r="T18" i="3"/>
  <c r="U18" i="3" s="1"/>
  <c r="W18" i="3" s="1"/>
  <c r="T19" i="3"/>
  <c r="U19" i="3" s="1"/>
  <c r="W19" i="3" s="1"/>
  <c r="T20" i="3"/>
  <c r="U20" i="3" s="1"/>
  <c r="W20" i="3" s="1"/>
  <c r="T21" i="3"/>
  <c r="U21" i="3" s="1"/>
  <c r="W21" i="3" s="1"/>
  <c r="T22" i="3"/>
  <c r="U22" i="3" s="1"/>
  <c r="W22" i="3" s="1"/>
  <c r="T23" i="3"/>
  <c r="U23" i="3" s="1"/>
  <c r="W23" i="3" s="1"/>
  <c r="T24" i="3"/>
  <c r="U24" i="3" s="1"/>
  <c r="W24" i="3" s="1"/>
  <c r="T25" i="3"/>
  <c r="U25" i="3" s="1"/>
  <c r="W25" i="3" s="1"/>
  <c r="T26" i="3"/>
  <c r="U26" i="3" s="1"/>
  <c r="W26" i="3" s="1"/>
  <c r="T27" i="3"/>
  <c r="U27" i="3" s="1"/>
  <c r="W27" i="3" s="1"/>
  <c r="T28" i="3"/>
  <c r="U28" i="3" s="1"/>
  <c r="W28" i="3" s="1"/>
  <c r="T29" i="3"/>
  <c r="U29" i="3" s="1"/>
  <c r="W29" i="3" s="1"/>
  <c r="T30" i="3"/>
  <c r="U30" i="3" s="1"/>
  <c r="W30" i="3" s="1"/>
  <c r="T31" i="3"/>
  <c r="U31" i="3" s="1"/>
  <c r="W31" i="3" s="1"/>
  <c r="T32" i="3"/>
  <c r="U32" i="3" s="1"/>
  <c r="W32" i="3" s="1"/>
  <c r="T33" i="3"/>
  <c r="U33" i="3" s="1"/>
  <c r="W33" i="3" s="1"/>
  <c r="T34" i="3"/>
  <c r="U34" i="3" s="1"/>
  <c r="W34" i="3" s="1"/>
  <c r="T35" i="3"/>
  <c r="U35" i="3" s="1"/>
  <c r="W35" i="3" s="1"/>
  <c r="T36" i="3"/>
  <c r="U36" i="3" s="1"/>
  <c r="W36" i="3" s="1"/>
  <c r="T37" i="3"/>
  <c r="U37" i="3" s="1"/>
  <c r="W37" i="3" s="1"/>
  <c r="T38" i="3"/>
  <c r="U38" i="3" s="1"/>
  <c r="W38" i="3" s="1"/>
  <c r="T39" i="3"/>
  <c r="U39" i="3" s="1"/>
  <c r="W39" i="3" s="1"/>
  <c r="T40" i="3"/>
  <c r="U40" i="3" s="1"/>
  <c r="W40" i="3" s="1"/>
  <c r="T41" i="3"/>
  <c r="U41" i="3" s="1"/>
  <c r="W41" i="3" s="1"/>
  <c r="T42" i="3"/>
  <c r="U42" i="3" s="1"/>
  <c r="W42" i="3" s="1"/>
  <c r="T43" i="3"/>
  <c r="U43" i="3" s="1"/>
  <c r="W43" i="3" s="1"/>
  <c r="T44" i="3"/>
  <c r="U44" i="3" s="1"/>
  <c r="W44" i="3" s="1"/>
  <c r="T45" i="3"/>
  <c r="U45" i="3" s="1"/>
  <c r="W45" i="3" s="1"/>
  <c r="T46" i="3"/>
  <c r="U46" i="3" s="1"/>
  <c r="W46" i="3" s="1"/>
  <c r="T47" i="3"/>
  <c r="U47" i="3" s="1"/>
  <c r="W47" i="3" s="1"/>
  <c r="T48" i="3"/>
  <c r="U48" i="3" s="1"/>
  <c r="W48" i="3" s="1"/>
  <c r="T49" i="3"/>
  <c r="U49" i="3" s="1"/>
  <c r="W49" i="3" s="1"/>
  <c r="T50" i="3"/>
  <c r="U50" i="3" s="1"/>
  <c r="W50" i="3" s="1"/>
  <c r="T51" i="3"/>
  <c r="U51" i="3" s="1"/>
  <c r="W51" i="3" s="1"/>
  <c r="T52" i="3"/>
  <c r="U52" i="3" s="1"/>
  <c r="W52" i="3" s="1"/>
  <c r="T53" i="3"/>
  <c r="U53" i="3" s="1"/>
  <c r="W53" i="3" s="1"/>
  <c r="T54" i="3"/>
  <c r="U54" i="3" s="1"/>
  <c r="W54" i="3" s="1"/>
  <c r="T55" i="3"/>
  <c r="U55" i="3" s="1"/>
  <c r="W55" i="3" s="1"/>
  <c r="T56" i="3"/>
  <c r="U56" i="3" s="1"/>
  <c r="W56" i="3" s="1"/>
  <c r="T57" i="3"/>
  <c r="U57" i="3" s="1"/>
  <c r="W57" i="3" s="1"/>
  <c r="T58" i="3"/>
  <c r="U58" i="3" s="1"/>
  <c r="W58" i="3" s="1"/>
  <c r="T59" i="3"/>
  <c r="U59" i="3" s="1"/>
  <c r="W59" i="3" s="1"/>
  <c r="T60" i="3"/>
  <c r="U60" i="3" s="1"/>
  <c r="W60" i="3" s="1"/>
  <c r="T61" i="3"/>
  <c r="U61" i="3" s="1"/>
  <c r="W61" i="3" s="1"/>
  <c r="T62" i="3"/>
  <c r="U62" i="3" s="1"/>
  <c r="W62" i="3" s="1"/>
  <c r="T63" i="3"/>
  <c r="U63" i="3" s="1"/>
  <c r="W63" i="3" s="1"/>
  <c r="T64" i="3"/>
  <c r="U64" i="3" s="1"/>
  <c r="W64" i="3" s="1"/>
  <c r="T65" i="3"/>
  <c r="U65" i="3" s="1"/>
  <c r="W65" i="3" s="1"/>
  <c r="T66" i="3"/>
  <c r="U66" i="3" s="1"/>
  <c r="W66" i="3" s="1"/>
  <c r="T67" i="3"/>
  <c r="U67" i="3" s="1"/>
  <c r="W67" i="3" s="1"/>
  <c r="T68" i="3"/>
  <c r="U68" i="3" s="1"/>
  <c r="W68" i="3" s="1"/>
  <c r="W69" i="3"/>
  <c r="T70" i="3"/>
  <c r="U70" i="3" s="1"/>
  <c r="W70" i="3" s="1"/>
  <c r="T71" i="3"/>
  <c r="U71" i="3" s="1"/>
  <c r="W71" i="3" s="1"/>
  <c r="T72" i="3"/>
  <c r="U72" i="3" s="1"/>
  <c r="W72" i="3" s="1"/>
  <c r="T73" i="3"/>
  <c r="U73" i="3" s="1"/>
  <c r="W73" i="3" s="1"/>
  <c r="T74" i="3"/>
  <c r="U74" i="3" s="1"/>
  <c r="W74" i="3" s="1"/>
  <c r="T75" i="3"/>
  <c r="U75" i="3" s="1"/>
  <c r="W75" i="3" s="1"/>
  <c r="T76" i="3"/>
  <c r="U76" i="3" s="1"/>
  <c r="W76" i="3" s="1"/>
  <c r="W77" i="3"/>
  <c r="W78" i="3"/>
  <c r="T79" i="3"/>
  <c r="W79" i="3" s="1"/>
  <c r="W80" i="3"/>
  <c r="W81" i="3"/>
  <c r="T82" i="3"/>
  <c r="U82" i="3" s="1"/>
  <c r="W82" i="3" s="1"/>
  <c r="W83" i="3"/>
  <c r="W84" i="3"/>
  <c r="W85" i="3"/>
  <c r="W86" i="3"/>
  <c r="W87" i="3"/>
  <c r="W88" i="3"/>
  <c r="W89" i="3"/>
  <c r="W90" i="3"/>
  <c r="W91" i="3"/>
  <c r="T92" i="3"/>
  <c r="W92" i="3" s="1"/>
  <c r="W93" i="3"/>
  <c r="W94" i="3"/>
  <c r="W95" i="3"/>
  <c r="W96" i="3"/>
  <c r="T97" i="3"/>
  <c r="U97" i="3" s="1"/>
  <c r="W97" i="3" s="1"/>
  <c r="W98" i="3"/>
  <c r="T99" i="3"/>
  <c r="W99" i="3" s="1"/>
  <c r="Q7" i="3"/>
  <c r="Q8" i="3"/>
  <c r="Q9" i="3"/>
  <c r="Q11" i="3"/>
  <c r="Q12" i="3"/>
  <c r="Q13" i="3"/>
  <c r="Q14" i="3"/>
  <c r="Q15" i="3"/>
  <c r="Q16" i="3"/>
  <c r="Q17" i="3"/>
  <c r="Q18" i="3"/>
  <c r="Q19" i="3"/>
  <c r="Q20" i="3"/>
  <c r="Q21" i="3"/>
  <c r="Q22" i="3"/>
  <c r="Q23" i="3"/>
  <c r="Q24" i="3"/>
  <c r="Q25" i="3"/>
  <c r="Q28" i="3"/>
  <c r="Q29" i="3"/>
  <c r="Q30" i="3"/>
  <c r="Q31" i="3"/>
  <c r="Q32" i="3"/>
  <c r="Q33" i="3"/>
  <c r="Q34" i="3"/>
  <c r="Q35" i="3"/>
  <c r="Q36" i="3"/>
  <c r="Q37" i="3"/>
  <c r="Q38" i="3"/>
  <c r="Q39" i="3"/>
  <c r="Q40" i="3"/>
  <c r="Q41" i="3"/>
  <c r="Q42" i="3"/>
  <c r="Q43" i="3"/>
  <c r="Q44" i="3"/>
  <c r="Q45" i="3"/>
  <c r="Q46" i="3"/>
  <c r="Q47" i="3"/>
  <c r="Q48" i="3"/>
  <c r="Q49" i="3"/>
  <c r="Q50" i="3"/>
  <c r="Q51" i="3"/>
  <c r="Q52" i="3"/>
  <c r="Q53" i="3"/>
  <c r="Q54" i="3"/>
  <c r="Q55" i="3"/>
  <c r="Q56" i="3"/>
  <c r="Q57" i="3"/>
  <c r="Q58" i="3"/>
  <c r="Q59" i="3"/>
  <c r="Q60" i="3"/>
  <c r="Q61" i="3"/>
  <c r="Q62" i="3"/>
  <c r="Q63" i="3"/>
  <c r="Q64" i="3"/>
  <c r="Q65" i="3"/>
  <c r="Q66" i="3"/>
  <c r="Q67" i="3"/>
  <c r="Q68" i="3"/>
  <c r="Q69" i="3"/>
  <c r="Q70" i="3"/>
  <c r="Q71" i="3"/>
  <c r="Q72" i="3"/>
  <c r="Q73" i="3"/>
  <c r="Q74" i="3"/>
  <c r="Q75" i="3"/>
  <c r="Q76" i="3"/>
  <c r="Q77" i="3"/>
  <c r="Q78" i="3"/>
  <c r="Q79" i="3"/>
  <c r="Q80" i="3"/>
  <c r="Q81" i="3"/>
  <c r="Q82" i="3"/>
  <c r="Q83" i="3"/>
  <c r="Q84" i="3"/>
  <c r="Q85" i="3"/>
  <c r="Q86" i="3"/>
  <c r="Q87" i="3"/>
  <c r="Q88" i="3"/>
  <c r="Q89" i="3"/>
  <c r="Q90" i="3"/>
  <c r="Q91" i="3"/>
  <c r="Q92" i="3"/>
  <c r="Q93" i="3"/>
  <c r="Q94" i="3"/>
  <c r="Q96" i="3"/>
  <c r="Q97" i="3"/>
  <c r="Q98" i="3"/>
  <c r="O7" i="3"/>
  <c r="P7" i="3" s="1"/>
  <c r="R7" i="3" s="1"/>
  <c r="O8" i="3"/>
  <c r="P8" i="3" s="1"/>
  <c r="R8" i="3" s="1"/>
  <c r="O9" i="3"/>
  <c r="P9" i="3" s="1"/>
  <c r="R9" i="3" s="1"/>
  <c r="O11" i="3"/>
  <c r="P11" i="3" s="1"/>
  <c r="R11" i="3" s="1"/>
  <c r="O12" i="3"/>
  <c r="P12" i="3" s="1"/>
  <c r="R12" i="3" s="1"/>
  <c r="O13" i="3"/>
  <c r="R13" i="3" s="1"/>
  <c r="O14" i="3"/>
  <c r="P14" i="3" s="1"/>
  <c r="R14" i="3" s="1"/>
  <c r="O15" i="3"/>
  <c r="P15" i="3" s="1"/>
  <c r="R15" i="3" s="1"/>
  <c r="O16" i="3"/>
  <c r="P16" i="3" s="1"/>
  <c r="R16" i="3" s="1"/>
  <c r="O17" i="3"/>
  <c r="P17" i="3" s="1"/>
  <c r="R17" i="3" s="1"/>
  <c r="O18" i="3"/>
  <c r="P18" i="3" s="1"/>
  <c r="R18" i="3" s="1"/>
  <c r="O19" i="3"/>
  <c r="P19" i="3" s="1"/>
  <c r="R19" i="3" s="1"/>
  <c r="O20" i="3"/>
  <c r="P20" i="3" s="1"/>
  <c r="R20" i="3" s="1"/>
  <c r="O21" i="3"/>
  <c r="P21" i="3" s="1"/>
  <c r="R21" i="3" s="1"/>
  <c r="O22" i="3"/>
  <c r="P22" i="3" s="1"/>
  <c r="R22" i="3" s="1"/>
  <c r="O23" i="3"/>
  <c r="P23" i="3" s="1"/>
  <c r="R23" i="3" s="1"/>
  <c r="O24" i="3"/>
  <c r="P24" i="3" s="1"/>
  <c r="R24" i="3" s="1"/>
  <c r="O25" i="3"/>
  <c r="P25" i="3" s="1"/>
  <c r="R25" i="3" s="1"/>
  <c r="O28" i="3"/>
  <c r="P28" i="3" s="1"/>
  <c r="R28" i="3" s="1"/>
  <c r="O29" i="3"/>
  <c r="P29" i="3" s="1"/>
  <c r="R29" i="3" s="1"/>
  <c r="O30" i="3"/>
  <c r="P30" i="3" s="1"/>
  <c r="R30" i="3" s="1"/>
  <c r="O31" i="3"/>
  <c r="P31" i="3" s="1"/>
  <c r="R31" i="3" s="1"/>
  <c r="O32" i="3"/>
  <c r="P32" i="3" s="1"/>
  <c r="R32" i="3" s="1"/>
  <c r="O33" i="3"/>
  <c r="P33" i="3" s="1"/>
  <c r="R33" i="3" s="1"/>
  <c r="O34" i="3"/>
  <c r="P34" i="3" s="1"/>
  <c r="R34" i="3" s="1"/>
  <c r="O35" i="3"/>
  <c r="P35" i="3" s="1"/>
  <c r="R35" i="3" s="1"/>
  <c r="O36" i="3"/>
  <c r="P36" i="3" s="1"/>
  <c r="R36" i="3" s="1"/>
  <c r="O37" i="3"/>
  <c r="P37" i="3" s="1"/>
  <c r="R37" i="3" s="1"/>
  <c r="O38" i="3"/>
  <c r="P38" i="3" s="1"/>
  <c r="R38" i="3" s="1"/>
  <c r="O39" i="3"/>
  <c r="P39" i="3" s="1"/>
  <c r="R39" i="3" s="1"/>
  <c r="O40" i="3"/>
  <c r="P40" i="3" s="1"/>
  <c r="R40" i="3" s="1"/>
  <c r="O41" i="3"/>
  <c r="P41" i="3" s="1"/>
  <c r="R41" i="3" s="1"/>
  <c r="O42" i="3"/>
  <c r="P42" i="3" s="1"/>
  <c r="R42" i="3" s="1"/>
  <c r="O43" i="3"/>
  <c r="P43" i="3" s="1"/>
  <c r="R43" i="3" s="1"/>
  <c r="O44" i="3"/>
  <c r="P44" i="3" s="1"/>
  <c r="R44" i="3" s="1"/>
  <c r="O45" i="3"/>
  <c r="P45" i="3" s="1"/>
  <c r="R45" i="3" s="1"/>
  <c r="O46" i="3"/>
  <c r="P46" i="3" s="1"/>
  <c r="R46" i="3" s="1"/>
  <c r="O47" i="3"/>
  <c r="P47" i="3" s="1"/>
  <c r="R47" i="3" s="1"/>
  <c r="O48" i="3"/>
  <c r="P48" i="3" s="1"/>
  <c r="R48" i="3" s="1"/>
  <c r="O49" i="3"/>
  <c r="P49" i="3" s="1"/>
  <c r="R49" i="3" s="1"/>
  <c r="O50" i="3"/>
  <c r="P50" i="3" s="1"/>
  <c r="R50" i="3" s="1"/>
  <c r="O51" i="3"/>
  <c r="O52" i="3"/>
  <c r="P52" i="3" s="1"/>
  <c r="R52" i="3" s="1"/>
  <c r="O53" i="3"/>
  <c r="P53" i="3" s="1"/>
  <c r="R53" i="3" s="1"/>
  <c r="O54" i="3"/>
  <c r="P54" i="3" s="1"/>
  <c r="R54" i="3" s="1"/>
  <c r="O55" i="3"/>
  <c r="P55" i="3" s="1"/>
  <c r="R55" i="3" s="1"/>
  <c r="O56" i="3"/>
  <c r="P56" i="3" s="1"/>
  <c r="R56" i="3" s="1"/>
  <c r="O57" i="3"/>
  <c r="P57" i="3" s="1"/>
  <c r="R57" i="3" s="1"/>
  <c r="O58" i="3"/>
  <c r="P58" i="3" s="1"/>
  <c r="R58" i="3" s="1"/>
  <c r="O59" i="3"/>
  <c r="P59" i="3" s="1"/>
  <c r="R59" i="3" s="1"/>
  <c r="O60" i="3"/>
  <c r="P60" i="3" s="1"/>
  <c r="R60" i="3" s="1"/>
  <c r="O61" i="3"/>
  <c r="P61" i="3" s="1"/>
  <c r="R61" i="3" s="1"/>
  <c r="O62" i="3"/>
  <c r="P62" i="3" s="1"/>
  <c r="R62" i="3" s="1"/>
  <c r="O63" i="3"/>
  <c r="P63" i="3" s="1"/>
  <c r="R63" i="3" s="1"/>
  <c r="O64" i="3"/>
  <c r="P64" i="3" s="1"/>
  <c r="R64" i="3" s="1"/>
  <c r="O65" i="3"/>
  <c r="P65" i="3" s="1"/>
  <c r="R65" i="3" s="1"/>
  <c r="O66" i="3"/>
  <c r="P66" i="3" s="1"/>
  <c r="R66" i="3" s="1"/>
  <c r="O67" i="3"/>
  <c r="P67" i="3" s="1"/>
  <c r="R67" i="3" s="1"/>
  <c r="O68" i="3"/>
  <c r="P68" i="3" s="1"/>
  <c r="R68" i="3" s="1"/>
  <c r="R69" i="3"/>
  <c r="O70" i="3"/>
  <c r="P70" i="3" s="1"/>
  <c r="R70" i="3" s="1"/>
  <c r="O71" i="3"/>
  <c r="P71" i="3" s="1"/>
  <c r="R71" i="3" s="1"/>
  <c r="O72" i="3"/>
  <c r="P72" i="3" s="1"/>
  <c r="R72" i="3" s="1"/>
  <c r="O73" i="3"/>
  <c r="P73" i="3" s="1"/>
  <c r="R73" i="3" s="1"/>
  <c r="O74" i="3"/>
  <c r="P74" i="3" s="1"/>
  <c r="R74" i="3" s="1"/>
  <c r="O75" i="3"/>
  <c r="P75" i="3" s="1"/>
  <c r="R75" i="3" s="1"/>
  <c r="O76" i="3"/>
  <c r="P76" i="3" s="1"/>
  <c r="R76" i="3" s="1"/>
  <c r="R77" i="3"/>
  <c r="R78" i="3"/>
  <c r="R79" i="3"/>
  <c r="R80" i="3"/>
  <c r="R81" i="3"/>
  <c r="O82" i="3"/>
  <c r="R82" i="3" s="1"/>
  <c r="R83" i="3"/>
  <c r="R84" i="3"/>
  <c r="R85" i="3"/>
  <c r="R86" i="3"/>
  <c r="R87" i="3"/>
  <c r="R88" i="3"/>
  <c r="R89" i="3"/>
  <c r="R90" i="3"/>
  <c r="R91" i="3"/>
  <c r="O92" i="3"/>
  <c r="R92" i="3" s="1"/>
  <c r="R93" i="3"/>
  <c r="R94" i="3"/>
  <c r="R96" i="3"/>
  <c r="O97" i="3"/>
  <c r="P97" i="3" s="1"/>
  <c r="R97" i="3" s="1"/>
  <c r="R98" i="3"/>
  <c r="R99" i="3"/>
  <c r="A8" i="3"/>
  <c r="A9" i="3"/>
  <c r="A12" i="3"/>
  <c r="A13" i="3"/>
  <c r="A16" i="3"/>
  <c r="A17" i="3"/>
  <c r="A20" i="3"/>
  <c r="A21" i="3"/>
  <c r="A23" i="3"/>
  <c r="A24" i="3"/>
  <c r="A26" i="3"/>
  <c r="A27" i="3"/>
  <c r="A30" i="3"/>
  <c r="A35" i="3"/>
  <c r="A39" i="3"/>
  <c r="A43" i="3"/>
  <c r="A48" i="3"/>
  <c r="A50" i="3"/>
  <c r="A56" i="3"/>
  <c r="A58" i="3"/>
  <c r="A60" i="3"/>
  <c r="A62" i="3"/>
  <c r="A64" i="3"/>
  <c r="A66" i="3"/>
  <c r="A69" i="3"/>
  <c r="A71" i="3"/>
  <c r="A79" i="3"/>
  <c r="A83" i="3"/>
  <c r="A87" i="3"/>
  <c r="A91" i="3"/>
  <c r="A95" i="3"/>
  <c r="A99" i="3"/>
  <c r="L7" i="3"/>
  <c r="L8" i="3"/>
  <c r="L10" i="3"/>
  <c r="L11" i="3"/>
  <c r="L12" i="3"/>
  <c r="L13" i="3"/>
  <c r="L14" i="3"/>
  <c r="L15" i="3"/>
  <c r="L16" i="3"/>
  <c r="J7" i="3"/>
  <c r="K7" i="3" s="1"/>
  <c r="M7" i="3" s="1"/>
  <c r="J8" i="3"/>
  <c r="K8" i="3" s="1"/>
  <c r="M8" i="3" s="1"/>
  <c r="J10" i="3"/>
  <c r="J11" i="3"/>
  <c r="K11" i="3" s="1"/>
  <c r="M11" i="3" s="1"/>
  <c r="J12" i="3"/>
  <c r="K12" i="3" s="1"/>
  <c r="M12" i="3" s="1"/>
  <c r="J13" i="3"/>
  <c r="M13" i="3" s="1"/>
  <c r="J14" i="3"/>
  <c r="K14" i="3" s="1"/>
  <c r="M14" i="3" s="1"/>
  <c r="J15" i="3"/>
  <c r="K15" i="3" s="1"/>
  <c r="M15" i="3" s="1"/>
  <c r="J16" i="3"/>
  <c r="K16" i="3" s="1"/>
  <c r="M16" i="3" s="1"/>
  <c r="J17" i="3"/>
  <c r="K17" i="3" s="1"/>
  <c r="M17" i="3" s="1"/>
  <c r="J18" i="3"/>
  <c r="K18" i="3" s="1"/>
  <c r="M18" i="3" s="1"/>
  <c r="J19" i="3"/>
  <c r="K19" i="3" s="1"/>
  <c r="M19" i="3" s="1"/>
  <c r="J20" i="3"/>
  <c r="K20" i="3" s="1"/>
  <c r="M20" i="3" s="1"/>
  <c r="J21" i="3"/>
  <c r="K21" i="3" s="1"/>
  <c r="M21" i="3" s="1"/>
  <c r="J22" i="3"/>
  <c r="K22" i="3" s="1"/>
  <c r="M22" i="3" s="1"/>
  <c r="J23" i="3"/>
  <c r="K23" i="3" s="1"/>
  <c r="M23" i="3" s="1"/>
  <c r="J24" i="3"/>
  <c r="K24" i="3" s="1"/>
  <c r="M24" i="3" s="1"/>
  <c r="J25" i="3"/>
  <c r="K25" i="3" s="1"/>
  <c r="M25" i="3" s="1"/>
  <c r="J26" i="3"/>
  <c r="K26" i="3" s="1"/>
  <c r="M26" i="3" s="1"/>
  <c r="J27" i="3"/>
  <c r="K27" i="3" s="1"/>
  <c r="M27" i="3" s="1"/>
  <c r="J28" i="3"/>
  <c r="K28" i="3" s="1"/>
  <c r="M28" i="3" s="1"/>
  <c r="J29" i="3"/>
  <c r="K29" i="3" s="1"/>
  <c r="M29" i="3" s="1"/>
  <c r="J30" i="3"/>
  <c r="K30" i="3" s="1"/>
  <c r="M30" i="3" s="1"/>
  <c r="J31" i="3"/>
  <c r="K31" i="3" s="1"/>
  <c r="M31" i="3" s="1"/>
  <c r="J32" i="3"/>
  <c r="K32" i="3" s="1"/>
  <c r="M32" i="3" s="1"/>
  <c r="J33" i="3"/>
  <c r="K33" i="3" s="1"/>
  <c r="M33" i="3" s="1"/>
  <c r="J34" i="3"/>
  <c r="K34" i="3" s="1"/>
  <c r="M34" i="3" s="1"/>
  <c r="J36" i="3"/>
  <c r="K36" i="3" s="1"/>
  <c r="M36" i="3" s="1"/>
  <c r="J37" i="3"/>
  <c r="K37" i="3" s="1"/>
  <c r="M37" i="3" s="1"/>
  <c r="J38" i="3"/>
  <c r="K38" i="3" s="1"/>
  <c r="M38" i="3" s="1"/>
  <c r="J39" i="3"/>
  <c r="K39" i="3" s="1"/>
  <c r="M39" i="3" s="1"/>
  <c r="J40" i="3"/>
  <c r="K40" i="3" s="1"/>
  <c r="M40" i="3" s="1"/>
  <c r="J41" i="3"/>
  <c r="K41" i="3" s="1"/>
  <c r="M41" i="3" s="1"/>
  <c r="J42" i="3"/>
  <c r="K42" i="3" s="1"/>
  <c r="M42" i="3" s="1"/>
  <c r="J43" i="3"/>
  <c r="K43" i="3" s="1"/>
  <c r="M43" i="3" s="1"/>
  <c r="J44" i="3"/>
  <c r="K44" i="3" s="1"/>
  <c r="M44" i="3" s="1"/>
  <c r="M45" i="3"/>
  <c r="A10" i="3"/>
  <c r="A11" i="3"/>
  <c r="A14" i="3"/>
  <c r="A15" i="3"/>
  <c r="A18" i="3"/>
  <c r="A19" i="3"/>
  <c r="A22" i="3"/>
  <c r="A25" i="3"/>
  <c r="A28" i="3"/>
  <c r="A29" i="3"/>
  <c r="A31" i="3"/>
  <c r="A32" i="3"/>
  <c r="A33" i="3"/>
  <c r="A34" i="3"/>
  <c r="A36" i="3"/>
  <c r="A37" i="3"/>
  <c r="A38" i="3"/>
  <c r="A40" i="3"/>
  <c r="A41" i="3"/>
  <c r="A42" i="3"/>
  <c r="A44" i="3"/>
  <c r="A45" i="3"/>
  <c r="A46" i="3"/>
  <c r="A47" i="3"/>
  <c r="A49" i="3"/>
  <c r="A51" i="3"/>
  <c r="A52" i="3"/>
  <c r="A53" i="3"/>
  <c r="A54" i="3"/>
  <c r="A55" i="3"/>
  <c r="A57" i="3"/>
  <c r="A59" i="3"/>
  <c r="A61" i="3"/>
  <c r="A63" i="3"/>
  <c r="A65" i="3"/>
  <c r="A67" i="3"/>
  <c r="A68" i="3"/>
  <c r="A70" i="3"/>
  <c r="A77" i="3"/>
  <c r="A78" i="3"/>
  <c r="A80" i="3"/>
  <c r="A81" i="3"/>
  <c r="A82" i="3"/>
  <c r="A84" i="3"/>
  <c r="A85" i="3"/>
  <c r="A86" i="3"/>
  <c r="A88" i="3"/>
  <c r="A89" i="3"/>
  <c r="A90" i="3"/>
  <c r="A92" i="3"/>
  <c r="A93" i="3"/>
  <c r="A94" i="3"/>
  <c r="A96" i="3"/>
  <c r="A97" i="3"/>
  <c r="A98" i="3"/>
  <c r="AH25" i="3" l="1"/>
  <c r="AD77" i="3"/>
  <c r="AH77" i="3"/>
  <c r="AD61" i="3"/>
  <c r="AD37" i="3"/>
  <c r="AD52" i="3"/>
  <c r="AD36" i="3"/>
  <c r="AH36" i="3"/>
  <c r="AH9" i="3"/>
  <c r="AD9" i="3"/>
  <c r="AH27" i="3"/>
  <c r="AD27" i="3"/>
  <c r="AD83" i="3"/>
  <c r="AH83" i="3"/>
  <c r="AD67" i="3"/>
  <c r="AD35" i="3"/>
  <c r="AD26" i="3"/>
  <c r="AH26" i="3"/>
  <c r="AD58" i="3"/>
  <c r="AD29" i="3"/>
  <c r="AH8" i="3"/>
  <c r="AD8" i="3"/>
  <c r="AD92" i="3"/>
  <c r="AH92" i="3"/>
  <c r="AD60" i="3"/>
  <c r="AD18" i="3"/>
  <c r="AD51" i="3"/>
  <c r="AH51" i="3"/>
  <c r="AH17" i="3"/>
  <c r="AD17" i="3"/>
  <c r="AD15" i="3"/>
  <c r="AD66" i="3"/>
  <c r="AD24" i="3"/>
  <c r="AH98" i="3"/>
  <c r="AD98" i="3"/>
  <c r="AD65" i="3"/>
  <c r="AH41" i="3"/>
  <c r="AD41" i="3"/>
  <c r="AD23" i="3"/>
  <c r="AH13" i="3"/>
  <c r="AD13" i="3"/>
  <c r="AD97" i="3"/>
  <c r="AH97" i="3"/>
  <c r="AH88" i="3"/>
  <c r="AD88" i="3"/>
  <c r="AH80" i="3"/>
  <c r="AD80" i="3"/>
  <c r="AD64" i="3"/>
  <c r="AD56" i="3"/>
  <c r="AD48" i="3"/>
  <c r="AD40" i="3"/>
  <c r="AD32" i="3"/>
  <c r="AD22" i="3"/>
  <c r="AH95" i="3"/>
  <c r="AD95" i="3"/>
  <c r="AH10" i="3"/>
  <c r="AD10" i="3"/>
  <c r="AD93" i="3"/>
  <c r="AH93" i="3"/>
  <c r="AH69" i="3"/>
  <c r="AD69" i="3"/>
  <c r="AH45" i="3"/>
  <c r="AD45" i="3"/>
  <c r="AD68" i="3"/>
  <c r="AD28" i="3"/>
  <c r="AD99" i="3"/>
  <c r="AH99" i="3"/>
  <c r="AD7" i="3"/>
  <c r="AD59" i="3"/>
  <c r="AD25" i="3"/>
  <c r="AD82" i="3"/>
  <c r="AH82" i="3"/>
  <c r="AD50" i="3"/>
  <c r="AD34" i="3"/>
  <c r="AH89" i="3"/>
  <c r="AD89" i="3"/>
  <c r="AD49" i="3"/>
  <c r="AD12" i="3"/>
  <c r="AD96" i="3"/>
  <c r="AH96" i="3"/>
  <c r="AH87" i="3"/>
  <c r="AD87" i="3"/>
  <c r="AH79" i="3"/>
  <c r="AD79" i="3"/>
  <c r="AD71" i="3"/>
  <c r="AD63" i="3"/>
  <c r="AD55" i="3"/>
  <c r="AH47" i="3"/>
  <c r="AD47" i="3"/>
  <c r="AD39" i="3"/>
  <c r="AD31" i="3"/>
  <c r="AD21" i="3"/>
  <c r="AH85" i="3"/>
  <c r="AD85" i="3"/>
  <c r="AD53" i="3"/>
  <c r="AD19" i="3"/>
  <c r="AH84" i="3"/>
  <c r="AD84" i="3"/>
  <c r="AD44" i="3"/>
  <c r="AH44" i="3"/>
  <c r="AD16" i="3"/>
  <c r="AH91" i="3"/>
  <c r="AD91" i="3"/>
  <c r="AD43" i="3"/>
  <c r="AH43" i="3"/>
  <c r="AH90" i="3"/>
  <c r="AD90" i="3"/>
  <c r="AH42" i="3"/>
  <c r="AD42" i="3"/>
  <c r="AD14" i="3"/>
  <c r="AH81" i="3"/>
  <c r="AD81" i="3"/>
  <c r="AD57" i="3"/>
  <c r="AD33" i="3"/>
  <c r="AD11" i="3"/>
  <c r="AH94" i="3"/>
  <c r="AD94" i="3"/>
  <c r="AH86" i="3"/>
  <c r="AD86" i="3"/>
  <c r="AH78" i="3"/>
  <c r="AD78" i="3"/>
  <c r="AD70" i="3"/>
  <c r="AD62" i="3"/>
  <c r="AD54" i="3"/>
  <c r="AH46" i="3"/>
  <c r="AD46" i="3"/>
  <c r="AD38" i="3"/>
  <c r="AD30" i="3"/>
  <c r="AD20" i="3"/>
  <c r="AG6" i="3"/>
  <c r="AC6" i="3"/>
  <c r="AC5" i="3"/>
  <c r="AE6" i="3"/>
  <c r="AI6" i="3" s="1"/>
  <c r="AE5" i="3"/>
  <c r="AI5" i="3" s="1"/>
  <c r="AG5" i="3"/>
  <c r="J5" i="3"/>
  <c r="K5" i="3" s="1"/>
  <c r="M5" i="3" s="1"/>
  <c r="A5" i="3"/>
  <c r="P51" i="3"/>
  <c r="R51" i="3" s="1"/>
  <c r="AI45" i="3"/>
  <c r="AJ45" i="3" s="1"/>
  <c r="AF45" i="3"/>
  <c r="K10" i="3"/>
  <c r="M10" i="3" s="1"/>
  <c r="L5" i="3"/>
  <c r="AJ32" i="3"/>
  <c r="AJ8" i="3"/>
  <c r="O6" i="3"/>
  <c r="P6" i="3" s="1"/>
  <c r="R6" i="3" s="1"/>
  <c r="AJ98" i="3"/>
  <c r="AJ94" i="3"/>
  <c r="AJ90" i="3"/>
  <c r="AJ86" i="3"/>
  <c r="AJ82" i="3"/>
  <c r="AJ78" i="3"/>
  <c r="AJ62" i="3"/>
  <c r="AJ58" i="3"/>
  <c r="AJ46" i="3"/>
  <c r="AJ42" i="3"/>
  <c r="AJ30" i="3"/>
  <c r="AJ26" i="3"/>
  <c r="AJ14" i="3"/>
  <c r="AJ10" i="3"/>
  <c r="T6" i="3"/>
  <c r="U6" i="3" s="1"/>
  <c r="W6" i="3" s="1"/>
  <c r="AJ97" i="3"/>
  <c r="AJ93" i="3"/>
  <c r="AJ89" i="3"/>
  <c r="AJ85" i="3"/>
  <c r="AJ81" i="3"/>
  <c r="AJ77" i="3"/>
  <c r="AJ69" i="3"/>
  <c r="AJ65" i="3"/>
  <c r="AJ61" i="3"/>
  <c r="AJ57" i="3"/>
  <c r="AJ53" i="3"/>
  <c r="AJ49" i="3"/>
  <c r="AJ41" i="3"/>
  <c r="AJ37" i="3"/>
  <c r="AJ33" i="3"/>
  <c r="AJ29" i="3"/>
  <c r="AJ25" i="3"/>
  <c r="AJ21" i="3"/>
  <c r="AJ17" i="3"/>
  <c r="AJ13" i="3"/>
  <c r="AJ9" i="3"/>
  <c r="AJ99" i="3"/>
  <c r="AJ95" i="3"/>
  <c r="AJ91" i="3"/>
  <c r="AJ87" i="3"/>
  <c r="AJ83" i="3"/>
  <c r="AJ79" i="3"/>
  <c r="AJ71" i="3"/>
  <c r="AJ67" i="3"/>
  <c r="AJ63" i="3"/>
  <c r="AJ59" i="3"/>
  <c r="AJ55" i="3"/>
  <c r="AJ51" i="3"/>
  <c r="AJ47" i="3"/>
  <c r="AJ43" i="3"/>
  <c r="AJ39" i="3"/>
  <c r="AJ35" i="3"/>
  <c r="AJ31" i="3"/>
  <c r="AJ27" i="3"/>
  <c r="AJ23" i="3"/>
  <c r="AJ19" i="3"/>
  <c r="AJ15" i="3"/>
  <c r="AJ11" i="3"/>
  <c r="AJ7" i="3"/>
  <c r="AF37" i="3"/>
  <c r="Q5" i="3"/>
  <c r="AF21" i="3"/>
  <c r="AF90" i="3"/>
  <c r="O5" i="3"/>
  <c r="P5" i="3" s="1"/>
  <c r="R5" i="3" s="1"/>
  <c r="AF69" i="3"/>
  <c r="AF11" i="3"/>
  <c r="AF53" i="3"/>
  <c r="AF98" i="3"/>
  <c r="AF94" i="3"/>
  <c r="J6" i="3"/>
  <c r="K6" i="3" s="1"/>
  <c r="M6" i="3" s="1"/>
  <c r="AF32" i="3"/>
  <c r="AI96" i="3"/>
  <c r="AJ96" i="3" s="1"/>
  <c r="AF96" i="3"/>
  <c r="AI92" i="3"/>
  <c r="AJ92" i="3" s="1"/>
  <c r="AF92" i="3"/>
  <c r="AI88" i="3"/>
  <c r="AJ88" i="3" s="1"/>
  <c r="AF88" i="3"/>
  <c r="AI84" i="3"/>
  <c r="AJ84" i="3" s="1"/>
  <c r="AF84" i="3"/>
  <c r="AI80" i="3"/>
  <c r="AJ80" i="3" s="1"/>
  <c r="AF80" i="3"/>
  <c r="AI68" i="3"/>
  <c r="AJ68" i="3" s="1"/>
  <c r="AF68" i="3"/>
  <c r="AI64" i="3"/>
  <c r="AJ64" i="3" s="1"/>
  <c r="AF64" i="3"/>
  <c r="AI60" i="3"/>
  <c r="AJ60" i="3" s="1"/>
  <c r="AF60" i="3"/>
  <c r="AI56" i="3"/>
  <c r="AJ56" i="3" s="1"/>
  <c r="AF56" i="3"/>
  <c r="AI52" i="3"/>
  <c r="AJ52" i="3" s="1"/>
  <c r="AF52" i="3"/>
  <c r="AI48" i="3"/>
  <c r="AJ48" i="3" s="1"/>
  <c r="AF48" i="3"/>
  <c r="AI44" i="3"/>
  <c r="AJ44" i="3" s="1"/>
  <c r="AF44" i="3"/>
  <c r="AI40" i="3"/>
  <c r="AJ40" i="3" s="1"/>
  <c r="AF40" i="3"/>
  <c r="AI36" i="3"/>
  <c r="AJ36" i="3" s="1"/>
  <c r="AF36" i="3"/>
  <c r="AI28" i="3"/>
  <c r="AJ28" i="3" s="1"/>
  <c r="AF28" i="3"/>
  <c r="AI24" i="3"/>
  <c r="AJ24" i="3" s="1"/>
  <c r="AF24" i="3"/>
  <c r="AI20" i="3"/>
  <c r="AJ20" i="3" s="1"/>
  <c r="AF20" i="3"/>
  <c r="AI16" i="3"/>
  <c r="AJ16" i="3" s="1"/>
  <c r="AF16" i="3"/>
  <c r="AI12" i="3"/>
  <c r="AJ12" i="3" s="1"/>
  <c r="AF12" i="3"/>
  <c r="AF86" i="3"/>
  <c r="AF27" i="3"/>
  <c r="AF82" i="3"/>
  <c r="AF43" i="3"/>
  <c r="AF78" i="3"/>
  <c r="AF59" i="3"/>
  <c r="AF97" i="3"/>
  <c r="AF93" i="3"/>
  <c r="AF89" i="3"/>
  <c r="AF85" i="3"/>
  <c r="AF81" i="3"/>
  <c r="AF77" i="3"/>
  <c r="AF63" i="3"/>
  <c r="AF57" i="3"/>
  <c r="AF47" i="3"/>
  <c r="AF41" i="3"/>
  <c r="AF31" i="3"/>
  <c r="AF25" i="3"/>
  <c r="AF15" i="3"/>
  <c r="AF9" i="3"/>
  <c r="AF70" i="3"/>
  <c r="AF66" i="3"/>
  <c r="AF62" i="3"/>
  <c r="AF58" i="3"/>
  <c r="AF54" i="3"/>
  <c r="AF50" i="3"/>
  <c r="AF46" i="3"/>
  <c r="AF42" i="3"/>
  <c r="AF38" i="3"/>
  <c r="AF34" i="3"/>
  <c r="AF30" i="3"/>
  <c r="AF26" i="3"/>
  <c r="AF22" i="3"/>
  <c r="AF18" i="3"/>
  <c r="AF14" i="3"/>
  <c r="AF10" i="3"/>
  <c r="AF67" i="3"/>
  <c r="AF61" i="3"/>
  <c r="AF51" i="3"/>
  <c r="AF35" i="3"/>
  <c r="AF29" i="3"/>
  <c r="AF19" i="3"/>
  <c r="AF13" i="3"/>
  <c r="AF7" i="3"/>
  <c r="AI70" i="3"/>
  <c r="AJ70" i="3" s="1"/>
  <c r="AI54" i="3"/>
  <c r="AJ54" i="3" s="1"/>
  <c r="AI38" i="3"/>
  <c r="AJ38" i="3" s="1"/>
  <c r="AI22" i="3"/>
  <c r="AJ22" i="3" s="1"/>
  <c r="AF99" i="3"/>
  <c r="AF95" i="3"/>
  <c r="AF91" i="3"/>
  <c r="AF87" i="3"/>
  <c r="AF83" i="3"/>
  <c r="AF79" i="3"/>
  <c r="AF71" i="3"/>
  <c r="AF65" i="3"/>
  <c r="AF55" i="3"/>
  <c r="AF49" i="3"/>
  <c r="AF39" i="3"/>
  <c r="AF33" i="3"/>
  <c r="AF23" i="3"/>
  <c r="AF17" i="3"/>
  <c r="AI66" i="3"/>
  <c r="AJ66" i="3" s="1"/>
  <c r="AI50" i="3"/>
  <c r="AJ50" i="3" s="1"/>
  <c r="AI34" i="3"/>
  <c r="AJ34" i="3" s="1"/>
  <c r="AI18" i="3"/>
  <c r="AJ18" i="3" s="1"/>
  <c r="AF8" i="3"/>
  <c r="A6" i="3"/>
  <c r="L6" i="3"/>
  <c r="T5" i="3"/>
  <c r="U5" i="3" s="1"/>
  <c r="W5" i="3" s="1"/>
  <c r="AD5" i="3" l="1"/>
  <c r="AH5" i="3"/>
  <c r="AH6" i="3"/>
  <c r="AD6" i="3"/>
  <c r="AF5" i="3"/>
  <c r="AJ5" i="3"/>
  <c r="AJ6" i="3"/>
  <c r="AF6" i="3"/>
  <c r="M98" i="3" l="1"/>
  <c r="A72" i="3"/>
  <c r="AI72" i="3"/>
  <c r="AI76" i="3"/>
  <c r="AI74" i="3"/>
  <c r="A76" i="3"/>
  <c r="L76" i="3"/>
  <c r="J76" i="3"/>
  <c r="M76" i="3" s="1"/>
  <c r="A74" i="3"/>
  <c r="L74" i="3"/>
  <c r="M74" i="3"/>
  <c r="J74" i="3"/>
  <c r="A73" i="3"/>
  <c r="L73" i="3"/>
  <c r="J73" i="3"/>
  <c r="M73" i="3"/>
  <c r="J72" i="3"/>
  <c r="M72" i="3"/>
  <c r="L72" i="3"/>
  <c r="A75" i="3"/>
  <c r="J75" i="3"/>
  <c r="L75" i="3"/>
  <c r="M75" i="3"/>
  <c r="AD76" i="3" l="1"/>
  <c r="AD72" i="3"/>
  <c r="AD74" i="3"/>
  <c r="AD75" i="3"/>
  <c r="AD73" i="3"/>
  <c r="AJ72" i="3"/>
  <c r="AF73" i="3"/>
  <c r="AF75" i="3"/>
  <c r="AI73" i="3"/>
  <c r="AJ73" i="3" s="1"/>
  <c r="AF72" i="3"/>
  <c r="AJ74" i="3"/>
  <c r="AF76" i="3"/>
  <c r="AI75" i="3"/>
  <c r="AJ75" i="3" s="1"/>
  <c r="AJ76" i="3"/>
  <c r="AF74" i="3"/>
  <c r="A238" i="3"/>
  <c r="L238" i="3"/>
  <c r="J238" i="3"/>
  <c r="K238" i="3" s="1"/>
  <c r="M238" i="3" s="1"/>
  <c r="AD238" i="3" l="1"/>
  <c r="AI238" i="3"/>
  <c r="AJ238" i="3" s="1"/>
  <c r="AF238" i="3"/>
  <c r="A251" i="3"/>
  <c r="J251" i="3"/>
  <c r="K251" i="3" s="1"/>
  <c r="M251" i="3" s="1"/>
  <c r="L251" i="3"/>
  <c r="AH251" i="3" s="1"/>
  <c r="AD251" i="3" l="1"/>
  <c r="AF251" i="3"/>
  <c r="AI251" i="3"/>
  <c r="AJ251" i="3" s="1"/>
  <c r="AI244" i="3"/>
  <c r="AI239" i="3"/>
  <c r="AI242" i="3"/>
  <c r="L245" i="3"/>
  <c r="J245" i="3"/>
  <c r="K245" i="3" s="1"/>
  <c r="M245" i="3" s="1"/>
  <c r="A245" i="3"/>
  <c r="AI249" i="3"/>
  <c r="AI237" i="3"/>
  <c r="J239" i="3"/>
  <c r="K239" i="3" s="1"/>
  <c r="M239" i="3" s="1"/>
  <c r="L239" i="3"/>
  <c r="A239" i="3"/>
  <c r="J249" i="3"/>
  <c r="K249" i="3" s="1"/>
  <c r="M249" i="3" s="1"/>
  <c r="A249" i="3"/>
  <c r="L249" i="3"/>
  <c r="AI245" i="3"/>
  <c r="J248" i="3"/>
  <c r="K248" i="3" s="1"/>
  <c r="M248" i="3" s="1"/>
  <c r="L248" i="3"/>
  <c r="A248" i="3"/>
  <c r="J241" i="3"/>
  <c r="K241" i="3" s="1"/>
  <c r="M241" i="3" s="1"/>
  <c r="A241" i="3"/>
  <c r="L241" i="3"/>
  <c r="AI248" i="3"/>
  <c r="J250" i="3"/>
  <c r="K250" i="3" s="1"/>
  <c r="M250" i="3" s="1"/>
  <c r="L250" i="3"/>
  <c r="A250" i="3"/>
  <c r="AI240" i="3"/>
  <c r="A244" i="3"/>
  <c r="J244" i="3"/>
  <c r="K244" i="3" s="1"/>
  <c r="M244" i="3" s="1"/>
  <c r="L244" i="3"/>
  <c r="AI241" i="3"/>
  <c r="A237" i="3"/>
  <c r="A247" i="3"/>
  <c r="J247" i="3"/>
  <c r="K247" i="3" s="1"/>
  <c r="M247" i="3" s="1"/>
  <c r="L247" i="3"/>
  <c r="AI246" i="3"/>
  <c r="AF247" i="3"/>
  <c r="L237" i="3"/>
  <c r="J237" i="3"/>
  <c r="K237" i="3" s="1"/>
  <c r="M237" i="3" s="1"/>
  <c r="A246" i="3"/>
  <c r="J246" i="3"/>
  <c r="K246" i="3" s="1"/>
  <c r="M246" i="3" s="1"/>
  <c r="L246" i="3"/>
  <c r="A242" i="3"/>
  <c r="J242" i="3"/>
  <c r="K242" i="3" s="1"/>
  <c r="M242" i="3" s="1"/>
  <c r="L242" i="3"/>
  <c r="A243" i="3"/>
  <c r="L243" i="3"/>
  <c r="J243" i="3"/>
  <c r="K243" i="3" s="1"/>
  <c r="M243" i="3" s="1"/>
  <c r="AI243" i="3"/>
  <c r="A240" i="3"/>
  <c r="J240" i="3"/>
  <c r="K240" i="3" s="1"/>
  <c r="M240" i="3" s="1"/>
  <c r="L240" i="3"/>
  <c r="AD247" i="3" l="1"/>
  <c r="AD239" i="3"/>
  <c r="AD242" i="3"/>
  <c r="AD240" i="3"/>
  <c r="AD246" i="3"/>
  <c r="AD248" i="3"/>
  <c r="AD250" i="3"/>
  <c r="AD243" i="3"/>
  <c r="AD249" i="3"/>
  <c r="AD245" i="3"/>
  <c r="AD237" i="3"/>
  <c r="AH505" i="3" a="1"/>
  <c r="AH505" i="3" s="1"/>
  <c r="AD244" i="3"/>
  <c r="AD241" i="3"/>
  <c r="AJ242" i="3"/>
  <c r="AF245" i="3"/>
  <c r="AJ239" i="3"/>
  <c r="AJ241" i="3"/>
  <c r="AJ245" i="3"/>
  <c r="AI247" i="3"/>
  <c r="AJ247" i="3" s="1"/>
  <c r="AJ244" i="3"/>
  <c r="A506" i="3" a="1"/>
  <c r="A506" i="3" s="1"/>
  <c r="C506" i="3" s="1"/>
  <c r="AJ240" i="3"/>
  <c r="AJ246" i="3"/>
  <c r="AF250" i="3"/>
  <c r="AF241" i="3"/>
  <c r="AJ237" i="3"/>
  <c r="AJ249" i="3"/>
  <c r="AJ243" i="3"/>
  <c r="AF246" i="3"/>
  <c r="AF242" i="3"/>
  <c r="AF239" i="3"/>
  <c r="A505" i="3" a="1"/>
  <c r="A505" i="3" s="1"/>
  <c r="C505" i="3" s="1"/>
  <c r="AI250" i="3"/>
  <c r="AJ250" i="3" s="1"/>
  <c r="A508" i="3" a="1"/>
  <c r="A508" i="3" s="1"/>
  <c r="C508" i="3" s="1"/>
  <c r="AF240" i="3"/>
  <c r="AJ248" i="3"/>
  <c r="AF248" i="3"/>
  <c r="AF243" i="3"/>
  <c r="AF249" i="3"/>
  <c r="AF244" i="3"/>
  <c r="AF237" i="3"/>
  <c r="A507" i="3" a="1"/>
  <c r="A507" i="3" s="1"/>
  <c r="C507" i="3" s="1"/>
  <c r="AH506" i="3" l="1"/>
  <c r="AH507" i="3" s="1"/>
  <c r="AD505" i="3" a="1"/>
  <c r="AD505" i="3" s="1"/>
  <c r="AD506" i="3" s="1"/>
  <c r="AD507" i="3"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<sst xmlns="http://schemas.openxmlformats.org/spreadsheetml/2006/main" count="2700" uniqueCount="1082">
  <si>
    <t>ÍTEM</t>
  </si>
  <si>
    <t>MATERIALES E INSUMOS</t>
  </si>
  <si>
    <t>DESCRIPCIÓN</t>
  </si>
  <si>
    <t xml:space="preserve">CANTIDAD </t>
  </si>
  <si>
    <t>FORMATO SOLICITUD DE COTIZACIÓN</t>
  </si>
  <si>
    <t>ADVERTENCIA</t>
  </si>
  <si>
    <t>La cotización recibida servira de base para la elaboración de un estudio de mercado, y por tanto, no constituye en si misma una oferta y consecuentemente NO obliga a ninguna de las partes.</t>
  </si>
  <si>
    <t>OBJETO</t>
  </si>
  <si>
    <t>VALIDEZ DE LA CONTRATACIÓN</t>
  </si>
  <si>
    <t>Se solicita que la cotización tenga validez minimo 3 Meses a partir de su expedición.</t>
  </si>
  <si>
    <t>ESPECIFICACIONES TECNICAS</t>
  </si>
  <si>
    <t>Para visualizar las especificaciones tecnicas dirijase a la pestaña Especificaciones Tecnicas</t>
  </si>
  <si>
    <t>CONDICIONES DE CONTRATACIÓN</t>
  </si>
  <si>
    <t>PLAZO</t>
  </si>
  <si>
    <t>Solicita y elabora:</t>
  </si>
  <si>
    <t>Revisó:</t>
  </si>
  <si>
    <t>Unidad de medida</t>
  </si>
  <si>
    <t>Valor IVA</t>
  </si>
  <si>
    <t>Valor unitario con IVA</t>
  </si>
  <si>
    <t>Valor total Sin IVA</t>
  </si>
  <si>
    <t>Valor total con IVA</t>
  </si>
  <si>
    <t>CODIGOS UNSPSC</t>
  </si>
  <si>
    <t xml:space="preserve">SEGMENTO </t>
  </si>
  <si>
    <t>FAMILIA</t>
  </si>
  <si>
    <t>CLASE</t>
  </si>
  <si>
    <t xml:space="preserve">NOMBRE </t>
  </si>
  <si>
    <t>ALCALDÍA LOCAL DE ENGATIVA</t>
  </si>
  <si>
    <t>Profesional de Planeación FDLE</t>
  </si>
  <si>
    <t>Unidad</t>
  </si>
  <si>
    <t xml:space="preserve">TIEMPO </t>
  </si>
  <si>
    <t>VOLANTES</t>
  </si>
  <si>
    <t>AFICHES</t>
  </si>
  <si>
    <t xml:space="preserve">FOLLETOS PEGABLES </t>
  </si>
  <si>
    <t>Impreso en propalcote de 150gr, tamaño ¼ de pliego 35x50cm, una cara, full color.</t>
  </si>
  <si>
    <t>DIPLOMAS</t>
  </si>
  <si>
    <t xml:space="preserve">Impreso en opalina de 200gr, tamaño: carta - 21.5 x 27,9 cm, Full color. </t>
  </si>
  <si>
    <t>VINILOS</t>
  </si>
  <si>
    <t>Calcomanía de operativos según formato de tamaño de 1ms por 20 cms a dos tintas. Vinilo adhesivo</t>
  </si>
  <si>
    <t>TARJETAS ECOLOGICAS</t>
  </si>
  <si>
    <t xml:space="preserve">Impresos a tamaño 9x5cm, papel ecológico de 180gr full color </t>
  </si>
  <si>
    <t>TARJETAS IMANTADAS</t>
  </si>
  <si>
    <t xml:space="preserve">Impreso a tamaño 9x5cm, papel propalcote de 300 grs, lámina imán, calibre 13, full color, troquelado o sin troquelar. </t>
  </si>
  <si>
    <t>SEPARADORES DE LIBROS</t>
  </si>
  <si>
    <t xml:space="preserve">Propalcote de 250 gr plastificado de 5 x 20cms, ambas caras, full color. </t>
  </si>
  <si>
    <t xml:space="preserve">FOTOGRAFIAS </t>
  </si>
  <si>
    <t>papel fotográfico, full color tamaño postal 15 x 10 cms, media carta 21 x 14 cms, carta 21 x 27 cms, cuarto de pliego 35 x 50 cms, tabloide 27.9 x 43 cms, medio pliego 50 x 70 y pliego 100 x 70 cms.</t>
  </si>
  <si>
    <t>CHEQUES</t>
  </si>
  <si>
    <t>Tamaño 120x50 cms, full color, material cartón industrial o PVC, impreso en vinilo.</t>
  </si>
  <si>
    <t>PALETAS</t>
  </si>
  <si>
    <t xml:space="preserve">Impresión a full color y troquel según diseño. Las paletas son hechos en material de cartón industrial, tamaño 20x20cm o 30x30cm. Manija de 15cm de largo y 5cm de ancho. </t>
  </si>
  <si>
    <t xml:space="preserve">POPMAN </t>
  </si>
  <si>
    <t>Impresión en banner de 60X110cm, full color. Soporte en araña con maleta de correas graduales. Tula en tela, para guardar banner y soporte.</t>
  </si>
  <si>
    <t>Impreso material cartón grueso, medida: 100x150cm por ambas caras o una cara; Troquelado; Con soporte para uso interior y exterior.</t>
  </si>
  <si>
    <t xml:space="preserve">ROMPE TRAFICO </t>
  </si>
  <si>
    <t>MARCO PARA SELFIE</t>
  </si>
  <si>
    <t>Impreso en material cartón; 60X80 cm; full color; Troquelado según diseño</t>
  </si>
  <si>
    <t>AVISO/LETRERO</t>
  </si>
  <si>
    <t xml:space="preserve">Metro cuadrado de acrílico original. impresión full color, en vinilo laminado, según diseño y corte según la necesidad de la entidad e instalación.   </t>
  </si>
  <si>
    <t>ESTRUCTURA METALICA</t>
  </si>
  <si>
    <t>de 3/4″ (2cm) o 1″ (2.54cm). Impresión: Sobre banner 13oz, full color, Tamaño: 200 x 300 cm.</t>
  </si>
  <si>
    <t xml:space="preserve">BACKING AJUSTABLE </t>
  </si>
  <si>
    <t>BACKING FIJO</t>
  </si>
  <si>
    <t xml:space="preserve">Tamaño 200x300cm, impresión banner 13onz full color, estructura aluminio, tula para empacar todo. </t>
  </si>
  <si>
    <t>Tamaño 200x300cm, impresión banner 13onz full color, estructura aluminio, desarmable con tula para empacar.</t>
  </si>
  <si>
    <t xml:space="preserve">PENDONES TIPO ARAÑA EXTERIOR </t>
  </si>
  <si>
    <t xml:space="preserve">PENDON COLGANTE </t>
  </si>
  <si>
    <t xml:space="preserve">Estructura en aluminio con terminales en pvc, impresión digital: papel banner full color tamaño impresión 1x 2mts con bolsa para transporte con base para soporte en exteriores. </t>
  </si>
  <si>
    <t xml:space="preserve">DUMMY INFLABLE PARA PUBILICIDAD </t>
  </si>
  <si>
    <t>Colchón silueteado inflable con motor, medida 3.5 mts X 2.5 mts, con formas</t>
  </si>
  <si>
    <t>CARPA INFLABLE PUBLICIDAD</t>
  </si>
  <si>
    <t xml:space="preserve">medidas 3x3 mts – 4x4 mts – 5x5 mts, con motor </t>
  </si>
  <si>
    <t>ARCOS INFLABLES</t>
  </si>
  <si>
    <t>3x6 mts con motor</t>
  </si>
  <si>
    <t xml:space="preserve">IDENTIFICACION DE PERSONAL AUTORIZADO </t>
  </si>
  <si>
    <t xml:space="preserve">ESCARAPELA EN PROPALCOTE </t>
  </si>
  <si>
    <t xml:space="preserve">Medidas: 9cm x 14cm. Impresión digital en papel Bond 115gr. Incluye vinilo protector transparente y cordón para portafolio en el cuello. </t>
  </si>
  <si>
    <t>240 gr 14 cm x 7 cm con funda y cinta (Color de la cinta a elección del apoyo a la supervisión)</t>
  </si>
  <si>
    <t>BASE EN MADERA</t>
  </si>
  <si>
    <t xml:space="preserve">Base en madera color claro; medida 27x252cm y fotograbado en lámina metálica o aluminio, según diseño a enviar. </t>
  </si>
  <si>
    <t>BASE ACRILICA</t>
  </si>
  <si>
    <t>Elaborado en lámina de acrílico 100% original. Color cristal. Calibre 15 mm. Medida 15X15 CMS cuerpo y base de medida 17×6 CMS biselada en los lados; Grabado láser en cuerpo (color blanco). Posibilidad de forma irregular o totalmente cuadrada</t>
  </si>
  <si>
    <t>SOPORTES DE HABLADORES DE ESCRITORIOS</t>
  </si>
  <si>
    <t xml:space="preserve">Material en acrílico transparente, hablador de escritorio, tamaño 20x6cm. </t>
  </si>
  <si>
    <t xml:space="preserve">AGENDAS ECOLOGICAS CON ESFERO </t>
  </si>
  <si>
    <t>Material en cartón reciclado (pasta dura). Medidas: alto 21cm, ancho 14cm. Argollado, esfero en carton, 80 hojas interiores ecológicas cuadriculadas y marcadas con logo. Con área de marcación según diseño 10x10cm. Color 4x0</t>
  </si>
  <si>
    <t xml:space="preserve">BOLIGRAFO PENTAGRAM STYLUS </t>
  </si>
  <si>
    <t>Material plástico con stylus. Clip metálico. Mecanismo twist. Área de Marca Impresión Digital: 4.5 cm x 0.7 cm Área de Marca Tampografía: 3 cm x 0.7 cm Técnica de Marca: Impresión Digital Full Color / Tampografía Colores: Negro y Rojo Tamaño: 13.5 cm</t>
  </si>
  <si>
    <t>MUGS MATERIAL CERAMICA</t>
  </si>
  <si>
    <t>MUGS CON CUCHARA</t>
  </si>
  <si>
    <t>11 onzas de capacidad, color blanco con estampación según diseño a enviar. 
Medidas de 8,3 cm de diámetro 9,5 cm de altura. Impresión a full color</t>
  </si>
  <si>
    <t xml:space="preserve">Mug taza de color interno con cuchara del mismo color, 11onz de capacidad con estampación según diseño a enviar. Medidas de 8,3 cm de diámetro 9,5 cm de altura. Impresión a full color </t>
  </si>
  <si>
    <t>MANILLA EN SILICONA</t>
  </si>
  <si>
    <t>Colores surtidos, con chip de 16 gb de capacidad; medidas 21 x 1,65 x 0,86 cm. tampografía para silicona full color area de impresión banda: 6 x 1cm. cierre de 2,3 x 1,2</t>
  </si>
  <si>
    <t>TULA EN IMPERMEABLE DEPORTIVA CON CORDON DE AJUSTE Y CREMALLERA</t>
  </si>
  <si>
    <t>Elaborada en poliester impermeable, estampado en policromado 17x15cm, medidas 41cm alto X 31cm de Ancho.</t>
  </si>
  <si>
    <t>GORRA DRIL</t>
  </si>
  <si>
    <t xml:space="preserve">CAMISETAS POLO ALGODÓN / POLIESTER </t>
  </si>
  <si>
    <t>Propiedades de absorción de humedad Ribete en el contorno de cuello Etiqueta termo-transferible. Plaqueta definida con ruedo reforzado 3 botones del mismo color de la prenda Doble puntada en mangas y ruedo. Marca tipo bordado de tamaño bolsillo a carta. Tallas XS, S, M, L, XL, XXL.</t>
  </si>
  <si>
    <t xml:space="preserve">BUZO CANGUROS </t>
  </si>
  <si>
    <t>CHAQUETA</t>
  </si>
  <si>
    <t>BOLSAS ECOLOGICAS EN CAMBRELL</t>
  </si>
  <si>
    <t xml:space="preserve">Tamaño 40cmX30cmX10cm de fuelle. Área de marca: 20cm. Técnica de marca: Screen o serigrafía, full color. Ambas caras. Variedad de colores de acuerdo a solicitud. </t>
  </si>
  <si>
    <t>BOTON TROQUELADO</t>
  </si>
  <si>
    <t xml:space="preserve">Material metalico Troquelado Tamaño: 3,0 cm de alto, personalizados full color. </t>
  </si>
  <si>
    <t>LLAVERO PVC</t>
  </si>
  <si>
    <t xml:space="preserve">Medidas, cuadrado: 3,5 cm x 3.5 cm / Ovalado: 5,1 cm x 3.4 cm. Personalizado. </t>
  </si>
  <si>
    <t xml:space="preserve">LLAVERO BAMBU </t>
  </si>
  <si>
    <t>Fabricado en bambú, manilla en metal. Medidas: 4x4cm troquelado, tipografía en 3,5mm, grabado en laser 3,7mm</t>
  </si>
  <si>
    <t>PARAGUAS TIPO GOLF</t>
  </si>
  <si>
    <t>BOTILITO METÁLICO SUBLIMACIÓN WOLFGANG</t>
  </si>
  <si>
    <t>500 Ml, Botilito Doble pared en acero Inoxidable, con aislamiento térmico que mantiene la bebida fría entre 8-10h aprox. o caliente 3-4h aprox. Tapa rosca con interior plástico. Capacidad: 500 Ml. ó 17 Onzas.
20 cm x 10 cm dos caras.</t>
  </si>
  <si>
    <t>BOTILITO METÁLICO SUBLIMACIÓN SPORT</t>
  </si>
  <si>
    <t xml:space="preserve">Bottle 500 Ml, Botilito metálico en aluminio con carabinero. Capacidad: 500 Ml. ó 17 Onzas. Medida de marcación 20 cm x 10 cm dos caras. </t>
  </si>
  <si>
    <t>BOTELLA PLÁSTICA CON TUBO ENFRIADOR</t>
  </si>
  <si>
    <t xml:space="preserve">600 ml. De: 22 x 6,5 cm de diámetro.
Impresión: Tampografía con tratamiento
Área Impresa: 7x4cm ambas caras. Variedad de colores. </t>
  </si>
  <si>
    <t>BOTELLA DEPORTIVA PLÁSTICA</t>
  </si>
  <si>
    <t xml:space="preserve">Agarre ergonómico. Capacidad: 860 ml/29 oz. 
Material: PVC. Medidas:7.50 x 7.50 x 27.50 cm. Área de marca: 4 x 6cm.
Técnica de marca: Tampografía Variedades. </t>
  </si>
  <si>
    <t xml:space="preserve">MALETA POLIÉSTER </t>
  </si>
  <si>
    <t xml:space="preserve">Medidas: 45cm x 28cm x 19cm poliéster 600D con cierre de cremallera de doble tirador y bolsillo en frontal. Marca de impresión: Bordado 12 cm, full color. Variedad de colores. </t>
  </si>
  <si>
    <t>CAPA EN PVC O PLÁSTICO</t>
  </si>
  <si>
    <t xml:space="preserve">calibre 14 para lluvia, con capucha, personalizada con logo Estuche para guardar Tamaño: 1,45 x 200 </t>
  </si>
  <si>
    <t xml:space="preserve">KIT ESCOLAR PARA NIÑOS </t>
  </si>
  <si>
    <t>MANILLA O PULSERA DE PAPEL</t>
  </si>
  <si>
    <t>fabricada en Tyvek de 56 grms o 1056d con un adhesivo no transferible, tamaño 3/4" X 10"; con área imprimible para logotipos, tinta de fondo resistente al agua y personalizados, texto o gráficos y color a imprimir, según se indique.</t>
  </si>
  <si>
    <t xml:space="preserve">Colores: rojo, blanco o azul 
Material: Carcasa de plástico 
Cuenta con 4 modos de iluminación
Brillo de 15 lúmenes 
Impermeable 
Recargable con cable para carga  </t>
  </si>
  <si>
    <t>CHALECOS REFLECTIVOS EN POLIESTER</t>
  </si>
  <si>
    <t xml:space="preserve">con cinta reflectiva. Medida 67 x 58 cm. Área de marca 25cm </t>
  </si>
  <si>
    <t xml:space="preserve">PROTECTOR DE MORRAL IMPERMEABLE </t>
  </si>
  <si>
    <t xml:space="preserve">Poliéster reflectivo y cinta reflectiva. Con elástico. 53 cm x 32 cm. Área de marca 10cm en scren. </t>
  </si>
  <si>
    <t>SOPORTE PLEGABLE PARA CELULAR Y TABLET</t>
  </si>
  <si>
    <t>Altura ajustable a dos niveles. Angulo variable. Goma antideslizante. Material: Plástico.
Medidas: Ancho 6.4 cm Largo 10.9 cm Profundidad 2.5 cm Área de marca: 11 x 50 mm (posterior) 50 x 25 mm (base)
Técnica de marca: Tampografía.</t>
  </si>
  <si>
    <t>COMEDERO FLEXIBLE PARA MASCOTAS</t>
  </si>
  <si>
    <t>: Bowl colapsible, elaborado en caucho TPE (elastómero termoplástico), silicona, con gancho carabinero. 5.5 cm x 12.5 cm diámetro</t>
  </si>
  <si>
    <t>DISPENSADOR DE BOLSAS</t>
  </si>
  <si>
    <t>Dispensador de bolsas para mascota con forma de hueso, incluye 20 bolsas. Tamaño 8 cm x 4 cm x 4.4 cm. Área de marca: tampografía 2.5cm</t>
  </si>
  <si>
    <t xml:space="preserve">COLLAR GARGANTILLAPARA PERRO Y GATOS </t>
  </si>
  <si>
    <t>Tallas – Contorno de cuello – Grosor de collar
XXS – 18-24 cms – 2 cm
XS – 23 – 30 cms – 2 cms
S – 31 – 36 cms – 2.5 cms
M – 35 – 46 cms – 3 cms
L – 45 – 67 cms – 3 cms</t>
  </si>
  <si>
    <t>MARACAS</t>
  </si>
  <si>
    <t xml:space="preserve">PANDERETAS </t>
  </si>
  <si>
    <t>GORROS</t>
  </si>
  <si>
    <t>CANGUROS EN POLIESTER</t>
  </si>
  <si>
    <t xml:space="preserve">Con bolsillo posterior con cremallera. Medidas: 19.5 cm x 13 cm x 5 cm. Área de marca: 10cm scren. Con correa ajustable. </t>
  </si>
  <si>
    <t>Peso de despegue: Aprox. 377g
Dimensiones: 185×212×64 mm (largo×ancho×alto)
Velocidad máxima de ascenso: 6 m/s (modo normal), 9 m/s (modo deportivo)
Velocidad máxima de descenso: 6 m/s (modo normal), 9 m/s (modo deportivo)
Velocidad horizontal máxima
(cerca del nivel del mar, sin viento): 8 m/s (modo normal), 16 m/s (modo deportivo), 27 m/s (modo manual)*
* No más rápido que 19 m/s con el modo manual en las regiones de la UE.
Altitud máxima de despegue:
5000 m.
Medido en un entorno sin viento al despegar desde una altitud de 5000 m y ascender verticalmente 500 m, en modo Sport, y con un nivel de batería del 100 % al 20 %. Los datos son solo de referencia. Preste siempre atención a los recordatorios en las pantallas de las gafas durante el vuelo.
Tiempo máximo de vuelo: Aprox. 23 minutos.
Medido durante el vuelo hacia adelante a 21,6 km/h en un entorno sin viento a nivel del mar, con la cámara configurada a 1080p/30 fps, el modo de vídeo desactivado y con la batería al 100 % hasta el 0 %. Los datos son solo de referencia. Preste siempre atención a los recordatorios en las pantallas de las gafas durante el vuelo.
Tiempo máximo de vuelo estacionario: Aprox. 21 minutos.
Medido en vuelo estacionario en un entorno sin viento a nivel del mar, con la cámara configurada a 1080p/30 fps, el modo de vídeo desactivado y con la batería al 100 % hasta el 0 %. Los datos son solo de referencia. Preste siempre atención a los recordatorios en las pantallas de las gafas durante el vuelo.
Distancia máxima de vuelo: 13,0 km
Medidos al volar hacia adelante a una velocidad de 43,2 km/h en un entorno sin viento a nivel del mar, con los parámetros de la cámara configurados a 1080p/30 fps, el modo de vídeo desactivado y con la batería al 100 % hasta el 0 %. Los datos son solo de referencia. Preste siempre atención a los recordatorios en las pantallas de las gafas durante el vuelo.
Resistencia a la velocidad máxima del viento: 10,7 m/s (Nivel 5)
Temperatura de funcionamiento: -10° a 40° C (14° a 104° F)
Sistema global de navegación por satélite: GPS + Galileo + BeiDou
Rango de precisión de vuelo estacionario
Vertical:
±0,1 m (con posicionamiento de visión)
±0,5 m (con posicionamiento GNSS)
Horizontal:
±0,3 m (con posicionamiento de visión)
±1,5 m (con posicionamiento GNSS)
Almacenamiento interno: 46 GB
Clase: C1 (UE)
Cámara:
Sensor de imagen
Sensor de imagen de 1/1,3 pulgadas
Píxeles efectivos: 12 MP
Lente
FOV: 155°
Equivalente de formato: 12 mm
Apertura: f/2.8
Enfoque: 0,6 m a ∞
Rango ISO
100-25600 (automático)
100-25600 (manual)
Velocidad de obturación
Vídeo: 1/8000-1/30 s
Foto: 1/8000-1/50 s
Tamaño máximo de imagen
4000×2256 (16∶9)
4000×3000 (4∶3)
Modo de fotografía fija: Disparo único
Formato de la foto: JPEG
Resolución de video
4K (4∶3): 3840×2880 a 30/50/60 fps
4K (16∶9): 3840×2160 a 30/50/60/100 fps
2,7K (4∶3): 2688×2016 a 30/50/60 fps
2,7K (16∶9): 2688×1512 a 30/50/120 fps 1080p
(4∶3): 1440×1080 a 30/50/120 fps
1080p (16∶9): 1920×1080 a 30/50/120 fps
Formato de vídeo: MP4 (H.264/H.265)
Tasa de bits máxima de video: 130 Mbps
Sistema de archivos compatible: exFAT
Modo de color
Estándar
D-Log M
Campo de visión de la cámara: Admite modo normal, modo gran angular y modo ultra gran angular.
EIS: Admite RockSteady 3.0+ y HorizonSteady.
Se puede desactivar*.
* Cuando la estabilización está desactivada, las imágenes capturadas con la vista gran angular admiten la estabilización sin conexión Gyroflow.</t>
  </si>
  <si>
    <t>Temperatura de Color: 3200K-5500K
Fuente de alimentación externa: fuente de alimentación de 12V 5 a CC
Baterías compatibles: baterías de litio de la serie 2 * NP-F9 (pilas no incluidas)
Potencia de entrada: 50W
Iluminación de luz: 4650LM
Tamaño del paquete: 41,6*41*8cm/16,38*16,14*3,15 pulgadas
Peso del paquete: 2850g/100,53 oz</t>
  </si>
  <si>
    <t>Baterías de luces</t>
  </si>
  <si>
    <t>Se proporciona un puerto micro-USB de 5 V que se puede usar para cargar la batería con un enchufe de pared disponible por separado o una fuente de alimentación USB. La capacidad de la batería se puede verificar rápidamente a través del medidor LED de 4 segmentos.</t>
  </si>
  <si>
    <t>Batería EN-EL15 con 2.400 mAh recargable.
Asegura la maximización del tiempo de duración de batería y máximo poder.
Tecnología de avanzada Iones de litio 7.0v.</t>
  </si>
  <si>
    <t>Las velocidades de escritura de hasta 300 MB/s[2] ayudan a garantizar que el búfer de tu cámara se borre rápidamente para que captures cada toma notable.
Las velocidades de transferencia de hasta 300MB/s[2] agilizan tu proceso de edición y llegan a la entrega más rápido.
Diseñada para soportar condiciones extremas y estrés, esta tarjeta es resistente al agua y al polvo IP68 y probada para soportar caídas de hasta 19.7 ft. [6]</t>
  </si>
  <si>
    <t>Memorias de 256GB</t>
  </si>
  <si>
    <t>Cables</t>
  </si>
  <si>
    <t>HDMI a micro HDMI</t>
  </si>
  <si>
    <t xml:space="preserve">Tipo C a HDMI
</t>
  </si>
  <si>
    <t>USB a USB</t>
  </si>
  <si>
    <t>Computador de mesa</t>
  </si>
  <si>
    <t xml:space="preserve">Soporte para monitor </t>
  </si>
  <si>
    <t>Soporte de TV de perfil bajo: la altura de este soporte de TV portátil esta diseñada hasta el suelo para satisfacer tus necesidades especiales de visualización. Este diseño eficaz y simple anade estabilidad y seguridad mientras mueve el carrito de pie para monitor con menos esfuerzo.
Carrito de TV robusto y pequeño: hecho de marco de acero extra grueso, la capacidad de carga de este carrito de TV resistente es de hasta 190 libras para lograr los objetivos más económicos y prácticos como un soporte de TV portátil real.</t>
  </si>
  <si>
    <t xml:space="preserve">Telón para fotografía
blanco </t>
  </si>
  <si>
    <t xml:space="preserve">Telón para fotografía
negro </t>
  </si>
  <si>
    <t xml:space="preserve">fondos fotográficos en Tela Muselina 2X3 Metros
Característica:
El fondo es lo suficientemente grande para la mayoría de las fotos, lo cual es muy adecuado para fotografía de estudio y retrato.
Tejido denso, resistente y antirreflectante.
Lavado a máquina.
Fácil de plegar y planchar.
Adecuado para vídeos de entrenamiento multiescena, películas y presentaciones
</t>
  </si>
  <si>
    <t>Mango de batería
Mango con rosca de 1/4″-20
Lente gran angular
Transmisor y parabrisas DJI Mic 2
Imán de clip para DJI Mic 2
Mini trípode, correa para la muñeca
Bolsa de transporte, funda protectora</t>
  </si>
  <si>
    <t>Disco duro externo</t>
  </si>
  <si>
    <t>Seagate - Disco duro externo Game Drive de 4 TB
Capacidad de almacenamiento digital 4 TB Interfaz de disco duro
USB 3.0
Tecnología de conectividad
Wifi
Marca: Seagate
Características especiales:
Portátil
Factor de forma de disco duro
2,5 Pulgadas
Descripción del disco duro
Disco duro mecánico
Dispositivos compatibles
Consola de juegos
Tipo de instalación
Enchufar</t>
  </si>
  <si>
    <t>Base o soporte de micrófono de mesa o escritorio</t>
  </si>
  <si>
    <t>Base o soporte de micrófono de mesa o escritorio, AJUSTABLE.
Base Robusta y Brazo Giratorio.
Transporte fácil, desarmable.
Material ABS.
Acabado Elegante para transmisiones en vivo, podcasts, conferencias, KTV, discursos, etc</t>
  </si>
  <si>
    <t>Millar</t>
  </si>
  <si>
    <t>Centena</t>
  </si>
  <si>
    <t>Decena</t>
  </si>
  <si>
    <t>Docena</t>
  </si>
  <si>
    <t>LUCES PARA BICICLETA</t>
  </si>
  <si>
    <t xml:space="preserve">Gorro navideño personalizado en fieltro. </t>
  </si>
  <si>
    <t>diámetro de la panderete 17 cm, plástico</t>
  </si>
  <si>
    <t>Plástico, estilo navideño</t>
  </si>
  <si>
    <t>Videobeam</t>
  </si>
  <si>
    <t>Proyector LED –WIFI FULL HD portátil 3800 Lúmenes.
• Duplicar pantalla. (Screen Mirroring).
• Conexión bluetooth.
• Tamaño de proyección de hasta 200” pulgadas.
• Resolución nativa de proyección:1920 * 1080.
• Entrada de video: * 2 HDMI. * 2 USB. * AV. • Salida de audio AUX 3.5mm.
• Control remoto.
• Admite dispositivos habilitados para HDMI, PC portátiles, tabletas, PS4, reproductor de Blu-ray DVD &amp; teléfonos inteligentes entre otros.
• Multilenguaje hasta 23 idiomas. • Lectura de archivos multimedia, permite visualizar películas, imágenes y música mediante puerto USB.
ESPECIFICACIONES TÉCNICAS
• Relación de aspecto: 16:9 / 4:3
• Voltaje: 125V/AC –60Hz.
• Formatos de video: MP4/MKV/WMV/RMVB/RM/AVI/FLV/TRP/VO B/3GP/DIVX/TP/TS/MPG/M2TS/F4V/DAT.
• Formato de imagen: JPEG/BMP/PNG, JPG
• Formatos de audio: MP3/AAC/WAV/FLAC/WMA/M4A. • Formato de texto: TX.
• Temperatura de operación: 0 ~ 35°
• Vida útil de la lampara: 50.000 horas
• Entradas: *2 Puerto HDMI *Puerto AV * 2 USB 2.0 (32 GB Max) • Salidas: * Salida De Audio 3.5mm estéreo •Control remoto requiere 2 baterías AAA (no incluidas).
• Medidas: *Largo: 25 cm *Ancho: 20 cm *Alto: 10 cm *Peso: 2 Kg</t>
  </si>
  <si>
    <t>Cámara 360</t>
  </si>
  <si>
    <t>●	Resolución fotográfica de 72 Mpx para capturas de excelente calidad.
●	Vídeos con un gran nivel de detalle gracias a su resolución de 1920x1080.
●	Tiene una pantalla táctil que facilita su configuración.
●	Retratos panorámicos con su función de 360º.
●	Es resistente al agua.
●	Duración de la batería: 185 m.</t>
  </si>
  <si>
    <t>Multipuerto tipo C</t>
  </si>
  <si>
    <t>HUB USB-C 8 en 1 de alta velocidad!
- 2 Puertos USB-C PD / Input max. 87W carga rápida: Son solo para cargar el notebook o el equipo al cual es conectado el Hub. Puedes cargar dispositivos adicionales ocupando los puertos USB normal.
- 1 Puerto USB 3.0 / 5 Gbps de alta velocidad: Cámara, Disco duro externo, Pendrive, Mouse, Teclado, Impresora, etc…
- 1 Puerto USB 2.0 / 480 Mbps: Cámara, Disco duro externo, Pendrive, Mouse, Teclado, Impresora, etc…
- 1 Puerto HDMI 4K: Salida de datos a TV, Monitor, Proyector, Screen mirroring, etc…
- Tarjeta SD 480 Mbps y TF 480 Mbps: SD Card, SDXC, SDGC, SDHC, RS-MMC, MMC micro, Micro SD, Micro SDXC, Micro SDHC. No pueden usarse al mismo tiempo.
- 1 RJ45 / LAN 100 Mbps: Conexión a redes (internet) más fiable, estable y segura que a través de Wifi y así conseguir una mejor velocidad de conexión y un ping menor a la hora de jugar online.
COMPATIBLE solo con puertos USB-C que soportan THUNDERBOLT 3, 4 o puertos USB-C que sean DISPLAYPORT.</t>
  </si>
  <si>
    <t>Audífonos</t>
  </si>
  <si>
    <t>Televisión</t>
  </si>
  <si>
    <t>Comercialización y distribución</t>
  </si>
  <si>
    <t>Publicidad</t>
  </si>
  <si>
    <t>Actividades de ventas y promoción de negocios</t>
  </si>
  <si>
    <t>Publicidad Impresa</t>
  </si>
  <si>
    <t>Servicios de agencia de publicidad</t>
  </si>
  <si>
    <t>Diseño Gráfico</t>
  </si>
  <si>
    <t>Servicios de diseño artístico</t>
  </si>
  <si>
    <t>Medios impresos</t>
  </si>
  <si>
    <t>Publicaciones impresas</t>
  </si>
  <si>
    <t>Servicios informáticos</t>
  </si>
  <si>
    <t>Servicios de telecomunicaciones</t>
  </si>
  <si>
    <t>Productos de papel</t>
  </si>
  <si>
    <t>Papel de imprenta y papel de escribir</t>
  </si>
  <si>
    <t>Recipientes y almacenamiento</t>
  </si>
  <si>
    <t>Bolsas</t>
  </si>
  <si>
    <t>Microfono</t>
  </si>
  <si>
    <t>CONTEO</t>
  </si>
  <si>
    <t>Cotización 1</t>
  </si>
  <si>
    <t>Valor unitario sin IVA</t>
  </si>
  <si>
    <t>Cotización 2</t>
  </si>
  <si>
    <t>Cotización 3</t>
  </si>
  <si>
    <t>Observaciones</t>
  </si>
  <si>
    <t>RELACIÓN COTIZACIONES</t>
  </si>
  <si>
    <t>PROMEDIO UNITARIO</t>
  </si>
  <si>
    <t>TOTAL PROMEDIO SIN IVA</t>
  </si>
  <si>
    <t>DESVIACIÓN ESTANDAR</t>
  </si>
  <si>
    <t>COEFICIENTE DE VARIACIÓN PROMEDIO</t>
  </si>
  <si>
    <t>MEDIANA UNITARIO</t>
  </si>
  <si>
    <t>TOTAL MEDIANA SIN IVA</t>
  </si>
  <si>
    <t>COEFICIENTE DE VARIACIÓN MEDIANA</t>
  </si>
  <si>
    <t>1. Partners publicidad y servicios</t>
  </si>
  <si>
    <t>2. Armoring Glass</t>
  </si>
  <si>
    <t>3. Impormasivos</t>
  </si>
  <si>
    <t>TOTAL PROMEDIO</t>
  </si>
  <si>
    <t>SubTotal</t>
  </si>
  <si>
    <t>Iva</t>
  </si>
  <si>
    <t>Total</t>
  </si>
  <si>
    <t>TOTAL MEDIANA</t>
  </si>
  <si>
    <t>4. TECNICREAR(MANUELRATIVA)</t>
  </si>
  <si>
    <t>5. Médicos veterinarios sin fronteras</t>
  </si>
  <si>
    <t>6. CLINICA VETERINARIA ANIMAL CITY SAS</t>
  </si>
  <si>
    <t>7. CRECE Engativá</t>
  </si>
  <si>
    <t>8. FOMDETPACIFICO</t>
  </si>
  <si>
    <t>9. UNIEMPRESARIAL</t>
  </si>
  <si>
    <t>10. ASESOL</t>
  </si>
  <si>
    <t>11. Diploma 1</t>
  </si>
  <si>
    <t>12. Tarjetas Imantadas Troqueladas - Dimo Impresión</t>
  </si>
  <si>
    <t>13.  tarjetas Imantadas - TiendasMG</t>
  </si>
  <si>
    <t>14. TARJETAS IMANTADAS _ publibarato</t>
  </si>
  <si>
    <t>15. SG Digital</t>
  </si>
  <si>
    <t>Pendón vertical: impresión en Lona Banner policromía 13 onzas impreso a full color tamaño de 90x140m con estructura en araña (diseño estregado por el área de prensa de la Alcaldía Local) x 5 unidades.</t>
  </si>
  <si>
    <t xml:space="preserve">Pendón vertical, impreso en full color en banner 13 onzas, alta resolución. El diseño se definirá en comité técnico y se diseñará en el área de prensa. Incluye empaque:  tula en tela Medidas: 300 cm X 200 cm  </t>
  </si>
  <si>
    <t>Gorra tipo béisbol de cinco paneles, elaborada en dril pesado 100% algodón, con visera curva preformada, costuras reforzadas y ajuste posterior con hebilla metálica o cierre en velcro. El diseño incluye estampado frontal o bordado del logotipo de la marca “Activamente” en un área de aproximadamente 10 x 5 cm,</t>
  </si>
  <si>
    <t>16. Publicidad_Zoom_Creativo</t>
  </si>
  <si>
    <t>17. DO Neith</t>
  </si>
  <si>
    <t>18. LAEJ COMPANY</t>
  </si>
  <si>
    <t>19. Tipo polo 1</t>
  </si>
  <si>
    <t>20. Tipo polo 2</t>
  </si>
  <si>
    <t>21. Tipo polo 3</t>
  </si>
  <si>
    <t>COT</t>
  </si>
  <si>
    <t>24. Carmen Edelmira Niño Castro</t>
  </si>
  <si>
    <t>18. LAEJ COMPANY+23. papeleriaeditorialzapata lapicero</t>
  </si>
  <si>
    <t>24. Carmen Edelmira Niño Castro+23. papeleriaeditorialzapata lapicero</t>
  </si>
  <si>
    <t>16. Publicidad_Zoom_Creativo + 23. papeleriaeditorialzapata lapicero</t>
  </si>
  <si>
    <t>25. ZOAR</t>
  </si>
  <si>
    <t>26. chaqueta decathlon</t>
  </si>
  <si>
    <t>27. chaquetas exito</t>
  </si>
  <si>
    <t>28. chaquetas falabella</t>
  </si>
  <si>
    <t>Tela: Tela anti-fluido 
Colores: Según se solicite 
Detalles de diseño: cremallera con pestaña que cubra, refuerzos en bolsillo, cuello alto y cintura con reflectivo en la parte trasera
Bolsillos:4 bolsillos seguros: 2 laterales cremalleras, 1 sup. con cremallera, 1 interior.
Impresiones en DTF:
Espalda: Impresión blanca y amarilla en la parte superior e inferior.
Delantero: Impresión blanca en la parte superior izquierda (sobre el corazón).</t>
  </si>
  <si>
    <t>29. Terramarte</t>
  </si>
  <si>
    <t>30. Servi ilimitados</t>
  </si>
  <si>
    <t>31. Markados</t>
  </si>
  <si>
    <t xml:space="preserve">Estructura: 8 varillas de 1 sección, con resorte y estructura en fibra de vidrio, mango en espuma, 132 cm de diámetro. 
Tela pongee color con filtro UV, totalmente impermeable resistente al agua. </t>
  </si>
  <si>
    <t>32. FDLE-SASI-999-2024. Indexado con IPC2024 (5,2%)</t>
  </si>
  <si>
    <t>33. Memoria 256GB - Homecenter</t>
  </si>
  <si>
    <t>34. Memoria 256_TAURET</t>
  </si>
  <si>
    <t>35. Memoria  256GB _Alkosto</t>
  </si>
  <si>
    <t>36. Disco duro_TecnoStock</t>
  </si>
  <si>
    <t>37. Disco Duro Externo _ Éxito</t>
  </si>
  <si>
    <t>38. Disco duro_TAURET___</t>
  </si>
  <si>
    <t>•	Tipo: con cable (jack 3.5 mm)
•	Diadema ajustable y acolchada
•	Almohadillas suaves tipo over-ear o on-ear
•	Longitud del cable: mínimo 1 metro
•	Compatibles con celulares, computadores y dispositivos USB
•	Colores neutros o institucionales (negro, blanco, azul)</t>
  </si>
  <si>
    <t>39. COTIZACION STAR COP HUMANITY</t>
  </si>
  <si>
    <t>40. INGEFE</t>
  </si>
  <si>
    <t>41. Piriwa</t>
  </si>
  <si>
    <t>42. Televisor 50_Homecenter.com.co</t>
  </si>
  <si>
    <t>43. Televisor Smart 50_Samsung Colombia</t>
  </si>
  <si>
    <t>44. Televisor 50 _falabella</t>
  </si>
  <si>
    <t>45. Kit x 2 Micrófono DJI Inalámbrico Mic Mini_Ktronix</t>
  </si>
  <si>
    <t>46. Microfono DJI Mic Mini</t>
  </si>
  <si>
    <t>47. Kit x 2 Micrófono DJI Inalámbrico Mic Mini_ alkosto</t>
  </si>
  <si>
    <t>48. EXITO-CAMARA OSLO</t>
  </si>
  <si>
    <t>49. AVPRO-CAMARA OSLO</t>
  </si>
  <si>
    <t>50. FALABELLA-CAMARA OSMO</t>
  </si>
  <si>
    <t>51. PANAMERICANA - CABLE USB</t>
  </si>
  <si>
    <t>52. steren- CABLE USB</t>
  </si>
  <si>
    <t>53. HOME CENTER-CABLE USB</t>
  </si>
  <si>
    <t>54. TECHNOLOGY-CONTROL REMOTO</t>
  </si>
  <si>
    <t>55. GEO DIGITAL- CONTROL REMOTO</t>
  </si>
  <si>
    <t>56. EXITO - CONTROLADOR REMOTO</t>
  </si>
  <si>
    <t>57. importacionesarturia.</t>
  </si>
  <si>
    <t>58. labouti</t>
  </si>
  <si>
    <t>59. lumen-</t>
  </si>
  <si>
    <t>60. fotoaccesorios</t>
  </si>
  <si>
    <t>61. importacionesa</t>
  </si>
  <si>
    <t>62. laboutiq</t>
  </si>
  <si>
    <t>63. Tipo C a HDMI_falabella</t>
  </si>
  <si>
    <t>64. Tipo C a HDMI_homecenter</t>
  </si>
  <si>
    <t>65. Tipo C a HDMI_Computo</t>
  </si>
  <si>
    <t>66. Batería recargable - Falabella</t>
  </si>
  <si>
    <t>67. Bateria recargable - Lumen</t>
  </si>
  <si>
    <t>68. Adaptador Multipuertos Usb Tipo C Dock Hub Hdmi Lan - exito</t>
  </si>
  <si>
    <t>69. Hub multipuertos tipo C 8 en 1- panamericana</t>
  </si>
  <si>
    <t>70. GENERICO Adaptador Hub Multipuerto Tipo C 8 en 1 con HDMI y USB - falabella</t>
  </si>
  <si>
    <t>71. Soporte Stand Tv  - falabella</t>
  </si>
  <si>
    <t>72. Soporte Pedestal - exito</t>
  </si>
  <si>
    <t>73. Soporte TV  - homcenter</t>
  </si>
  <si>
    <t>74. Gorro Navidad  _ Éxito</t>
  </si>
  <si>
    <t>75. Gorro navidad - Homecenter.com.co</t>
  </si>
  <si>
    <t>76. Gorro Navideño Largo_Lamina</t>
  </si>
  <si>
    <t>77. Dron_Falabella</t>
  </si>
  <si>
    <t>78. Air 3S Drone DJI  – Technology Video</t>
  </si>
  <si>
    <t>79. Dron DJI Air 3S _Skymotion</t>
  </si>
  <si>
    <t>80. luz de video LED YN6000  Encarguelo</t>
  </si>
  <si>
    <t>81. Luz YN6000_ YN Colombia</t>
  </si>
  <si>
    <t>82. Luz YN6000 Pixel Cámaras</t>
  </si>
  <si>
    <t>83. Computador_falabella</t>
  </si>
  <si>
    <t>84. Computador Homecenter.com.co</t>
  </si>
  <si>
    <t>85. Computador alkosto</t>
  </si>
  <si>
    <t>89. Telón Fondo negro – LA BOUTIQUE FOTOGRAFICA</t>
  </si>
  <si>
    <t>90. Tela fondo negro.  J&amp;J Fotografia Digi</t>
  </si>
  <si>
    <t>91. TELON_ FONDO NEGRO</t>
  </si>
  <si>
    <t>86. CAMARA 360 - FALABELLA</t>
  </si>
  <si>
    <t>87. CAMARA 360 - GARMIN</t>
  </si>
  <si>
    <t>88. CAMARA 360 - INSTA 360</t>
  </si>
  <si>
    <t>92. Dvalen</t>
  </si>
  <si>
    <t>93. Servilimitados</t>
  </si>
  <si>
    <t>94. Ziti promo</t>
  </si>
  <si>
    <t>95. Proyector Epson</t>
  </si>
  <si>
    <t>96. Videoproyector Alkosto</t>
  </si>
  <si>
    <t>97. Videoproyector PANAMERICANA</t>
  </si>
  <si>
    <t>98. Cable micro HDMI a HDMI Steren</t>
  </si>
  <si>
    <t>99. Cable HDMI a Micro HDMI Homecenter</t>
  </si>
  <si>
    <t>100. Cable Micro Hdmi A Hdmi Éxito</t>
  </si>
  <si>
    <t>101. BASE PARA MICROFONO Tienda Del Sonido</t>
  </si>
  <si>
    <t>102. Base micro Audiocity</t>
  </si>
  <si>
    <t>103. Base Micrófono SONOMARCAS</t>
  </si>
  <si>
    <t>104. Baterías falabella</t>
  </si>
  <si>
    <t>105. Baterías Homecenter.com.co</t>
  </si>
  <si>
    <t>106. Baterías farmatodo</t>
  </si>
  <si>
    <t>TOMA DE DECISIONES</t>
  </si>
  <si>
    <t>TABLA DE HONORARIOS</t>
  </si>
  <si>
    <t>11.1. Diploma 2</t>
  </si>
  <si>
    <t>107. Cotizaciones_Licencias</t>
  </si>
  <si>
    <t>Licencias</t>
  </si>
  <si>
    <t xml:space="preserve">Drone </t>
  </si>
  <si>
    <t>Ofreciendo soporte completo para i-TTL y un sistema de radio integrado de 2.4 GHz, el flash  facilita la creación de configuraciones de iluminación simples y elaboradas. Una herramienta de iluminación poderosa y efectiva, este flash presenta un número guía poderoso de 197 ‘a ISO 100 con un rango de zoom de 20-200 mm.
Incluye una nueva y única función TCM (TTL Converted to Manual), que permite la conversión instantánea de TTL a modo manual.
Sistema de radio X de 2,4 GHz integrado en el TT685N para activación inalámbrica. Puede configurarse como maestro o esclavo, este flash lo ayudará a crear una configuración de iluminación versátil con un rango de 328 ‘y soporte para 32 canales y cuatro grupos.
Funciona como una unidad transmisora para los sistemas de flash V1, AD200Pro y AD300Pro. También funciona como unidad receptora para unidades transmisoras X1, X2, XPro y V1.</t>
  </si>
  <si>
    <t xml:space="preserve">Flash  para Cámaras </t>
  </si>
  <si>
    <t>Control Remoto  Para Dji Avata 2 Y Dji Goggles</t>
  </si>
  <si>
    <t>Controlador remoto, compatibilidad: DJI Avata 2, DJI Goggles 3: diseñado para la transmisión de vídeo DJI O4 con un diseño de antena integrado, es más ligero que su predecesor y cuenta con un tiempo de funcionamiento más prolongado. Las palancas de control se extienden 2 mm, lo que permite controlarlas con uno o dos dedos. - Además de los modos Normal y Sport, el DJI FPV Remote Controller 3 ofrece el modo manual, más adecuado para que los jugadores avanzados practiquen y dominen habilidades más sofisticadas. - 1. Para obtener una sensación personalizada en la palanca de mando, se recomienda utilizar el destornillador incluido para realizar los ajustes. Para obtener más información, consulte el manual o los vídeos tutoriales. - 2. El DJI FPV Remote Controller 3 es compatible con una variedad de simuladores, incluidos Liftoff, Uncrash, DCL y The Drone Racing League. - Compatibilidad: DJI Avata 2, DJI Goggles 3</t>
  </si>
  <si>
    <t>Luces
YN6000</t>
  </si>
  <si>
    <t xml:space="preserve">Bateria camara </t>
  </si>
  <si>
    <t>Procesador (CPU)
●	Intel Core i5 (12ª o 13ª generación) o AMD Ryzen 5 (serie 5000 o 7000)
●	Velocidad base: 3.5 GHz o más
●	Núcleos: mínimo 6 núcleos / 12 hilos
Memoria RAM
●	16 GB DDR4 o DDR5 (expandible a 32 GB)
●	Velocidad: mínimo 3200 MHz
Almacenamiento
●	SSD NVMe M.2 de 512 GB (rápido para abrir programas y guardar archivos)
●	Opcional: disco duro adicional de 1 TB para almacenamiento masivo
Tarjeta gráfica
●	Integrada Intel UHD 730/770 o  integrada (suficiente para tareas de oficina)
●	Si requieres diseño o edición ligera: NVIDIA GTX 1650 o superior
Placa base (Motherboard)
●	Compatible con el procesador elegido
●	Mínimo 2 ranuras para RAM y 1 puerto M.2 para SSD
●	Puertos USB 3.2 y USB-C recomendados
Conectividad
●	Ethernet Gigabit
●	Wi-Fi 6 y Bluetooth 5.0 integrados (si no, se puede agregar con tarjeta PCIe o adaptador USB)
Monitor
●	Tamaño: 24" LED IPS Full HD (1920x1080)
●	Ajuste de altura y ángulo (ergonomía)
Periféricos
●	Teclado y mouse ergonómicos USB o inalámbricos
●	Cámara web Full HD (si haces videollamadas)
Sistema operativo
●	Windows 11 Pro (más seguro y con funciones para oficina)
Fuente de poder y gabinete
●	Fuente certificada 80+ Bronze de mínimo 400W
●	Gabinete con buena ventilación y puertos frontales USB</t>
  </si>
  <si>
    <t xml:space="preserve">Cámara </t>
  </si>
  <si>
    <t xml:space="preserve">Monitor industrial QB50C 50”
Presentamos QMC, la pantalla más delgada de UHD Signage.
LCD pantalla digital Signage QB50C 1270mm 4K UHD - 16 horas/7 días - alineación vertical (VA) - 3840 x 2160 - 10ms - USB - HDMI - Bluetooth - LAN inalámbrica - Tyzen 7.0.	1	</t>
  </si>
  <si>
    <t>Micrófono Mic Mini (2 Tx + 1 Rx + Caja De Carga)</t>
  </si>
  <si>
    <t>Una (1) proteína de 150 gramos (huevos homelet, queso, salchichas, jamón, entre otros)
Un (1) Carbohidrato de 70 gramos (pan, arepa, tostadas, entre otros)
Una (1) Proción de fruta de 100 gramos.
Un (1) Jugo Natural de 9 onzas (naranja o mandarina).
Una (1) Bebida Caliente de 12 Onzas) (Café, té, Chocolate)
Mantequilla 10 gramos, Mermelada 15 gramos 
El empaque del desayuno debe tener mínimo tres divisiones, Biodegradable</t>
  </si>
  <si>
    <t>(170 gramos mínimo) Sopa (Caldo de costilla ó changua), tamal, calentado, entre otros.
un (1) Carbohidrato de 70 gramos (pan, arepa, tostadas, entre otros).
Una (1) Proción de fruta de 100 gramos.
Un (1) Jugo Natural de 9 onzas (naranja o mandarina).
Una (1) Bebida Caliente de 12 Onzas) (Café, té, Chocolate).
Mantequilla 10 gramos, Mermelada 15 gramos.
El empaque del desayuno debe tener mínimo tres divisiones, Biodegradable. (lo anterior en un empaque que cumpla los lineamientos de la política ambiental del distrito capital con respecto a los plásticos y empaques de un solo uso.)
Deben entregarse empacados individual y herméticamente, garantizando productos frescos y preparación del mismo día, incluye transporte de entrega.</t>
  </si>
  <si>
    <t>MENÚ INFANTÍL: Especificaciones mínimas:
Bebida: caliente o yogurt o jugo natural de frutas. (Mínimo 10 onzas).
Carbohidrato: tipo cereal y panqueque o torta. (Mínimo 150 gr.)
Proteína: contenida en sándwich de jamón de calidad y queso o sándwich de pollo. (Mínimo 150 gr.)
Porción de fruta de temporada. El desayuno debe contener como mínimo una bebida, un carbohidrato, una proteína y una fruta según las posibles combinaciones descritas en este mismo ítem, por persona.</t>
  </si>
  <si>
    <t>Almuerzos tipo parrilla los cuales estarán compuestos por dos carnes pulpas de 100 gr. Cada una (res y pollo), Porción de papas (3 medianas), plátano (medio), Guacamole, Bebida</t>
  </si>
  <si>
    <t>Una (1) Entrada (Sopa, crema, consomé o fruta).
Una (1) proteína de 150 gramos mínimo (Pollo, carne de res, cerdo ó pescado).
Una (1) Porción de arroz entre 70 y 90 gramos.
Una (1) guarnición porción de 100 gramos (fríjoles, garbanzos, lentejas, arveja) o porción verdura fría y/o caliente de 100 gramos mínimo.
Una (1) porción de Ensalada de mínimo 70 gr.
Un (1) postre de mínimo 30 gramos (frutas, gelatinas, flanes, bocadillos, dulces, entre otros)
Una (1) Bebida refresco o néctar de fruta 200 ml o jugo natural en agua servido en vaso de 12 onzas o gaseosa botella plástica de 250 ml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garantizando productos frescos y preparación del mismo día, incluye transporte de entrega.</t>
  </si>
  <si>
    <t>MENÚ INFANTÍL:  Especificaciones mínimas del plato fuerte:
Proteína animal (mínimo de 150 gr) carbohidrato (mínimo de 150 gr). En presentación para niños bebida para acompaña (Mínimo 10 onzas).y postre elaborado (persona) el almuerzo debe contener como mínimo una bebida, un carbohidrato, un acompañante de carbohidrato, una proteína y un postre según las posibles combinaciones descritas en este mismo ítem, por persona.</t>
  </si>
  <si>
    <t>Menú: Hamburguesa artesanal - Papas o platanitos Fritas Paquete- Postre- Bebida</t>
  </si>
  <si>
    <t>Hamburguesa artesanal, pan artesanal, carne 100% artesanal 150 gramos, queso tipo mozzarella, vegetales (lechuga, tomate, cebolla caramelizada). 2 tipos de salsa en empaque individual. 
Papas en paquete 60gr Jugo en caja 250ml, Chocolatina 30 gr. Caja para empacar “El almuerzo debe contener como mínimo una bebida, un carbohidrato, una proteína y un postre según las posibles combinaciones descritas en este mismo ítem, por persona. El almuerzo debe contener como mínimo una bebida, un carbohidrato, una proteína y un postre según las posibles combinaciones descritas en este mismo ítem, por persona.</t>
  </si>
  <si>
    <t>Almuerzos, jornadas finales (incluye alimentación del grupo ejecutor)
• Opción No. 1: Sopa fuerte (ajiaco, sancocho, mondongo, cuchuco o mazamorra), porción de arroz, aguacate y arepa, jugo y postre.
• Opción No. 2: Sopa o porción de fruta fresca, cereal (arroz o pasta), proteína animal (pollo, carne o pescado), proteína vegetal (verdura caliente o ensalada), harina (plátano, papa o yuca), jugo y postre.</t>
  </si>
  <si>
    <t xml:space="preserve">EL contratista deberá suministrar almuerzos con el siguiente menú Carne de res (mamona) Plátano maduro, yuca o papa salada (debe incluir dos carbohidratos) - Guacamole- Una bebida- Postre. </t>
  </si>
  <si>
    <t>Un (1) producto de panadería de sal o dulce de mínimo 120gr o sándwich (pan tipo molde, 1 rodajas de jamón (cerdo, pollo, cordero, pavo, etc.) de 35gr , 1 rodajas de queso (doble crema o mozzarella), 40 gr de lechuga (lisa o rizada)), o mantecada de 120gr, o pastel o empanada de carne o pollo de 80gr.
Una (1) fruta entera de temporada de mínimo 80g.
Una (1) una bebida de refresco o néctar de fruta no alcohólica, no láctea, no energizante envasada en empaques 100% biodegradables en procesos de compostaje, biodegradable en proceso natural o que cuente con contenido de materia prima 100% reciclada de mínimo 200ml o Bebida caliente de 9 onzas.</t>
  </si>
  <si>
    <t xml:space="preserve">Un (1) pastel relleno (carne o pollo) de mínimo 140gr o sándwich (pan tipo molde, 2 rodajas de jamón (cerdo, pollo, cordero, pavo, etc.) de 70gr, 2 rodajas de queso (doble crema o mozzarella), 50 gr de lechuga (lisa o rizada)).
Una (1) fruta entera de temporada de mínimo 80g.
Una (1) Bebida refresco o nectar de fruta 200 ml o jugo natural en agua servido en vaso de 12 onzas o Bebida caliente de 12 onzas o gaseosa botella plástica de 250 ml </t>
  </si>
  <si>
    <t xml:space="preserve">Un (1) Sándwich de 240gr (pan de 40gr (árabe o artesanal) , proteína (carne,pollo,cerdo,pavo,etc) de 130gr,  30 gr de queso (doble crema o mozzarella),40 gr de lechuga (lisa o rizada)) o hamburguesa de 230gr (pan de hamburguesa), proteína animal de 140gr, 30 gr de queso (doble crema o mozzarella), 30 gr de lechuga (lisa o rizada)).
una (1) porción de papas chips de 25gr
Una (1) fruta de mínimo 100 gramos.
Una (1) Bebida refresco o néctar de fruta 200 ml o jugo natural en agua servido en vaso de 12 onzas o Bebida caliente de 12 onzas o gaseosa botella plástica de 250 ml </t>
  </si>
  <si>
    <t>Un (1) Producto enlatado de proteína entre 150 gr y 160 gr.
Dos (2) Paquete snack entre 35 gr y 70 gr.
Una (1) Bebida refresco jugo o néctar de caja de 200 ml, jugo de botella plástica de 300 ml, gaseosa botella plástica de 250 ml.</t>
  </si>
  <si>
    <t>MENÚ INFANTÍL: especificaciones mínimas:
Bebida caliente, yogurt, avena o jugo natural de frutas. (Mínimo 10 onzas).
Carbohidrato tipo sándwich o producto hojaldrado con proteína o torta o similar Y Queso (mínimo 150 gr). 
Fruta de temporada. Chocolatina, (mínimo de 40 gr).
el refrigerio debe contener como mínimo una bebida un carbohidrato y un postre según las posibles combinaciones descritas en este mismo ítem, por persona.</t>
  </si>
  <si>
    <t>SÓLIDO: buñuelo o empanada en bolsa de papel
BEBIDA: Avena o juego de fruta 250 Mililitros
POSTRE: Natilla 200 gramos y Galletas 50 gramos
"El refrigerio debe contener como mínimo una bebida, un carbohidrato, una proteína y un postre según las posibles combinaciones descritas en este mismo ítem, por persona".
FRUTA: Manzana, durazno o mandarina. "El refrigerio debe contener como mínimo una bebida, un sólido, una fruta y un postre según las posibles combinaciones descritas en este mismo ítem, por persona".</t>
  </si>
  <si>
    <t>Refrigerios Jornadas, Jornadas finales, presentaciones públicas por la JAL e instancias de participación (Incluye alimentación del grupo ejecutor).  Un sólido (Sándwich o pastel de pollo o arepa con queso o empanada o pizza o mantecada o envuelto Suma paceño de mínimo 150 gramos), Fruta (de temporada o tipo coctel), postre (galletas, chocolatina, maní o granola) y bebida (Chocolate, café en leche, malta, avena, leche, kumis o yogurt de 250 Mililitros).</t>
  </si>
  <si>
    <t>Cereal opciones: (sólido) Sándwich-pastel-empanada-arepa -envuelto.       
Bebida opciones: Jugo - chocolate - avena - agua de panela - kumis o yogurt</t>
  </si>
  <si>
    <t>El refrigerio deberá estar conformado como mínimo por una bebida (caliente) y amasijo (Empanada o arepa o sándwich de queso o mantecada).</t>
  </si>
  <si>
    <t>ESTACIÓN DE CAFÉ</t>
  </si>
  <si>
    <t>Servicio de cafetería (tinto, té, aromática -frutal o herbal- natural o en sobre variada, café con leche, chocolate Debe conta con tres (3) opciones mínimas de bebidas calientes (aguapanela, tinto, agua) servidas en un  vaso cartón 8 onzas  con  Mezcladores, azúcar o panela + crema para café,  servilletas  a la mesa en menaje o dispuesto en empaques  biodegradables según requerimiento del evento, El punto de estación de café deberá entregarse  en el  sitio (localidad engativá) aprobado por el supervisor.</t>
  </si>
  <si>
    <t>HIDRATACIÓN TIPO UNO</t>
  </si>
  <si>
    <t>Agua para el consumo humano en botella plástica reciclable (material 100% biodegradables en procesos de compostaje, biodegradables en proceso natural o que cuenten con contenido de materia prima 100% reciclada) – Presentación de mínimo 1000 mililitros.</t>
  </si>
  <si>
    <t>HIDRATACIÓN TIPO DOS</t>
  </si>
  <si>
    <t>Agua para el consumo humano en botella plástica reciclable (material 100% biodegradables en procesos de compostaje, biodegradables en proceso natural o que cuenten con contenido de materia prima 100% reciclada) - Presentación de mínimo 600 mililitros</t>
  </si>
  <si>
    <t>HIDRATACIÓN TIPO TRES</t>
  </si>
  <si>
    <t>Agua para el consumo humano en botella plástica reciclable (material 100% biodegradables en procesos de compostaje, biodegradables en proceso natural o que cuenten con contenido de materia prima 100% reciclada) – Presentación de mínimo 300 mililitros</t>
  </si>
  <si>
    <t>HIDRATACIÓN TIPO CUATRO</t>
  </si>
  <si>
    <t xml:space="preserve">Agua para el consumo humano en botellon PET  - 20 litros. </t>
  </si>
  <si>
    <t xml:space="preserve">OLLA COMUNITARIA </t>
  </si>
  <si>
    <t>Suministro de Alimentos ajustados a los requerimientos de los grupos poblacional y comunidad de la localidad de mínimo 50 personas. El ítem de olla podrá contener los elementos: Pollo, Costilla de res o cerdo, Carne de res o cerdo, Pescados, Papa pastusa, Papa criolla, Yuca, Plátano, Cilantro, Cebolla larga, Cebolla cabezona, Apio, zanahoria, Mazorca, Sal, Ajo, Tomate, Pimentón, Aguacate, Pulpa de fruta, Aceite, Arroz, etc.</t>
  </si>
  <si>
    <t>Dia</t>
  </si>
  <si>
    <t>SUMINISTRO DE MULTITOMA.</t>
  </si>
  <si>
    <t>Multitoma de hasta 10 puertos con break para alta tensión. (ALQUILER)</t>
  </si>
  <si>
    <t>ALQUILER PANTALLA LED TIPO 1</t>
  </si>
  <si>
    <t xml:space="preserve">Pantalla LED de 3 a 4 pitch 5*3 m con opción de outdoor. Se debe realizar el transporte, montaje y desmontaje del suministro. </t>
  </si>
  <si>
    <t xml:space="preserve">ALQUILER PANTALLA LED TIPO 2 </t>
  </si>
  <si>
    <t xml:space="preserve">Pantalla LED de 3 a 4 pitch 6*3 mcon opción de outdoor. Montaje y desmontaje </t>
  </si>
  <si>
    <t>ALQUILER PANTALLA LED TIPO 3</t>
  </si>
  <si>
    <t>Pantalla LED de 3 a 4 pitch 8* 3 m con opción de outdoor. Montaje y desmontaje. Se debe realizar   el transporte, montaje y desmontaje de esta.</t>
  </si>
  <si>
    <t>ALQUILER PANTALLA LED TIPO 4</t>
  </si>
  <si>
    <t xml:space="preserve">Pantalla de relevo LED de 3 a 4 pitch de 3*2 m (mínimo) con opción de outdoor. Montaje y desmontaje. Montaje y desmontaje. Se debe realizar el transporte, montaje y desmontaje. </t>
  </si>
  <si>
    <t xml:space="preserve">ALQUILER PANTALLA LED TIPO 5 </t>
  </si>
  <si>
    <t xml:space="preserve">Pantalla de gran formato - tipo LED de 3 a 4 pitch de 4*3 con opción de outdoor. Montaje y desmontaje. Se debe realizar el transporte, montaje y desmontaje. </t>
  </si>
  <si>
    <t>ALQUILER GENERADOR ELECTRICO TIPO 1</t>
  </si>
  <si>
    <t xml:space="preserve">Generador eléctrico de 75 kW A 125 kW para los días del evento, contando con los medios necesarios para la manipulación de estos equipos, deberá incluir combustible y un operario durante el evento. Se debe garantizar el transporte y combustible por día.  </t>
  </si>
  <si>
    <t>ALQULER GENERADOR ELÉCTRICO TIPO 2</t>
  </si>
  <si>
    <t xml:space="preserve">Voltaje: 110V/220V -Frecuencia: 60HZ/1.0- Potencia Max: 5500W -Potencia nominal: 5000W Corriente nominal: 45.4ª/22.7ª -Salida C: 12V/8.3ª -Temp. De trabajo: -10°C- 50°C donde se garantice el operario para el funcionamiento hasta 24 horas, veinte (20) metros de acometida eléctrica y se debe garantizar el transporte y combustible por día.  </t>
  </si>
  <si>
    <t xml:space="preserve">ALQUILER PUESTO FIJO </t>
  </si>
  <si>
    <t xml:space="preserve">Servicio de Puesto fijo conformado por: switcher digital 4k con cuatro entradas, 2 salidas de video, sistema de intercom de 4 puntos, 1 distribuidor de video, un motor de 32 para programa, una capturadora de video.
</t>
  </si>
  <si>
    <t>ALQUILER SONIDO TIPO 1</t>
  </si>
  <si>
    <t>Sistema de sonido 1000 watts: 2 sistemas line array tipo columna para conferencias corporativas las cuales necesitan de poco espacio en escenario, con las siguientes características: Subwoofer activo, bass- reflex, Dos parlantes de neodymium de 8” (200mm) de alta excursión con bobinas de 2” (50 mm), Respuesta de frecuencia de 50Hz a 180Hz, Amplificador de potencia Class D de 600W RMS con fuente de alimentación switching, Procesador DSP con 4 presets, Panel de control con combo XLR/Jack stereo de entrada y link, XLR de salida, volumen, 0°-180° phase switch, status LED, consola mínimo de 16 canales digital,kit de 8 micrófonos alámbricos e inalámbricos, reproductor de cd doble bandeja mp3, Instalado, incluye cableado, acometidas eléctricas, kit de 6 micrófonos alámbricos, ingeniero de sonido y todos los elementos requeridos para su operación</t>
  </si>
  <si>
    <t>ALQUILER SONIDO TIPO 2</t>
  </si>
  <si>
    <t>Sistema de Sonido 6000 a 8000 watts: Alquiler de sistema de sonido 1000 watts,  compuesto por 6 cabinas auto potenciadas (3 x lado), dos bajos, consola de amplificación de 24 canales, módulo lectura o conectividad de bluetooth, mp3, CD y USB Instalado, incluye cableado, acometidas eléctricas, 6 micrófonos alámbricos condensadores con base, ingeniero de sonido y todos los elementos requeridos para su operación. Sujeto a Render de sonido, un micrófono inalámbrico.</t>
  </si>
  <si>
    <t>ALQUILER SONIDO TIPO 3</t>
  </si>
  <si>
    <t xml:space="preserve">Sonido de 4000 Watts compuesto por 4 cabinas de 1000 watts auto potenciadas con base, consola mínimo de 12 canales análoga, reproductor de cd doble bandeja mp3, kit de 8 micrófonos alámbricos e inalámbricos Instalado, incluye cableado, acometidas eléctricas, ingeniero de sonido y todos los elementos requeridos para su operación </t>
  </si>
  <si>
    <t>ALQUILER SONIDO TIPO 4</t>
  </si>
  <si>
    <t xml:space="preserve">Sistema de sonido profesional line array – 10.000 A 15.000 watts de sonido por los días de feria  para la amplificación adecuada en espacio libre (monitores amplificados, un set de micrófonos de acuerdo con las necesidades de los artistas o presentaciones en tarima). </t>
  </si>
  <si>
    <t>ALQUILER DE JUEGO DE MICROFONO INALAMBRICO</t>
  </si>
  <si>
    <t xml:space="preserve">Micrófono profesional con o sin manos libres para eventos, debe tener capacidad de operación de baterías recargables o de alta duración. Unidad. </t>
  </si>
  <si>
    <t>ALQUILER TARIMA TIPO 1 12X12m</t>
  </si>
  <si>
    <t>Tarima de 12* 12m de 20 cm a 1 m de altura. Se requiere transporte, montaje y desmontaje.</t>
  </si>
  <si>
    <t>ALQUILER TARIMA TIPO 2 2,40X2.40m</t>
  </si>
  <si>
    <t>Tarima de 2.40*2.40 m de 20 cm a 1 m de altura. Se requiere transporte, montaje y desmontaje</t>
  </si>
  <si>
    <t>ALQUILER TARIMA TIPO 3 3,60X8,40m</t>
  </si>
  <si>
    <t>Tarima de 3.60* 8.40 m de 20 cm a 1 m de altura. Se requiere transporte, montaje y desmontaje.</t>
  </si>
  <si>
    <t>ALQUILER TARIMA TIPO 4 3X4m</t>
  </si>
  <si>
    <t>Tarima de 3 * 4 m de 20 cm a 1 m de altura. Se requiere transporte, montaje y desmontaje.</t>
  </si>
  <si>
    <t>ALQUILER TARIMA TIPO 5 4X4m</t>
  </si>
  <si>
    <t>Tarima de 4 *4 m de 20 cm a 1 m de altura. Se requiere transporte, montaje y desmontaje.</t>
  </si>
  <si>
    <t>ALQUILER TARIMA TIPO 6 6X12m</t>
  </si>
  <si>
    <t>Tarima de 6*12 m de 20 cm a 1 m de altura. Se requiere transporte, montaje y desmontaje.</t>
  </si>
  <si>
    <t>ALQUILER TARIMA TIPO 7 6X6m</t>
  </si>
  <si>
    <t>Tarima de 6 * 6 m de 20 cm a 1 m de altura. Se requiere transporte, montaje y desmontaje.</t>
  </si>
  <si>
    <t>ALQUILER TARIMA TIPO 8 6X7,2m</t>
  </si>
  <si>
    <t>Tarima de 6 * 7.20 m de 20 cm a 1 m de altura. Se requiere transporte, montaje y desmontaje.</t>
  </si>
  <si>
    <t>ALQUILER TARIMA TIPO 9 6X8M</t>
  </si>
  <si>
    <t>Tarima de 6 * 8 m de 20 cm a 1 m de altura. Se requiere transporte, montaje y desmontaje.</t>
  </si>
  <si>
    <t>ALQUILER TARIMA TIPO 10 7,2X9,6m</t>
  </si>
  <si>
    <t>Tarima de 7.20* 9.60 m de 20 cm a 1 m de altura. Se requiere transporte, montaje y desmontaje.</t>
  </si>
  <si>
    <t>ALQUILER TARIMA TIPO 11 7,5X20m</t>
  </si>
  <si>
    <t>Tarima de 7* 5 m de 20 cm a 1 m de altura. Se requiere transporte, montaje y desmontaje</t>
  </si>
  <si>
    <t>ALQUILER TARIMA TIPO 12 9,60X12m</t>
  </si>
  <si>
    <t>Tarima de 9.60* 12 m de 20 cm a 1 m de altura. Se requiere transporte, montaje y desmontaje.</t>
  </si>
  <si>
    <t>ALQUILER TELEVISOR LED</t>
  </si>
  <si>
    <t>Televisor LED de 32 pulgadas a 42 pulgadas, con conexión HDMI y USB.</t>
  </si>
  <si>
    <t>ALQUILER TELON DE PROYECCION TIPO 1</t>
  </si>
  <si>
    <t>Telón de proyección frontal y/o retroproyección 1,50 m * 1,50 m</t>
  </si>
  <si>
    <t>ALQUILER TELON DE PROYECCION TIPO 2</t>
  </si>
  <si>
    <t>Telón de proyección frontal y/o retroproyección 1,80 m*1,80 m</t>
  </si>
  <si>
    <t>ALQUILER TELON DE PROYECCION TIPO 3</t>
  </si>
  <si>
    <t>Telón de proyección frontal y/o retroproyección 2*2 m</t>
  </si>
  <si>
    <t>ALQUILER VIDEO BEAM TIPO 1</t>
  </si>
  <si>
    <t xml:space="preserve">Video Beam Hd de 3000 a 5000 Lumens. Disposición por día o jornada. </t>
  </si>
  <si>
    <t>ALQUILER VIDEO BEAM TIPO 2</t>
  </si>
  <si>
    <t>Video Beam Hd de 5000 a 8000 Lumens. Disposición por día o jornada.</t>
  </si>
  <si>
    <t>ALQUILER VIDEO BEAM TIPO 3</t>
  </si>
  <si>
    <t>Video Beam Hd de más 8000 Lumens a 15000 Lumens. Disposición por día o jornada</t>
  </si>
  <si>
    <t>ALQUILER DE EQUIPOS PARA TRANSMISIÓN DE EVENTOS</t>
  </si>
  <si>
    <t>Equipos para transmisión online de eventos, permiten a su vez retransmitir las imágenes en las pantallas del evento.  Los equipos deben permitan transmitir en las pantallas los diferentes momentos en simultáneos a los eventos, una antena de internet o internet propio de al menos 200 MB. Incluye el profesional quien estará proyectando en tiempo real y operando los equipos, de, las distancias de los puntos serán como mínimo (500 a 2000 m de distancia) y al menos dos cámaras HD según sea necesario.</t>
  </si>
  <si>
    <t xml:space="preserve">ALQUILER VALLA DE CONTENCIÓN </t>
  </si>
  <si>
    <t>Valla en tubo galvanizado de 1.40*2 mts de ancho con base de 60 mm, calibre de 1 ¼ “, existen dos clases: con lamina &amp; de tubo con instalacion y desmonte</t>
  </si>
  <si>
    <t>ALQUILER MANTEL PARA MESA TIPO 1</t>
  </si>
  <si>
    <t xml:space="preserve">Mantel en tela anti manchas para mesa rectangular unicolor seis a ocho puestos. Medida: largo de 190*60 cm </t>
  </si>
  <si>
    <t>ALQUILER MANTEL PARA MESA TIPO 2</t>
  </si>
  <si>
    <t xml:space="preserve">Mantel en tela anti manchas para mesa cuadrada unicolor, de 4 puestos medidas mínimas de 130*130 cm. </t>
  </si>
  <si>
    <t>ALQUILER ESTRUCTURA PARA MONTAJE</t>
  </si>
  <si>
    <t xml:space="preserve">Tramo de Estructura en Truss de 2mtrs con bases, incluye montaje. </t>
  </si>
  <si>
    <t>SUMINISTRO RADIOS DE COMUNICACIÓN</t>
  </si>
  <si>
    <t>ALQUILER ILUMINACIÓN	DE TARIMA MUSICAL O EVENTOS PEQUEÑO</t>
  </si>
  <si>
    <t>Alquiler de set de luces led con cabezas móviles que iluminen la totalidad de la tarima y ambiente el espacio para las presentaciones musicales en el evento. Incluye luces de proyección tipo led, strober y blinder. Maquina de humo si es necesario.  Mínimo de 6 luces</t>
  </si>
  <si>
    <t xml:space="preserve">ALQUILER ILUMINACIÓN DE TARIMA MUSICAL O EVENTOS GRANDE </t>
  </si>
  <si>
    <t xml:space="preserve">Alquiler de set de luces led con cabezas móviles que iluminen la totalidad de la tarima y ambiente el espacio para las presentaciones musicales en el evento. Incluye luces de proyección tipo led, strober y blinder, Máquina de humo. Mínimo de 16 luces. </t>
  </si>
  <si>
    <t>SUMINISTRO PASACALLES</t>
  </si>
  <si>
    <t>Pasacalles en lona diseñada para impresiones resistente al agua, full color, tamaño aproximado 1 m de alto x 10 m de ancho, en los cuales deben mostrar la publicidad del proyecto, estos deben incluir instalación donde se indique</t>
  </si>
  <si>
    <t>ALQUILER VEHÍCULO DE PERIFONEO</t>
  </si>
  <si>
    <t xml:space="preserve">Vehículo con dispositivo de sonido de mínimo 1500 watts de potencia. Este deberá realizar perifoneo (reproduciendo la cuña o jingle del evento) por cada uno de losBARRIOS  principales . El vehículo deberá llevar vallas al lado y lado, con la información del evento, dicho diseño será aprobado por prensa, servicio día. </t>
  </si>
  <si>
    <t>SUMINISTRO DE DECORACIÓN MESAS ARREGLO FLORAL</t>
  </si>
  <si>
    <t>Arreglo floral con mínimo 12 rosas de colores blanco, rosa, morado incluye cintas y caja contenedora.</t>
  </si>
  <si>
    <t>SUMISTRO DE DECORACIÓN ARCO 4 MTRS CON GLOBOS</t>
  </si>
  <si>
    <t>Arco en plástico o tubo pvc con arreglo de globos</t>
  </si>
  <si>
    <t>SUMINISTRO DE KIT DECORATIVO</t>
  </si>
  <si>
    <t>Paquete de 100 unidades de globos con kit para inflar, paquete de serpentinas y festines y paquete de banderines de colores según necesidad.</t>
  </si>
  <si>
    <t>SUMINISTRO SOMBRILLAS PARA EVENTOS</t>
  </si>
  <si>
    <t>Sombrillas grandes de 8 panales colores variados con 4 estampados de marca o logo a un solo color</t>
  </si>
  <si>
    <t>SERVICIO DE ALQUILER KIT DE ELEMENTOS EVENTOS DEPORTIVOS.</t>
  </si>
  <si>
    <t xml:space="preserve">KIT con estación de elementos deportivos con: 4 Cucunuba con sus esferas, 16 tejos, 16 tejos de mini tejo, 2 canchas de tejo x par que cumpla con las especificaciones de tejo y su espaldar, 2 pares de cancha de mini tejo con su espaldar, 4 balones de microfútbol con sus respectivas mallas por día. </t>
  </si>
  <si>
    <t>SUMISTRO DE CAMISETAS DEPORTIVAS</t>
  </si>
  <si>
    <t>Camiseta cuello redondo o en V con collarete en cuello. Reata de hombro a hombro. Doblado de 2cm con recubridora. Cerrado overlock de 4 hilos. Terminados con recubridora. Hilo 120. El diseño y color variado. Los parches tendrán efectos de ilusión óptica tridimensionales y holográficos, Efecto tangible en forma de montura en su contorno. Las tallas serán desde la S a XLTerminados con recubridora.
Hilo 120.
*El diseño y color de las prendas de mujer se realizarán teniendo en cuenta lo propuesto por el Conselo Local de Mujeres. Los parches tendrán efectos de ilusión óptica tridimensionales y holográficos, Efecto tangible en forma de montura en su contorno. Las tallas serán desde la S a XL</t>
  </si>
  <si>
    <t xml:space="preserve">SUMINISTRO DE GORRAS PARA EVENTOS </t>
  </si>
  <si>
    <t>Gorra combinada con malla poliéster y tela poliéster, 6 paneles, con cierre en velcro.
Material: Poliéster. Técnica de marca: Bordado máximo 12 cm.</t>
  </si>
  <si>
    <t>SUMINISTRO GORRA TIPO 2 EVENTOS</t>
  </si>
  <si>
    <t>Prenda en material tipo malla Unicolor, cierre plástico, con hebilla ajustable y dos bordados, material Poliéster. Talla única</t>
  </si>
  <si>
    <t>SUMINISTRO DE IMPRESIÓN TIPO 1</t>
  </si>
  <si>
    <t>Impresión  a color y en papel carta tipo bond 115 gr, full color 4x4 tintas. Paquete de 1000 Impresiones</t>
  </si>
  <si>
    <t>SUMINISTRO DE IMPRESIÓN TIPO 2</t>
  </si>
  <si>
    <t>Impresión de reglamento formato tipo pliego, papel propalcote full color 4x4 tintas. Paqute x 1000</t>
  </si>
  <si>
    <t xml:space="preserve">SUMINISTRO IMPRESIÓN TIPO 3 </t>
  </si>
  <si>
    <t>Impresión de formatos en papel químico (dos copias), tamaño carta, impreso a color. Paquete de 500 unidades</t>
  </si>
  <si>
    <t>Media Millar</t>
  </si>
  <si>
    <t>SUMINISTRO BACKING PORTABLE</t>
  </si>
  <si>
    <t>Tamaño 2m x 4m horizontal, en impresión digital full color, con sistema en aluminio, riel superior e inferior, varillas de tensado y soportes y/o argollas. Este debe tener la publicidad del evento y debe estar ubicado estratégicamente para la toma de fotografías y ambientación del evento.</t>
  </si>
  <si>
    <t xml:space="preserve">SUMINISTRO ARAÑA PLEGABLE </t>
  </si>
  <si>
    <t>Pendon con estructura de Centro metálico, brazos en aluminio, topes de sujeción plásticos, empaque para trasporte en material textil (tula en tela), Para uso interior y uso en exterior, medida 2*1 m.</t>
  </si>
  <si>
    <t xml:space="preserve">SUMINISTRO PENDÓN TIPO 1 </t>
  </si>
  <si>
    <t>Pendón en banner de 13 onzas full color y terminado en tubo. Medida: 2*1 m</t>
  </si>
  <si>
    <t>SUMINISTRO PENDÓN TIPO 2</t>
  </si>
  <si>
    <t>Pendón en banner de 13 oz full color y terminados en tubos. /Medidas 4 x 1,5 metros</t>
  </si>
  <si>
    <t>SUMINISTRO PENDÓN TIPO 3</t>
  </si>
  <si>
    <t>Pendón en banner de 13 oz full color y terminados en tubos. Medidas 6x2 metros</t>
  </si>
  <si>
    <t>SUMINISTRO PENDÓN TIPO 4</t>
  </si>
  <si>
    <t>Pendón roll up , tamaño 2m por 1 m, full color ALTA calidad, portables y estuche.</t>
  </si>
  <si>
    <t>SUMINISTRO AFICHES TIPO 1</t>
  </si>
  <si>
    <t>Impresión full color papel propalcote esmaltado brillante de 240 g. Tamaño 50*35 cm</t>
  </si>
  <si>
    <t xml:space="preserve">SUMINISTRO AFICHES TIPO 2 </t>
  </si>
  <si>
    <t>Impresión full color, tamaño medio pliego de 50cm*70 cm, 4*4 tintas, propalcote de 150 g. Paquete x 1000 Unidades.</t>
  </si>
  <si>
    <t xml:space="preserve">SUMINISTRO DE FOLLETOS </t>
  </si>
  <si>
    <t>Impresión de folletos trípticos, full color por ambas caras en papel ecológico de 150 g. Tamaño carta (22*28 cm). Paquete x 1000 Unidades.</t>
  </si>
  <si>
    <t xml:space="preserve">SUMINISTRO IMPRESIÓN PAPEL FOTOGRÁFICO </t>
  </si>
  <si>
    <t xml:space="preserve">Impresión en papel fotográfico de 135 gr full color por una sola cara. Medidas A4 (21cm*29,7 cm). Paquete x 1000 Unidades.
</t>
  </si>
  <si>
    <t>SUMINISTRO VOLANTE TIPO 1</t>
  </si>
  <si>
    <t>Tamaño Tercio de Pliego 30 X 67 cm -Material Propalcote 150 gramos 4 X 4 tintas. Paquete 1000 unidades.</t>
  </si>
  <si>
    <t>SUMINISTRO VOLANTE TIPO 2</t>
  </si>
  <si>
    <t>Impresión de papel propalcote 150 grs, 4*4 tintas,Tamaño: 20*14 cm. Paquete 1000 Impresiones</t>
  </si>
  <si>
    <t>SUMINISTRO VOLANTE TIPO 3</t>
  </si>
  <si>
    <t>Impresión full color en papel propalcote esmaltado brillante de 180 g/Media carta Paquete 1000 Unidades</t>
  </si>
  <si>
    <t xml:space="preserve">SUMINISTRO VOLANTE TIPO 4 </t>
  </si>
  <si>
    <t>Impresión de papel 150 gr, full color, tamaño: ½ carta. Paquete 1000 unidades</t>
  </si>
  <si>
    <t>SUMINISTRO AGENDA PARA EVENTOS.</t>
  </si>
  <si>
    <t>Agenda tamaño 23*16 cm *100 hojas, portada de pasta dura full color y 4 hojas internas a full color, hojas doble color formato cuadrado o rayado según necesidad.</t>
  </si>
  <si>
    <t>SUMINISTRO MANILLAS PARA EVENTOS</t>
  </si>
  <si>
    <t>Fabricadas en Tyvek de 1.9 cm X 25 cm, con cierre de seguridad en adhesivo, un material impermeable, resistente al rasgado y a la tensión, flexible, de muy bajo peso. + Impresión de texto y /o logo, con autoadhesivo, en colores fosforescentes, enumerada e impresa según necesidad del evento. Paquete 1000 Manillas</t>
  </si>
  <si>
    <t xml:space="preserve">SUMINISTRO DE DIPLOMAS </t>
  </si>
  <si>
    <t xml:space="preserve">Tamaño: Carta 21 cm.x28 cm. Papel: Propalcote blanco de 150 grs. Impresión:4x0 tintas, Una cara </t>
  </si>
  <si>
    <t>SUMINISTRO MAPAS DE UBICACIÓN</t>
  </si>
  <si>
    <t xml:space="preserve">Mapa de ubicación impresos formato de altam calidad tipo pliego, en material vinilo o pvc. tamaño de 200 x 80 cm. </t>
  </si>
  <si>
    <t>SUMINISTRO FORMATOS INSCRIPCIÓNES O EVALUACION DE EVENTOS O PREDIOS</t>
  </si>
  <si>
    <t xml:space="preserve">Impresión de cada uno de los formatos para inscripciones o toma de datos impresión x 500 unidades. Tamaño carta. </t>
  </si>
  <si>
    <t xml:space="preserve">SUMINISTRO FORMATOS DE INSCRIPCIÓN </t>
  </si>
  <si>
    <t xml:space="preserve">Se suministrarán formatos en papel químico (dos copias), tamaño carta, impreso a full color. Cuadernillo de 100 unidades. </t>
  </si>
  <si>
    <t>SUMINISTRO ESCARAPELA TIPO 1</t>
  </si>
  <si>
    <t>Escarapelas Tipo Congreso - Tamaño: 9 .5 X 15 o 11 cms X 15 cms - Impresión Digital en Propalcote de 150 gramos - Funda Tamaño: 10 X 15 cm - Cordón para portafolio en el cuello colores fosforescentes.</t>
  </si>
  <si>
    <t>SUMINISTRO ESCARAPELAS TIPO 2</t>
  </si>
  <si>
    <t xml:space="preserve">Escarapelas de material resistente (preferiblemente en madera plastificado) a la intemperie de 35 cm x 35 cm (como medidas mínimas) con numeración según necesidad plastificadas y con un cordón para colgar en el cuello. </t>
  </si>
  <si>
    <t>SUMINISTRO DE CUADERNILLOS, PERIODICOS O IMPRESOS DE CAPACITACIÓN</t>
  </si>
  <si>
    <t xml:space="preserve">Impresión tamaño carta hasta de formato tabloide que mide entre 35 cm y 45 cm de alto y entre 25 cm y 30 cm de ancho full color doble cara y doblado. Paquete por 1000 unidades con gancho de cocido o sin gancho de cocido. </t>
  </si>
  <si>
    <t>SUMINISTRO INVITACIÓN PLEGABLE CON INFORMACIÓN</t>
  </si>
  <si>
    <t>Pleagables de tamaño 30 X 35 cm. sobre propalcote de 180 grs., tintas 4 x 4, personalizada sin plastificar, plegados en 7 cuerpos verticales y 2 horizontales. Paquete 1000 Unidades.</t>
  </si>
  <si>
    <t>SUMINISTRO CAJA DE INVITACIÓN A EVENTOS</t>
  </si>
  <si>
    <t xml:space="preserve">Caja de lito corrugadas, tamaño 30 cm x 20cm x 8cm de alto, con impresión a full color. Para realizar invitaciones con detalle a públicos de interés. Esta caja debe contener en su interior como mínimo seis elementos y/o productos que resalten la cultura y actividades económicas Sumapaceñas o los elementos que se requieran.  </t>
  </si>
  <si>
    <t>SERVICIO DE FUNCIONES NAVIDEÑAS ITINERANTES TIPO 1</t>
  </si>
  <si>
    <t xml:space="preserve">Obra navideña, mínimo 5 personajes actuados por 5 personas distintas, con vestuario y maquillaje navideño, la obra debe ser dancística o teatral y debe ser de mínimo 20 minutos en escena y debe contar con puesta en escena para su desarrollo. </t>
  </si>
  <si>
    <t>SERVICIO DE FUNCIONES NAVIDEÑAS ITINERANTES TIPO 2</t>
  </si>
  <si>
    <t>Coro navideño, en el cual se hagan canticos de villancicos con vestimenta navideña, 15 integrantes incluyendo instrumentos musicales.</t>
  </si>
  <si>
    <t>SERVICIO DE FUNCIONES NAVIDEÑAS ITINERANTES TIPO 3</t>
  </si>
  <si>
    <t>Novena con pesebre vivo. Para ello se realizará de forma participativa, se tendrán vestuarios para poder crear el pesebre en vivo con personas de la comunidad (María, José, Pastor, 3 reyes magos y un niño Jesús). Incluye los elementos decorativos de pesebre de al menos 2x2 metros</t>
  </si>
  <si>
    <t>SERVICIO DE FUNCIONES NAVIDEÑAS ITINERANTES TIPO 4</t>
  </si>
  <si>
    <t>Estructura navideña para tomar fotos, en la cual se realice un montaje con un árbol de navidad de 4 metros de altura, adornado con luces led y regalos navideños y debe estar acompañado de osos navideños, o renos navideños, o pingüinos navideños, o muñecos de nieve navideños, que tengan dimensiones de mínimo 2 metros de altura por 1 metro de ancho y de profundidad, adicionalmente una silla decorada navideña para que se puedan sentar los niños para fotografías y el acompañamiento constante de un Papá Noel real, según esteriotipo con barba, anteojos, traje rojo con gorro, botas negras y cinturón, de contextura gruesa.</t>
  </si>
  <si>
    <t xml:space="preserve">SERVICIO DE GRUPOS CULTURALES Y ARTES TIPO 1 </t>
  </si>
  <si>
    <t>Un (1) Grupo teatral o de títeres y/o marionetas, mínimo 5 integrantes y realizar espectáculos de 20 minutos en escena y talleres dirigidos para la comunidad en relación con la temática. Incluye elementos necesarios y puesta del montaje para obra o presentación por día.</t>
  </si>
  <si>
    <t xml:space="preserve">SERVICIO GRUPOS CULTURALES Y ARTES TIPO 2 </t>
  </si>
  <si>
    <t>Un (1) Grupo artístico musical, teatral, danza o artístico para presentación de eventos culturales por día.</t>
  </si>
  <si>
    <t>SERVICIO DE GRUPO MUSICAL TIPO 1</t>
  </si>
  <si>
    <t>Artista reconocido local, distrital o nacional, de música de preferencia según necesidad y con un show de 2 horas como mínimo en escena, cuya presentación sea 100% (ciento por ciento) en vivo, sin el apoyo de secuencias o algún tipo de material pregrabado.</t>
  </si>
  <si>
    <t xml:space="preserve">SERVICIO ORQUESTA NACIONAL MUSICAL </t>
  </si>
  <si>
    <t>Orquesta con reconocimiento a nivel nacional y/o distrital, integrada por mínimo 10 músicos, 2 bailarinas, con una duración de 4 horas preferiblemente que maneje un formato tropical y que interpreten géneros musicales variados (merengue, salsa, porros, tropical, bachata, vallenato y carranguera) y cuya presentación sea 100% (ciento por ciento) en vivo, sin el apoyo de secuencias o algún tipo de material pregrabado.</t>
  </si>
  <si>
    <t xml:space="preserve">SERVICIO ORQUESTA INTEGRACIÓN CAMPESINA </t>
  </si>
  <si>
    <t xml:space="preserve">Grupo de música popular y/o campesina que brindarán dos horas de presentación en vivo, sin el apoyo de secuencias o algún tipo de material pregrabado.  </t>
  </si>
  <si>
    <t>SERVICIO GRUPO MUSICAL POPULAR</t>
  </si>
  <si>
    <t xml:space="preserve">Grupo de música popular campesina. Con amplio reconocimiento y prestigio nacional e internacional de radio, prensa y televisión. Espectáculo en vivo de hasta dos horas Cuya presentación sea 100% en vivo, sin el apoyo de secuencias o algún tipo de material pregrabado. </t>
  </si>
  <si>
    <t>SERVICIO GRUPO LOCAL MUSICAL</t>
  </si>
  <si>
    <t xml:space="preserve">Grupo local de música campesina que brindará horas de presentación, esta deberá ser 100% (ciento por ciento) en vivo, sin el apoyo de secuencias o algún tipo de material pregrabado.  </t>
  </si>
  <si>
    <t>SERVICIO DE ESPECTACULO ARTISTICO Y CULTURAL CON EMULO</t>
  </si>
  <si>
    <t xml:space="preserve">Emulo con presentación artística y cultural debe incluir show artístico con o sin animales durante al menos dos horas. </t>
  </si>
  <si>
    <t>SERVICIO INFLABLE SALTARÍN</t>
  </si>
  <si>
    <t xml:space="preserve">Inflables 3X4 metros, para recreación de niños y niñas, incluido operarios, planta y transporte por día. </t>
  </si>
  <si>
    <t>SERVICIO ESTACIÓN JUEGOS DE DESTREZA</t>
  </si>
  <si>
    <t>Estación con actividades de tiro al blanco, dardos con bombas, puntería con aro por día.</t>
  </si>
  <si>
    <t>SERVICIO DE PHOTOBOOTH</t>
  </si>
  <si>
    <t xml:space="preserve">Estación con cámara, impresora y cabina de photobooth con backing del evento de al menos 2x2 mtrs con capacidad para 200 fotografías por estación. </t>
  </si>
  <si>
    <t>SERVICIO ESTACIÓN DE ARTE</t>
  </si>
  <si>
    <t>Taller de arte: pintucaritas con diseños y pinceles, globoflexia, plastilina, pintura en caballete doble *20, incluidas pinturas y siluetas para pintar por día.</t>
  </si>
  <si>
    <t xml:space="preserve">SERVICIO MATCH DE AVENTURA NIÑOS Y NIÑAS 0 A 3 AÑOS </t>
  </si>
  <si>
    <t xml:space="preserve">Pista de obstáculos gimnasio polimotor 36 piezas, con bases de colchonetas en espuma por día </t>
  </si>
  <si>
    <t xml:space="preserve">SERVICIO ESTACIÓN JUEGOS TRADICIONALES </t>
  </si>
  <si>
    <t xml:space="preserve">Estación con juegos Tradicionales: cucunuba, Bolirana infantil, golosa, trompo por día. </t>
  </si>
  <si>
    <t>SERVICIO ESTACIÓN DESTREZA NIÑOS Y NIÑAS 0 A 3 AÑOS</t>
  </si>
  <si>
    <t xml:space="preserve">Rompecabezas tipo tapete con fichas grandes 45*45 cm. 100 fichas por estación por día </t>
  </si>
  <si>
    <t>SERVICIO ESTACIÓN DE VIDEO JUEGOS</t>
  </si>
  <si>
    <t xml:space="preserve">Juegos lúdicos de video: Estación con 25 (consolas de videojuegos y televisores) con dos controles por consola, incluye instalación y oferta de juegos de video (5*consola) por día, debe incluir acometida eléctrica y conexiones necesarias de internet. </t>
  </si>
  <si>
    <t>SERVICIO MATCH DE AVENTURA NIÑOS Y NIÑAS DE 4 A 9 AÑOS</t>
  </si>
  <si>
    <t xml:space="preserve">Estación con juegos de encostalados, equilibrio y secuencias dejando huella, por día. </t>
  </si>
  <si>
    <t>SERVICIO MATCH AVENTURA NIÑOS Y NIÑAS DE 10 A 14 AÑOS</t>
  </si>
  <si>
    <t xml:space="preserve">Match de aventura: circuito de obstáculos que incluya escalada, equilibrio, fuerza. Incluye montaje y desmontaje. Por día. </t>
  </si>
  <si>
    <t>SERVICIO DE PROYECCIONES FILMICAS PARA NIÑOS Y NIÑAS</t>
  </si>
  <si>
    <t xml:space="preserve">Espacio apropiado para proyección de una película de cine infantil, por día, el cual deberá incluir la entrega de crispetas (saladas y dulces), con su respectivo empaque para las y los niños que asistirán a la jornada y que genere la experiencia de ir al cine. Película del momento, deberá incluir al menos 10 puff de colores. </t>
  </si>
  <si>
    <t xml:space="preserve">SUMINISTRO DE PLACA CONMEMORATIVA </t>
  </si>
  <si>
    <t>Placa de reconocimiento con base en madera grabada en lámina de acero Inoxidable, impresa con mensaje, logos e información varias, fecha y el lugar/ Medidas 15x20 cm.</t>
  </si>
  <si>
    <t>SUMINISTRO TROFEO TIPO 1</t>
  </si>
  <si>
    <t xml:space="preserve">Trofeo dé premiación para eventos deportivos, Metálico Acero Inoxidable color dorado o plateado, con marcación personalizada, empaque celofán y cinta/ Medidas de 35 cm de altura  </t>
  </si>
  <si>
    <t>SUMINISTRO TROFEO TIPO 2</t>
  </si>
  <si>
    <t xml:space="preserve"> Trofeo dé premiación para eventos deportivos, metálico Acero Inoxidable color dorado o plateado, con marcación personalizada, empaque celofán y cinta/Medidas de 58 cm de altura</t>
  </si>
  <si>
    <t>SUMINISTRO TROFEO TIPO 3</t>
  </si>
  <si>
    <t>Trofeo de premiación para eventos deportivos, Metálico Acero Inoxidable color dorado o plateado, con marcación personalizada, empaque celofán y cinta/Medidas de 64 CM de altura.</t>
  </si>
  <si>
    <t>SUMINISTRO DE TROFEO TIPO 5</t>
  </si>
  <si>
    <t>Pechera tricolor, 30x30 cm, logos personalizados y textos.</t>
  </si>
  <si>
    <t>SUMINISTRO CINTAS CONCURSOS TIPO 1</t>
  </si>
  <si>
    <t>Cinta colgante estampada con logo personalizado a una tinta y tapa acrílica o botón plastificado con logotipo medidas 12 cm X 42 cm</t>
  </si>
  <si>
    <t>SUMINISTRO ESTANDARTES CONCURSOS TIPO 1</t>
  </si>
  <si>
    <t>Estandarte de colores según necesidad con logotipo personalizado y texto, de 22 cm de ancho por 30 cm de largo con flecos en los bordes</t>
  </si>
  <si>
    <t>SUMINISTRO MEDALLA</t>
  </si>
  <si>
    <t>Medalla de premiación, redonda, metálica inoxidable con cinta uní Color y marcación incluida, Medida de 5,5 cm de alto y 5 cm ancho. Paquete x 10 Unidades</t>
  </si>
  <si>
    <t>SUMINISTRO DE BONO DE RECONOCIMIENTO O PREMIACION TIPO 1</t>
  </si>
  <si>
    <t>Bonos almacen de cadena canjeables por monto de $10.000</t>
  </si>
  <si>
    <t xml:space="preserve">SUMINISTRO DE BONO DE RECONOCIMIENTO O PREMIACION TIPO 2
</t>
  </si>
  <si>
    <t>Bonos almacen de cadena canjeables por monto de 20.000</t>
  </si>
  <si>
    <t>SUMINISTRO DE BONO DE RECONOCIMIENTO O PREMIACION TIPO 3</t>
  </si>
  <si>
    <t>Bonos almacen de cadena canjeables por monto de $30.000</t>
  </si>
  <si>
    <t>SUMINISTRO DE BONO DE RECONOCIMIENTO O PREMIACION TIPO 4</t>
  </si>
  <si>
    <t>Bonos almacen de cadena canjeables por monto de $50.000</t>
  </si>
  <si>
    <t>SUMINISTRO DE BONO DE RECONOCIMIENTO O PREMIACION TIPO 5</t>
  </si>
  <si>
    <t>Bonos almacen de cadena canjeables por monto de $100.000</t>
  </si>
  <si>
    <t>SUMINISTRO DE BONO DE RECONOCIMIENTO O PREMIACION TIPO 6</t>
  </si>
  <si>
    <t>Bonos almacen de cadena canjeables por monto de $150.000</t>
  </si>
  <si>
    <t>SUMINISTRO DE BONO DE RECONOCIMIENTO O PREMIACION TIPO 7</t>
  </si>
  <si>
    <t>Bonos almacen de cadena canjeables por monto de $200.000</t>
  </si>
  <si>
    <t>SUMINISTRO DE BONO DE RECONOCIMIENTO O PREMIACION TIPO 8</t>
  </si>
  <si>
    <t>Bonos almacen de cadena canjeables por monto de $250.000</t>
  </si>
  <si>
    <t>SUMINISTRO DE BONO DE RECONOCIMIENTO O PREMIACION TIPO 9</t>
  </si>
  <si>
    <t>SUMINISTRO DE BONO DE RECONOCIMIENTO O PREMIACION TIPO 10</t>
  </si>
  <si>
    <t>Bonos almacen de cadena canjeables por monto de $300.000</t>
  </si>
  <si>
    <t>SUMINISTRO DE BONO DE RECONOCIMIENTO O PREMIACION TIPO 11</t>
  </si>
  <si>
    <t>Bonos almacen de cadena canjeables por monto de $350.000</t>
  </si>
  <si>
    <t>SUMINISTRO DE BONO DE RECONOCIMIENTO O PREMIACION TIPO 12</t>
  </si>
  <si>
    <t>Bonos almacen de cadena canjeables por monto de $400.000</t>
  </si>
  <si>
    <t>SUMINISTRO DE BONO DE RECONOCIMIENTO O PREMIACION TIPO 13</t>
  </si>
  <si>
    <t>Bonos almacen de cadena canjeables por monto de $450.000</t>
  </si>
  <si>
    <t>SUMINISTRO DE BONO DE RECONOCIMIENTO O PREMIACION TIPO 14</t>
  </si>
  <si>
    <t>Bonos almacen de cadena canjeables por monto de $500.000</t>
  </si>
  <si>
    <t>SERVICIO DE TRANSPORTE ELEMENTOS DENTRO DE BOGOTÁ</t>
  </si>
  <si>
    <t>Camión de estacas capacidad de hasta 5 toneladas que cumpla condiciones técnico mecánica vigente. (Ida y vuelta) RUTA 1: DENTRO DE BOGOTA</t>
  </si>
  <si>
    <t>SERVICIO DE ADECUACIONES DE ESPACIOS PARA PARQUEADERO</t>
  </si>
  <si>
    <t>Adecuaciones y/o alquileres de espacios necesarios para parqueadero de los eventos donde sea necesario.</t>
  </si>
  <si>
    <t>PLAN DE CONTINGENCIA TIPO 1</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</si>
  <si>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Baja complejidad</t>
  </si>
  <si>
    <t>PLAN DE CONTINGENCIA TIPO 2</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</si>
  <si>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Complejidad media</t>
  </si>
  <si>
    <t>PLAN DE CONTINGENCIA TIPO 3</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</si>
  <si>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Alta complejidad</t>
  </si>
  <si>
    <t xml:space="preserve">SERVICIO DE AMBULANCIA T.A.M </t>
  </si>
  <si>
    <t xml:space="preserve">Alquiler de ambulancia T.A.M de apoyo para atención ante emergencia por mínimo 12 horas. 
Nota: pueden necesitarse mas de un periodo de servicio de ambulancia según los tipos de eventos. </t>
  </si>
  <si>
    <t xml:space="preserve">SERVICIO DE BOTIQUÍN Y CAMILLA </t>
  </si>
  <si>
    <t>Contenido del botiquín:
Gasas limpias
Esparadrapo de tela rollo de 4''
Bajalenguas
Guantes de látex para examen
Venda elástica 2X5, 3X5 y 5X5 yardas
Venda de algodón 3X5 yardas
Yodopovidona espumosa
Solución salina 500 ml
Termómetro digital
Alcohol antiséptico 275 ml
Camilla tipo nido Spencer Shell</t>
  </si>
  <si>
    <t>SERVICIO DE ALQUILER DE EXTINTORES ABC GRANDES 150 LB</t>
  </si>
  <si>
    <t>Alquiler de extintores ABC 150 LB</t>
  </si>
  <si>
    <t>SERVICIO DE ALQUILER DE EXTINTORES ABC DE 20 LIBRAS</t>
  </si>
  <si>
    <t>Alquiler de extintores ABC 20 LB</t>
  </si>
  <si>
    <t>SERVICIO DE PREPARACIÓN SEGURIDAD DEL EVENTO</t>
  </si>
  <si>
    <t xml:space="preserve">Evaluación previa del evento para determinar complejidad y revisión de disposiciones de seguridad para la realización de este. </t>
  </si>
  <si>
    <t>PLAN DE MANEJO DE RESIDUOS, RESIDUOS SANITARIOS Y SERVICIOS DE ASEO</t>
  </si>
  <si>
    <t>El contratista deberá realizar un documento que describe previamente el plan de manejo de residuos y residuos sanitarios para cada evento y deberá determinar los elementos necesarios en dicho plan, dicho plan podrá contener alguno o los siguientes elementos según la necesidad del tipo de evento DESCRITO en anexo técnico</t>
  </si>
  <si>
    <t xml:space="preserve">SERVICIO DE BAÑOS PORTÁTILES </t>
  </si>
  <si>
    <t>Baño portátil para hombres. Baño portátil para mujeres. Especificaciones: Bomba re circulatoria.
Tanque de depósito de 80 galones. Asiento de inodoro de forma alargada. Paredes de alta durabilidad con paneles de alta limpieza. Rejillas para ventilación. Spring de doble torsión. Bases con bajillas plásticas para la eliminación de desechos. Manija y cierre de puertas de fácil manejo. Dotada con : Rollos de papel higiénico (170 metros por baño). Jabón líquido para manos. Paquete de toallas de manos desechables (150 unidades). Químico biodegradable. Bolsa de basura. Servicios incluidos: Instalación y desmontaje, Limpieza y desinfección permanente, Servicio de limpieza y recarga de suministros, Descarga y disposición de residuos durante el evento y Transporte de ida y regreso en el lugar donde se requiere. Servicio por día</t>
  </si>
  <si>
    <t xml:space="preserve">SERVICIO DE LAVAMANOS PORTÁTIL </t>
  </si>
  <si>
    <t>Acero inoxidable con bomba hidráulica. Jabón y toallas de manos en papel. Capacidad de tanque de agua limpia: 20 litros. Capacidad de tanque de desagüe: 20 litros.  Capacidad de uso: 250 lavadas por día. Servicios incluidos: Servicio de limpieza. Montaje y desmontaje. Recolección, transporte y disposición final de residuos. Instalación en el punto indicado. Servicios generales de aseo 	Personal: Logísticos de servicios generales para el aseo durante y después del evento. Servicio por dia</t>
  </si>
  <si>
    <t>SERVICIO DE RECOLECCIÓN Y SEPARACIÓN DE RESIDUOS COMPLEJIDAD BAJA</t>
  </si>
  <si>
    <t xml:space="preserve">Recolección, separación y disposición final de basuras.
Separación de residuos en zona de baño para hombres y zona de baño para mujeres.
Uso de bolsas de basura biodegradables para el manejo de desechos en área del centro poblado donde se realiza el evento. </t>
  </si>
  <si>
    <t>Día</t>
  </si>
  <si>
    <t>SERVICIO DE RECOLECCIÓN Y SEPARACIÓN DE RESIDUOS COMPLEJIDAD ALTA</t>
  </si>
  <si>
    <t>Recolección, separación y disposición final de basuras.
Separación de residuos en zona de baño para hombres y zona de baño para mujeres.
Uso de bolsas de basura biodegradables para el manejo de desechos en área del centro poblado donde se realiza el evento</t>
  </si>
  <si>
    <t>SUMINISTRO DE KIT DE SEGURIDAD Y SEÑALIZACIÓN</t>
  </si>
  <si>
    <t>1 placa de señalización informativa para el evento: Área de registro, entrega de refrigerios, entrega de almuerzos, entrega de hidratación, punto de emergencia, puntos de información. Filas Alimentos y bebidas. Baños. Escenarios. Salidas (regulares y de emergencia). Advertencias de seguridad y sanitarias este kit contiene al menos 5 placas de señalización.</t>
  </si>
  <si>
    <t>SUMINISTRO DE NOMBRES PARA PARTIPANTES DE EVENTOS</t>
  </si>
  <si>
    <t xml:space="preserve">Membretes para colocación de nombres de participantes de eventos con logo de alcaldía, nombre de la persona, cargo, entidad o grupo social o grupo base participante o en representación, plastificado e impreso a full color. </t>
  </si>
  <si>
    <t>SERVICIO DE ARMADO DE TARIMA PARA EVENTOS</t>
  </si>
  <si>
    <t>Servicio para armar y desarmar las tarimas que son del FDSR en caso de ser requerido por día.</t>
  </si>
  <si>
    <t>SERVICIO DE OPERACIÓN DE SONIDO PROFESIONAL</t>
  </si>
  <si>
    <t xml:space="preserve">Servicio de operador de sonido line array profesional por día. </t>
  </si>
  <si>
    <t>SERVICIO DE INSTALACIONES ELECTRICAS O HIDRAULICAS CERTIFICADAS PARA LOS EVENTOS.</t>
  </si>
  <si>
    <t xml:space="preserve">Servicio de instalación de elementos eléctricos necesarios para los eventos, o adecuaciones hidráulicas que permitan la gestión del evento. </t>
  </si>
  <si>
    <t>Resma de papel</t>
  </si>
  <si>
    <t>Tamaño Carta 21.6 x 27.9 cm x 500 hojas</t>
  </si>
  <si>
    <t>Resma de papel </t>
  </si>
  <si>
    <t>Tamaño Oficio 21.6 x 33cm x 500 Hojas.</t>
  </si>
  <si>
    <t>Hojas de papel</t>
  </si>
  <si>
    <t>Papel periódico 70 x 100cm</t>
  </si>
  <si>
    <t>Marcadores</t>
  </si>
  <si>
    <t>Marcadores permanentes de colores de 10 unidades, colores surtidos</t>
  </si>
  <si>
    <t>Post it</t>
  </si>
  <si>
    <t>Notas Adhesivas PAQUETE 12 UNIDADES/TACOX100, Medidas 76 X 76 mm, 100 Hojas En Diferentes Colores</t>
  </si>
  <si>
    <t>Fichas bibliográficas</t>
  </si>
  <si>
    <t>Paquete por 50 unidades, rayada de 10 x 14 cm de diferentes colores</t>
  </si>
  <si>
    <t>Esferos</t>
  </si>
  <si>
    <t>Lapiceros tinta negra. Caja de 12 unidades</t>
  </si>
  <si>
    <t>Lápiz</t>
  </si>
  <si>
    <t>mina número 2. Caja por 12 unidades</t>
  </si>
  <si>
    <t>Pintura para el rostro</t>
  </si>
  <si>
    <t xml:space="preserve"> Kit Pintu-Caritas Maquillaje Pinta Caritas Paint Face. Contiene: (3) tres colores</t>
  </si>
  <si>
    <t>Libro de cuentos y colorear didáctico</t>
  </si>
  <si>
    <t>Tamaño 21,6 x 27,9 cm de 10 hojas (20 páginas)</t>
  </si>
  <si>
    <t>Colores</t>
  </si>
  <si>
    <t>Caja X12 lápices redondos 4mm</t>
  </si>
  <si>
    <t>Crayones</t>
  </si>
  <si>
    <t>Caja X 12 lápices de colores de cera no toxico.</t>
  </si>
  <si>
    <t>Stickers </t>
  </si>
  <si>
    <t>Etiquetas de papel semiglos de 6x3 cm. Adhesivo resistente que permite aplicar sobre diversas superficies.</t>
  </si>
  <si>
    <t>Cinta adhesiva trans- Parente</t>
  </si>
  <si>
    <t>Rollo con respaldo en acetato y adhesivo sintético, invisible, 12mm * 40mm</t>
  </si>
  <si>
    <t>Cuadernillo</t>
  </si>
  <si>
    <t>Tamaño: 14 cm x 21,5 cm; b) Material: portada - Papel ecológico blanco 150 gramos u otro de referencia semejante; interno: Papel ecológico blanco 60 gramos u otro de referencia semejante, con al menos 5 hojas con 10 páginas c) Policromía; d) Sin plastificar.</t>
  </si>
  <si>
    <t>CD</t>
  </si>
  <si>
    <t>120 mm (diámetro) con una duración de 74-80 minutos de audio y 650-700MB de datos.</t>
  </si>
  <si>
    <t>CARNÉ</t>
  </si>
  <si>
    <t>Carné plástico full color (diseño según lo solicitado por la Alcaldía Local de Engativá)  </t>
  </si>
  <si>
    <t>Formularios preinscripción</t>
  </si>
  <si>
    <t>Formularios de inscripción, impresos a doble cara en papel bond tamaño carta 21.6 x 27.9 cm a blanco y negro</t>
  </si>
  <si>
    <t>Formularios de inscripción en lenguaje braille </t>
  </si>
  <si>
    <t>Formularios de inscripción en lenguaje braille, en papel bond tamaño carta 21.6 x 27.9 cm a blanco y negro (2 páginas)</t>
  </si>
  <si>
    <t>Formato paralelo de inscripción</t>
  </si>
  <si>
    <t>Formatos de preguntas, impresos a doble cara en papel bond tamaño carta 21.6 x 27.9 cm a blanco y negro</t>
  </si>
  <si>
    <t>SONIDO Y VIDEO (ALQUILER)</t>
  </si>
  <si>
    <t>Alquiler de sistema de sonido estéreo con potencia a público de 20.000 w RMS, 110 dB SPL a 30m y un relevo estéreo. Sistema de sonido para monitoreo con potencia de 5.000 w RMS que incluye 4 Floor Speakers y 2 Side Fills. Consola digital de 32 canales, Set de micrófonos dinámicos y/o de condensador con bases y cajas directas de acuerdo a la necesidad, 5 micrófonos inalámbricos para voces, Set de 8 micrófonos para batería o percusión. El Servicio incluye transporte ida y vuelta, montaje, operación y desmontaje.</t>
  </si>
  <si>
    <t>Cabina de sonido activa 15 pulgadas; 6000watts; Bluetooth radio control usb; Entrada de auxiliar; Entrada para micrófono; Efecto eco micrófono; Salida para cabina pasiva; Base</t>
  </si>
  <si>
    <t>Pasacable de tres canales: Protector de cables de 3 canales diseñado con tapa abisagrada, evita que se dañen cables eléctricos y mangueras, al tiempo que provee un cruce seguro para tránsito vehicular y peatonal. Resistente a ácidos, aceites y gasolina. Largo: 90cm; Ancho: 40cm; Altura: 5cm; Ancho canal: 4cm; Altura canal: 3cm</t>
  </si>
  <si>
    <t>Telepronter de espejo, telepronter transparente de un espejo, con operario. Especificaciones: sistema pronther completo, pc y software, trípode para espejo, espejo, monitor de video, cables de conexión</t>
  </si>
  <si>
    <t>Caja de prensa de 1 a 8 canales</t>
  </si>
  <si>
    <t>Caja de prensa de 8 a 16 canales</t>
  </si>
  <si>
    <t>Caja de prensa de 17 a 24 canales</t>
  </si>
  <si>
    <t>Amplificador Orange Crush 20RT Transistor para Gutarra y teclado</t>
  </si>
  <si>
    <t>Sistema inalámbrico de monitoreo IN EAR de gama profesional</t>
  </si>
  <si>
    <t>Micrófono inalámbrico</t>
  </si>
  <si>
    <t>Micrófono alámbrico</t>
  </si>
  <si>
    <t>Micrófono de condensador</t>
  </si>
  <si>
    <t>Micrófono de cabeza de boom</t>
  </si>
  <si>
    <t>Micrófono inalámbrico de solapa o diadema</t>
  </si>
  <si>
    <t>Microfonos inalambricos,con soportes, solución profesional para cantantes, presentaciones en vivo o locución en cabina.
Que puedan conectarse para el sonido en sitio y streaming</t>
  </si>
  <si>
    <t>Bases para micrófono (PIAÑAS)</t>
  </si>
  <si>
    <t>Preproducción, producción y postproducción de pieza audiovisual en Full HD de 2 minutos de duración. Incluye guion.  Producto final subtitulado y en formato para diferentes plataformas (.mov .mp4) desarrollando las temáticas indicadas por el FLDE. Las piezas deben responder a los lineamientos de identidad institucional del Distrito.</t>
  </si>
  <si>
    <t>Global</t>
  </si>
  <si>
    <t>Equipo de grabación y trasmisión en vivo, con streaming y proyección a pantalla led. Incluye operador, transporte ida y vuelta, montaje, operación y desmontaje.</t>
  </si>
  <si>
    <t>PISA CABLE (ALQUILER)</t>
  </si>
  <si>
    <t>Alquiler pisa cable</t>
  </si>
  <si>
    <t xml:space="preserve">Metro </t>
  </si>
  <si>
    <t>LUCES (ALQUILER)</t>
  </si>
  <si>
    <t>Alquiler de Iluminación 32 Par Led, 8 Luces Robóticas 1200, Cámara De Humo, DMX control. Incluye operador, transporte ida y vuelta, montaje, operación y desmontaje.</t>
  </si>
  <si>
    <t>BACKLINE (ALQUILER)</t>
  </si>
  <si>
    <t>Alquiler Batería 5 Piezas, 2 Amplificadores De Guitarra Cabina Cabezote 100 Watts, Cabina 4*, 12.1 amplificador bajo cabina, cabezote de 8x10, 1 amplificador de teclado</t>
  </si>
  <si>
    <t>PLANTA ELÉCTRICA</t>
  </si>
  <si>
    <t>OPCIÓN 1. Alquiler de planta eléctrica de 100 kva. Incluye operador, transporte ida y vuelta, montaje, operación y desmontaje.</t>
  </si>
  <si>
    <t>OPCIÓN 2. Alquiler de planta eléctrica de 50 kva. Incluye operador, transporte ida y vuelta, montaje, operación y desmontaje.</t>
  </si>
  <si>
    <t>COMPUTADOR PORTATIL (ALQUILER)</t>
  </si>
  <si>
    <t>Alquiler de computador portátil. Incluye transporte, montaje y desmontaje.</t>
  </si>
  <si>
    <t>Hora</t>
  </si>
  <si>
    <t>CARPAS / MONTAJES (Incluye transporte ida y vuelta, montaje y desmontaje.)</t>
  </si>
  <si>
    <t>Alquiler Carpa tipo toldo armable de 2x2 mts para punto de inscripción</t>
  </si>
  <si>
    <t>Alquiler Portabanderas y pabellones</t>
  </si>
  <si>
    <t>Alquiler Soportes para Carpa</t>
  </si>
  <si>
    <t>SEPARADOR DE FILA (ALQUILER)</t>
  </si>
  <si>
    <t>2 separadores de fila cromados con cinta retráctil:
-Poste cromado.
-Cinta retráctil elaborada en Nylon de 5cm de ancho.
-Longitud de la cinta: 1.30 metros.
-Colores de cinta disponible: Negro, rojo, amarillo, azul rey, azul oscuro, verde oliva, gris y café.
-Base plana peso de 8 kg aproximadamente.</t>
  </si>
  <si>
    <t>VALLAS</t>
  </si>
  <si>
    <t>Alquiler valla de seguridad de 2,50 mts de largo x 1,20 mts de alto. Peso aproximado de 20 km con sistema de patas Individuales, fijadas mediante tornillos a marco perimetral. Peso aproximado de cada pata 5 Kg. Debe contar con sistema de enganches Doble, mediante perno largo vertical y planchuela. Incluye transporte ida y vuelta, montaje y desmontaje.</t>
  </si>
  <si>
    <t>Alquiler metro de muro de seguridad: en hierro galvanizado estructural de 3mm, de 1,22 X 1,22 mts y un peso aproximado 67 kg con configuración estructural en L y parales posteriores de contención unidos por tornillos de ¾”, con la posibilidad de adaptarse a cualquier tipo de escenario o requerimiento por medio de tableros</t>
  </si>
  <si>
    <t>SEÑALIZACION</t>
  </si>
  <si>
    <t>Alquiler Señalización (entrada, salida de emergencia, PMU, punto de encuentro, punto de información, punto de personas desaparecidas, zona de bienestar, baños, camerinos, sala juntas, señales de tránsito (PARE, DESVIO), maletines, conos de 50 cm, colombinas, pasacalles) (por día)</t>
  </si>
  <si>
    <t>PUNTO DE REGISTRO</t>
  </si>
  <si>
    <t>Punto de Registro Manual: incluye personal, manejo, administración, cuidado y entrega de los documentos de registro, puesto de trabajo (mesa y silla), material (esfero, resaltador) por día. Para 120 personas</t>
  </si>
  <si>
    <t>Puntos de Registro Sistematizado: incluye personal, administración, depuración, sistematización, custodia y entrega de la base datos, puesto de trabajo (mesa, computador, impresora y silla), equipos (lector de código de barras) por día. Para 120 personas</t>
  </si>
  <si>
    <t>Puntos de Registro Digital: incluye personal, administración, depuración, sistematización, custodia y entrega de la base datos, puesto de trabajo (mesa, computador, impresora y silla), equipos (lector de huella digital) por día. Para 150 personas</t>
  </si>
  <si>
    <t>SILLAS </t>
  </si>
  <si>
    <t>Alquiler Material: Polipropileno (Plástico) y madera
Medida: alto 81 cm / ancho 50cm / profundidad 46cm 
Color: Blanco para panelistas</t>
  </si>
  <si>
    <t>Alquiler Puff de Heno</t>
  </si>
  <si>
    <t>Alquiler Puff de Cuero</t>
  </si>
  <si>
    <t>SALA LOUNGE (Incluye transporte ida y vuelta, montaje y desmontaje.)</t>
  </si>
  <si>
    <t>Alquiler Sala Lounge para 4 personas por día</t>
  </si>
  <si>
    <t>Alquiler Sala Lounge para 6 personas por día</t>
  </si>
  <si>
    <t>Alquiler Sala Lounge para 8 personas por día</t>
  </si>
  <si>
    <t>PISOS (Incluye transporte ida y vuelta, montaje y desmontaje.)</t>
  </si>
  <si>
    <t>Alquiler Piso laminado (por día) (metro cuadrado)</t>
  </si>
  <si>
    <t>Metrocuadrado</t>
  </si>
  <si>
    <t>Alquiler Piso Multiproposito, modular, portátil.</t>
  </si>
  <si>
    <t>Alquiler Charolina (por día) (metro cuadrado)</t>
  </si>
  <si>
    <t>PUESTO PRIMEROS AUXILIOS (Incluye transporte ida y vuelta, montaje y desmontaje.)</t>
  </si>
  <si>
    <t>Alquiler de Carpa de Primeros Auxilios, con 2 enfermeras, 2 brigadistas con los insumos correspondientes (Alquiler por hora)</t>
  </si>
  <si>
    <t>PLAN SUGA</t>
  </si>
  <si>
    <t>Evento baja complejidad: Elaborar, realizar el registro, dar aplicación y hacer seguimiento al plan de contingencia en el SUGA, Según normatividad vigente.</t>
  </si>
  <si>
    <t>Evento media complejidad: Elaborar, realizar el registro, dar aplicación y hacer seguimiento al plan de contingencia en el SUGA, Según normatividad vigente.</t>
  </si>
  <si>
    <t>Evento alta complejidad: Elaborar, realizar el registro, dar aplicación y hacer seguimiento al plan de contingencia en el SUGA, Según normatividad vigente.</t>
  </si>
  <si>
    <t>PLANIMETRÍA</t>
  </si>
  <si>
    <t>Elaborar la planimetría del parque o escenario deportivo y recreativo con sus equipamientos, parqueaderos, ingresos, salidas, puesto de comidas, baños, zonas verdes, zona administración, seguridad, primeros auxilios, áreas comunes, y demás características.</t>
  </si>
  <si>
    <t>SAYCO (Espectaculos públicos)</t>
  </si>
  <si>
    <t>Eventos sin cobro de entrada, por la asistencia de hasta 250 personas o fracción</t>
  </si>
  <si>
    <t>Eventos sin cobro de entrada, por la asistencia de 251 a 500 personas o fracción</t>
  </si>
  <si>
    <t>Eventos sin cobro de entrada, por la asistencia 501 a 1.000 personas o fracción</t>
  </si>
  <si>
    <t>Eventos sin cobro de entrada, por la asistencia de 1.001 a 10.000 personas o fracción</t>
  </si>
  <si>
    <t>Pólizas</t>
  </si>
  <si>
    <t>Pólizas para  utilizacion de espacios conforme se requiera eventos de baja, media o alta complejidad.</t>
  </si>
  <si>
    <t xml:space="preserve">Global </t>
  </si>
  <si>
    <t>ACIMPRO</t>
  </si>
  <si>
    <t>Eventos o espectáculos en los que concurre la música fonograbada (obras musicales fijadas en fonograma) y las ejecuciones en vivo: HASTA 250</t>
  </si>
  <si>
    <t>Eventos o espectáculos en los que concurre la música fonograbada (obras musicales fijadas en fonograma) y las ejecuciones en vivo: DE 251 A 500</t>
  </si>
  <si>
    <t>Eventos o espectáculos en los que concurre la música fonograbada (obras musicales fijadas en fonograma) y las ejecuciones en vivo: DE 501 A 1.000</t>
  </si>
  <si>
    <t>Eventos o espectáculos en los que concurre la música fonograbada (obras musicales fijadas en fonograma) y las ejecuciones en vivo: DE 1.001 A 10.000</t>
  </si>
  <si>
    <t xml:space="preserve">AMBULANCIA </t>
  </si>
  <si>
    <t>Servicio ambulancia básica con su respectiva tripulación (auxiliar de enfermería y conductor) (Alquiler por hora)</t>
  </si>
  <si>
    <t>PRIMEROS AUXILIOS</t>
  </si>
  <si>
    <t>Servicio de primeros auxilios, médicos, auxiliares, módulos de estabilización, certificados por la Secretaría de Salud.</t>
  </si>
  <si>
    <t>ALQUILER LOCACIÓN</t>
  </si>
  <si>
    <t>Alquiler Espacios Capacidad Máxima 30 Personas 4 horas</t>
  </si>
  <si>
    <t>Alquiler Espacios Capacidad Máxima 30 Personas 6 horas</t>
  </si>
  <si>
    <t xml:space="preserve">Alquiler Espacios Capacidad Máxima 30 Personas 8 horas </t>
  </si>
  <si>
    <t xml:space="preserve">Alquiler Espacios Capacidad Máxima 50 Personas 4 horas </t>
  </si>
  <si>
    <t xml:space="preserve">Alquiler Espacios Capacidad Máxima 50 Personas 6 horas </t>
  </si>
  <si>
    <t xml:space="preserve">Alquiler Espacios Capacidad Máxima 50 Personas 8 horas </t>
  </si>
  <si>
    <t>Alquiler Espacios Capacidad Máxima 60 Personas 4 horas</t>
  </si>
  <si>
    <t>Alquiler Espacios Capacidad Máxima 60 Personas 6 horas</t>
  </si>
  <si>
    <t>Alquiler Espacios Capacidad Máxima 60 Personas 8 horas</t>
  </si>
  <si>
    <t>Alquiler Espacios Capacidad Máxima 80 Personas 4 horas</t>
  </si>
  <si>
    <t>Alquiler Espacios Capacidad Máxima 80 Personas 6 horas</t>
  </si>
  <si>
    <t>Alquiler Espacios Capacidad Máxima 80 Personas 8 horas</t>
  </si>
  <si>
    <t>Alquiler Espacios Capacidad Máxima 100 Personas 4 horas</t>
  </si>
  <si>
    <t>Alquiler Espacios Capacidad Máxima 100 Personas 6 horas</t>
  </si>
  <si>
    <t>Alquiler Espacios Capacidad Máxima 100 Personas 8 horas</t>
  </si>
  <si>
    <t>Alquiler Espacios Capacidad Máxima 120 Personas 4 horas</t>
  </si>
  <si>
    <t>Alquiler Espacios Capacidad Máxima 120 Personas 6 horas</t>
  </si>
  <si>
    <t>Alquiler Espacios Capacidad Máxima 120 Personas 8 horas</t>
  </si>
  <si>
    <t>Alquiler Espacios Capacidad Máxima 150 Personas 4 horas</t>
  </si>
  <si>
    <t>Alquiler Espacios Capacidad Máxima 150 Personas 6 horas</t>
  </si>
  <si>
    <t>Alquiler Espacios Capacidad Máxima 150 Personas 8 horas</t>
  </si>
  <si>
    <t>Alquiler Espacios Capacidad Máxima 200 Personas 4 horas</t>
  </si>
  <si>
    <t>Alquiler Espacios Capacidad Máxima 200 Personas 6 horas</t>
  </si>
  <si>
    <t>Alquiler Espacios Capacidad Máxima 200 Personas 8 horas</t>
  </si>
  <si>
    <t>Alquiler Espacios Capacidad Máxima 300 Personas 4 horas</t>
  </si>
  <si>
    <t>Alquiler Espacios Capacidad Máxima 300 Personas 6 horas</t>
  </si>
  <si>
    <t>Alquiler Espacios Capacidad Máxima 300 Personas 8 horas</t>
  </si>
  <si>
    <t>Alquiler Espacios Capacidad Máxima 500 Personas 4 horas</t>
  </si>
  <si>
    <t>Alquiler Espacios Capacidad Máxima 500 Personas 6 horas</t>
  </si>
  <si>
    <t>Alquiler Espacios Capacidad Máxima 500 Personas 8 horas</t>
  </si>
  <si>
    <t>Alquiler Espacios de más de 501 a 1000 Personas 4 horas</t>
  </si>
  <si>
    <t>Alquiler Espacios de más de 501 a 1000 Personas 6 horas</t>
  </si>
  <si>
    <t>Alquiler Espacios de más de 501 a 1000 Personas 8 horas</t>
  </si>
  <si>
    <t>Alquiler Espacios de más de 1001 a 2000 Personas 4 horas</t>
  </si>
  <si>
    <t>Alquiler Espacios de más de 1001 a 2000 Personas 6 horas</t>
  </si>
  <si>
    <t>Alquiler Espacios de más de 1001 a 2000 Personas 8 horas</t>
  </si>
  <si>
    <t>Alquiler Espacios de más de 2001 a 3000 Personas 4 horas</t>
  </si>
  <si>
    <t>Alquiler Espacios de más de 2001 a 3000 Personas 6 horas</t>
  </si>
  <si>
    <t>Alquiler Espacios de más de 2001 a 3000 Personas 8 horas</t>
  </si>
  <si>
    <t>MESAS (ALQUILER)</t>
  </si>
  <si>
    <t>Mesa plástica cuadrada para 4 personas</t>
  </si>
  <si>
    <t>Mesa plástica cuadrada para 8 Personas</t>
  </si>
  <si>
    <t>Mesa plástica redonda estándar</t>
  </si>
  <si>
    <t>Mesa para eventos redonda 1.20 mts</t>
  </si>
  <si>
    <t>Mesa para eventos redonda 1.50 mts</t>
  </si>
  <si>
    <t>Mesa para eventos cuadrada 8 Personas</t>
  </si>
  <si>
    <t>Mesas para eventos cuadrada 10 Personas</t>
  </si>
  <si>
    <t>Mesón para eventos rectangular 1.80 mts</t>
  </si>
  <si>
    <t>Mesón para eventos rectangular 2.00 mts</t>
  </si>
  <si>
    <t>Mesón para eventos rectangular 2.20 mts</t>
  </si>
  <si>
    <t>Mesón para eventos rectangular 2.40 mts</t>
  </si>
  <si>
    <t>Material: Polipropileno (Plástico) y madera
Medida: alto 81 cm / ancho 50cm / profundidad 46cm 
Color: Blanco</t>
  </si>
  <si>
    <t>Mesa plástica para niños de colores (4 puestos)</t>
  </si>
  <si>
    <t>MANTELERIA (ALQUILER)</t>
  </si>
  <si>
    <t>Lencería (el muletón o la tapa para la mesa, los individuales, repasadores y servilletas)</t>
  </si>
  <si>
    <t>Mantel para tablón blanco</t>
  </si>
  <si>
    <t>Mantel Faldón 1.80 mts</t>
  </si>
  <si>
    <t>Mantel Faldón 2.00 mts</t>
  </si>
  <si>
    <t>Mantel Faldón 2.20 mts</t>
  </si>
  <si>
    <t>Mantel Faldón 2.40 mts</t>
  </si>
  <si>
    <t>Camino para Mesa de 1.80 a 2. 40 mts</t>
  </si>
  <si>
    <t>Mantel Lino 3 mts de largo x 90 de ancho</t>
  </si>
  <si>
    <t>Mantel de 80 x 80</t>
  </si>
  <si>
    <t>Mantel Redondo 60 cm diámetro</t>
  </si>
  <si>
    <t>Mantel Redondo 80 cm diámetro</t>
  </si>
  <si>
    <t>Mantel Redondo 100 cm diámetro</t>
  </si>
  <si>
    <t>Mantel Redondo 120 cm diámetro</t>
  </si>
  <si>
    <t>Mantel Redondo 140 cm diámetro</t>
  </si>
  <si>
    <t>Mantel Redondo 160 cm diámetro</t>
  </si>
  <si>
    <t>Mantel Redondo 180 cm diámetro</t>
  </si>
  <si>
    <t>Mantel Spandex 1,54 diámetro x 74 cm de alto</t>
  </si>
  <si>
    <t>Mantel Bruja Rectangular de 8 a 10 puestos</t>
  </si>
  <si>
    <t>Mantel Bruja Redondo de 8 a 10 puestos</t>
  </si>
  <si>
    <t>Tapas para Mesa 4 puestos</t>
  </si>
  <si>
    <t>Tapas para Mesa 6 puestos</t>
  </si>
  <si>
    <t>Tapas para Mesa 8 puestos</t>
  </si>
  <si>
    <t>Tapas para Mesa 10 puestos</t>
  </si>
  <si>
    <t>Mantel Royal 3.50 x 2.80</t>
  </si>
  <si>
    <t>Tapas Royal de Manteles</t>
  </si>
  <si>
    <t>Suministro (VENTA) Tapa azul institucional de 1,50 * 1,50 en tela lino flex bordado en hilo blanco con el logo aprobado por el Fondo de Desarrollo Local Engativá</t>
  </si>
  <si>
    <t>Servilletas Royal de Tela</t>
  </si>
  <si>
    <t>Individual Royal de Tela</t>
  </si>
  <si>
    <t>MENSAJERIA INSTANTANEA</t>
  </si>
  <si>
    <t>Paquete de 500 Mensajes (texto, correos electrónicos y WhatsApp)</t>
  </si>
  <si>
    <t>INTERNET </t>
  </si>
  <si>
    <t>Internet dedicado hasta 50 megas por día</t>
  </si>
  <si>
    <t>Canal dedicado (por día)</t>
  </si>
  <si>
    <t>Servicio de alquiler de streaming que incluya la plataforma que permite realizar transmisiones en vivo(Grabación y video), 4 camaras 4 k pasonic AGUX180, 4 Tripodes, 4 monitores, 1 UPS, 5 Intercom, set cableado,Softwares, computador portatil, tecnicos, operarios y camarografos,incluye montaje y desmontaje</t>
  </si>
  <si>
    <t>Modem internet wifi portátil (no dedicado, pero de alta calidad)</t>
  </si>
  <si>
    <t>EQUIPO DE BIOSEGURIDAD</t>
  </si>
  <si>
    <t>Guantes   de    latex    talla    única    empaque    individual, Tapabocas desechable 3 pliegues filtro IDPH empaque individual Alcohol        glicerinado -         Frasco de 120 ml Gel Antibacterial - Frasco de 120 ml</t>
  </si>
  <si>
    <t>PAQUETE DE LLAMADAS (CALL CENTER)</t>
  </si>
  <si>
    <t>Realización de llamadas para grupo de 200 personas.</t>
  </si>
  <si>
    <t>ANCHETAS</t>
  </si>
  <si>
    <t>Anchetas de productos variados con las siguientes unidades:
Galletas Bolsa Navidad 200 GRS - 2 unidades
Masmelos x 145 GRS - 2 unidades
Arequipe x 220 gr
Natilla x 300g
Buñuelos  x 300 grs
Ensalada de Vegetales x 300 grs
Salsa de tomate 200 grs
Maiz Tierno Lata x 245 grs
Mayonesa DP x 200 grs
Mermelada DP 200 grs - 2 unidades
Atun Lomo Aceite - 2 unidades
Mani crocante Pack x 180g
Brevas X 275 Gr
Cerezas Maraschino x 125 grs
Crema de Leche DP x 186 GRS
Chocolate instantaneo Doy Pack x 200 grs
Café  instantaneo x 50 gr
Salchicha Frankfurt Lata
Sardinas Ovalada x 425 grs
Torta envinada x 600 GRS - 2 unidades
Nectar Frutal TB x 1000 cc
Bebida achocolatada x 180 GRS
Almendras x 125 grs
Empacada en caja tipo guacal en material MDF pintada y/o marcada con logos de la entidad</t>
  </si>
  <si>
    <t>Anchetas de productos variados con las siguientes unidades:
Arroz x 3.000 gramos
Aceite De Sova x 1.000 mililitros
Granos secos (grano a elección) x 500 gramos
Panela Entera x 450 gramos
Maíz pira x 500 eramos.
Salchicha x 360 eramos
harina de maíz blanco (masa para arepa) x 500 gramos. 
Atún Lomito en aceite x 175 gramos.
Chocolate tradicional x 500 gramos. 
Duraznos en almíbar x 820 gramos. 
Ponchera plástica de 1 litro
Moño elaborado con cinta de raso doble cara. Longitud mínima del moño (Liston) 64 centímetros. 
Pliego de papel celofán con diseño decorativo para envolver ancheta</t>
  </si>
  <si>
    <t>TABLA DE QUESOS</t>
  </si>
  <si>
    <t>2 quesos de untar, 3 quesos semi maduros, jamones. Para 20 personas. Con platos loza y tenedor pequeños NO desechable </t>
  </si>
  <si>
    <t>Una tabla de quesos con al menos 3 variedades de quesos en diferentes maduraciones y embutidos como salami, jamon serrano, chorizo español, acompañado de panes, galletas, mermeladas, frutos secos, aceitunas, encurtidos y frutas frescas.</t>
  </si>
  <si>
    <t>TORTAS</t>
  </si>
  <si>
    <t>Molde de cartón con logo institucional 
Cinta de agua 
Plástico de envoltura 
Torta de 600g, elaborada con los siguientes ingredientes: harina de trigo, Mantequilla, Azúcar, Huevo, Polvo de hornear, Esencia (según elección), Ralladura de naranja, Uvas pasas, Arándanos deshidratados, Almendras troceadas, Nueces troceadas.</t>
  </si>
  <si>
    <t>cupcakes X 2 de 95gr C/u 
Harina de trigo, mantequilla, aceite neutro, azúcar, miel, huevo, polvo de hornear,esencia, ralladura de naranja.
Relleno variado entre arequipe y crema de avellanas. 
Frosting o crema ( base estabilizante, crema de leche, crema de whisky) 
Cubrecapacillo de color 
Figura en fondant ( flor ) 
Empaque de cartón</t>
  </si>
  <si>
    <t>MENAJE (ALQUILER, INCLUYE TRANSPORTE)</t>
  </si>
  <si>
    <t>Loza en Porcelana (puesto por persona que incluye: plato base, plato fuerte, plato sopa y/o consomé, vaso largo o de jugo, copa de agua, tenedor fuerte, cuchillo fuerte, tenedor o cuchara de entrada, plato postre, cuchara o tenedor para postre, cuchillo de untar, según corresponda)</t>
  </si>
  <si>
    <t>Loza en Cerámica (puesto por persona que incluye: plato base, plato fuerte, plato sopa y/o consomé, vaso largo o de jugo, copa de agua, tenedor fuerte, cuchillo fuerte, tenedor o cuchara de entrada, plato postre, cuchara o tenedor para postre, cuchillo de untar, según corresponda)</t>
  </si>
  <si>
    <t>Plato de pocillo de té y pocillo de té</t>
  </si>
  <si>
    <t>Tetera</t>
  </si>
  <si>
    <t>Mantequillero</t>
  </si>
  <si>
    <t>Cuchara café</t>
  </si>
  <si>
    <t>Pala y cuchillo para ponqué</t>
  </si>
  <si>
    <t>Trinches (Pareja)</t>
  </si>
  <si>
    <t>Plato Fruta o Bowl Fruta</t>
  </si>
  <si>
    <t>Pala Mantequilla</t>
  </si>
  <si>
    <t>Copa con fuste y forma de cono invertido</t>
  </si>
  <si>
    <t>Vaso tipo Collins</t>
  </si>
  <si>
    <t>Vajilla Artesanal para Ajiaco y Sancocho</t>
  </si>
  <si>
    <t>Bandeja metálica(tamaño 50 cms de largo x 30 cms de ancho)</t>
  </si>
  <si>
    <t>Greca con capacidad para 100 bebidas calientes de 6 onzas</t>
  </si>
  <si>
    <t>Samovares</t>
  </si>
  <si>
    <t>MENAJE BIODEGRADABLE</t>
  </si>
  <si>
    <t>Cucharas Biodegradables presentación paquete por 100 unidades</t>
  </si>
  <si>
    <t>Cuchillos Biodegradables presentación paquete por 100 unidades</t>
  </si>
  <si>
    <t>Tenedores Biodegradables presentación paquete por 100 unidades</t>
  </si>
  <si>
    <t>Platos biodegradables presentación paquete por 100 unidades</t>
  </si>
  <si>
    <t>Plato sopero biodegradable presentación paquete por 100 unidades</t>
  </si>
  <si>
    <t>Vasos biodegradables presentación paquete por 100 unidades</t>
  </si>
  <si>
    <t>Centro de mesa</t>
  </si>
  <si>
    <t>Centros de mesa de 1,50 mts (para mesa de 1,50 mts se requiere centros de mesa como flores, frutero, velas, candelabro, entre otros, que no superen el 20% de su tamaño)</t>
  </si>
  <si>
    <t>Centros de mesa de 1 mts (para mesa de 1 mts se requiere centros de mesa como flores, frutero, velas, candelabro, entre otros, que no superen el 20% de su tamaño)</t>
  </si>
  <si>
    <t>Banderines</t>
  </si>
  <si>
    <t>Banderines triangulares x 10 mts</t>
  </si>
  <si>
    <t>Globos decorativos</t>
  </si>
  <si>
    <t>Bolsa de 25 unidades Globos de látex de 28-30cm, R-12</t>
  </si>
  <si>
    <t xml:space="preserve">COORDINADOR(A) GENERAL DEL CONTRATO </t>
  </si>
  <si>
    <t>Profesional en las siguientes ramas Ciencias administrativas y/o en Ciencias sociales y/o humanas y/o económicas y/o Ciencias de la Ingeniería y/o economista y/o ciencias de la educación, con magister  en dirección, con experiencia general de 20 años, contados a partir de la tarjeta profesional. Experiencia especifica de 10 años en cargos gerenciales y al menos 5 años como coordinador de eventos y/o actividades logísticas y/o culturales y/o recreativas.  El profesional debe demostrar gerencia de al menos 5 eventos con participación superior o igual a 700 personas en los últimos 8 años. Se debe anexar hoja de vida con soportes con la oferta hasta el cierre del proceso. Dedicación: 100%, El coordinador debe tener enfoque de género y manejo de lenguaje incluyente.</t>
  </si>
  <si>
    <t>APOYOS LOGISTICOS  ADMINISTRATIVOS</t>
  </si>
  <si>
    <t xml:space="preserve">Técnico o Tecnólogo en áreas administrativas o afines y/o estudiante que tenga aprobados mínimo seis (6) semestres de la carreras  profesional clasificadas según el núcleo básico del conocimiento del Sistema Nacional de Información de la Educación Superior (SNIES) en: áreas administrativas. En ambos casos se requiere que acredite experiencia como asistente administrativo en labores de apoyo en la ejecución de convenios y/o contratos y/o proyectos. 
Dedicación: 100%
Debe tener enfoque de género y manejo de lenguaje incluyente. </t>
  </si>
  <si>
    <t>APOYO LOGISTICO OPERATIVO(A)</t>
  </si>
  <si>
    <t>Profesional en áreas de economía, contabilidad y/o administrativas o afines con magister, con experiencia general de 10 años y experiencia especifica en proyectos de 2 años. Se debe anexar hoja de vida con soportes con la oferta hasta el cierre del proceso. Dedicación: 100%, debe tener enfoque de género y manejo de lenguaje incluyente.</t>
  </si>
  <si>
    <t>PERSONAL DE SERVICIOS LOGÍSTICOS TIPO 2</t>
  </si>
  <si>
    <t xml:space="preserve">Persona mayor de edad, hombre o mujer, sin experiencia, preferiblemente de la localidad de engativá, desarrollando actividades logísticas (organización, señalización, inscripción, entre otros), los cuales serán solicitados de acuerdo con la necesidad del evento.
Dedicación: 100% Se recomienda que se realice contratación de personas de la localidad para garantizar la efectividad de los eventos. </t>
  </si>
  <si>
    <t>PERSONAL MESERO O DE PROTOCOLO Y ETIQUETA</t>
  </si>
  <si>
    <t>Personal con certificación en manipulación de alimentos, óptima presentación personal, vestido en forma adecuada conforme el evento y/o actividad a ejecutar y/o en la forma que se solicite por el Fondo de Desarrollo local de engativá – FDLE, actitud de servicio, conocimientos básicos en cocina y protocolo de servicio al cliente.</t>
  </si>
  <si>
    <t>PERSONAL DE ASEO</t>
  </si>
  <si>
    <t>Persona que debe contar con la indumentaria y elementos de protección personal requeridos para realizar la actividad de aseo de áreas y baños (guantes, botas, gafas, tapabocas, entre otros).</t>
  </si>
  <si>
    <t>PERSONAL GUARDA DE SEGURIDAD</t>
  </si>
  <si>
    <t>Guarda de seguridad debidamente capacitado y certificado debe contar con la indumentaria, dotación y elementos de protección personal requeridos para realizar la actividad</t>
  </si>
  <si>
    <t>PERSONAL DE SERVICIOS DE RECREACIÓN</t>
  </si>
  <si>
    <t xml:space="preserve">Para dar apoyo a la recreación de todos los niños y niñas de la comunidad personas con conocimientos minimo de 6 meses en el manejo de actividades recreativas, lúdicas y pedagógicas para la gestión y seguimiento a las actividades de los diferentes juegos para niños y jovenes, estas personas estarán apoyando cada uno de las actividades que se realicen en el marco de los eventos. Dedicación: 100%. </t>
  </si>
  <si>
    <t>PERSONAL LOCUTOR</t>
  </si>
  <si>
    <t xml:space="preserve">Locutor con tres (3) años de experiencia certificada en la animación de eventos masivos, fiestas, festivales, ferias, conciertos.  Además de la animación de shows, concursos y eventos artísticos y culturales. Dedicación: 100% </t>
  </si>
  <si>
    <t>PRESENTADOR Y/O ANIMADOR</t>
  </si>
  <si>
    <t xml:space="preserve">Persona dinámica con experiencia certificada en animación o locución o periodismo o presentación de eventos y actividades culturales las cuales tendran la función de animar  segun  la temática del evento, con capacidad de crear situaciones artísticas divertidas para motivar la participación de la comunidad en las actividades y las muestras artísticas de los ganadores de los diferentes concursos, con capacidad de improvisación discursiva y manejo de público, que cuente con experiencia en la presentación de espectáculos artísticos.
Dedicación: 100%. </t>
  </si>
  <si>
    <t>SERVICIO DE MURALISTA</t>
  </si>
  <si>
    <t>Servicio de un artista con experiencia en la elaboración de murales, certificado mínimo con 3 obras; quien debe proporcionar todos los materiales y equipos necesarios para la ejecución del mural entre 3m –5m. Día de trabajo</t>
  </si>
  <si>
    <t xml:space="preserve">DJ-CONSOLA </t>
  </si>
  <si>
    <t xml:space="preserve">DJ por mínimo de 6 horas con equipo tornamesa propio y música variada. </t>
  </si>
  <si>
    <t xml:space="preserve">SERVICIO PERSONAL DE SALUD </t>
  </si>
  <si>
    <t>Un auxiliar de enfermería con 1 año de experiencia en Atención Pre Hospitalaria (APH).</t>
  </si>
  <si>
    <t xml:space="preserve">SERVICIO DE PROFESIONAL/OPERADOR DE EMERGENCIA         </t>
  </si>
  <si>
    <t>Un operador con experiencia en eventos masivos y elaboración de planos para la ubicación de puntos cardinales, áreas de primeros auxilios, punto de encuentro, zonas de riesgo, y rutas de evacuación</t>
  </si>
  <si>
    <t>SERVICIO DE BRIGADISTAS</t>
  </si>
  <si>
    <t>Pareja de personal con experiencia en la atención de primeros auxilios, emergencias médicas y/o desastres naturales.</t>
  </si>
  <si>
    <t xml:space="preserve">SERVICIO DE JEFE DE EMERGENCIAS </t>
  </si>
  <si>
    <t xml:space="preserve">Persona líder de emergencias para eventos de alta complejidad, dicho jefe de emergencias debe anexar las siguientes certificaciones: 
▪	Certificación de capacitación en brigadas y primeros auxilios. 
▪	Certificado de auxiliar de enfermería. 
▪	Curso de Primer respondiente (Vigente). </t>
  </si>
  <si>
    <t>BRIGADISTAS</t>
  </si>
  <si>
    <t>COACH</t>
  </si>
  <si>
    <t>Sesión de coaching (mínimo 2 horas) con un o una profesional en áreas a fines del NBC, certificado/a en Programación Neuro Lingüística PNL mínimo 2 años e Instructor de emprendimiento, con experiencia en docencia mínimo 5 años.</t>
  </si>
  <si>
    <t>Animador</t>
  </si>
  <si>
    <t>Se debe garantizar un (1) animador, que, de apertura a las diferentes actividades, oriente el desarrollo del evento y proporcione explicaciones de las actividades que se llevan a cabo.</t>
  </si>
  <si>
    <t>Presentador Eventos y/o maestro de ceremonia</t>
  </si>
  <si>
    <t xml:space="preserve"> Uno (1), el presentador debe acreditar una experiencia mínima de cinco (5) años en actividades similares, de preferencia en acompañamiento de eventos. </t>
  </si>
  <si>
    <t>Artista (cantante)</t>
  </si>
  <si>
    <t>Contratar mínimo un (1) artista con trayectoria nacional, mínima de 5 años para conformar la programación artística de las actividades de índole cultural.</t>
  </si>
  <si>
    <t xml:space="preserve">Presentacion </t>
  </si>
  <si>
    <t>Contratar mínimo un (1) artista con trayectoria internacional, mínima de 5 años, para conformar la programación artística de las actividades de índole cultural</t>
  </si>
  <si>
    <t xml:space="preserve">Artista </t>
  </si>
  <si>
    <t>Artista plástico y/o grafitero, para que participe en las distintas actividades que desarrolle el FDLE.</t>
  </si>
  <si>
    <t>Agrupación artística</t>
  </si>
  <si>
    <t>Contratar mínimo una (1) agrupación (ORQUESTA) musical con trayectoria nacional mínima de 5 años, para conformar la programación artística de las actividades de índole cultural que desarrolle o en las que haga parte el FDLE.</t>
  </si>
  <si>
    <t>Contratar mínimo una (1) agrupación de DANZA con trayectoria nacional mínima de 5 años, para conformar la programación artística de las actividades de índole cultural que desarrolle o en las que haga parte el FDLE.</t>
  </si>
  <si>
    <t>Batucada</t>
  </si>
  <si>
    <t>Grupo artistico batucada presentacion</t>
  </si>
  <si>
    <t>Contratar mínimo una (1) agrupación u obra de TEATRO con trayectoria nacional mínima de 5 años, para conformar la programación artística de las actividades de índole cultural que desarrolle o en las que haga parte el FDLE.</t>
  </si>
  <si>
    <t>PERSONAL DE PROTOCOLO</t>
  </si>
  <si>
    <t>Personal de protocolo y etiqueta bilingüe</t>
  </si>
  <si>
    <t>BUSES</t>
  </si>
  <si>
    <t>VAN</t>
  </si>
  <si>
    <t>AUTOMOVIL</t>
  </si>
  <si>
    <t xml:space="preserve">Alquiler Automóvil modelo 2017 en adelante para 5 personas documentos al día para transporte Debe cumplir con la documentación al día como tecno mecánica / SOAT </t>
  </si>
  <si>
    <t>3.ARMONING CLASS</t>
  </si>
  <si>
    <t>4.IMPORTMASIVOS</t>
  </si>
  <si>
    <t>5.PARTNER PUBLICIDAD</t>
  </si>
  <si>
    <t>6.ASESOL</t>
  </si>
  <si>
    <t>7.FONDEPACIFICO</t>
  </si>
  <si>
    <t>11.UNIEMPRESARIAL</t>
  </si>
  <si>
    <t>15.BL EFECTOS</t>
  </si>
  <si>
    <t>16. TUNDERLIGTH</t>
  </si>
  <si>
    <t>17.NEXT</t>
  </si>
  <si>
    <t>MERCADOS PINEDA</t>
  </si>
  <si>
    <t>MERCADOS ZAPATOCA</t>
  </si>
  <si>
    <t>MEGAREDIL</t>
  </si>
  <si>
    <t>18.AUDIOPROYECTOS</t>
  </si>
  <si>
    <t>20.TECNICARPAS</t>
  </si>
  <si>
    <t>19.NEMESIS</t>
  </si>
  <si>
    <t>D&amp;R PRODUCCIONES</t>
  </si>
  <si>
    <t>TECNICARPAS</t>
  </si>
  <si>
    <t>CARPAS</t>
  </si>
  <si>
    <t>NEMESIS</t>
  </si>
  <si>
    <r>
      <t xml:space="preserve"> </t>
    </r>
    <r>
      <rPr>
        <sz val="10"/>
        <color theme="1"/>
        <rFont val="Calibri"/>
        <family val="2"/>
        <scheme val="minor"/>
      </rPr>
      <t>Impreso en propalcote de 150gr. Tamaño: carta</t>
    </r>
    <r>
      <rPr>
        <b/>
        <sz val="10"/>
        <color theme="1"/>
        <rFont val="Calibri"/>
        <family val="2"/>
        <scheme val="minor"/>
      </rPr>
      <t xml:space="preserve"> </t>
    </r>
    <r>
      <rPr>
        <sz val="10"/>
        <color theme="1"/>
        <rFont val="Calibri"/>
        <family val="2"/>
        <scheme val="minor"/>
      </rPr>
      <t xml:space="preserve">21.5 x 27,9 cm. Dos caras, plagado en 2 o 3 partes full color. </t>
    </r>
    <r>
      <rPr>
        <b/>
        <sz val="10"/>
        <color theme="1"/>
        <rFont val="Calibri"/>
        <family val="2"/>
        <scheme val="minor"/>
      </rPr>
      <t xml:space="preserve"> </t>
    </r>
  </si>
  <si>
    <r>
      <t>5</t>
    </r>
    <r>
      <rPr>
        <sz val="10"/>
        <color rgb="FF000000"/>
        <rFont val="Calibri"/>
        <family val="2"/>
        <scheme val="minor"/>
      </rPr>
      <t>0% algodón – 50% poliéster de 271 gr. Capota sin forro con cordón del mismo color de la prenda. Con bolsillo tipo canguro. Medidas: Tallas S, M, L y XL. Sublimado full color, tamaño de impresión bolsillo a carta.</t>
    </r>
  </si>
  <si>
    <r>
      <t xml:space="preserve">Deberán contar con carnet de brigadista y certificado expedido por el cuerpo oficial de bomberos como brigadistas contra incendio, </t>
    </r>
    <r>
      <rPr>
        <u/>
        <sz val="10"/>
        <color theme="1"/>
        <rFont val="Calibri"/>
        <family val="2"/>
        <scheme val="minor"/>
      </rPr>
      <t>adjuntando el número de certificado o la certificación.</t>
    </r>
    <r>
      <rPr>
        <sz val="10"/>
        <color theme="1"/>
        <rFont val="Calibri"/>
        <family val="2"/>
        <scheme val="minor"/>
      </rPr>
      <t xml:space="preserve"> Debe tener además certificaciones de cursos en: 1. Primeros auxilios (10 horas). 2. En termas de planes de emergencia y contingencia (20 horas). 3. Capacitación en normas de etiqueta y protocolo (10 horas).</t>
    </r>
  </si>
  <si>
    <r>
      <t xml:space="preserve">Alquiler de buses con capacidad para 37 personas, modelo 2016 en adelante y deben contar con las adecuaciones necesarias para facilitar el ascenso y descenso de personas con discapacidad y de movilidad reducida. Debe cumplir con la documentación al día como tecno mecánica / SOAT y cumplir con los requisitos técnicos según resolución 3753 de 2015 del Ministerio de Transporte, norma </t>
    </r>
    <r>
      <rPr>
        <i/>
        <sz val="10"/>
        <color theme="1"/>
        <rFont val="Calibri"/>
        <family val="2"/>
        <scheme val="minor"/>
      </rPr>
      <t xml:space="preserve">"NTC 4901-3 Vehículos para el transporte urbano masivo de pasajeros. Parte 3: Autobuses convencionales" </t>
    </r>
    <r>
      <rPr>
        <sz val="10"/>
        <color theme="1"/>
        <rFont val="Calibri"/>
        <family val="2"/>
        <scheme val="minor"/>
      </rPr>
      <t>y en el caso que aplique el transporte de niños contar con los permisos especiales y cumplir con los requisitos de la norma "NTC 2919:1991, Cinturones para la industria automotriz. Dispositivos de seguridad para niños a bordo de vehículos.</t>
    </r>
  </si>
  <si>
    <r>
      <t xml:space="preserve">Alquiler de buses con capacidad para 42 personas, modelo 2016 en adelante con baño. Debe cumplir con la documentación al día como tecno mecánica / SOAT y cumplir con los requisitos técnicos según resolución 3753 de 2015 del Ministerio de Transporte, norma </t>
    </r>
    <r>
      <rPr>
        <i/>
        <sz val="10"/>
        <color theme="1"/>
        <rFont val="Calibri"/>
        <family val="2"/>
        <scheme val="minor"/>
      </rPr>
      <t xml:space="preserve">"NTC 4901-3 Vehículos para el transporte urbano masivo de pasajeros. Parte 3: Autobuses convencionales" </t>
    </r>
    <r>
      <rPr>
        <sz val="10"/>
        <color theme="1"/>
        <rFont val="Calibri"/>
        <family val="2"/>
        <scheme val="minor"/>
      </rPr>
      <t xml:space="preserve">y en el caso que aplique el transporte de niños contar con los permisos especiales y cumplir con los requisitos de la norma </t>
    </r>
    <r>
      <rPr>
        <i/>
        <sz val="10"/>
        <color theme="1"/>
        <rFont val="Calibri"/>
        <family val="2"/>
        <scheme val="minor"/>
      </rPr>
      <t>"NTC 2919:1991, Cinturones para la industria automotriz. Dispositivos de seguridad para niños a bordo de</t>
    </r>
    <r>
      <rPr>
        <sz val="10"/>
        <color theme="1"/>
        <rFont val="Calibri"/>
        <family val="2"/>
        <scheme val="minor"/>
      </rPr>
      <t xml:space="preserve"> vehículos."</t>
    </r>
  </si>
  <si>
    <r>
      <t xml:space="preserve">Alquiler de Van con capacidad para 19 personas, modelo 2016 en adelante. Debe cumplir con la documentación al día como tecno me- cánica / SOAT y cumplir con los requisitos técnicos según resolución 3753 de 2015 del Ministerio de Transporte, norma </t>
    </r>
    <r>
      <rPr>
        <i/>
        <sz val="10"/>
        <color theme="1"/>
        <rFont val="Calibri"/>
        <family val="2"/>
        <scheme val="minor"/>
      </rPr>
      <t xml:space="preserve">"NTC 4901-3 Vehículos para el transporte urbano masivo de pasajeros. Parte 3: Autobuses convencionales" </t>
    </r>
    <r>
      <rPr>
        <sz val="10"/>
        <color theme="1"/>
        <rFont val="Calibri"/>
        <family val="2"/>
        <scheme val="minor"/>
      </rPr>
      <t xml:space="preserve">y en el caso que aplique el transporte de niños contar con los permisos especiales y cumplir con los requisitos de la norma </t>
    </r>
    <r>
      <rPr>
        <i/>
        <sz val="10"/>
        <color theme="1"/>
        <rFont val="Calibri"/>
        <family val="2"/>
        <scheme val="minor"/>
      </rPr>
      <t>"NTC 2919:1991, Cinturones para la industria automotriz.</t>
    </r>
    <r>
      <rPr>
        <sz val="10"/>
        <color theme="1"/>
        <rFont val="Calibri"/>
        <family val="2"/>
        <scheme val="minor"/>
      </rPr>
      <t xml:space="preserve"> Dispositivos de seguridad para niños a bordo de vehículos."</t>
    </r>
  </si>
  <si>
    <t xml:space="preserve">BL EFECTOS Y PRODUCCIÓN
 DE EVENTOS SAS </t>
  </si>
  <si>
    <t>THUNDER LIGHT S A S</t>
  </si>
  <si>
    <t>NEXT</t>
  </si>
  <si>
    <t>KUBARA</t>
  </si>
  <si>
    <t>POLIFAHUMA</t>
  </si>
  <si>
    <t>XIXA</t>
  </si>
  <si>
    <t>PARTNERS PUBLICIDAD</t>
  </si>
  <si>
    <t>STAR COP</t>
  </si>
  <si>
    <t>INGEFE</t>
  </si>
  <si>
    <t>1.grupo de danza la Consolacion</t>
  </si>
  <si>
    <t>2. propuesta danzaria</t>
  </si>
  <si>
    <t>2.Agrupacion kilele</t>
  </si>
  <si>
    <t>11. viaje gaitero 2025</t>
  </si>
  <si>
    <t>12. COTIZACIÓN MUSICAL CHONGOTRONIK</t>
  </si>
  <si>
    <t>13. cotización pata e' perro</t>
  </si>
  <si>
    <t>SUMINISTRO TROFEO TIPO 4</t>
  </si>
  <si>
    <t xml:space="preserve">Trofeo de premiación </t>
  </si>
  <si>
    <t>MUNDO OLIMPICO</t>
  </si>
  <si>
    <t>DEPORTEREGOL</t>
  </si>
  <si>
    <t>MACRODEPORTES</t>
  </si>
  <si>
    <t>DEPORTEGOL</t>
  </si>
  <si>
    <t>No Ofertable</t>
  </si>
  <si>
    <t>ARMONING GLASS</t>
  </si>
  <si>
    <t>IMPORTMASIVOS</t>
  </si>
  <si>
    <t>PARNERS</t>
  </si>
  <si>
    <t>Servicio ambulancia medicalizada con su respectiva tripulación (médico, auxiliar de enfermería y conductor) (Alquiler por hora)</t>
  </si>
  <si>
    <t>Fundaset</t>
  </si>
  <si>
    <t>FDLE-LP-336-2024. Indexado con IPC2024 (5,2%)</t>
  </si>
  <si>
    <t>FDRS-LP-479-2024. Indexado con IPC2024 (5,2%)</t>
  </si>
  <si>
    <t>FDRS-LP-479-2024. Indexado con IPC2024 (5,2%</t>
  </si>
  <si>
    <t>unidad</t>
  </si>
  <si>
    <t xml:space="preserve">VALOR </t>
  </si>
  <si>
    <t>IVA 19%</t>
  </si>
  <si>
    <t xml:space="preserve">TOTAL </t>
  </si>
  <si>
    <t xml:space="preserve">ESTUDIO DE MERCADO PRENSA </t>
  </si>
  <si>
    <t>Compra Radios de comunicación (tipo walkie talkie con frecuencia UHF y 16 canales) de comunicación para equipo logístico, Radio multicanal de alcance medio, rango de frecuencia 136-174 MHz, 400-480 MHzVoltaje 3.7 c) Impermeable.</t>
  </si>
  <si>
    <t xml:space="preserve">TIPO DE ADQUISICION </t>
  </si>
  <si>
    <t xml:space="preserve">COMPRA </t>
  </si>
  <si>
    <t>Impresos en propalcote de 115 gr, tamaño media carta 21,5x14cm, una cara, full color .</t>
  </si>
  <si>
    <t>Compra - Impresos en propalcote de 115 gr, tamaño media carta 21,5x14cm, doble cara, full color.</t>
  </si>
  <si>
    <t xml:space="preserve"> Impreso en propalcote de 150gr, tamaño medio pliego 70x50cm, una cara, full color.</t>
  </si>
  <si>
    <t>ALQUILER</t>
  </si>
  <si>
    <t xml:space="preserve">ALQUILER </t>
  </si>
  <si>
    <t>Unidad/DIA</t>
  </si>
  <si>
    <t xml:space="preserve">SERVICIO </t>
  </si>
  <si>
    <t xml:space="preserve">DESAYUNO TIPO UNO SERVICIO A LA MESA </t>
  </si>
  <si>
    <t xml:space="preserve">DESAYUNO TIPO DOS SERVICIO A LA MESA
</t>
  </si>
  <si>
    <t xml:space="preserve">DESAYUNO TIPO TRES SERVICIO A LA MESA </t>
  </si>
  <si>
    <t>ALMUERZO TIPO UNO SERVICIO A LA MESA</t>
  </si>
  <si>
    <t>ALMUERZO TIPO DOS SERVICIO A LA MESA</t>
  </si>
  <si>
    <t>ALMUERZO TIPO TRES SERVICIO A LA MESA</t>
  </si>
  <si>
    <t>ALMUERZO TIPO CUATRO SERVICIO A LA MESA</t>
  </si>
  <si>
    <t>ALMUERZO TIPO CINCO SERVICIO A LA MESA</t>
  </si>
  <si>
    <t>ALMUERZO TIPO SEIS SERVICIO A LA MESA</t>
  </si>
  <si>
    <t>ALMUERZO TIPO SIETE SERVICIO A LA MESA</t>
  </si>
  <si>
    <t>REFRIGERIO TIPO UNO SERVICIO A LA MESA</t>
  </si>
  <si>
    <t>REFRIGERIO TIPO DOS SERVICIO A LA MESA</t>
  </si>
  <si>
    <t>REFRIGERIO TIPO TRES SERVICIO A LA MESA</t>
  </si>
  <si>
    <t xml:space="preserve">REFRIGERIO TIPO CUATRO SERVICIO A LA MESA
</t>
  </si>
  <si>
    <t>REFRIGERIO TIPO QUINTO SERVICIO A LA MESA</t>
  </si>
  <si>
    <t>REFRIGERIO TIPO SEXTO SERVICIO A LA MESA</t>
  </si>
  <si>
    <t>REFRIGERIO TIPO SEPTIMO SERVICIO A LA MESA</t>
  </si>
  <si>
    <t>REFRIGERIO TIPO OCHO SERVICIO A LA MESA</t>
  </si>
  <si>
    <t>REFRIGERIO TIPO NUEVE SERVICIO A LA MESA</t>
  </si>
  <si>
    <t>Descargar y utilizar recursos gráficos Premium, incluyendo:
●	Fotografías, ilustraciones, íconos, vectores, archivos PSD, plantillas, mockups y recursos 3D.
Acceso a derechos de uso comercial, sin obligación de atribución al autor (según términos de Freepik Premium).
Acceso a recursos de IA (Freepik AI Tools) para generación de imágenes o edición asistida.
Descarga ilimitada o con cuota mensual superior a 100 recursos.
Descarga de archivos en formatos editables: EPS, AI, PSD, SVG, JPG, PNG.
Integración con herramientas de diseño como Adobe Illustrator, Photoshop, Figma y Canva.
Acceso a Flaticon Premium (banco de íconos y stickers vectoriales).
Navegadores compatibles: Google Chrome, Microsoft Edge, Mozilla Firefox, Safari (últimas versiones estables).
No requiere instalación local (plataforma 100% web).
Compatible con sistemas operativos Windows, macOS, Linux.
Acceso mediante conexión a Internet (mínimo 5 Mbps).
Soporte técnico oficial en línea (en español o inglés) a través del portal de ayuda de Freepik.
Actualizaciones automáticas incluidas durante la vigencia de la licencia.
Acceso a documentación, manuales o tutoriales en línea.</t>
  </si>
  <si>
    <t>Diseño y edición de contenido gráfico y audiovisual: publicaciones para redes sociales, videos, presentaciones, documentos, logotipos, afiches, flyers, entre otros.
Acceso a la biblioteca premium, que incluye:
●	Fotos, videos, íconos, vectores, plantillas, música y elementos gráficos con uso comercial permitido.
Herramientas de Inteligencia Artificial (IA):
●	Texto mágico (redacción automática).
●	Diseño mágico.
●	Borrado de fondo.
●	Generador de imágenes por IA.
●	Traductor automático de diseños.
Carga y almacenamiento en la nube: mínimo 1 TB de almacenamiento por cuenta (según plan Canva Pro).
Colaboración en tiempo real entre miembros del equipo.
Exportación en formatos editables y de alta resolución: PNG, JPG, PDF, MP4, GIF.
Posibilidad de programar y publicar contenido directamente en redes sociales (Facebook, Instagram, X, LinkedIn, TikTok, etc.).
Acceso sin marca de agua en todos los recursos premium.
Plataforma 100 % web, sin necesidad de instalación local.
Sistemas operativos compatibles: Windows, macOS, Linux, Android y iOS.
Navegadores compatibles: Google Chrome, Edge, Firefox, Safari (últimas versiones).
Conectividad mínima: conexión a Internet de 5 Mbps o superior.
Soporte oficial de Canva en línea (chat o correo electrónico).
Acceso a centro de ayuda, manuales y tutoriales.
Actualizaciones automáticas incluidas durante la vigencia de la licencia.</t>
  </si>
  <si>
    <t>Lápices (2 unidades) Tipo: Grafito No. 2 o HB. Material: Madera natural o sintética resistente. Forma: Hexagonal o redonda, ergonómica para escritura prolongada. Color: Cuerpo pintado en tono institucional o neutro.Punta: Preafilada. Esferos negros (2 unidades), Tipo: Bolígrafo de tinta líquida o de aceite, Color de tinta: Negra, Punta: Media (0.7 mm a 1.0 mm), Cuerpo: Plástico resistente o metálico, con clip, Sistema de cierre: Retráctil o con tapa, Durabilidad: Mínimo 500 metros de escritura continua. Esferos rojo  (2 unidades), Tipo: Bolígrafo de tinta líquida o de aceite, Color de tinta: Negra, Punta: Media (0.7 mm a 1.0 mm), Cuerpo: Plástico resistente o metálico, con clip, Sistema de cierre: Retráctil o con tapa, Durabilidad: Mínimo 500 metros de escritura continua. Resaltador Color de tinta: fluorescente (cualquier color: rosado, amarillo, verde, azul), Punta: Biselada (ancho de trazo entre 1 mm y 5 mm), Cuerpo: Plástico con tapa hermética, Tinta: Base agua, resistente al secado. Borrador , Tipo: Goma blanca o sintética libre de PVC, Uso: Para lápiz grafito, Forma: Rectangular o ergonómica, Dimensiones mínimas: 40 mm x 20 mm x 10 mm. Colores, Tipo: Lápices de color, Cantidad mínima: 12 unidades, Material: Madera natural o sintética, Punta: Preafilada, Certificación: No tóxicos, Empaque: Caja de cartón o plástico. Cartuchera, Material: Lona o poliéster, Cierre: Cremallera plástica, Dimensiones aproximadas: 20 cm x 10 cm x 5 cm, Color: De acuerdo con lineamientos institucionales, Marcación: Impresión o bordado con logo y nombre de la entidad. 5cm x 3cm.</t>
  </si>
  <si>
    <t>Edición de video en línea o mediante aplicación de escritorio.
Capas múltiples de video, imagen, texto y efectos.
Biblioteca de recursos (música, transiciones, efectos de sonido y plantillas).
Herramientas de IA (reconocimiento de voz, subtitulado automático, eliminación de fondo, mejora de imagen y voz).
Exportación en formato MP4, MOV, y resoluciones hasta 4K (según plan Pro).
Sin marca de agua.
Acceso a plantillas y recursos con derechos de uso comercial.
Sistemas operativos: Windows 10 o superior / macOS 11 o superior.
Versión móvil: iOS 14.0 o Android 8.0 o superior (opcional).
Navegadores compatibles (versión web): Google Chrome, Edge, Safari, Firefox
Cumplimiento con normas de protección de datos personales (GDPR y políticas de privacidad de ByteDance/CapCut).
Acceso restringido mediante usuario y contraseña.
No permite el uso de datos personales sin consentimiento expreso. Soporte oficial mediante correo o chat desde el portal de CapCut.
Actualizaciones automáticas incluidas durante la vigencia de la licencia.
Manuales de uso o guías de capacitación básica (opcional, si aplica al proceso).</t>
  </si>
  <si>
    <t>Crear y editar contenido audiovisual para redes sociales (videos verticales, historias, reels, publicaciones animadas, etc.).
Acceso a biblioteca premium, que incluya:
●	Plantillas animadas profesionales.
●	Tipografías, transiciones, fondos, música y efectos visuales con uso comercial autorizado.Edición avanzada de video, incluyendo:
●	Recorte, ajuste de velocidad, filtros, capas de texto, stickers y subtítulos automáticos.
Herramientas de inteligencia artificial y automatización:
●	Redimensión automática de formatos para distintas plataformas (Instagram, TikTok, YouTube, etc.).
●	Generación de videos a partir de plantillas o fotos.
Exportación sin marca de agua y en distintas resoluciones (hasta 4K, según plan Pro).
Integración con redes sociales para publicación directa.
Sincronización con la nube para almacenamiento y edición multiplataforma (móvil y web).
Soporte oficial disponible desde la aplicación o el sitio web de Mojo.
Actualizaciones automáticas durante toda la vigencia de la licencia.
Acceso a manuales de usuario, tutoriales y centro de ayuda.</t>
  </si>
  <si>
    <t>Generación de imágenes, ilustraciones o gráficos a partir de texto descriptivo (prompts).
Creación de presentaciones, afiches y materiales visuales dentro del entorno Google Workspace (Docs, Slides, Canva, Meet, etc.).
Generación de videos o clips cortos IA mediante integración con servicios compatibles (YouTube, Vertex AI, Imagen 2 o herramientas de terceros).
Creación de contenido de audio IA (locuciones, efectos o narrativa de voz).
Análisis de materiales audiovisuales para identificar temas, tonos, colores o coherencia narrativa.
Integración completa con Google Workspace y YouTube Studio para diseño, publicación y revisión.
Traducción automática y adaptación de materiales multimedia en varios idiomas.</t>
  </si>
  <si>
    <t>Licencia institucional o empresarial (Individual, Team o Enterprise) con derechos de uso comercial.
Licencia digital (suscripción) con acceso mediante cuenta institucional (correo corporativo).
Incluye todas las aplicaciones principales de Adobe Creative Cloud y sus servicios asociados.
La suite debe incluir, como mínimo, las siguientes herramientas y capacidades:
Diseño gráfico y fotografía
●	Adobe Photoshop: edición avanzada de imágenes, composiciones, mockups y diseño publicitario.
●	Adobe Illustrator: creación de gráficos vectoriales, logotipos, tipografía y piezas institucionales.
●	Adobe InDesign: diagramación de piezas impresas o digitales (revistas, boletines, informes).
●	Adobe Lightroom: retoque y gestión de fotografía institucional.
Producción audiovisual y animación
●	Adobe Premiere Pro: edición profesional de video en alta resolución (HD, 4K, 8K).
●	Adobe After Effects: animación, motion graphics y efectos visuales para campañas institucionales.
●	Adobe Audition: grabación, mezcla y masterización de audio y locuciones.
●	Adobe Media Encoder: exportación de contenido optimizado para redes y formatos digitales.
Inteligencia artificial y recursos multimedia
●	Adobe Firefly: generación de imágenes, efectos, tipografía y elementos visuales mediante IA generativa, con derechos de uso comercial.
●	Adobe Express: creación rápida de piezas gráficas, publicaciones y videos cortos con plantillas y funciones IA.
●	Adobe Stock (opcional): acceso a banco de imágenes, videos y plantillas con licencia comercial.
Integraciones y colaboración
●	Sincronización de archivos mediante Adobe Creative Cloud Libraries.
●	Colaboración en tiempo real con equipos de diseño y comunicación.
●	Integración nativa con plataformas institucionales (Microsoft 365, Google Workspace, Slack, etc.).
Sistemas operativos compatibles: Windows 10 o superior, macOS Monterey o superior.
Navegadores: Chrome, Edge, Firefox y Safari (últimas versiones).
Requisitos mínimos de hardware:
●	Procesador Intel Core i5 o superior / Apple M1 o M2.
●	16 GB de RAM (recomendado).
●	Tarjeta gráfica con soporte DirectX 12 / Metal.
●	Almacenamiento SSD (mínimo 50 GB disponibles).
Requiere conexión a Internet estable para validación de licencia y sincronización en la nube.
Soporte técnico 24/7 en español a través del portal oficial de Adobe o distribuidor autorizado.
Actualizaciones automáticas incluidas durante toda la vigencia de la suscripción.
Acceso a foros, capacitaciones y recursos educativos (Adobe Learn &amp; Support).</t>
  </si>
  <si>
    <t xml:space="preserve">ESTUDIO DE MERCADO LOGISTICA </t>
  </si>
  <si>
    <t>COMPONENTE DE PRENSA</t>
  </si>
  <si>
    <t>COMPONENTE DE LOGISTICA</t>
  </si>
  <si>
    <t>“PRESTAR SERVICIOS INTEGRALES DE APOYO LOGÍSTICO, PROMOCIÓN Y PUBLICIDAD INSTITUCIONAL, A MONTO AGOTABLE, PARA FORTALECER LA GESTIÓN INSTITUCIONAL LOCAL EN TODOS LOS ESPACIOS, EVENTOS ARTÍSTICOS, CULTURALES Y PATRIMONIALES DEL FONDO DE DESARROLLO LOCAL DE ENGATIVÁ, Y LAS DEMÁS ACTIVIDADES QUE LE SEAN ASIGNADAS EN EL MARCO DE SUS FUNCIONES, GARANTIZANDO EL CUMPLIMIENTO DE LA GESTIÓN DE LA ADMINISTRACIÓN LOCAL.”.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</si>
</sst>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_-[$$-240A]\ * #,##0_-;\-[$$-240A]\ * #,##0_-;_-[$$-240A]\ * &quot;-&quot;??_-;_-@_-"/>
    <numFmt numFmtId="166" formatCode="_-&quot;$&quot;* #,##0_-;\-&quot;$&quot;* #,##0_-;_-&quot;$&quot;* &quot;-&quot;??_-;_-@_-"/>
    <numFmt numFmtId="167" formatCode="_-* #,##0_-;\-* #,##0_-;_-* &quot;-&quot;??_-;_-@_-"/>
  </numFmts>
  <fonts count="38"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b/>
      <sz val="11"/>
      <color theme="1"/>
      <name val="Calibri"/>
      <family val="2"/>
      <scheme val="minor"/>
    </font>
    <font>
      <u/>
      <sz val="12"/>
      <color theme="10"/>
      <name val="Calibri"/>
      <family val="2"/>
      <scheme val="minor"/>
    </font>
    <font>
      <b/>
      <sz val="16"/>
      <color theme="1"/>
      <name val="Calibri"/>
      <family val="2"/>
      <scheme val="minor"/>
    </font>
    <font>
      <b/>
      <sz val="22"/>
      <color theme="1"/>
      <name val="Calibri"/>
      <family val="2"/>
      <scheme val="minor"/>
    </font>
    <font>
      <sz val="10"/>
      <name val="Arial"/>
      <family val="2"/>
    </font>
    <font>
      <sz val="12"/>
      <color theme="1"/>
      <name val="Calibri"/>
      <family val="2"/>
      <scheme val="minor"/>
    </font>
    <font>
      <sz val="14"/>
      <color theme="1"/>
      <name val="Calibri"/>
      <family val="2"/>
      <scheme val="minor"/>
    </font>
    <font>
      <b/>
      <sz val="12"/>
      <color theme="1"/>
      <name val="Times New Roman"/>
      <family val="1"/>
    </font>
    <font>
      <b/>
      <sz val="12"/>
      <color theme="1"/>
      <name val="Garamond"/>
      <family val="1"/>
    </font>
    <font>
      <sz val="8"/>
      <name val="Calibri"/>
      <family val="2"/>
      <scheme val="minor"/>
    </font>
    <font>
      <b/>
      <sz val="12"/>
      <color theme="1"/>
      <name val="Calibri"/>
      <family val="2"/>
      <scheme val="minor"/>
    </font>
    <font>
      <b/>
      <sz val="18"/>
      <color rgb="FFFFFF00"/>
      <name val="Calibri"/>
      <family val="2"/>
      <scheme val="minor"/>
    </font>
    <font>
      <b/>
      <sz val="12"/>
      <color theme="5" tint="-0.249977111117893"/>
      <name val="Calibri"/>
      <family val="2"/>
      <scheme val="minor"/>
    </font>
    <font>
      <b/>
      <sz val="12"/>
      <color rgb="FF00B050"/>
      <name val="Calibri"/>
      <family val="2"/>
      <scheme val="minor"/>
    </font>
    <font>
      <b/>
      <sz val="12"/>
      <color rgb="FFFFFF00"/>
      <name val="Calibri"/>
      <family val="2"/>
      <scheme val="minor"/>
    </font>
    <font>
      <b/>
      <sz val="12"/>
      <color rgb="FFFF0000"/>
      <name val="Calibri"/>
      <family val="2"/>
      <scheme val="minor"/>
    </font>
    <font>
      <sz val="11"/>
      <color rgb="FF000000"/>
      <name val="Calibri"/>
      <family val="2"/>
      <scheme val="minor"/>
    </font>
    <font>
      <sz val="11"/>
      <name val="Calibri"/>
      <family val="2"/>
      <scheme val="minor"/>
    </font>
    <font>
      <sz val="10"/>
      <color theme="1"/>
      <name val="Calibri"/>
      <family val="2"/>
      <scheme val="minor"/>
    </font>
    <font>
      <b/>
      <sz val="10"/>
      <color theme="1"/>
      <name val="Calibri"/>
      <family val="2"/>
      <scheme val="minor"/>
    </font>
    <font>
      <sz val="10"/>
      <color rgb="FF000000"/>
      <name val="Calibri"/>
      <family val="2"/>
      <scheme val="minor"/>
    </font>
    <font>
      <u/>
      <sz val="10"/>
      <color theme="1"/>
      <name val="Calibri"/>
      <family val="2"/>
      <scheme val="minor"/>
    </font>
    <font>
      <i/>
      <sz val="10"/>
      <color theme="1"/>
      <name val="Calibri"/>
      <family val="2"/>
      <scheme val="minor"/>
    </font>
    <font>
      <b/>
      <sz val="20"/>
      <color rgb="FFFFFF00"/>
      <name val="Calibri"/>
      <family val="2"/>
      <scheme val="minor"/>
    </font>
    <font>
      <sz val="20"/>
      <color theme="1"/>
      <name val="Calibri"/>
      <family val="2"/>
      <scheme val="minor"/>
    </font>
    <font>
      <b/>
      <sz val="20"/>
      <color theme="1"/>
      <name val="Calibri"/>
      <family val="2"/>
      <scheme val="minor"/>
    </font>
    <font>
      <sz val="11"/>
      <color rgb="FF242424"/>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00B050"/>
        <bgColor indexed="64"/>
      </patternFill>
    </fill>
    <fill>
      <patternFill patternType="solid">
        <fgColor theme="1"/>
        <bgColor indexed="64"/>
      </patternFill>
    </fill>
    <fill>
      <patternFill patternType="solid">
        <fgColor theme="1" tint="4.9989318521683403E-2"/>
        <bgColor indexed="64"/>
      </patternFill>
    </fill>
    <fill>
      <patternFill patternType="solid">
        <fgColor theme="2" tint="-0.249977111117893"/>
        <bgColor indexed="64"/>
      </patternFill>
    </fill>
    <fill>
      <patternFill patternType="solid">
        <fgColor theme="2" tint="-0.749992370372631"/>
        <bgColor indexed="64"/>
      </patternFill>
    </fill>
    <fill>
      <patternFill patternType="solid">
        <fgColor rgb="FF00B0F0"/>
        <bgColor indexed="64"/>
      </patternFill>
    </fill>
    <fill>
      <patternFill patternType="solid">
        <fgColor rgb="FF92D050"/>
        <bgColor indexed="64"/>
      </patternFill>
    </fill>
    <fill>
      <patternFill patternType="solid">
        <fgColor theme="9" tint="0.59999389629810485"/>
        <bgColor indexed="64"/>
      </patternFill>
    </fill>
  </fills>
  <borders count="65">
    <border>
      <left/>
      <right/>
      <top/>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medium">
        <color indexed="64"/>
      </left>
      <right/>
      <top/>
      <bottom style="thin">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medium">
        <color indexed="64"/>
      </left>
      <right style="thin">
        <color rgb="FF000000"/>
      </right>
      <top/>
      <bottom style="thin">
        <color rgb="FF000000"/>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rgb="FF000000"/>
      </right>
      <top style="medium">
        <color indexed="64"/>
      </top>
      <bottom/>
      <diagonal/>
    </border>
    <border>
      <left style="medium">
        <color rgb="FF000000"/>
      </left>
      <right style="thin">
        <color rgb="FF000000"/>
      </right>
      <top style="medium">
        <color indexed="64"/>
      </top>
      <bottom/>
      <diagonal/>
    </border>
    <border>
      <left style="medium">
        <color rgb="FF000000"/>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diagonal/>
    </border>
    <border>
      <left style="thin">
        <color indexed="64"/>
      </left>
      <right/>
      <top/>
      <bottom/>
      <diagonal/>
    </border>
    <border>
      <left style="medium">
        <color indexed="64"/>
      </left>
      <right style="thin">
        <color indexed="64"/>
      </right>
      <top/>
      <bottom/>
      <diagonal/>
    </border>
    <border>
      <left style="thin">
        <color indexed="64"/>
      </left>
      <right/>
      <top style="medium">
        <color indexed="64"/>
      </top>
      <bottom/>
      <diagonal/>
    </border>
    <border>
      <left/>
      <right style="medium">
        <color indexed="64"/>
      </right>
      <top/>
      <bottom/>
      <diagonal/>
    </border>
  </borders>
  <cellStyleXfs count="11">
    <xf numFmtId="0" fontId="0" fillId="0" borderId="0"/>
    <xf numFmtId="0" fontId="12" fillId="0" borderId="0" applyNumberFormat="0" applyFill="0" applyBorder="0" applyAlignment="0" applyProtection="0"/>
    <xf numFmtId="0" fontId="15" fillId="0" borderId="0"/>
    <xf numFmtId="0" fontId="9" fillId="0" borderId="0"/>
    <xf numFmtId="42" fontId="9" fillId="0" borderId="0" applyFont="0" applyFill="0" applyBorder="0" applyAlignment="0" applyProtection="0"/>
    <xf numFmtId="42" fontId="16" fillId="0" borderId="0" applyFont="0" applyFill="0" applyBorder="0" applyAlignment="0" applyProtection="0"/>
    <xf numFmtId="42" fontId="16" fillId="0" borderId="0" applyFont="0" applyFill="0" applyBorder="0" applyAlignment="0" applyProtection="0"/>
    <xf numFmtId="0" fontId="8" fillId="0" borderId="0"/>
    <xf numFmtId="44" fontId="16" fillId="0" borderId="0" applyFont="0" applyFill="0" applyBorder="0" applyAlignment="0" applyProtection="0"/>
    <xf numFmtId="9" fontId="16" fillId="0" borderId="0" applyFont="0" applyFill="0" applyBorder="0" applyAlignment="0" applyProtection="0"/>
    <xf numFmtId="43" fontId="16" fillId="0" borderId="0" applyFont="0" applyFill="0" applyBorder="0" applyAlignment="0" applyProtection="0"/>
  </cellStyleXfs>
  <cellXfs count="304">
    <xf numFmtId="0" fontId="0" fillId="0" borderId="0" xfId="0"/>
    <xf numFmtId="0" fontId="0" fillId="0" borderId="0" xfId="0" applyAlignment="1">
      <alignment horizontal="center"/>
    </xf>
    <xf numFmtId="0" fontId="11" fillId="2" borderId="7" xfId="0" applyFont="1" applyFill="1" applyBorder="1" applyAlignment="1">
      <alignment horizontal="left" vertical="center"/>
    </xf>
    <xf numFmtId="0" fontId="0" fillId="0" borderId="0" xfId="0" applyAlignment="1">
      <alignment horizontal="left" vertical="center"/>
    </xf>
    <xf numFmtId="0" fontId="14" fillId="0" borderId="0" xfId="0" applyFont="1"/>
    <xf numFmtId="0" fontId="13" fillId="0" borderId="0" xfId="0" applyFont="1"/>
    <xf numFmtId="0" fontId="11" fillId="2" borderId="10" xfId="0" applyFont="1" applyFill="1" applyBorder="1" applyAlignment="1">
      <alignment horizontal="left" vertical="center" wrapText="1"/>
    </xf>
    <xf numFmtId="0" fontId="11" fillId="2" borderId="2" xfId="0" applyFont="1" applyFill="1" applyBorder="1"/>
    <xf numFmtId="0" fontId="11" fillId="2" borderId="14" xfId="0" applyFont="1" applyFill="1" applyBorder="1"/>
    <xf numFmtId="0" fontId="11" fillId="2" borderId="3" xfId="0" applyFont="1" applyFill="1" applyBorder="1"/>
    <xf numFmtId="0" fontId="10" fillId="0" borderId="15" xfId="3" applyFont="1" applyBorder="1" applyAlignment="1">
      <alignment horizontal="center" vertical="center" wrapText="1"/>
    </xf>
    <xf numFmtId="0" fontId="18" fillId="0" borderId="15" xfId="0" applyFont="1" applyBorder="1" applyAlignment="1">
      <alignment vertical="center"/>
    </xf>
    <xf numFmtId="0" fontId="19" fillId="0" borderId="15" xfId="0" applyFont="1" applyBorder="1"/>
    <xf numFmtId="0" fontId="0" fillId="0" borderId="15" xfId="0" applyBorder="1" applyAlignment="1">
      <alignment horizontal="center" wrapText="1"/>
    </xf>
    <xf numFmtId="0" fontId="0" fillId="0" borderId="15" xfId="0" applyBorder="1"/>
    <xf numFmtId="0" fontId="17" fillId="0" borderId="18" xfId="2" applyFont="1" applyBorder="1" applyAlignment="1">
      <alignment horizontal="center" vertical="center" wrapText="1"/>
    </xf>
    <xf numFmtId="3" fontId="17" fillId="0" borderId="15" xfId="2" applyNumberFormat="1" applyFont="1" applyBorder="1" applyAlignment="1">
      <alignment horizontal="center" vertical="center" wrapText="1"/>
    </xf>
    <xf numFmtId="0" fontId="17" fillId="0" borderId="15" xfId="2" applyFont="1" applyBorder="1" applyAlignment="1">
      <alignment horizontal="center" vertical="center" wrapText="1"/>
    </xf>
    <xf numFmtId="0" fontId="17" fillId="0" borderId="29" xfId="2" applyFont="1" applyBorder="1" applyAlignment="1">
      <alignment horizontal="center" vertical="center" wrapText="1"/>
    </xf>
    <xf numFmtId="0" fontId="7" fillId="7" borderId="0" xfId="3" applyFont="1" applyFill="1"/>
    <xf numFmtId="0" fontId="7" fillId="7" borderId="0" xfId="3" applyFont="1" applyFill="1" applyAlignment="1">
      <alignment horizontal="center" vertical="center"/>
    </xf>
    <xf numFmtId="0" fontId="7" fillId="7" borderId="0" xfId="3" applyFont="1" applyFill="1" applyAlignment="1">
      <alignment horizontal="center" vertical="center" wrapText="1"/>
    </xf>
    <xf numFmtId="0" fontId="7" fillId="7" borderId="0" xfId="3" applyFont="1" applyFill="1" applyAlignment="1">
      <alignment horizontal="justify" vertical="center"/>
    </xf>
    <xf numFmtId="164" fontId="7" fillId="7" borderId="0" xfId="8" applyNumberFormat="1" applyFont="1" applyFill="1" applyAlignment="1">
      <alignment horizontal="center" vertical="center"/>
    </xf>
    <xf numFmtId="44" fontId="7" fillId="7" borderId="0" xfId="8" applyFont="1" applyFill="1" applyAlignment="1">
      <alignment horizontal="right" vertical="center"/>
    </xf>
    <xf numFmtId="0" fontId="7" fillId="0" borderId="0" xfId="3" applyFont="1"/>
    <xf numFmtId="0" fontId="11" fillId="9" borderId="34" xfId="3" applyFont="1" applyFill="1" applyBorder="1" applyAlignment="1">
      <alignment horizontal="center"/>
    </xf>
    <xf numFmtId="164" fontId="22" fillId="9" borderId="11" xfId="8" applyNumberFormat="1" applyFont="1" applyFill="1" applyBorder="1" applyAlignment="1">
      <alignment vertical="center"/>
    </xf>
    <xf numFmtId="0" fontId="22" fillId="9" borderId="8" xfId="0" applyFont="1" applyFill="1" applyBorder="1" applyAlignment="1">
      <alignment vertical="center"/>
    </xf>
    <xf numFmtId="0" fontId="22" fillId="9" borderId="8" xfId="0" applyFont="1" applyFill="1" applyBorder="1" applyAlignment="1">
      <alignment horizontal="center" vertical="center"/>
    </xf>
    <xf numFmtId="0" fontId="22" fillId="9" borderId="9" xfId="0" applyFont="1" applyFill="1" applyBorder="1" applyAlignment="1">
      <alignment vertical="center"/>
    </xf>
    <xf numFmtId="0" fontId="22" fillId="9" borderId="11" xfId="0" applyFont="1" applyFill="1" applyBorder="1" applyAlignment="1">
      <alignment vertical="center"/>
    </xf>
    <xf numFmtId="0" fontId="23" fillId="9" borderId="14" xfId="0" applyFont="1" applyFill="1" applyBorder="1" applyAlignment="1">
      <alignment horizontal="center" vertical="center"/>
    </xf>
    <xf numFmtId="0" fontId="24" fillId="9" borderId="2" xfId="2" applyFont="1" applyFill="1" applyBorder="1" applyAlignment="1">
      <alignment vertical="center" wrapText="1"/>
    </xf>
    <xf numFmtId="0" fontId="24" fillId="9" borderId="14" xfId="2" applyFont="1" applyFill="1" applyBorder="1" applyAlignment="1">
      <alignment vertical="center" wrapText="1"/>
    </xf>
    <xf numFmtId="0" fontId="24" fillId="9" borderId="14" xfId="2" applyFont="1" applyFill="1" applyBorder="1" applyAlignment="1">
      <alignment horizontal="center" vertical="center"/>
    </xf>
    <xf numFmtId="0" fontId="24" fillId="9" borderId="9" xfId="2" applyFont="1" applyFill="1" applyBorder="1" applyAlignment="1">
      <alignment vertical="center" wrapText="1"/>
    </xf>
    <xf numFmtId="0" fontId="25" fillId="9" borderId="11" xfId="0" applyFont="1" applyFill="1" applyBorder="1" applyAlignment="1">
      <alignment vertical="center" wrapText="1"/>
    </xf>
    <xf numFmtId="0" fontId="25" fillId="9" borderId="11" xfId="0" applyFont="1" applyFill="1" applyBorder="1" applyAlignment="1">
      <alignment horizontal="center" vertical="center"/>
    </xf>
    <xf numFmtId="0" fontId="25" fillId="9" borderId="8" xfId="0" applyFont="1" applyFill="1" applyBorder="1" applyAlignment="1">
      <alignment vertical="center" wrapText="1"/>
    </xf>
    <xf numFmtId="0" fontId="11" fillId="8" borderId="29" xfId="3" applyFont="1" applyFill="1" applyBorder="1" applyAlignment="1">
      <alignment horizontal="center" vertical="center" wrapText="1"/>
    </xf>
    <xf numFmtId="164" fontId="21" fillId="8" borderId="21" xfId="8" applyNumberFormat="1" applyFont="1" applyFill="1" applyBorder="1" applyAlignment="1">
      <alignment horizontal="center" vertical="center" wrapText="1"/>
    </xf>
    <xf numFmtId="0" fontId="21" fillId="8" borderId="22" xfId="2" applyFont="1" applyFill="1" applyBorder="1" applyAlignment="1">
      <alignment horizontal="center" vertical="center" wrapText="1"/>
    </xf>
    <xf numFmtId="0" fontId="21" fillId="8" borderId="23" xfId="2" applyFont="1" applyFill="1" applyBorder="1" applyAlignment="1">
      <alignment horizontal="center" vertical="center" wrapText="1"/>
    </xf>
    <xf numFmtId="164" fontId="21" fillId="8" borderId="28" xfId="8" applyNumberFormat="1" applyFont="1" applyFill="1" applyBorder="1" applyAlignment="1">
      <alignment horizontal="center" vertical="center" wrapText="1"/>
    </xf>
    <xf numFmtId="0" fontId="21" fillId="8" borderId="29" xfId="0" applyFont="1" applyFill="1" applyBorder="1" applyAlignment="1">
      <alignment horizontal="center" vertical="center" wrapText="1"/>
    </xf>
    <xf numFmtId="44" fontId="21" fillId="8" borderId="29" xfId="8" applyFont="1" applyFill="1" applyBorder="1" applyAlignment="1">
      <alignment horizontal="center" vertical="center" wrapText="1"/>
    </xf>
    <xf numFmtId="9" fontId="21" fillId="8" borderId="29" xfId="9" applyFont="1" applyFill="1" applyBorder="1" applyAlignment="1">
      <alignment horizontal="center" vertical="center" wrapText="1"/>
    </xf>
    <xf numFmtId="9" fontId="21" fillId="8" borderId="23" xfId="9" applyFont="1" applyFill="1" applyBorder="1" applyAlignment="1">
      <alignment horizontal="center" vertical="center" wrapText="1"/>
    </xf>
    <xf numFmtId="0" fontId="27" fillId="0" borderId="17" xfId="0" applyFont="1" applyBorder="1" applyAlignment="1">
      <alignment horizontal="left" vertical="center" wrapText="1"/>
    </xf>
    <xf numFmtId="0" fontId="27" fillId="0" borderId="16" xfId="0" applyFont="1" applyBorder="1" applyAlignment="1">
      <alignment horizontal="left" vertical="center" wrapText="1"/>
    </xf>
    <xf numFmtId="0" fontId="7" fillId="0" borderId="15" xfId="3" applyFont="1" applyBorder="1" applyAlignment="1">
      <alignment horizontal="center" vertical="center" wrapText="1"/>
    </xf>
    <xf numFmtId="0" fontId="27" fillId="3" borderId="16" xfId="0" applyFont="1" applyFill="1" applyBorder="1" applyAlignment="1">
      <alignment horizontal="left" vertical="center" wrapText="1"/>
    </xf>
    <xf numFmtId="0" fontId="27" fillId="0" borderId="19" xfId="0" applyFont="1" applyBorder="1" applyAlignment="1">
      <alignment horizontal="left" vertical="center" wrapText="1"/>
    </xf>
    <xf numFmtId="0" fontId="27" fillId="3" borderId="19" xfId="0" applyFont="1" applyFill="1" applyBorder="1" applyAlignment="1">
      <alignment horizontal="left" vertical="center" wrapText="1"/>
    </xf>
    <xf numFmtId="0" fontId="27" fillId="0" borderId="20" xfId="0" applyFont="1" applyBorder="1" applyAlignment="1">
      <alignment horizontal="left" vertical="center" wrapText="1"/>
    </xf>
    <xf numFmtId="0" fontId="27" fillId="3" borderId="18" xfId="0" applyFont="1" applyFill="1" applyBorder="1" applyAlignment="1">
      <alignment horizontal="left" vertical="center" wrapText="1"/>
    </xf>
    <xf numFmtId="0" fontId="7" fillId="0" borderId="15" xfId="3" applyFont="1" applyBorder="1" applyAlignment="1">
      <alignment horizontal="justify" vertical="center"/>
    </xf>
    <xf numFmtId="0" fontId="7" fillId="0" borderId="15" xfId="3" applyFont="1" applyBorder="1" applyAlignment="1">
      <alignment horizontal="justify" vertical="center" wrapText="1"/>
    </xf>
    <xf numFmtId="0" fontId="7" fillId="0" borderId="15" xfId="3" applyFont="1" applyBorder="1" applyAlignment="1">
      <alignment horizontal="justify" vertical="top" wrapText="1"/>
    </xf>
    <xf numFmtId="49" fontId="27" fillId="0" borderId="15" xfId="0" applyNumberFormat="1" applyFont="1" applyBorder="1" applyAlignment="1" applyProtection="1">
      <alignment horizontal="left" vertical="center" wrapText="1"/>
      <protection hidden="1"/>
    </xf>
    <xf numFmtId="49" fontId="27" fillId="0" borderId="15" xfId="0" applyNumberFormat="1" applyFont="1" applyBorder="1" applyAlignment="1" applyProtection="1">
      <alignment horizontal="left" vertical="top" wrapText="1"/>
      <protection hidden="1"/>
    </xf>
    <xf numFmtId="0" fontId="7" fillId="0" borderId="15" xfId="2" applyFont="1" applyBorder="1" applyAlignment="1">
      <alignment horizontal="left" vertical="center" wrapText="1"/>
    </xf>
    <xf numFmtId="0" fontId="29" fillId="0" borderId="15" xfId="0" applyFont="1" applyBorder="1" applyAlignment="1">
      <alignment horizontal="justify" vertical="center" wrapText="1"/>
    </xf>
    <xf numFmtId="0" fontId="29" fillId="0" borderId="15" xfId="0" applyFont="1" applyBorder="1" applyAlignment="1">
      <alignment vertical="center" wrapText="1"/>
    </xf>
    <xf numFmtId="0" fontId="7" fillId="0" borderId="0" xfId="3" applyFont="1" applyAlignment="1">
      <alignment horizontal="center" vertical="center"/>
    </xf>
    <xf numFmtId="0" fontId="7" fillId="0" borderId="0" xfId="3" applyFont="1" applyAlignment="1">
      <alignment horizontal="center" vertical="center" wrapText="1"/>
    </xf>
    <xf numFmtId="0" fontId="7" fillId="0" borderId="0" xfId="3" applyFont="1" applyAlignment="1">
      <alignment horizontal="justify" vertical="center"/>
    </xf>
    <xf numFmtId="164" fontId="7" fillId="0" borderId="0" xfId="8" applyNumberFormat="1" applyFont="1" applyAlignment="1">
      <alignment horizontal="center" vertical="center"/>
    </xf>
    <xf numFmtId="44" fontId="7" fillId="0" borderId="0" xfId="8" applyFont="1" applyAlignment="1">
      <alignment horizontal="right" vertical="center"/>
    </xf>
    <xf numFmtId="0" fontId="24" fillId="6" borderId="15" xfId="3" applyFont="1" applyFill="1" applyBorder="1" applyAlignment="1">
      <alignment horizontal="center" vertical="center"/>
    </xf>
    <xf numFmtId="0" fontId="24" fillId="6" borderId="18" xfId="3" applyFont="1" applyFill="1" applyBorder="1" applyAlignment="1">
      <alignment horizontal="center" vertical="center"/>
    </xf>
    <xf numFmtId="164" fontId="35" fillId="0" borderId="0" xfId="8" applyNumberFormat="1" applyFont="1" applyBorder="1" applyAlignment="1">
      <alignment horizontal="right" vertical="center"/>
    </xf>
    <xf numFmtId="9" fontId="35" fillId="0" borderId="0" xfId="9" applyFont="1" applyBorder="1" applyAlignment="1">
      <alignment horizontal="center" vertical="center"/>
    </xf>
    <xf numFmtId="0" fontId="21" fillId="0" borderId="15" xfId="3" applyFont="1" applyBorder="1" applyAlignment="1">
      <alignment horizontal="center" vertical="center"/>
    </xf>
    <xf numFmtId="164" fontId="36" fillId="4" borderId="33" xfId="8" applyNumberFormat="1" applyFont="1" applyFill="1" applyBorder="1" applyAlignment="1">
      <alignment vertical="center" wrapText="1"/>
    </xf>
    <xf numFmtId="164" fontId="36" fillId="0" borderId="35" xfId="8" applyNumberFormat="1" applyFont="1" applyBorder="1" applyAlignment="1">
      <alignment horizontal="center" vertical="center"/>
    </xf>
    <xf numFmtId="164" fontId="36" fillId="4" borderId="26" xfId="8" applyNumberFormat="1" applyFont="1" applyFill="1" applyBorder="1" applyAlignment="1">
      <alignment vertical="center" wrapText="1"/>
    </xf>
    <xf numFmtId="164" fontId="36" fillId="0" borderId="27" xfId="8" applyNumberFormat="1" applyFont="1" applyBorder="1" applyAlignment="1">
      <alignment horizontal="center" vertical="center"/>
    </xf>
    <xf numFmtId="164" fontId="36" fillId="4" borderId="28" xfId="8" applyNumberFormat="1" applyFont="1" applyFill="1" applyBorder="1" applyAlignment="1">
      <alignment vertical="center" wrapText="1"/>
    </xf>
    <xf numFmtId="164" fontId="36" fillId="0" borderId="30" xfId="8" applyNumberFormat="1" applyFont="1" applyBorder="1" applyAlignment="1">
      <alignment horizontal="center" vertical="center"/>
    </xf>
    <xf numFmtId="0" fontId="7" fillId="0" borderId="43" xfId="3" applyFont="1" applyBorder="1" applyAlignment="1">
      <alignment horizontal="center" vertical="center"/>
    </xf>
    <xf numFmtId="0" fontId="7" fillId="0" borderId="39" xfId="3" applyFont="1" applyBorder="1" applyAlignment="1">
      <alignment horizontal="center" vertical="center"/>
    </xf>
    <xf numFmtId="0" fontId="28" fillId="0" borderId="39" xfId="3" applyFont="1" applyBorder="1" applyAlignment="1">
      <alignment horizontal="center" vertical="center"/>
    </xf>
    <xf numFmtId="0" fontId="7" fillId="0" borderId="25" xfId="3" applyFont="1" applyBorder="1" applyAlignment="1">
      <alignment horizontal="center" vertical="center"/>
    </xf>
    <xf numFmtId="0" fontId="27" fillId="0" borderId="45" xfId="0" applyFont="1" applyBorder="1" applyAlignment="1">
      <alignment horizontal="left" vertical="center" wrapText="1"/>
    </xf>
    <xf numFmtId="3" fontId="17" fillId="0" borderId="34" xfId="2" applyNumberFormat="1" applyFont="1" applyBorder="1" applyAlignment="1">
      <alignment horizontal="center" vertical="center" wrapText="1"/>
    </xf>
    <xf numFmtId="0" fontId="17" fillId="0" borderId="34" xfId="2" applyFont="1" applyBorder="1" applyAlignment="1">
      <alignment horizontal="center" vertical="center" wrapText="1"/>
    </xf>
    <xf numFmtId="0" fontId="17" fillId="0" borderId="35" xfId="2" applyFont="1" applyBorder="1" applyAlignment="1">
      <alignment horizontal="center" vertical="center"/>
    </xf>
    <xf numFmtId="0" fontId="17" fillId="0" borderId="27" xfId="2" applyFont="1" applyBorder="1" applyAlignment="1">
      <alignment horizontal="center" vertical="center" wrapText="1"/>
    </xf>
    <xf numFmtId="0" fontId="7" fillId="0" borderId="29" xfId="3" applyFont="1" applyBorder="1" applyAlignment="1">
      <alignment horizontal="center" vertical="center" wrapText="1"/>
    </xf>
    <xf numFmtId="49" fontId="27" fillId="0" borderId="29" xfId="0" applyNumberFormat="1" applyFont="1" applyBorder="1" applyAlignment="1" applyProtection="1">
      <alignment horizontal="left" vertical="center" wrapText="1"/>
      <protection hidden="1"/>
    </xf>
    <xf numFmtId="0" fontId="17" fillId="0" borderId="30" xfId="2" applyFont="1" applyBorder="1" applyAlignment="1">
      <alignment horizontal="center" vertical="center" wrapText="1"/>
    </xf>
    <xf numFmtId="164" fontId="6" fillId="0" borderId="33" xfId="8" applyNumberFormat="1" applyFont="1" applyBorder="1" applyAlignment="1">
      <alignment horizontal="left" vertical="center" wrapText="1"/>
    </xf>
    <xf numFmtId="42" fontId="6" fillId="0" borderId="34" xfId="5" applyFont="1" applyBorder="1" applyAlignment="1">
      <alignment horizontal="left" vertical="center" wrapText="1"/>
    </xf>
    <xf numFmtId="42" fontId="6" fillId="0" borderId="35" xfId="5" applyFont="1" applyBorder="1" applyAlignment="1">
      <alignment horizontal="left" vertical="center" wrapText="1"/>
    </xf>
    <xf numFmtId="164" fontId="6" fillId="0" borderId="37" xfId="8" applyNumberFormat="1" applyFont="1" applyBorder="1" applyAlignment="1">
      <alignment horizontal="center" vertical="center" wrapText="1"/>
    </xf>
    <xf numFmtId="42" fontId="6" fillId="0" borderId="18" xfId="5" applyFont="1" applyBorder="1" applyAlignment="1">
      <alignment horizontal="left" vertical="center" wrapText="1"/>
    </xf>
    <xf numFmtId="42" fontId="6" fillId="0" borderId="36" xfId="5" applyFont="1" applyBorder="1" applyAlignment="1">
      <alignment horizontal="left" vertical="center" wrapText="1"/>
    </xf>
    <xf numFmtId="164" fontId="6" fillId="0" borderId="33" xfId="8" applyNumberFormat="1" applyFont="1" applyBorder="1" applyAlignment="1">
      <alignment horizontal="center" vertical="center" wrapText="1"/>
    </xf>
    <xf numFmtId="44" fontId="6" fillId="0" borderId="37" xfId="8" applyFont="1" applyBorder="1" applyAlignment="1">
      <alignment vertical="center"/>
    </xf>
    <xf numFmtId="164" fontId="6" fillId="0" borderId="33" xfId="8" applyNumberFormat="1" applyFont="1" applyBorder="1" applyAlignment="1">
      <alignment vertical="center"/>
    </xf>
    <xf numFmtId="9" fontId="6" fillId="0" borderId="34" xfId="9" applyFont="1" applyBorder="1" applyAlignment="1">
      <alignment horizontal="center" vertical="center"/>
    </xf>
    <xf numFmtId="164" fontId="6" fillId="0" borderId="34" xfId="8" applyNumberFormat="1" applyFont="1" applyBorder="1" applyAlignment="1">
      <alignment horizontal="center" vertical="center"/>
    </xf>
    <xf numFmtId="164" fontId="6" fillId="0" borderId="34" xfId="3" applyNumberFormat="1" applyFont="1" applyBorder="1" applyAlignment="1">
      <alignment horizontal="center" vertical="center"/>
    </xf>
    <xf numFmtId="164" fontId="6" fillId="0" borderId="31" xfId="8" applyNumberFormat="1" applyFont="1" applyBorder="1" applyAlignment="1">
      <alignment horizontal="left" vertical="center" wrapText="1"/>
    </xf>
    <xf numFmtId="42" fontId="6" fillId="0" borderId="32" xfId="5" applyFont="1" applyBorder="1" applyAlignment="1">
      <alignment horizontal="left" vertical="center" wrapText="1"/>
    </xf>
    <xf numFmtId="164" fontId="6" fillId="0" borderId="31" xfId="8" applyNumberFormat="1" applyFont="1" applyBorder="1" applyAlignment="1">
      <alignment horizontal="center" vertical="center" wrapText="1"/>
    </xf>
    <xf numFmtId="0" fontId="6" fillId="0" borderId="24" xfId="3" applyFont="1" applyBorder="1"/>
    <xf numFmtId="164" fontId="6" fillId="0" borderId="31" xfId="8" applyNumberFormat="1" applyFont="1" applyBorder="1" applyAlignment="1">
      <alignment vertical="center"/>
    </xf>
    <xf numFmtId="164" fontId="6" fillId="0" borderId="15" xfId="3" applyNumberFormat="1" applyFont="1" applyBorder="1" applyAlignment="1">
      <alignment vertical="center"/>
    </xf>
    <xf numFmtId="44" fontId="6" fillId="0" borderId="15" xfId="8" applyFont="1" applyBorder="1" applyAlignment="1">
      <alignment horizontal="right" vertical="center"/>
    </xf>
    <xf numFmtId="9" fontId="6" fillId="0" borderId="18" xfId="9" applyFont="1" applyBorder="1" applyAlignment="1">
      <alignment horizontal="center" vertical="center"/>
    </xf>
    <xf numFmtId="164" fontId="6" fillId="0" borderId="15" xfId="8" applyNumberFormat="1" applyFont="1" applyBorder="1" applyAlignment="1">
      <alignment horizontal="center" vertical="center"/>
    </xf>
    <xf numFmtId="164" fontId="6" fillId="0" borderId="18" xfId="3" applyNumberFormat="1" applyFont="1" applyBorder="1" applyAlignment="1">
      <alignment horizontal="center" vertical="center"/>
    </xf>
    <xf numFmtId="164" fontId="6" fillId="0" borderId="26" xfId="8" applyNumberFormat="1" applyFont="1" applyBorder="1" applyAlignment="1">
      <alignment horizontal="left" vertical="center" wrapText="1"/>
    </xf>
    <xf numFmtId="164" fontId="6" fillId="0" borderId="24" xfId="8" applyNumberFormat="1" applyFont="1" applyBorder="1" applyAlignment="1">
      <alignment horizontal="center" vertical="center"/>
    </xf>
    <xf numFmtId="164" fontId="6" fillId="0" borderId="26" xfId="8" applyNumberFormat="1" applyFont="1" applyBorder="1" applyAlignment="1">
      <alignment horizontal="center" vertical="center"/>
    </xf>
    <xf numFmtId="42" fontId="6" fillId="0" borderId="15" xfId="5" applyFont="1" applyBorder="1" applyAlignment="1">
      <alignment horizontal="left" vertical="center" wrapText="1"/>
    </xf>
    <xf numFmtId="164" fontId="6" fillId="0" borderId="24" xfId="8" applyNumberFormat="1" applyFont="1" applyBorder="1" applyAlignment="1">
      <alignment horizontal="left" vertical="center" wrapText="1"/>
    </xf>
    <xf numFmtId="164" fontId="6" fillId="0" borderId="26" xfId="8" applyNumberFormat="1" applyFont="1" applyFill="1" applyBorder="1" applyAlignment="1">
      <alignment horizontal="left" vertical="center" wrapText="1"/>
    </xf>
    <xf numFmtId="42" fontId="6" fillId="0" borderId="15" xfId="5" applyFont="1" applyFill="1" applyBorder="1" applyAlignment="1">
      <alignment horizontal="left" vertical="center" wrapText="1"/>
    </xf>
    <xf numFmtId="42" fontId="6" fillId="0" borderId="27" xfId="5" applyFont="1" applyFill="1" applyBorder="1" applyAlignment="1">
      <alignment horizontal="left" vertical="center" wrapText="1"/>
    </xf>
    <xf numFmtId="164" fontId="6" fillId="0" borderId="24" xfId="8" applyNumberFormat="1" applyFont="1" applyFill="1" applyBorder="1" applyAlignment="1">
      <alignment horizontal="center" vertical="center"/>
    </xf>
    <xf numFmtId="42" fontId="6" fillId="0" borderId="25" xfId="5" applyFont="1" applyFill="1" applyBorder="1" applyAlignment="1">
      <alignment horizontal="left" vertical="center" wrapText="1"/>
    </xf>
    <xf numFmtId="164" fontId="6" fillId="0" borderId="26" xfId="8" applyNumberFormat="1" applyFont="1" applyFill="1" applyBorder="1" applyAlignment="1">
      <alignment horizontal="center" vertical="center"/>
    </xf>
    <xf numFmtId="164" fontId="6" fillId="0" borderId="26" xfId="8" applyNumberFormat="1" applyFont="1" applyFill="1" applyBorder="1" applyAlignment="1">
      <alignment vertical="center"/>
    </xf>
    <xf numFmtId="44" fontId="6" fillId="0" borderId="15" xfId="8" applyFont="1" applyFill="1" applyBorder="1" applyAlignment="1">
      <alignment horizontal="right" vertical="center"/>
    </xf>
    <xf numFmtId="9" fontId="6" fillId="0" borderId="15" xfId="9" applyFont="1" applyFill="1" applyBorder="1" applyAlignment="1">
      <alignment horizontal="center" vertical="center"/>
    </xf>
    <xf numFmtId="164" fontId="6" fillId="0" borderId="15" xfId="8" applyNumberFormat="1" applyFont="1" applyFill="1" applyBorder="1" applyAlignment="1">
      <alignment horizontal="center" vertical="center"/>
    </xf>
    <xf numFmtId="164" fontId="6" fillId="0" borderId="15" xfId="3" applyNumberFormat="1" applyFont="1" applyBorder="1" applyAlignment="1">
      <alignment horizontal="center" vertical="center"/>
    </xf>
    <xf numFmtId="164" fontId="6" fillId="3" borderId="26" xfId="8" applyNumberFormat="1" applyFont="1" applyFill="1" applyBorder="1" applyAlignment="1" applyProtection="1">
      <alignment horizontal="center" vertical="center" wrapText="1"/>
      <protection locked="0"/>
    </xf>
    <xf numFmtId="164" fontId="6" fillId="3" borderId="24" xfId="8" applyNumberFormat="1" applyFont="1" applyFill="1" applyBorder="1" applyAlignment="1" applyProtection="1">
      <alignment horizontal="center" vertical="center" wrapText="1"/>
      <protection locked="0"/>
    </xf>
    <xf numFmtId="164" fontId="6" fillId="3" borderId="26" xfId="0" applyNumberFormat="1" applyFont="1" applyFill="1" applyBorder="1" applyAlignment="1" applyProtection="1">
      <alignment horizontal="center" vertical="center" wrapText="1"/>
      <protection locked="0" hidden="1"/>
    </xf>
    <xf numFmtId="165" fontId="6" fillId="3" borderId="26" xfId="8" applyNumberFormat="1" applyFont="1" applyFill="1" applyBorder="1" applyAlignment="1" applyProtection="1">
      <alignment horizontal="center" vertical="center" wrapText="1"/>
      <protection locked="0" hidden="1"/>
    </xf>
    <xf numFmtId="42" fontId="6" fillId="3" borderId="26" xfId="0" applyNumberFormat="1" applyFont="1" applyFill="1" applyBorder="1" applyAlignment="1">
      <alignment vertical="center" wrapText="1"/>
    </xf>
    <xf numFmtId="42" fontId="6" fillId="3" borderId="24" xfId="0" applyNumberFormat="1" applyFont="1" applyFill="1" applyBorder="1" applyAlignment="1">
      <alignment vertical="center" wrapText="1"/>
    </xf>
    <xf numFmtId="164" fontId="6" fillId="3" borderId="26" xfId="8" applyNumberFormat="1" applyFont="1" applyFill="1" applyBorder="1" applyAlignment="1" applyProtection="1">
      <alignment horizontal="center" vertical="center" wrapText="1"/>
      <protection locked="0" hidden="1"/>
    </xf>
    <xf numFmtId="164" fontId="6" fillId="3" borderId="39" xfId="8" applyNumberFormat="1" applyFont="1" applyFill="1" applyBorder="1" applyAlignment="1" applyProtection="1">
      <alignment horizontal="center" vertical="center" wrapText="1"/>
      <protection locked="0"/>
    </xf>
    <xf numFmtId="164" fontId="28" fillId="3" borderId="26" xfId="8" applyNumberFormat="1" applyFont="1" applyFill="1" applyBorder="1" applyAlignment="1" applyProtection="1">
      <alignment horizontal="center" vertical="center" wrapText="1"/>
      <protection locked="0"/>
    </xf>
    <xf numFmtId="42" fontId="6" fillId="0" borderId="26" xfId="0" applyNumberFormat="1" applyFont="1" applyBorder="1" applyAlignment="1">
      <alignment vertical="center" wrapText="1"/>
    </xf>
    <xf numFmtId="166" fontId="6" fillId="0" borderId="34" xfId="8" applyNumberFormat="1" applyFont="1" applyBorder="1" applyAlignment="1">
      <alignment vertical="center" wrapText="1"/>
    </xf>
    <xf numFmtId="166" fontId="6" fillId="0" borderId="15" xfId="8" applyNumberFormat="1" applyFont="1" applyBorder="1" applyAlignment="1">
      <alignment vertical="center" wrapText="1"/>
    </xf>
    <xf numFmtId="166" fontId="6" fillId="0" borderId="41" xfId="8" applyNumberFormat="1" applyFont="1" applyBorder="1" applyAlignment="1">
      <alignment vertical="center" wrapText="1"/>
    </xf>
    <xf numFmtId="42" fontId="6" fillId="0" borderId="29" xfId="5" applyFont="1" applyFill="1" applyBorder="1" applyAlignment="1">
      <alignment horizontal="left" vertical="center" wrapText="1"/>
    </xf>
    <xf numFmtId="164" fontId="6" fillId="0" borderId="29" xfId="3" applyNumberFormat="1" applyFont="1" applyBorder="1" applyAlignment="1">
      <alignment horizontal="center" vertical="center"/>
    </xf>
    <xf numFmtId="42" fontId="6" fillId="0" borderId="30" xfId="5" applyFont="1" applyFill="1" applyBorder="1" applyAlignment="1">
      <alignment horizontal="left" vertical="center" wrapText="1"/>
    </xf>
    <xf numFmtId="164" fontId="6" fillId="0" borderId="28" xfId="8" applyNumberFormat="1" applyFont="1" applyFill="1" applyBorder="1" applyAlignment="1">
      <alignment horizontal="center" vertical="center"/>
    </xf>
    <xf numFmtId="164" fontId="6" fillId="0" borderId="29" xfId="3" applyNumberFormat="1" applyFont="1" applyBorder="1" applyAlignment="1">
      <alignment vertical="center"/>
    </xf>
    <xf numFmtId="0" fontId="6" fillId="0" borderId="28" xfId="3" applyFont="1" applyBorder="1"/>
    <xf numFmtId="164" fontId="6" fillId="0" borderId="28" xfId="8" applyNumberFormat="1" applyFont="1" applyFill="1" applyBorder="1" applyAlignment="1">
      <alignment vertical="center"/>
    </xf>
    <xf numFmtId="44" fontId="6" fillId="0" borderId="29" xfId="8" applyFont="1" applyFill="1" applyBorder="1" applyAlignment="1">
      <alignment horizontal="right" vertical="center"/>
    </xf>
    <xf numFmtId="9" fontId="6" fillId="0" borderId="29" xfId="9" applyFont="1" applyFill="1" applyBorder="1" applyAlignment="1">
      <alignment horizontal="center" vertical="center"/>
    </xf>
    <xf numFmtId="164" fontId="6" fillId="0" borderId="29" xfId="8" applyNumberFormat="1" applyFont="1" applyFill="1" applyBorder="1" applyAlignment="1">
      <alignment horizontal="center" vertical="center"/>
    </xf>
    <xf numFmtId="0" fontId="7" fillId="0" borderId="25" xfId="3" applyFont="1" applyBorder="1" applyAlignment="1">
      <alignment horizontal="center" vertical="center" wrapText="1"/>
    </xf>
    <xf numFmtId="0" fontId="17" fillId="0" borderId="24" xfId="2" applyFont="1" applyBorder="1" applyAlignment="1">
      <alignment horizontal="center" vertical="center" wrapText="1"/>
    </xf>
    <xf numFmtId="0" fontId="29" fillId="3" borderId="15" xfId="0" applyFont="1" applyFill="1" applyBorder="1" applyAlignment="1">
      <alignment vertical="top" wrapText="1"/>
    </xf>
    <xf numFmtId="164" fontId="7" fillId="7" borderId="0" xfId="8" applyNumberFormat="1" applyFont="1" applyFill="1" applyAlignment="1">
      <alignment vertical="center"/>
    </xf>
    <xf numFmtId="164" fontId="7" fillId="0" borderId="0" xfId="8" applyNumberFormat="1" applyFont="1" applyAlignment="1">
      <alignment vertical="center"/>
    </xf>
    <xf numFmtId="9" fontId="6" fillId="0" borderId="25" xfId="9" applyFont="1" applyFill="1" applyBorder="1" applyAlignment="1">
      <alignment horizontal="center" vertical="center"/>
    </xf>
    <xf numFmtId="0" fontId="7" fillId="0" borderId="48" xfId="3" applyFont="1" applyBorder="1"/>
    <xf numFmtId="0" fontId="5" fillId="0" borderId="15" xfId="3" applyFont="1" applyBorder="1" applyAlignment="1">
      <alignment horizontal="center" vertical="center" wrapText="1"/>
    </xf>
    <xf numFmtId="0" fontId="5" fillId="0" borderId="15" xfId="3" applyFont="1" applyBorder="1" applyAlignment="1">
      <alignment horizontal="center" vertical="top" wrapText="1"/>
    </xf>
    <xf numFmtId="0" fontId="37" fillId="0" borderId="15" xfId="0" applyFont="1" applyBorder="1" applyAlignment="1">
      <alignment horizontal="center" vertical="center"/>
    </xf>
    <xf numFmtId="0" fontId="5" fillId="0" borderId="15" xfId="3" applyFont="1" applyBorder="1" applyAlignment="1">
      <alignment horizontal="center" vertical="center"/>
    </xf>
    <xf numFmtId="9" fontId="6" fillId="0" borderId="47" xfId="9" applyFont="1" applyBorder="1" applyAlignment="1">
      <alignment horizontal="center" vertical="center"/>
    </xf>
    <xf numFmtId="9" fontId="6" fillId="0" borderId="25" xfId="9" applyFont="1" applyBorder="1" applyAlignment="1">
      <alignment horizontal="center" vertical="center"/>
    </xf>
    <xf numFmtId="9" fontId="6" fillId="0" borderId="49" xfId="9" applyFont="1" applyFill="1" applyBorder="1" applyAlignment="1">
      <alignment horizontal="center" vertical="center"/>
    </xf>
    <xf numFmtId="0" fontId="7" fillId="0" borderId="50" xfId="3" applyFont="1" applyBorder="1"/>
    <xf numFmtId="0" fontId="7" fillId="0" borderId="51" xfId="3" applyFont="1" applyBorder="1"/>
    <xf numFmtId="0" fontId="21" fillId="8" borderId="52" xfId="0" applyFont="1" applyFill="1" applyBorder="1" applyAlignment="1">
      <alignment horizontal="center" vertical="center" wrapText="1"/>
    </xf>
    <xf numFmtId="0" fontId="21" fillId="8" borderId="53" xfId="0" applyFont="1" applyFill="1" applyBorder="1" applyAlignment="1">
      <alignment horizontal="center" vertical="center" wrapText="1"/>
    </xf>
    <xf numFmtId="0" fontId="21" fillId="8" borderId="54" xfId="0" applyFont="1" applyFill="1" applyBorder="1" applyAlignment="1">
      <alignment horizontal="center" vertical="center" wrapText="1"/>
    </xf>
    <xf numFmtId="0" fontId="27" fillId="0" borderId="15" xfId="0" applyFont="1" applyBorder="1" applyAlignment="1">
      <alignment horizontal="center" vertical="center" wrapText="1"/>
    </xf>
    <xf numFmtId="0" fontId="5" fillId="0" borderId="35" xfId="3" applyFont="1" applyBorder="1" applyAlignment="1">
      <alignment horizontal="center" vertical="center" wrapText="1"/>
    </xf>
    <xf numFmtId="0" fontId="5" fillId="0" borderId="26" xfId="3" applyFont="1" applyBorder="1" applyAlignment="1">
      <alignment horizontal="center" vertical="center" wrapText="1"/>
    </xf>
    <xf numFmtId="0" fontId="5" fillId="0" borderId="27" xfId="3" applyFont="1" applyBorder="1" applyAlignment="1">
      <alignment horizontal="center" vertical="center" wrapText="1"/>
    </xf>
    <xf numFmtId="0" fontId="5" fillId="0" borderId="26" xfId="3" applyFont="1" applyBorder="1" applyAlignment="1">
      <alignment horizontal="center" vertical="top" wrapText="1"/>
    </xf>
    <xf numFmtId="0" fontId="5" fillId="0" borderId="27" xfId="3" applyFont="1" applyBorder="1" applyAlignment="1">
      <alignment horizontal="center" vertical="top" wrapText="1"/>
    </xf>
    <xf numFmtId="0" fontId="5" fillId="0" borderId="26" xfId="3" applyFont="1" applyBorder="1" applyAlignment="1">
      <alignment vertical="center" wrapText="1"/>
    </xf>
    <xf numFmtId="0" fontId="5" fillId="0" borderId="27" xfId="3" applyFont="1" applyBorder="1" applyAlignment="1">
      <alignment horizontal="center" vertical="center"/>
    </xf>
    <xf numFmtId="0" fontId="37" fillId="0" borderId="26" xfId="0" applyFont="1" applyBorder="1" applyAlignment="1">
      <alignment horizontal="center" vertical="center" wrapText="1"/>
    </xf>
    <xf numFmtId="0" fontId="37" fillId="0" borderId="27" xfId="0" applyFont="1" applyBorder="1" applyAlignment="1">
      <alignment horizontal="center" vertical="center"/>
    </xf>
    <xf numFmtId="0" fontId="27" fillId="0" borderId="26" xfId="0" applyFont="1" applyBorder="1" applyAlignment="1">
      <alignment horizontal="center" vertical="center" wrapText="1"/>
    </xf>
    <xf numFmtId="0" fontId="27" fillId="0" borderId="27" xfId="0" applyFont="1" applyBorder="1" applyAlignment="1">
      <alignment horizontal="center" vertical="center" wrapText="1"/>
    </xf>
    <xf numFmtId="43" fontId="6" fillId="0" borderId="34" xfId="10" applyFont="1" applyBorder="1" applyAlignment="1">
      <alignment horizontal="right" vertical="center"/>
    </xf>
    <xf numFmtId="0" fontId="7" fillId="6" borderId="0" xfId="3" applyFont="1" applyFill="1" applyAlignment="1">
      <alignment horizontal="center" vertical="center" wrapText="1"/>
    </xf>
    <xf numFmtId="9" fontId="7" fillId="0" borderId="15" xfId="9" applyFont="1" applyBorder="1" applyAlignment="1">
      <alignment horizontal="center" vertical="center" wrapText="1"/>
    </xf>
    <xf numFmtId="164" fontId="36" fillId="4" borderId="35" xfId="8" applyNumberFormat="1" applyFont="1" applyFill="1" applyBorder="1" applyAlignment="1">
      <alignment horizontal="center" vertical="center"/>
    </xf>
    <xf numFmtId="164" fontId="36" fillId="4" borderId="27" xfId="8" applyNumberFormat="1" applyFont="1" applyFill="1" applyBorder="1" applyAlignment="1">
      <alignment horizontal="center" vertical="center"/>
    </xf>
    <xf numFmtId="164" fontId="36" fillId="4" borderId="30" xfId="8" applyNumberFormat="1" applyFont="1" applyFill="1" applyBorder="1" applyAlignment="1">
      <alignment horizontal="center" vertical="center"/>
    </xf>
    <xf numFmtId="0" fontId="4" fillId="0" borderId="33" xfId="3" applyFont="1" applyBorder="1" applyAlignment="1">
      <alignment horizontal="center" vertical="center" wrapText="1"/>
    </xf>
    <xf numFmtId="0" fontId="4" fillId="0" borderId="34" xfId="3" applyFont="1" applyBorder="1" applyAlignment="1">
      <alignment horizontal="center" vertical="center" wrapText="1"/>
    </xf>
    <xf numFmtId="0" fontId="4" fillId="0" borderId="15" xfId="3" applyFont="1" applyBorder="1" applyAlignment="1">
      <alignment horizontal="center" vertical="center" wrapText="1"/>
    </xf>
    <xf numFmtId="0" fontId="4" fillId="0" borderId="27" xfId="3" applyFont="1" applyBorder="1" applyAlignment="1">
      <alignment horizontal="center" vertical="center" wrapText="1"/>
    </xf>
    <xf numFmtId="0" fontId="4" fillId="0" borderId="26" xfId="3" applyFont="1" applyBorder="1" applyAlignment="1">
      <alignment horizontal="center" vertical="center" wrapText="1"/>
    </xf>
    <xf numFmtId="0" fontId="16" fillId="10" borderId="44" xfId="0" applyFont="1" applyFill="1" applyBorder="1" applyAlignment="1">
      <alignment horizontal="center" vertical="center"/>
    </xf>
    <xf numFmtId="0" fontId="16" fillId="10" borderId="46" xfId="0" applyFont="1" applyFill="1" applyBorder="1" applyAlignment="1">
      <alignment horizontal="center" vertical="center"/>
    </xf>
    <xf numFmtId="0" fontId="7" fillId="4" borderId="26" xfId="3" applyFont="1" applyFill="1" applyBorder="1" applyAlignment="1">
      <alignment horizontal="center" vertical="center"/>
    </xf>
    <xf numFmtId="0" fontId="21" fillId="0" borderId="15" xfId="0" applyFont="1" applyBorder="1" applyAlignment="1">
      <alignment horizontal="center"/>
    </xf>
    <xf numFmtId="164" fontId="0" fillId="0" borderId="15" xfId="8" applyNumberFormat="1" applyFont="1" applyBorder="1"/>
    <xf numFmtId="164" fontId="21" fillId="0" borderId="15" xfId="0" applyNumberFormat="1" applyFont="1" applyBorder="1"/>
    <xf numFmtId="9" fontId="7" fillId="0" borderId="0" xfId="9" applyFont="1" applyBorder="1" applyAlignment="1">
      <alignment horizontal="center" vertical="center" wrapText="1"/>
    </xf>
    <xf numFmtId="0" fontId="27" fillId="0" borderId="45" xfId="0" applyFont="1" applyBorder="1" applyAlignment="1">
      <alignment horizontal="center" vertical="center" wrapText="1"/>
    </xf>
    <xf numFmtId="0" fontId="3" fillId="0" borderId="15" xfId="3" applyFont="1" applyBorder="1" applyAlignment="1">
      <alignment horizontal="center" vertical="center" wrapText="1"/>
    </xf>
    <xf numFmtId="0" fontId="3" fillId="0" borderId="25" xfId="3" applyFont="1" applyBorder="1" applyAlignment="1">
      <alignment horizontal="center" vertical="center" wrapText="1"/>
    </xf>
    <xf numFmtId="0" fontId="3" fillId="0" borderId="29" xfId="3" applyFont="1" applyBorder="1" applyAlignment="1">
      <alignment horizontal="center" vertical="center" wrapText="1"/>
    </xf>
    <xf numFmtId="0" fontId="2" fillId="0" borderId="15" xfId="3" applyFont="1" applyBorder="1" applyAlignment="1">
      <alignment horizontal="justify" vertical="center" wrapText="1"/>
    </xf>
    <xf numFmtId="0" fontId="2" fillId="0" borderId="0" xfId="0" applyFont="1" applyAlignment="1">
      <alignment wrapText="1"/>
    </xf>
    <xf numFmtId="0" fontId="2" fillId="0" borderId="15" xfId="3" applyFont="1" applyBorder="1" applyAlignment="1">
      <alignment horizontal="center" vertical="center" wrapText="1"/>
    </xf>
    <xf numFmtId="164" fontId="0" fillId="0" borderId="0" xfId="0" applyNumberFormat="1"/>
    <xf numFmtId="167" fontId="0" fillId="0" borderId="0" xfId="10" applyNumberFormat="1" applyFont="1"/>
    <xf numFmtId="167" fontId="0" fillId="0" borderId="0" xfId="0" applyNumberFormat="1"/>
    <xf numFmtId="164" fontId="7" fillId="0" borderId="0" xfId="3" applyNumberFormat="1" applyFont="1" applyAlignment="1">
      <alignment horizontal="center" vertical="center"/>
    </xf>
    <xf numFmtId="164" fontId="1" fillId="0" borderId="18" xfId="3" applyNumberFormat="1" applyFont="1" applyBorder="1" applyAlignment="1">
      <alignment horizontal="center" vertical="center"/>
    </xf>
    <xf numFmtId="164" fontId="1" fillId="0" borderId="15" xfId="3" applyNumberFormat="1" applyFont="1" applyBorder="1" applyAlignment="1">
      <alignment horizontal="center" vertical="center"/>
    </xf>
    <xf numFmtId="164" fontId="6" fillId="12" borderId="26" xfId="8" applyNumberFormat="1" applyFont="1" applyFill="1" applyBorder="1" applyAlignment="1">
      <alignment horizontal="left" vertical="center" wrapText="1"/>
    </xf>
    <xf numFmtId="42" fontId="6" fillId="12" borderId="15" xfId="5" applyFont="1" applyFill="1" applyBorder="1" applyAlignment="1">
      <alignment horizontal="left" vertical="center" wrapText="1"/>
    </xf>
    <xf numFmtId="42" fontId="6" fillId="12" borderId="27" xfId="5" applyFont="1" applyFill="1" applyBorder="1" applyAlignment="1">
      <alignment horizontal="left" vertical="center" wrapText="1"/>
    </xf>
    <xf numFmtId="164" fontId="6" fillId="12" borderId="24" xfId="8" applyNumberFormat="1" applyFont="1" applyFill="1" applyBorder="1" applyAlignment="1">
      <alignment horizontal="center" vertical="center"/>
    </xf>
    <xf numFmtId="42" fontId="6" fillId="12" borderId="25" xfId="5" applyFont="1" applyFill="1" applyBorder="1" applyAlignment="1">
      <alignment horizontal="left" vertical="center" wrapText="1"/>
    </xf>
    <xf numFmtId="164" fontId="6" fillId="12" borderId="26" xfId="8" applyNumberFormat="1" applyFont="1" applyFill="1" applyBorder="1" applyAlignment="1">
      <alignment horizontal="center" vertical="center"/>
    </xf>
    <xf numFmtId="0" fontId="6" fillId="12" borderId="24" xfId="3" applyFont="1" applyFill="1" applyBorder="1"/>
    <xf numFmtId="164" fontId="6" fillId="12" borderId="26" xfId="8" applyNumberFormat="1" applyFont="1" applyFill="1" applyBorder="1" applyAlignment="1">
      <alignment vertical="center"/>
    </xf>
    <xf numFmtId="164" fontId="6" fillId="12" borderId="15" xfId="3" applyNumberFormat="1" applyFont="1" applyFill="1" applyBorder="1" applyAlignment="1">
      <alignment vertical="center"/>
    </xf>
    <xf numFmtId="44" fontId="6" fillId="12" borderId="15" xfId="8" applyFont="1" applyFill="1" applyBorder="1" applyAlignment="1">
      <alignment horizontal="right" vertical="center"/>
    </xf>
    <xf numFmtId="9" fontId="6" fillId="12" borderId="15" xfId="9" applyFont="1" applyFill="1" applyBorder="1" applyAlignment="1">
      <alignment horizontal="center" vertical="center"/>
    </xf>
    <xf numFmtId="164" fontId="6" fillId="12" borderId="15" xfId="8" applyNumberFormat="1" applyFont="1" applyFill="1" applyBorder="1" applyAlignment="1">
      <alignment horizontal="center" vertical="center"/>
    </xf>
    <xf numFmtId="164" fontId="6" fillId="12" borderId="15" xfId="3" applyNumberFormat="1" applyFont="1" applyFill="1" applyBorder="1" applyAlignment="1">
      <alignment horizontal="center" vertical="center"/>
    </xf>
    <xf numFmtId="9" fontId="6" fillId="12" borderId="25" xfId="9" applyFont="1" applyFill="1" applyBorder="1" applyAlignment="1">
      <alignment horizontal="center" vertical="center"/>
    </xf>
    <xf numFmtId="0" fontId="5" fillId="12" borderId="26" xfId="3" applyFont="1" applyFill="1" applyBorder="1" applyAlignment="1">
      <alignment horizontal="center" vertical="center" wrapText="1"/>
    </xf>
    <xf numFmtId="0" fontId="5" fillId="12" borderId="15" xfId="3" applyFont="1" applyFill="1" applyBorder="1" applyAlignment="1">
      <alignment horizontal="center" vertical="center" wrapText="1"/>
    </xf>
    <xf numFmtId="0" fontId="5" fillId="12" borderId="27" xfId="3" applyFont="1" applyFill="1" applyBorder="1" applyAlignment="1">
      <alignment horizontal="center" vertical="center" wrapText="1"/>
    </xf>
    <xf numFmtId="0" fontId="7" fillId="12" borderId="48" xfId="3" applyFont="1" applyFill="1" applyBorder="1"/>
    <xf numFmtId="164" fontId="21" fillId="12" borderId="58" xfId="8" applyNumberFormat="1" applyFont="1" applyFill="1" applyBorder="1" applyAlignment="1">
      <alignment horizontal="center" vertical="center" wrapText="1"/>
    </xf>
    <xf numFmtId="0" fontId="21" fillId="12" borderId="55" xfId="2" applyFont="1" applyFill="1" applyBorder="1" applyAlignment="1">
      <alignment horizontal="center" vertical="center" wrapText="1"/>
    </xf>
    <xf numFmtId="0" fontId="21" fillId="12" borderId="59" xfId="2" applyFont="1" applyFill="1" applyBorder="1" applyAlignment="1">
      <alignment horizontal="center" vertical="center" wrapText="1"/>
    </xf>
    <xf numFmtId="164" fontId="21" fillId="12" borderId="60" xfId="8" applyNumberFormat="1" applyFont="1" applyFill="1" applyBorder="1" applyAlignment="1">
      <alignment horizontal="center" vertical="center" wrapText="1"/>
    </xf>
    <xf numFmtId="0" fontId="21" fillId="12" borderId="57" xfId="2" applyFont="1" applyFill="1" applyBorder="1" applyAlignment="1">
      <alignment horizontal="center" vertical="center" wrapText="1"/>
    </xf>
    <xf numFmtId="0" fontId="21" fillId="12" borderId="61" xfId="2" applyFont="1" applyFill="1" applyBorder="1" applyAlignment="1">
      <alignment horizontal="center" vertical="center" wrapText="1"/>
    </xf>
    <xf numFmtId="164" fontId="21" fillId="12" borderId="62" xfId="8" applyNumberFormat="1" applyFont="1" applyFill="1" applyBorder="1" applyAlignment="1">
      <alignment horizontal="center" vertical="center" wrapText="1"/>
    </xf>
    <xf numFmtId="0" fontId="21" fillId="12" borderId="61" xfId="0" applyFont="1" applyFill="1" applyBorder="1" applyAlignment="1">
      <alignment horizontal="center" vertical="center" wrapText="1"/>
    </xf>
    <xf numFmtId="44" fontId="21" fillId="12" borderId="57" xfId="8" applyFont="1" applyFill="1" applyBorder="1" applyAlignment="1">
      <alignment horizontal="center" vertical="center" wrapText="1"/>
    </xf>
    <xf numFmtId="9" fontId="21" fillId="12" borderId="57" xfId="9" applyFont="1" applyFill="1" applyBorder="1" applyAlignment="1">
      <alignment horizontal="center" vertical="center" wrapText="1"/>
    </xf>
    <xf numFmtId="0" fontId="21" fillId="12" borderId="57" xfId="0" applyFont="1" applyFill="1" applyBorder="1" applyAlignment="1">
      <alignment horizontal="center" vertical="center" wrapText="1"/>
    </xf>
    <xf numFmtId="9" fontId="21" fillId="12" borderId="63" xfId="9" applyFont="1" applyFill="1" applyBorder="1" applyAlignment="1">
      <alignment horizontal="center" vertical="center" wrapText="1"/>
    </xf>
    <xf numFmtId="0" fontId="21" fillId="12" borderId="2" xfId="0" applyFont="1" applyFill="1" applyBorder="1" applyAlignment="1">
      <alignment horizontal="center" vertical="center" wrapText="1"/>
    </xf>
    <xf numFmtId="0" fontId="21" fillId="12" borderId="14" xfId="0" applyFont="1" applyFill="1" applyBorder="1" applyAlignment="1">
      <alignment horizontal="center" vertical="center" wrapText="1"/>
    </xf>
    <xf numFmtId="0" fontId="21" fillId="12" borderId="3" xfId="0" applyFont="1" applyFill="1" applyBorder="1" applyAlignment="1">
      <alignment horizontal="center" vertical="center" wrapText="1"/>
    </xf>
    <xf numFmtId="0" fontId="26" fillId="12" borderId="64" xfId="2" applyFont="1" applyFill="1" applyBorder="1" applyAlignment="1">
      <alignment horizontal="center" vertical="center" wrapText="1"/>
    </xf>
    <xf numFmtId="0" fontId="0" fillId="0" borderId="8" xfId="0" applyBorder="1" applyAlignment="1">
      <alignment horizontal="left" vertical="center"/>
    </xf>
    <xf numFmtId="0" fontId="0" fillId="0" borderId="9" xfId="0" applyBorder="1" applyAlignment="1">
      <alignment horizontal="left" vertical="center"/>
    </xf>
    <xf numFmtId="0" fontId="11" fillId="2" borderId="11" xfId="0" applyFont="1" applyFill="1" applyBorder="1" applyAlignment="1">
      <alignment horizontal="left"/>
    </xf>
    <xf numFmtId="0" fontId="11" fillId="2" borderId="9" xfId="0" applyFont="1" applyFill="1" applyBorder="1" applyAlignment="1">
      <alignment horizontal="left"/>
    </xf>
    <xf numFmtId="0" fontId="14" fillId="0" borderId="0" xfId="0" applyFont="1" applyAlignment="1">
      <alignment horizontal="center"/>
    </xf>
    <xf numFmtId="0" fontId="13"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11"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0" fillId="0" borderId="14" xfId="0" applyBorder="1" applyAlignment="1">
      <alignment horizontal="center"/>
    </xf>
    <xf numFmtId="0" fontId="0" fillId="0" borderId="3" xfId="0" applyBorder="1" applyAlignment="1">
      <alignment horizontal="center"/>
    </xf>
    <xf numFmtId="0" fontId="0" fillId="0" borderId="1" xfId="0" applyBorder="1" applyAlignment="1">
      <alignment horizontal="center"/>
    </xf>
    <xf numFmtId="0" fontId="0" fillId="0" borderId="5" xfId="0" applyBorder="1" applyAlignment="1">
      <alignment horizontal="center"/>
    </xf>
    <xf numFmtId="0" fontId="12" fillId="0" borderId="8" xfId="1" applyBorder="1" applyAlignment="1">
      <alignment horizontal="left" vertical="center"/>
    </xf>
    <xf numFmtId="0" fontId="12" fillId="0" borderId="9" xfId="1" applyBorder="1" applyAlignment="1">
      <alignment horizontal="left" vertical="center"/>
    </xf>
    <xf numFmtId="0" fontId="0" fillId="0" borderId="11" xfId="0" applyBorder="1" applyAlignment="1">
      <alignment horizontal="center" vertical="center"/>
    </xf>
    <xf numFmtId="0" fontId="0" fillId="0" borderId="9" xfId="0" applyBorder="1" applyAlignment="1">
      <alignment horizontal="center" vertical="center"/>
    </xf>
    <xf numFmtId="0" fontId="11" fillId="2" borderId="12"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1" fillId="8" borderId="55" xfId="3" applyFont="1" applyFill="1" applyBorder="1" applyAlignment="1">
      <alignment horizontal="center" vertical="center" wrapText="1"/>
    </xf>
    <xf numFmtId="0" fontId="11" fillId="8" borderId="56" xfId="3" applyFont="1" applyFill="1" applyBorder="1" applyAlignment="1">
      <alignment horizontal="center" vertical="center" wrapText="1"/>
    </xf>
    <xf numFmtId="0" fontId="26" fillId="9" borderId="12" xfId="2" applyFont="1" applyFill="1" applyBorder="1" applyAlignment="1">
      <alignment horizontal="center" vertical="center" wrapText="1"/>
    </xf>
    <xf numFmtId="0" fontId="26" fillId="9" borderId="10" xfId="2" applyFont="1" applyFill="1" applyBorder="1" applyAlignment="1">
      <alignment horizontal="center" vertical="center" wrapText="1"/>
    </xf>
    <xf numFmtId="0" fontId="11" fillId="8" borderId="35" xfId="3" applyFont="1" applyFill="1" applyBorder="1" applyAlignment="1">
      <alignment horizontal="center" vertical="center" wrapText="1"/>
    </xf>
    <xf numFmtId="0" fontId="11" fillId="8" borderId="30" xfId="3" applyFont="1" applyFill="1" applyBorder="1" applyAlignment="1">
      <alignment horizontal="center" vertical="center" wrapText="1"/>
    </xf>
    <xf numFmtId="0" fontId="21" fillId="5" borderId="40" xfId="0" applyFont="1" applyFill="1" applyBorder="1" applyAlignment="1">
      <alignment horizontal="center" vertical="center"/>
    </xf>
    <xf numFmtId="0" fontId="21" fillId="5" borderId="38" xfId="0" applyFont="1" applyFill="1" applyBorder="1" applyAlignment="1">
      <alignment horizontal="center" vertical="center"/>
    </xf>
    <xf numFmtId="0" fontId="11" fillId="8" borderId="33" xfId="3" applyFont="1" applyFill="1" applyBorder="1" applyAlignment="1">
      <alignment horizontal="center" vertical="center" wrapText="1"/>
    </xf>
    <xf numFmtId="0" fontId="11" fillId="8" borderId="28" xfId="3" applyFont="1" applyFill="1" applyBorder="1" applyAlignment="1">
      <alignment horizontal="center" vertical="center" wrapText="1"/>
    </xf>
    <xf numFmtId="0" fontId="11" fillId="8" borderId="34" xfId="3" applyFont="1" applyFill="1" applyBorder="1" applyAlignment="1">
      <alignment horizontal="center" vertical="center" wrapText="1"/>
    </xf>
    <xf numFmtId="0" fontId="11" fillId="8" borderId="29" xfId="3" applyFont="1" applyFill="1" applyBorder="1" applyAlignment="1">
      <alignment horizontal="center" vertical="center" wrapText="1"/>
    </xf>
    <xf numFmtId="164" fontId="34" fillId="7" borderId="11" xfId="8" applyNumberFormat="1" applyFont="1" applyFill="1" applyBorder="1" applyAlignment="1">
      <alignment horizontal="center" vertical="center"/>
    </xf>
    <xf numFmtId="164" fontId="34" fillId="7" borderId="9" xfId="8" applyNumberFormat="1" applyFont="1" applyFill="1" applyBorder="1" applyAlignment="1">
      <alignment horizontal="center" vertical="center"/>
    </xf>
    <xf numFmtId="0" fontId="5" fillId="0" borderId="26" xfId="3" applyFont="1" applyBorder="1" applyAlignment="1">
      <alignment horizontal="center" vertical="center" wrapText="1"/>
    </xf>
    <xf numFmtId="0" fontId="5" fillId="0" borderId="15" xfId="3" applyFont="1" applyBorder="1" applyAlignment="1">
      <alignment horizontal="center" vertical="center" wrapText="1"/>
    </xf>
    <xf numFmtId="0" fontId="5" fillId="0" borderId="27" xfId="3" applyFont="1" applyBorder="1" applyAlignment="1">
      <alignment horizontal="center" vertical="center" wrapText="1"/>
    </xf>
    <xf numFmtId="0" fontId="5" fillId="0" borderId="28" xfId="3" applyFont="1" applyBorder="1" applyAlignment="1">
      <alignment horizontal="center" vertical="center" wrapText="1"/>
    </xf>
    <xf numFmtId="0" fontId="5" fillId="0" borderId="29" xfId="3" applyFont="1" applyBorder="1" applyAlignment="1">
      <alignment horizontal="center" vertical="center" wrapText="1"/>
    </xf>
    <xf numFmtId="0" fontId="5" fillId="0" borderId="30" xfId="3" applyFont="1" applyBorder="1" applyAlignment="1">
      <alignment horizontal="center" vertical="center" wrapText="1"/>
    </xf>
    <xf numFmtId="0" fontId="5" fillId="0" borderId="39" xfId="3" applyFont="1" applyBorder="1" applyAlignment="1">
      <alignment horizontal="center" vertical="center" wrapText="1"/>
    </xf>
    <xf numFmtId="0" fontId="5" fillId="0" borderId="42" xfId="3" applyFont="1" applyBorder="1" applyAlignment="1">
      <alignment horizontal="center" vertical="center" wrapText="1"/>
    </xf>
    <xf numFmtId="0" fontId="5" fillId="0" borderId="48" xfId="3" applyFont="1" applyBorder="1" applyAlignment="1">
      <alignment horizontal="center" vertical="center" wrapText="1"/>
    </xf>
    <xf numFmtId="0" fontId="4" fillId="0" borderId="39" xfId="3" applyFont="1" applyBorder="1" applyAlignment="1">
      <alignment horizontal="center" vertical="center" wrapText="1"/>
    </xf>
    <xf numFmtId="0" fontId="21" fillId="12" borderId="2" xfId="0" applyFont="1" applyFill="1" applyBorder="1" applyAlignment="1">
      <alignment horizontal="center" vertical="center"/>
    </xf>
    <xf numFmtId="0" fontId="21" fillId="12" borderId="14" xfId="0" applyFont="1" applyFill="1" applyBorder="1" applyAlignment="1">
      <alignment horizontal="center" vertical="center"/>
    </xf>
    <xf numFmtId="0" fontId="21" fillId="12" borderId="3" xfId="0" applyFont="1" applyFill="1" applyBorder="1" applyAlignment="1">
      <alignment horizontal="center" vertical="center"/>
    </xf>
    <xf numFmtId="0" fontId="21" fillId="11" borderId="15" xfId="0" applyFont="1" applyFill="1" applyBorder="1" applyAlignment="1">
      <alignment horizontal="center"/>
    </xf>
  </cellXfs>
  <cellStyles count="11">
    <cellStyle name="Hipervínculo" xfId="1" builtinId="8"/>
    <cellStyle name="Millares" xfId="10" builtinId="3"/>
    <cellStyle name="Moneda" xfId="8" builtinId="4"/>
    <cellStyle name="Moneda [0]" xfId="5" builtinId="7"/>
    <cellStyle name="Moneda [0] 2" xfId="4" xr:uid="{661B2E71-46EB-4BE3-ACFA-42D3E629C1F8}"/>
    <cellStyle name="Moneda [0] 3" xfId="6" xr:uid="{54D07F85-F4D8-47D8-8DA5-7FFE380987BB}"/>
    <cellStyle name="Normal" xfId="0" builtinId="0"/>
    <cellStyle name="Normal 2" xfId="3" xr:uid="{8DF38A20-E747-486A-B87D-FFB83E242EC9}"/>
    <cellStyle name="Normal 2 3" xfId="7" xr:uid="{98AA87A7-8A64-4A6A-A3DC-152BF7FF5DE8}"/>
    <cellStyle name="Normal 3" xfId="2" xr:uid="{9BACF7B7-95D3-4067-AFDA-493D0394ED0A}"/>
    <cellStyle name="Porcentaje" xfId="9"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2652736</xdr:colOff>
      <xdr:row>0</xdr:row>
      <xdr:rowOff>129541</xdr:rowOff>
    </xdr:from>
    <xdr:to>
      <xdr:col>5</xdr:col>
      <xdr:colOff>3542660</xdr:colOff>
      <xdr:row>2</xdr:row>
      <xdr:rowOff>114301</xdr:rowOff>
    </xdr:to>
    <xdr:pic>
      <xdr:nvPicPr>
        <xdr:cNvPr id="3" name="gráficos1">
          <a:extLst>
            <a:ext uri="{FF2B5EF4-FFF2-40B4-BE49-F238E27FC236}">
              <a16:creationId xmlns:a16="http://schemas.microsoft.com/office/drawing/2014/main" id="{9C609169-E954-46B3-97E9-C6832AF5F7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45716" y="129541"/>
          <a:ext cx="889924" cy="617220"/>
        </a:xfrm>
        <a:prstGeom prst="rect">
          <a:avLst/>
        </a:prstGeom>
        <a:solidFill>
          <a:srgbClr val="FFFFFF"/>
        </a:solid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8D412-6C48-42AC-9906-498F63303065}">
  <dimension ref="A1:G25"/>
  <sheetViews>
    <sheetView topLeftCell="A21" workbookViewId="0">
      <selection activeCell="C6" sqref="C6:F6"/>
    </sheetView>
  </sheetViews>
  <sheetFormatPr baseColWidth="10" defaultRowHeight="15.75" x14ac:dyDescent="0.25"/>
  <cols>
    <col min="1" max="1" width="11.125" style="1"/>
    <col min="2" max="2" width="25.5" customWidth="1"/>
    <col min="6" max="6" width="49.5" customWidth="1"/>
    <col min="7" max="7" width="33.125" customWidth="1"/>
  </cols>
  <sheetData>
    <row r="1" spans="1:7" ht="28.5" x14ac:dyDescent="0.45">
      <c r="A1"/>
      <c r="B1" s="254" t="s">
        <v>4</v>
      </c>
      <c r="C1" s="254"/>
      <c r="D1" s="254"/>
      <c r="E1" s="254"/>
      <c r="F1" s="254"/>
      <c r="G1" s="4"/>
    </row>
    <row r="2" spans="1:7" ht="21" x14ac:dyDescent="0.35">
      <c r="A2"/>
      <c r="B2" s="255" t="s">
        <v>26</v>
      </c>
      <c r="C2" s="255"/>
      <c r="D2" s="255"/>
      <c r="E2" s="255"/>
      <c r="F2" s="255"/>
      <c r="G2" s="5"/>
    </row>
    <row r="3" spans="1:7" x14ac:dyDescent="0.25">
      <c r="A3"/>
      <c r="B3" s="256"/>
      <c r="C3" s="256"/>
      <c r="D3" s="256"/>
      <c r="E3" s="256"/>
      <c r="F3" s="256"/>
    </row>
    <row r="4" spans="1:7" ht="16.5" thickBot="1" x14ac:dyDescent="0.3">
      <c r="A4"/>
      <c r="B4" s="257"/>
      <c r="C4" s="257"/>
      <c r="D4" s="257"/>
      <c r="E4" s="257"/>
      <c r="F4" s="257"/>
    </row>
    <row r="5" spans="1:7" ht="44.45" customHeight="1" thickBot="1" x14ac:dyDescent="0.3">
      <c r="A5"/>
      <c r="B5" s="2" t="s">
        <v>5</v>
      </c>
      <c r="C5" s="258" t="s">
        <v>6</v>
      </c>
      <c r="D5" s="259"/>
      <c r="E5" s="259"/>
      <c r="F5" s="260"/>
    </row>
    <row r="6" spans="1:7" ht="126.6" customHeight="1" thickBot="1" x14ac:dyDescent="0.3">
      <c r="A6"/>
      <c r="B6" s="2" t="s">
        <v>7</v>
      </c>
      <c r="C6" s="261" t="s">
        <v>1081</v>
      </c>
      <c r="D6" s="261"/>
      <c r="E6" s="261"/>
      <c r="F6" s="262"/>
    </row>
    <row r="7" spans="1:7" ht="16.5" thickBot="1" x14ac:dyDescent="0.3">
      <c r="A7"/>
      <c r="B7" s="2" t="s">
        <v>8</v>
      </c>
      <c r="C7" s="250" t="s">
        <v>9</v>
      </c>
      <c r="D7" s="250"/>
      <c r="E7" s="250"/>
      <c r="F7" s="251"/>
    </row>
    <row r="8" spans="1:7" ht="16.5" thickBot="1" x14ac:dyDescent="0.3">
      <c r="A8"/>
      <c r="B8" s="2" t="s">
        <v>10</v>
      </c>
      <c r="C8" s="269" t="s">
        <v>11</v>
      </c>
      <c r="D8" s="269"/>
      <c r="E8" s="269"/>
      <c r="F8" s="270"/>
    </row>
    <row r="9" spans="1:7" ht="35.450000000000003" customHeight="1" thickBot="1" x14ac:dyDescent="0.3">
      <c r="A9"/>
      <c r="B9" s="6" t="s">
        <v>12</v>
      </c>
      <c r="C9" s="252" t="s">
        <v>13</v>
      </c>
      <c r="D9" s="253"/>
      <c r="E9" s="271"/>
      <c r="F9" s="272"/>
    </row>
    <row r="10" spans="1:7" x14ac:dyDescent="0.25">
      <c r="A10"/>
      <c r="B10" s="273" t="s">
        <v>21</v>
      </c>
      <c r="C10" s="7" t="s">
        <v>22</v>
      </c>
      <c r="D10" s="8" t="s">
        <v>23</v>
      </c>
      <c r="E10" s="8" t="s">
        <v>24</v>
      </c>
      <c r="F10" s="9" t="s">
        <v>25</v>
      </c>
    </row>
    <row r="11" spans="1:7" ht="63" x14ac:dyDescent="0.25">
      <c r="A11"/>
      <c r="B11" s="274"/>
      <c r="C11" s="11">
        <v>80141600</v>
      </c>
      <c r="D11" s="13" t="s">
        <v>180</v>
      </c>
      <c r="E11" s="13" t="s">
        <v>182</v>
      </c>
      <c r="F11" s="14"/>
    </row>
    <row r="12" spans="1:7" ht="31.5" x14ac:dyDescent="0.25">
      <c r="A12"/>
      <c r="B12" s="274"/>
      <c r="C12" s="11">
        <v>82101500</v>
      </c>
      <c r="D12" s="13" t="s">
        <v>181</v>
      </c>
      <c r="E12" s="13" t="s">
        <v>183</v>
      </c>
      <c r="F12" s="14"/>
    </row>
    <row r="13" spans="1:7" ht="47.25" x14ac:dyDescent="0.25">
      <c r="A13"/>
      <c r="B13" s="274"/>
      <c r="C13" s="11">
        <v>82101802</v>
      </c>
      <c r="D13" s="13" t="s">
        <v>181</v>
      </c>
      <c r="E13" s="13" t="s">
        <v>184</v>
      </c>
      <c r="F13" s="14"/>
    </row>
    <row r="14" spans="1:7" ht="47.25" x14ac:dyDescent="0.25">
      <c r="A14"/>
      <c r="B14" s="274"/>
      <c r="C14" s="12">
        <v>82141504</v>
      </c>
      <c r="D14" s="13" t="s">
        <v>185</v>
      </c>
      <c r="E14" s="13" t="s">
        <v>186</v>
      </c>
      <c r="F14" s="14"/>
    </row>
    <row r="15" spans="1:7" ht="31.5" x14ac:dyDescent="0.25">
      <c r="A15"/>
      <c r="B15" s="274"/>
      <c r="C15" s="12">
        <v>55101500</v>
      </c>
      <c r="D15" s="13" t="s">
        <v>187</v>
      </c>
      <c r="E15" s="13" t="s">
        <v>188</v>
      </c>
      <c r="F15" s="14"/>
    </row>
    <row r="16" spans="1:7" ht="47.25" x14ac:dyDescent="0.25">
      <c r="A16"/>
      <c r="B16" s="274"/>
      <c r="C16" s="12">
        <v>81161700</v>
      </c>
      <c r="D16" s="13" t="s">
        <v>189</v>
      </c>
      <c r="E16" s="13" t="s">
        <v>190</v>
      </c>
      <c r="F16" s="14"/>
    </row>
    <row r="17" spans="1:6" ht="63" x14ac:dyDescent="0.25">
      <c r="A17"/>
      <c r="B17" s="274"/>
      <c r="C17" s="12">
        <v>14111500</v>
      </c>
      <c r="D17" s="13" t="s">
        <v>191</v>
      </c>
      <c r="E17" s="13" t="s">
        <v>192</v>
      </c>
      <c r="F17" s="14"/>
    </row>
    <row r="18" spans="1:6" ht="63.75" thickBot="1" x14ac:dyDescent="0.3">
      <c r="A18"/>
      <c r="B18" s="275"/>
      <c r="C18" s="12">
        <v>24112600</v>
      </c>
      <c r="D18" s="13" t="s">
        <v>193</v>
      </c>
      <c r="E18" s="13" t="s">
        <v>194</v>
      </c>
      <c r="F18" s="14"/>
    </row>
    <row r="19" spans="1:6" ht="16.5" thickBot="1" x14ac:dyDescent="0.3">
      <c r="A19"/>
      <c r="B19" s="3"/>
      <c r="C19" s="1"/>
    </row>
    <row r="20" spans="1:6" x14ac:dyDescent="0.25">
      <c r="A20"/>
      <c r="B20" s="263" t="s">
        <v>14</v>
      </c>
      <c r="C20" s="265"/>
      <c r="D20" s="265"/>
      <c r="E20" s="265"/>
      <c r="F20" s="266"/>
    </row>
    <row r="21" spans="1:6" ht="16.5" thickBot="1" x14ac:dyDescent="0.3">
      <c r="A21"/>
      <c r="B21" s="264"/>
      <c r="C21" s="267" t="s">
        <v>27</v>
      </c>
      <c r="D21" s="267"/>
      <c r="E21" s="267"/>
      <c r="F21" s="268"/>
    </row>
    <row r="22" spans="1:6" x14ac:dyDescent="0.25">
      <c r="A22"/>
      <c r="B22" s="263" t="s">
        <v>15</v>
      </c>
      <c r="C22" s="265"/>
      <c r="D22" s="265"/>
      <c r="E22" s="265"/>
      <c r="F22" s="266"/>
    </row>
    <row r="23" spans="1:6" ht="16.5" thickBot="1" x14ac:dyDescent="0.3">
      <c r="A23"/>
      <c r="B23" s="264"/>
      <c r="C23" s="267" t="s">
        <v>27</v>
      </c>
      <c r="D23" s="267"/>
      <c r="E23" s="267"/>
      <c r="F23" s="268"/>
    </row>
    <row r="24" spans="1:6" x14ac:dyDescent="0.25">
      <c r="A24"/>
      <c r="B24" s="3"/>
    </row>
    <row r="25" spans="1:6" x14ac:dyDescent="0.25">
      <c r="A25"/>
      <c r="B25" s="3"/>
    </row>
  </sheetData>
  <mergeCells count="16">
    <mergeCell ref="B22:B23"/>
    <mergeCell ref="C22:F22"/>
    <mergeCell ref="C23:F23"/>
    <mergeCell ref="C8:F8"/>
    <mergeCell ref="E9:F9"/>
    <mergeCell ref="B20:B21"/>
    <mergeCell ref="C20:F20"/>
    <mergeCell ref="C21:F21"/>
    <mergeCell ref="B10:B18"/>
    <mergeCell ref="C7:F7"/>
    <mergeCell ref="C9:D9"/>
    <mergeCell ref="B1:F1"/>
    <mergeCell ref="B2:F2"/>
    <mergeCell ref="B3:F4"/>
    <mergeCell ref="C5:F5"/>
    <mergeCell ref="C6:F6"/>
  </mergeCells>
  <hyperlinks>
    <hyperlink ref="C8:F8" location="'Especificaciones Tecnicas'!A1" display="Para visualizar las especificaciones tecnicas dirijase a la pestaña Especificaciones Tecnicas" xr:uid="{59AE199B-6BD0-4CBC-A4CA-10F7DCA0D9C4}"/>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61D2A-0A06-4E73-A09E-659ED639D4BF}">
  <dimension ref="A1:AN509"/>
  <sheetViews>
    <sheetView tabSelected="1" zoomScale="60" zoomScaleNormal="60" zoomScaleSheetLayoutView="95" workbookViewId="0">
      <pane xSplit="8" ySplit="3" topLeftCell="Z499" activePane="bottomRight" state="frozen"/>
      <selection pane="topRight" activeCell="J1" sqref="J1"/>
      <selection pane="bottomLeft" activeCell="A3" sqref="A3"/>
      <selection pane="bottomRight" activeCell="AD505" sqref="AD505"/>
    </sheetView>
  </sheetViews>
  <sheetFormatPr baseColWidth="10" defaultColWidth="11" defaultRowHeight="15" x14ac:dyDescent="0.25"/>
  <cols>
    <col min="1" max="1" width="10.5" style="25" customWidth="1"/>
    <col min="2" max="2" width="11.375" style="65" customWidth="1"/>
    <col min="3" max="4" width="16.625" style="66" customWidth="1"/>
    <col min="5" max="5" width="50.375" style="67" customWidth="1"/>
    <col min="6" max="6" width="13.375" style="67" customWidth="1"/>
    <col min="7" max="7" width="10.375" style="65" hidden="1" customWidth="1"/>
    <col min="8" max="8" width="12.375" style="65" customWidth="1"/>
    <col min="9" max="9" width="14.75" style="158" customWidth="1"/>
    <col min="10" max="13" width="14.75" style="25" customWidth="1"/>
    <col min="14" max="14" width="14.75" style="68" customWidth="1"/>
    <col min="15" max="18" width="14.75" style="25" customWidth="1"/>
    <col min="19" max="19" width="14.75" style="68" customWidth="1"/>
    <col min="20" max="29" width="14.75" style="25" customWidth="1"/>
    <col min="30" max="30" width="22.25" style="25" customWidth="1"/>
    <col min="31" max="31" width="27.125" style="69" bestFit="1" customWidth="1"/>
    <col min="32" max="33" width="14.75" style="65" customWidth="1"/>
    <col min="34" max="34" width="25.875" style="65" customWidth="1"/>
    <col min="35" max="35" width="16.375" style="65" customWidth="1"/>
    <col min="36" max="36" width="14.75" style="65" customWidth="1"/>
    <col min="37" max="39" width="17.25" style="66" customWidth="1"/>
    <col min="40" max="40" width="23.625" style="25" customWidth="1"/>
    <col min="41" max="16384" width="11" style="25"/>
  </cols>
  <sheetData>
    <row r="1" spans="1:40" ht="21.75" customHeight="1" thickBot="1" x14ac:dyDescent="0.3">
      <c r="A1" s="19"/>
      <c r="B1" s="20"/>
      <c r="C1" s="21"/>
      <c r="D1" s="21"/>
      <c r="E1" s="22"/>
      <c r="F1" s="22"/>
      <c r="G1" s="20"/>
      <c r="H1" s="20"/>
      <c r="I1" s="157"/>
      <c r="J1" s="19"/>
      <c r="K1" s="19"/>
      <c r="L1" s="19"/>
      <c r="M1" s="19"/>
      <c r="N1" s="23"/>
      <c r="O1" s="19"/>
      <c r="P1" s="19"/>
      <c r="Q1" s="19"/>
      <c r="R1" s="19"/>
      <c r="S1" s="23"/>
      <c r="T1" s="19"/>
      <c r="U1" s="19"/>
      <c r="V1" s="19"/>
      <c r="W1" s="19"/>
      <c r="X1" s="19"/>
      <c r="Y1" s="19"/>
      <c r="Z1" s="19"/>
      <c r="AA1" s="19"/>
      <c r="AB1" s="19"/>
      <c r="AC1" s="19"/>
      <c r="AD1" s="19"/>
      <c r="AE1" s="24"/>
      <c r="AF1" s="20"/>
      <c r="AG1" s="20"/>
      <c r="AH1" s="20"/>
      <c r="AI1" s="20"/>
      <c r="AJ1" s="20"/>
      <c r="AK1" s="21"/>
      <c r="AL1" s="21"/>
      <c r="AM1" s="21"/>
      <c r="AN1" s="19"/>
    </row>
    <row r="2" spans="1:40" ht="27.75" customHeight="1" thickBot="1" x14ac:dyDescent="0.3">
      <c r="A2" s="282" t="s">
        <v>196</v>
      </c>
      <c r="B2" s="284" t="s">
        <v>0</v>
      </c>
      <c r="C2" s="286" t="s">
        <v>1</v>
      </c>
      <c r="D2" s="276" t="s">
        <v>1043</v>
      </c>
      <c r="E2" s="286" t="s">
        <v>2</v>
      </c>
      <c r="F2" s="286" t="s">
        <v>3</v>
      </c>
      <c r="G2" s="26"/>
      <c r="H2" s="280" t="s">
        <v>16</v>
      </c>
      <c r="I2" s="27"/>
      <c r="J2" s="28"/>
      <c r="K2" s="29" t="s">
        <v>197</v>
      </c>
      <c r="L2" s="28"/>
      <c r="M2" s="30"/>
      <c r="N2" s="31"/>
      <c r="O2" s="28"/>
      <c r="P2" s="29" t="s">
        <v>199</v>
      </c>
      <c r="Q2" s="28"/>
      <c r="R2" s="30"/>
      <c r="S2" s="31"/>
      <c r="T2" s="28"/>
      <c r="U2" s="29" t="s">
        <v>200</v>
      </c>
      <c r="V2" s="28"/>
      <c r="W2" s="30"/>
      <c r="X2" s="32"/>
      <c r="Y2" s="32"/>
      <c r="Z2" s="32" t="s">
        <v>330</v>
      </c>
      <c r="AA2" s="32"/>
      <c r="AB2" s="32"/>
      <c r="AC2" s="33"/>
      <c r="AD2" s="34"/>
      <c r="AE2" s="34"/>
      <c r="AF2" s="35" t="s">
        <v>329</v>
      </c>
      <c r="AG2" s="34"/>
      <c r="AH2" s="34"/>
      <c r="AI2" s="34"/>
      <c r="AJ2" s="36"/>
      <c r="AK2" s="37"/>
      <c r="AL2" s="38" t="s">
        <v>202</v>
      </c>
      <c r="AM2" s="39"/>
      <c r="AN2" s="278" t="s">
        <v>201</v>
      </c>
    </row>
    <row r="3" spans="1:40" ht="63" customHeight="1" thickBot="1" x14ac:dyDescent="0.3">
      <c r="A3" s="283"/>
      <c r="B3" s="285"/>
      <c r="C3" s="287"/>
      <c r="D3" s="277"/>
      <c r="E3" s="287"/>
      <c r="F3" s="287"/>
      <c r="G3" s="40" t="s">
        <v>29</v>
      </c>
      <c r="H3" s="281"/>
      <c r="I3" s="41" t="s">
        <v>198</v>
      </c>
      <c r="J3" s="42" t="s">
        <v>17</v>
      </c>
      <c r="K3" s="42" t="s">
        <v>18</v>
      </c>
      <c r="L3" s="42" t="s">
        <v>19</v>
      </c>
      <c r="M3" s="43" t="s">
        <v>20</v>
      </c>
      <c r="N3" s="41" t="s">
        <v>198</v>
      </c>
      <c r="O3" s="42" t="s">
        <v>17</v>
      </c>
      <c r="P3" s="42" t="s">
        <v>18</v>
      </c>
      <c r="Q3" s="42" t="s">
        <v>19</v>
      </c>
      <c r="R3" s="43" t="s">
        <v>20</v>
      </c>
      <c r="S3" s="41" t="s">
        <v>198</v>
      </c>
      <c r="T3" s="42" t="s">
        <v>17</v>
      </c>
      <c r="U3" s="42" t="s">
        <v>18</v>
      </c>
      <c r="V3" s="42" t="s">
        <v>19</v>
      </c>
      <c r="W3" s="43" t="s">
        <v>20</v>
      </c>
      <c r="X3" s="41" t="s">
        <v>198</v>
      </c>
      <c r="Y3" s="42" t="s">
        <v>17</v>
      </c>
      <c r="Z3" s="42" t="s">
        <v>18</v>
      </c>
      <c r="AA3" s="42" t="s">
        <v>19</v>
      </c>
      <c r="AB3" s="43" t="s">
        <v>20</v>
      </c>
      <c r="AC3" s="44" t="s">
        <v>203</v>
      </c>
      <c r="AD3" s="45" t="s">
        <v>204</v>
      </c>
      <c r="AE3" s="46" t="s">
        <v>205</v>
      </c>
      <c r="AF3" s="47" t="s">
        <v>206</v>
      </c>
      <c r="AG3" s="45" t="s">
        <v>207</v>
      </c>
      <c r="AH3" s="45" t="s">
        <v>208</v>
      </c>
      <c r="AI3" s="45" t="s">
        <v>205</v>
      </c>
      <c r="AJ3" s="48" t="s">
        <v>209</v>
      </c>
      <c r="AK3" s="170" t="s">
        <v>197</v>
      </c>
      <c r="AL3" s="171" t="s">
        <v>199</v>
      </c>
      <c r="AM3" s="172" t="s">
        <v>200</v>
      </c>
      <c r="AN3" s="279"/>
    </row>
    <row r="4" spans="1:40" ht="63" customHeight="1" thickBot="1" x14ac:dyDescent="0.3">
      <c r="A4" s="300" t="s">
        <v>1079</v>
      </c>
      <c r="B4" s="301"/>
      <c r="C4" s="301"/>
      <c r="D4" s="301"/>
      <c r="E4" s="301"/>
      <c r="F4" s="301"/>
      <c r="G4" s="301"/>
      <c r="H4" s="302"/>
      <c r="I4" s="234"/>
      <c r="J4" s="235"/>
      <c r="K4" s="235"/>
      <c r="L4" s="235"/>
      <c r="M4" s="236"/>
      <c r="N4" s="237"/>
      <c r="O4" s="238"/>
      <c r="P4" s="238"/>
      <c r="Q4" s="238"/>
      <c r="R4" s="239"/>
      <c r="S4" s="234"/>
      <c r="T4" s="235"/>
      <c r="U4" s="235"/>
      <c r="V4" s="235"/>
      <c r="W4" s="236"/>
      <c r="X4" s="237"/>
      <c r="Y4" s="238"/>
      <c r="Z4" s="238"/>
      <c r="AA4" s="238"/>
      <c r="AB4" s="239"/>
      <c r="AC4" s="240"/>
      <c r="AD4" s="241"/>
      <c r="AE4" s="242"/>
      <c r="AF4" s="243"/>
      <c r="AG4" s="244"/>
      <c r="AH4" s="244"/>
      <c r="AI4" s="244"/>
      <c r="AJ4" s="245"/>
      <c r="AK4" s="246"/>
      <c r="AL4" s="247"/>
      <c r="AM4" s="248"/>
      <c r="AN4" s="249"/>
    </row>
    <row r="5" spans="1:40" ht="69.75" customHeight="1" thickBot="1" x14ac:dyDescent="0.3">
      <c r="A5" s="81">
        <f t="shared" ref="A5:A36" si="0">COUNT(I5,N5,S5)</f>
        <v>3</v>
      </c>
      <c r="B5" s="196">
        <v>1</v>
      </c>
      <c r="C5" s="85" t="s">
        <v>30</v>
      </c>
      <c r="D5" s="203" t="s">
        <v>1044</v>
      </c>
      <c r="E5" s="85" t="s">
        <v>1045</v>
      </c>
      <c r="F5" s="86">
        <v>1</v>
      </c>
      <c r="G5" s="87"/>
      <c r="H5" s="88" t="s">
        <v>164</v>
      </c>
      <c r="I5" s="93">
        <f>670*1000</f>
        <v>670000</v>
      </c>
      <c r="J5" s="94">
        <f t="shared" ref="J5:J21" si="1">I5*0.19</f>
        <v>127300</v>
      </c>
      <c r="K5" s="94">
        <f t="shared" ref="K5:K12" si="2">I5+J5</f>
        <v>797300</v>
      </c>
      <c r="L5" s="94">
        <f t="shared" ref="L5:L36" si="3">I5*F5</f>
        <v>670000</v>
      </c>
      <c r="M5" s="95">
        <f t="shared" ref="M5:M36" si="4">K5*F5</f>
        <v>797300</v>
      </c>
      <c r="N5" s="96">
        <f>470*1000</f>
        <v>470000</v>
      </c>
      <c r="O5" s="97">
        <f t="shared" ref="O5:O36" si="5">N5*0.19</f>
        <v>89300</v>
      </c>
      <c r="P5" s="97">
        <f t="shared" ref="P5:P12" si="6">N5+O5</f>
        <v>559300</v>
      </c>
      <c r="Q5" s="97">
        <f t="shared" ref="Q5:Q36" si="7">N5*F5</f>
        <v>470000</v>
      </c>
      <c r="R5" s="98">
        <f t="shared" ref="R5:R36" si="8">P5*F5</f>
        <v>559300</v>
      </c>
      <c r="S5" s="99">
        <f>510*1000</f>
        <v>510000</v>
      </c>
      <c r="T5" s="94">
        <f t="shared" ref="T5:T36" si="9">S5*0.19</f>
        <v>96900</v>
      </c>
      <c r="U5" s="94">
        <f t="shared" ref="U5:U12" si="10">S5+T5</f>
        <v>606900</v>
      </c>
      <c r="V5" s="94">
        <f t="shared" ref="V5:V36" si="11">S5*F5</f>
        <v>510000</v>
      </c>
      <c r="W5" s="95">
        <f t="shared" ref="W5:W36" si="12">U5*F5</f>
        <v>606900</v>
      </c>
      <c r="X5" s="100"/>
      <c r="Y5" s="97">
        <f t="shared" ref="Y5:Y36" si="13">X5*0.19</f>
        <v>0</v>
      </c>
      <c r="Z5" s="97">
        <f t="shared" ref="Z5:Z36" si="14">X5+Y5</f>
        <v>0</v>
      </c>
      <c r="AA5" s="97">
        <f t="shared" ref="AA5:AA36" si="15">X5*F5</f>
        <v>0</v>
      </c>
      <c r="AB5" s="98">
        <f t="shared" ref="AB5:AB36" si="16">Z5*F5</f>
        <v>0</v>
      </c>
      <c r="AC5" s="101">
        <f t="shared" ref="AC5:AC36" si="17">+IFERROR(ROUND(AVERAGE(I5,N5,S5,X5),0),0)</f>
        <v>550000</v>
      </c>
      <c r="AD5" s="101">
        <f>+IFERROR(ROUND(AVERAGE(L5,Q5,V5,AA5),0),0)</f>
        <v>412500</v>
      </c>
      <c r="AE5" s="185">
        <f t="shared" ref="AE5:AE36" si="18">+IFERROR(_xlfn.STDEV.P(I5,N5,S5,X5),0)</f>
        <v>86409.875978771466</v>
      </c>
      <c r="AF5" s="102">
        <f t="shared" ref="AF5:AF36" si="19">AE5/AC5</f>
        <v>0.15710886541594812</v>
      </c>
      <c r="AG5" s="103">
        <f t="shared" ref="AG5:AG36" si="20">IFERROR(ROUND(MEDIAN(I5,N5,S5,X5),0),0)</f>
        <v>510000</v>
      </c>
      <c r="AH5" s="101">
        <f>+IFERROR(ROUND(MEDIAN(L5,Q5,V5,AA5),0),0)</f>
        <v>490000</v>
      </c>
      <c r="AI5" s="104">
        <f t="shared" ref="AI5:AI36" si="21">AE5</f>
        <v>86409.875978771466</v>
      </c>
      <c r="AJ5" s="165">
        <f t="shared" ref="AJ5:AJ36" si="22">AI5/AG5</f>
        <v>0.16943112937014013</v>
      </c>
      <c r="AK5" s="191" t="s">
        <v>210</v>
      </c>
      <c r="AL5" s="192" t="s">
        <v>199</v>
      </c>
      <c r="AM5" s="174" t="s">
        <v>212</v>
      </c>
      <c r="AN5" s="168"/>
    </row>
    <row r="6" spans="1:40" ht="39.75" customHeight="1" thickBot="1" x14ac:dyDescent="0.3">
      <c r="A6" s="82">
        <f t="shared" si="0"/>
        <v>3</v>
      </c>
      <c r="B6" s="197">
        <v>2</v>
      </c>
      <c r="C6" s="49" t="s">
        <v>30</v>
      </c>
      <c r="D6" s="203" t="s">
        <v>1044</v>
      </c>
      <c r="E6" s="50" t="s">
        <v>1046</v>
      </c>
      <c r="F6" s="16">
        <v>1</v>
      </c>
      <c r="G6" s="15"/>
      <c r="H6" s="89" t="s">
        <v>164</v>
      </c>
      <c r="I6" s="105">
        <f>670*1000</f>
        <v>670000</v>
      </c>
      <c r="J6" s="97">
        <f t="shared" si="1"/>
        <v>127300</v>
      </c>
      <c r="K6" s="97">
        <f t="shared" si="2"/>
        <v>797300</v>
      </c>
      <c r="L6" s="97">
        <f t="shared" si="3"/>
        <v>670000</v>
      </c>
      <c r="M6" s="106">
        <f t="shared" si="4"/>
        <v>797300</v>
      </c>
      <c r="N6" s="96">
        <f>470*1000</f>
        <v>470000</v>
      </c>
      <c r="O6" s="97">
        <f t="shared" si="5"/>
        <v>89300</v>
      </c>
      <c r="P6" s="97">
        <f t="shared" si="6"/>
        <v>559300</v>
      </c>
      <c r="Q6" s="97">
        <f t="shared" si="7"/>
        <v>470000</v>
      </c>
      <c r="R6" s="98">
        <f t="shared" si="8"/>
        <v>559300</v>
      </c>
      <c r="S6" s="107">
        <f>510*1000</f>
        <v>510000</v>
      </c>
      <c r="T6" s="97">
        <f t="shared" si="9"/>
        <v>96900</v>
      </c>
      <c r="U6" s="97">
        <f t="shared" si="10"/>
        <v>606900</v>
      </c>
      <c r="V6" s="97">
        <f t="shared" si="11"/>
        <v>510000</v>
      </c>
      <c r="W6" s="106">
        <f t="shared" si="12"/>
        <v>606900</v>
      </c>
      <c r="X6" s="108"/>
      <c r="Y6" s="97">
        <f t="shared" si="13"/>
        <v>0</v>
      </c>
      <c r="Z6" s="97">
        <f t="shared" si="14"/>
        <v>0</v>
      </c>
      <c r="AA6" s="97">
        <f t="shared" si="15"/>
        <v>0</v>
      </c>
      <c r="AB6" s="98">
        <f t="shared" si="16"/>
        <v>0</v>
      </c>
      <c r="AC6" s="109">
        <f t="shared" si="17"/>
        <v>550000</v>
      </c>
      <c r="AD6" s="101">
        <f t="shared" ref="AD6:AD69" si="23">+IFERROR(ROUND(AVERAGE(L6,Q6,V6,AA6),0),0)</f>
        <v>412500</v>
      </c>
      <c r="AE6" s="111">
        <f t="shared" si="18"/>
        <v>86409.875978771466</v>
      </c>
      <c r="AF6" s="112">
        <f t="shared" si="19"/>
        <v>0.15710886541594812</v>
      </c>
      <c r="AG6" s="113">
        <f t="shared" si="20"/>
        <v>510000</v>
      </c>
      <c r="AH6" s="101">
        <f t="shared" ref="AH6:AH69" si="24">+IFERROR(ROUND(MEDIAN(L6,Q6,V6,AA6),0),0)</f>
        <v>490000</v>
      </c>
      <c r="AI6" s="114">
        <f t="shared" si="21"/>
        <v>86409.875978771466</v>
      </c>
      <c r="AJ6" s="166">
        <f t="shared" si="22"/>
        <v>0.16943112937014013</v>
      </c>
      <c r="AK6" s="175" t="s">
        <v>210</v>
      </c>
      <c r="AL6" s="193" t="s">
        <v>211</v>
      </c>
      <c r="AM6" s="194" t="s">
        <v>212</v>
      </c>
      <c r="AN6" s="160"/>
    </row>
    <row r="7" spans="1:40" ht="43.5" customHeight="1" thickBot="1" x14ac:dyDescent="0.3">
      <c r="A7" s="83">
        <f t="shared" si="0"/>
        <v>1</v>
      </c>
      <c r="B7" s="197">
        <v>3</v>
      </c>
      <c r="C7" s="49" t="s">
        <v>31</v>
      </c>
      <c r="D7" s="203" t="s">
        <v>1044</v>
      </c>
      <c r="E7" s="50" t="s">
        <v>1047</v>
      </c>
      <c r="F7" s="17">
        <v>1</v>
      </c>
      <c r="G7" s="15"/>
      <c r="H7" s="89" t="s">
        <v>165</v>
      </c>
      <c r="I7" s="115">
        <f>1041100*1.052</f>
        <v>1095237.2</v>
      </c>
      <c r="J7" s="97">
        <f t="shared" si="1"/>
        <v>208095.068</v>
      </c>
      <c r="K7" s="97">
        <f t="shared" si="2"/>
        <v>1303332.2679999999</v>
      </c>
      <c r="L7" s="97">
        <f t="shared" si="3"/>
        <v>1095237.2</v>
      </c>
      <c r="M7" s="106">
        <f t="shared" si="4"/>
        <v>1303332.2679999999</v>
      </c>
      <c r="N7" s="116"/>
      <c r="O7" s="97">
        <f t="shared" si="5"/>
        <v>0</v>
      </c>
      <c r="P7" s="97">
        <f t="shared" si="6"/>
        <v>0</v>
      </c>
      <c r="Q7" s="97">
        <f t="shared" si="7"/>
        <v>0</v>
      </c>
      <c r="R7" s="98">
        <f t="shared" si="8"/>
        <v>0</v>
      </c>
      <c r="S7" s="117"/>
      <c r="T7" s="97">
        <f t="shared" si="9"/>
        <v>0</v>
      </c>
      <c r="U7" s="97">
        <f t="shared" si="10"/>
        <v>0</v>
      </c>
      <c r="V7" s="97">
        <f t="shared" si="11"/>
        <v>0</v>
      </c>
      <c r="W7" s="106">
        <f t="shared" si="12"/>
        <v>0</v>
      </c>
      <c r="X7" s="108"/>
      <c r="Y7" s="97">
        <f t="shared" si="13"/>
        <v>0</v>
      </c>
      <c r="Z7" s="97">
        <f t="shared" si="14"/>
        <v>0</v>
      </c>
      <c r="AA7" s="97">
        <f t="shared" si="15"/>
        <v>0</v>
      </c>
      <c r="AB7" s="98">
        <f t="shared" si="16"/>
        <v>0</v>
      </c>
      <c r="AC7" s="109">
        <f t="shared" si="17"/>
        <v>1095237</v>
      </c>
      <c r="AD7" s="101">
        <f t="shared" si="23"/>
        <v>273809</v>
      </c>
      <c r="AE7" s="111">
        <f t="shared" si="18"/>
        <v>0</v>
      </c>
      <c r="AF7" s="112">
        <f t="shared" si="19"/>
        <v>0</v>
      </c>
      <c r="AG7" s="113">
        <f t="shared" si="20"/>
        <v>1095237</v>
      </c>
      <c r="AH7" s="214">
        <f t="shared" ref="AH7" si="25">AG7*F7</f>
        <v>1095237</v>
      </c>
      <c r="AI7" s="114">
        <f t="shared" si="21"/>
        <v>0</v>
      </c>
      <c r="AJ7" s="166">
        <f t="shared" si="22"/>
        <v>0</v>
      </c>
      <c r="AK7" s="299" t="s">
        <v>253</v>
      </c>
      <c r="AL7" s="297"/>
      <c r="AM7" s="298"/>
      <c r="AN7" s="160"/>
    </row>
    <row r="8" spans="1:40" ht="42" customHeight="1" thickBot="1" x14ac:dyDescent="0.3">
      <c r="A8" s="82">
        <f t="shared" si="0"/>
        <v>3</v>
      </c>
      <c r="B8" s="196">
        <v>4</v>
      </c>
      <c r="C8" s="49" t="s">
        <v>31</v>
      </c>
      <c r="D8" s="203" t="s">
        <v>1044</v>
      </c>
      <c r="E8" s="50" t="s">
        <v>33</v>
      </c>
      <c r="F8" s="17">
        <v>1</v>
      </c>
      <c r="G8" s="15"/>
      <c r="H8" s="89" t="s">
        <v>165</v>
      </c>
      <c r="I8" s="115">
        <f>(2450000/1000)*100</f>
        <v>245000</v>
      </c>
      <c r="J8" s="97">
        <f t="shared" si="1"/>
        <v>46550</v>
      </c>
      <c r="K8" s="97">
        <f t="shared" si="2"/>
        <v>291550</v>
      </c>
      <c r="L8" s="97">
        <f t="shared" si="3"/>
        <v>245000</v>
      </c>
      <c r="M8" s="106">
        <f t="shared" si="4"/>
        <v>291550</v>
      </c>
      <c r="N8" s="116">
        <f>2500*100</f>
        <v>250000</v>
      </c>
      <c r="O8" s="97">
        <f t="shared" si="5"/>
        <v>47500</v>
      </c>
      <c r="P8" s="97">
        <f t="shared" si="6"/>
        <v>297500</v>
      </c>
      <c r="Q8" s="97">
        <f t="shared" si="7"/>
        <v>250000</v>
      </c>
      <c r="R8" s="98">
        <f t="shared" si="8"/>
        <v>297500</v>
      </c>
      <c r="S8" s="117">
        <f>2310*100</f>
        <v>231000</v>
      </c>
      <c r="T8" s="97">
        <f t="shared" si="9"/>
        <v>43890</v>
      </c>
      <c r="U8" s="97">
        <f t="shared" si="10"/>
        <v>274890</v>
      </c>
      <c r="V8" s="97">
        <f t="shared" si="11"/>
        <v>231000</v>
      </c>
      <c r="W8" s="106">
        <f t="shared" si="12"/>
        <v>274890</v>
      </c>
      <c r="X8" s="108"/>
      <c r="Y8" s="97">
        <f t="shared" si="13"/>
        <v>0</v>
      </c>
      <c r="Z8" s="97">
        <f t="shared" si="14"/>
        <v>0</v>
      </c>
      <c r="AA8" s="97">
        <f t="shared" si="15"/>
        <v>0</v>
      </c>
      <c r="AB8" s="98">
        <f t="shared" si="16"/>
        <v>0</v>
      </c>
      <c r="AC8" s="109">
        <f t="shared" si="17"/>
        <v>242000</v>
      </c>
      <c r="AD8" s="101">
        <f t="shared" si="23"/>
        <v>181500</v>
      </c>
      <c r="AE8" s="111">
        <f t="shared" si="18"/>
        <v>8041.558721209879</v>
      </c>
      <c r="AF8" s="112">
        <f t="shared" si="19"/>
        <v>3.3229581492602807E-2</v>
      </c>
      <c r="AG8" s="113">
        <f t="shared" si="20"/>
        <v>245000</v>
      </c>
      <c r="AH8" s="101">
        <f t="shared" si="24"/>
        <v>238000</v>
      </c>
      <c r="AI8" s="114">
        <f t="shared" si="21"/>
        <v>8041.558721209879</v>
      </c>
      <c r="AJ8" s="166">
        <f t="shared" si="22"/>
        <v>3.2822688657999505E-2</v>
      </c>
      <c r="AK8" s="195" t="s">
        <v>219</v>
      </c>
      <c r="AL8" s="193" t="s">
        <v>220</v>
      </c>
      <c r="AM8" s="194" t="s">
        <v>221</v>
      </c>
      <c r="AN8" s="160"/>
    </row>
    <row r="9" spans="1:40" ht="51" customHeight="1" thickBot="1" x14ac:dyDescent="0.3">
      <c r="A9" s="82">
        <f t="shared" si="0"/>
        <v>3</v>
      </c>
      <c r="B9" s="196">
        <v>5</v>
      </c>
      <c r="C9" s="50" t="s">
        <v>32</v>
      </c>
      <c r="D9" s="203" t="s">
        <v>1044</v>
      </c>
      <c r="E9" s="52" t="s">
        <v>1001</v>
      </c>
      <c r="F9" s="17">
        <v>1</v>
      </c>
      <c r="G9" s="15"/>
      <c r="H9" s="89" t="s">
        <v>165</v>
      </c>
      <c r="I9" s="115">
        <f>7200*100</f>
        <v>720000</v>
      </c>
      <c r="J9" s="97">
        <f t="shared" si="1"/>
        <v>136800</v>
      </c>
      <c r="K9" s="97">
        <f t="shared" si="2"/>
        <v>856800</v>
      </c>
      <c r="L9" s="97">
        <f t="shared" si="3"/>
        <v>720000</v>
      </c>
      <c r="M9" s="106">
        <f t="shared" si="4"/>
        <v>856800</v>
      </c>
      <c r="N9" s="116">
        <f>6800*100</f>
        <v>680000</v>
      </c>
      <c r="O9" s="97">
        <f t="shared" si="5"/>
        <v>129200</v>
      </c>
      <c r="P9" s="97">
        <f t="shared" si="6"/>
        <v>809200</v>
      </c>
      <c r="Q9" s="97">
        <f t="shared" si="7"/>
        <v>680000</v>
      </c>
      <c r="R9" s="98">
        <f t="shared" si="8"/>
        <v>809200</v>
      </c>
      <c r="S9" s="117">
        <f>6500*100</f>
        <v>650000</v>
      </c>
      <c r="T9" s="97">
        <f t="shared" si="9"/>
        <v>123500</v>
      </c>
      <c r="U9" s="97">
        <f t="shared" si="10"/>
        <v>773500</v>
      </c>
      <c r="V9" s="97">
        <f t="shared" si="11"/>
        <v>650000</v>
      </c>
      <c r="W9" s="106">
        <f t="shared" si="12"/>
        <v>773500</v>
      </c>
      <c r="X9" s="108"/>
      <c r="Y9" s="97">
        <f t="shared" si="13"/>
        <v>0</v>
      </c>
      <c r="Z9" s="97">
        <f t="shared" si="14"/>
        <v>0</v>
      </c>
      <c r="AA9" s="97">
        <f t="shared" si="15"/>
        <v>0</v>
      </c>
      <c r="AB9" s="98">
        <f t="shared" si="16"/>
        <v>0</v>
      </c>
      <c r="AC9" s="109">
        <f t="shared" si="17"/>
        <v>683333</v>
      </c>
      <c r="AD9" s="101">
        <f t="shared" si="23"/>
        <v>512500</v>
      </c>
      <c r="AE9" s="111">
        <f t="shared" si="18"/>
        <v>28674.417556808759</v>
      </c>
      <c r="AF9" s="112">
        <f t="shared" si="19"/>
        <v>4.1962582747809278E-2</v>
      </c>
      <c r="AG9" s="113">
        <f t="shared" si="20"/>
        <v>680000</v>
      </c>
      <c r="AH9" s="101">
        <f t="shared" si="24"/>
        <v>665000</v>
      </c>
      <c r="AI9" s="114">
        <f t="shared" si="21"/>
        <v>28674.417556808759</v>
      </c>
      <c r="AJ9" s="166">
        <f t="shared" si="22"/>
        <v>4.2168261112954061E-2</v>
      </c>
      <c r="AK9" s="175" t="s">
        <v>222</v>
      </c>
      <c r="AL9" s="193" t="s">
        <v>223</v>
      </c>
      <c r="AM9" s="176" t="s">
        <v>224</v>
      </c>
      <c r="AN9" s="160"/>
    </row>
    <row r="10" spans="1:40" ht="30.75" thickBot="1" x14ac:dyDescent="0.3">
      <c r="A10" s="82">
        <f t="shared" si="0"/>
        <v>2</v>
      </c>
      <c r="B10" s="197">
        <v>6</v>
      </c>
      <c r="C10" s="50" t="s">
        <v>34</v>
      </c>
      <c r="D10" s="203" t="s">
        <v>1044</v>
      </c>
      <c r="E10" s="52" t="s">
        <v>35</v>
      </c>
      <c r="F10" s="17">
        <v>1</v>
      </c>
      <c r="G10" s="15"/>
      <c r="H10" s="89" t="s">
        <v>166</v>
      </c>
      <c r="I10" s="115">
        <f>9000*10</f>
        <v>90000</v>
      </c>
      <c r="J10" s="97">
        <f t="shared" si="1"/>
        <v>17100</v>
      </c>
      <c r="K10" s="97">
        <f t="shared" si="2"/>
        <v>107100</v>
      </c>
      <c r="L10" s="97">
        <f t="shared" si="3"/>
        <v>90000</v>
      </c>
      <c r="M10" s="106">
        <f t="shared" si="4"/>
        <v>107100</v>
      </c>
      <c r="N10" s="116">
        <f>((750000/50)/1.19)*10</f>
        <v>126050.42016806723</v>
      </c>
      <c r="O10" s="97">
        <f t="shared" si="5"/>
        <v>23949.579831932773</v>
      </c>
      <c r="P10" s="97">
        <f t="shared" si="6"/>
        <v>150000</v>
      </c>
      <c r="Q10" s="97">
        <f t="shared" si="7"/>
        <v>126050.42016806723</v>
      </c>
      <c r="R10" s="98">
        <f t="shared" si="8"/>
        <v>150000</v>
      </c>
      <c r="S10" s="117"/>
      <c r="T10" s="97">
        <f t="shared" si="9"/>
        <v>0</v>
      </c>
      <c r="U10" s="97">
        <f t="shared" si="10"/>
        <v>0</v>
      </c>
      <c r="V10" s="97">
        <f t="shared" si="11"/>
        <v>0</v>
      </c>
      <c r="W10" s="106">
        <f t="shared" si="12"/>
        <v>0</v>
      </c>
      <c r="X10" s="108"/>
      <c r="Y10" s="97">
        <f t="shared" si="13"/>
        <v>0</v>
      </c>
      <c r="Z10" s="97">
        <f t="shared" si="14"/>
        <v>0</v>
      </c>
      <c r="AA10" s="97">
        <f t="shared" si="15"/>
        <v>0</v>
      </c>
      <c r="AB10" s="98">
        <f t="shared" si="16"/>
        <v>0</v>
      </c>
      <c r="AC10" s="109">
        <f t="shared" si="17"/>
        <v>108025</v>
      </c>
      <c r="AD10" s="101">
        <f t="shared" si="23"/>
        <v>54013</v>
      </c>
      <c r="AE10" s="111">
        <f t="shared" si="18"/>
        <v>18025.210084033621</v>
      </c>
      <c r="AF10" s="112">
        <f t="shared" si="19"/>
        <v>0.16686146803085972</v>
      </c>
      <c r="AG10" s="113">
        <f t="shared" si="20"/>
        <v>108025</v>
      </c>
      <c r="AH10" s="101">
        <f t="shared" si="24"/>
        <v>45000</v>
      </c>
      <c r="AI10" s="114">
        <f t="shared" si="21"/>
        <v>18025.210084033621</v>
      </c>
      <c r="AJ10" s="166">
        <f t="shared" si="22"/>
        <v>0.16686146803085972</v>
      </c>
      <c r="AK10" s="175" t="s">
        <v>225</v>
      </c>
      <c r="AL10" s="161" t="s">
        <v>331</v>
      </c>
      <c r="AM10" s="176"/>
      <c r="AN10" s="160"/>
    </row>
    <row r="11" spans="1:40" ht="97.5" customHeight="1" thickBot="1" x14ac:dyDescent="0.3">
      <c r="A11" s="82">
        <f t="shared" si="0"/>
        <v>1</v>
      </c>
      <c r="B11" s="197">
        <v>7</v>
      </c>
      <c r="C11" s="50" t="s">
        <v>36</v>
      </c>
      <c r="D11" s="203" t="s">
        <v>1044</v>
      </c>
      <c r="E11" s="52" t="s">
        <v>37</v>
      </c>
      <c r="F11" s="17">
        <v>1</v>
      </c>
      <c r="G11" s="15"/>
      <c r="H11" s="89" t="s">
        <v>167</v>
      </c>
      <c r="I11" s="115">
        <f>261300*1.052</f>
        <v>274887.60000000003</v>
      </c>
      <c r="J11" s="97">
        <f t="shared" si="1"/>
        <v>52228.644000000008</v>
      </c>
      <c r="K11" s="97">
        <f t="shared" si="2"/>
        <v>327116.24400000006</v>
      </c>
      <c r="L11" s="97">
        <f t="shared" si="3"/>
        <v>274887.60000000003</v>
      </c>
      <c r="M11" s="106">
        <f t="shared" si="4"/>
        <v>327116.24400000006</v>
      </c>
      <c r="N11" s="116"/>
      <c r="O11" s="97">
        <f t="shared" si="5"/>
        <v>0</v>
      </c>
      <c r="P11" s="97">
        <f t="shared" si="6"/>
        <v>0</v>
      </c>
      <c r="Q11" s="97">
        <f t="shared" si="7"/>
        <v>0</v>
      </c>
      <c r="R11" s="98">
        <f t="shared" si="8"/>
        <v>0</v>
      </c>
      <c r="S11" s="117"/>
      <c r="T11" s="97">
        <f t="shared" si="9"/>
        <v>0</v>
      </c>
      <c r="U11" s="97">
        <f t="shared" si="10"/>
        <v>0</v>
      </c>
      <c r="V11" s="97">
        <f t="shared" si="11"/>
        <v>0</v>
      </c>
      <c r="W11" s="106">
        <f t="shared" si="12"/>
        <v>0</v>
      </c>
      <c r="X11" s="108"/>
      <c r="Y11" s="97">
        <f t="shared" si="13"/>
        <v>0</v>
      </c>
      <c r="Z11" s="97">
        <f t="shared" si="14"/>
        <v>0</v>
      </c>
      <c r="AA11" s="97">
        <f t="shared" si="15"/>
        <v>0</v>
      </c>
      <c r="AB11" s="98">
        <f t="shared" si="16"/>
        <v>0</v>
      </c>
      <c r="AC11" s="109">
        <f t="shared" si="17"/>
        <v>274888</v>
      </c>
      <c r="AD11" s="101">
        <f t="shared" si="23"/>
        <v>68722</v>
      </c>
      <c r="AE11" s="111">
        <f t="shared" si="18"/>
        <v>0</v>
      </c>
      <c r="AF11" s="112">
        <f t="shared" si="19"/>
        <v>0</v>
      </c>
      <c r="AG11" s="113">
        <f t="shared" si="20"/>
        <v>274888</v>
      </c>
      <c r="AH11" s="214">
        <f t="shared" ref="AH11:AH12" si="26">AG11*F11</f>
        <v>274888</v>
      </c>
      <c r="AI11" s="114">
        <f t="shared" si="21"/>
        <v>0</v>
      </c>
      <c r="AJ11" s="166">
        <f t="shared" si="22"/>
        <v>0</v>
      </c>
      <c r="AK11" s="296" t="s">
        <v>253</v>
      </c>
      <c r="AL11" s="297"/>
      <c r="AM11" s="298"/>
      <c r="AN11" s="160"/>
    </row>
    <row r="12" spans="1:40" ht="33" customHeight="1" thickBot="1" x14ac:dyDescent="0.3">
      <c r="A12" s="82">
        <f t="shared" si="0"/>
        <v>1</v>
      </c>
      <c r="B12" s="196">
        <v>8</v>
      </c>
      <c r="C12" s="50" t="s">
        <v>38</v>
      </c>
      <c r="D12" s="203" t="s">
        <v>1044</v>
      </c>
      <c r="E12" s="52" t="s">
        <v>39</v>
      </c>
      <c r="F12" s="17">
        <v>1</v>
      </c>
      <c r="G12" s="15"/>
      <c r="H12" s="89" t="s">
        <v>165</v>
      </c>
      <c r="I12" s="115">
        <f>145200*1.052</f>
        <v>152750.39999999999</v>
      </c>
      <c r="J12" s="97">
        <f t="shared" si="1"/>
        <v>29022.576000000001</v>
      </c>
      <c r="K12" s="97">
        <f t="shared" si="2"/>
        <v>181772.976</v>
      </c>
      <c r="L12" s="97">
        <f t="shared" si="3"/>
        <v>152750.39999999999</v>
      </c>
      <c r="M12" s="106">
        <f t="shared" si="4"/>
        <v>181772.976</v>
      </c>
      <c r="N12" s="116"/>
      <c r="O12" s="97">
        <f t="shared" si="5"/>
        <v>0</v>
      </c>
      <c r="P12" s="97">
        <f t="shared" si="6"/>
        <v>0</v>
      </c>
      <c r="Q12" s="97">
        <f t="shared" si="7"/>
        <v>0</v>
      </c>
      <c r="R12" s="98">
        <f t="shared" si="8"/>
        <v>0</v>
      </c>
      <c r="S12" s="117"/>
      <c r="T12" s="97">
        <f t="shared" si="9"/>
        <v>0</v>
      </c>
      <c r="U12" s="97">
        <f t="shared" si="10"/>
        <v>0</v>
      </c>
      <c r="V12" s="97">
        <f t="shared" si="11"/>
        <v>0</v>
      </c>
      <c r="W12" s="106">
        <f t="shared" si="12"/>
        <v>0</v>
      </c>
      <c r="X12" s="108"/>
      <c r="Y12" s="97">
        <f t="shared" si="13"/>
        <v>0</v>
      </c>
      <c r="Z12" s="97">
        <f t="shared" si="14"/>
        <v>0</v>
      </c>
      <c r="AA12" s="97">
        <f t="shared" si="15"/>
        <v>0</v>
      </c>
      <c r="AB12" s="98">
        <f t="shared" si="16"/>
        <v>0</v>
      </c>
      <c r="AC12" s="109">
        <f t="shared" si="17"/>
        <v>152750</v>
      </c>
      <c r="AD12" s="101">
        <f t="shared" si="23"/>
        <v>38188</v>
      </c>
      <c r="AE12" s="111">
        <f t="shared" si="18"/>
        <v>0</v>
      </c>
      <c r="AF12" s="112">
        <f t="shared" si="19"/>
        <v>0</v>
      </c>
      <c r="AG12" s="113">
        <f t="shared" si="20"/>
        <v>152750</v>
      </c>
      <c r="AH12" s="214">
        <f t="shared" si="26"/>
        <v>152750</v>
      </c>
      <c r="AI12" s="114">
        <f t="shared" si="21"/>
        <v>0</v>
      </c>
      <c r="AJ12" s="166">
        <f t="shared" si="22"/>
        <v>0</v>
      </c>
      <c r="AK12" s="175" t="s">
        <v>253</v>
      </c>
      <c r="AL12" s="161"/>
      <c r="AM12" s="176"/>
      <c r="AN12" s="160"/>
    </row>
    <row r="13" spans="1:40" ht="56.25" customHeight="1" thickBot="1" x14ac:dyDescent="0.3">
      <c r="A13" s="82">
        <f t="shared" si="0"/>
        <v>3</v>
      </c>
      <c r="B13" s="196">
        <v>9</v>
      </c>
      <c r="C13" s="50" t="s">
        <v>40</v>
      </c>
      <c r="D13" s="203" t="s">
        <v>1044</v>
      </c>
      <c r="E13" s="52" t="s">
        <v>41</v>
      </c>
      <c r="F13" s="17">
        <v>1</v>
      </c>
      <c r="G13" s="15"/>
      <c r="H13" s="89" t="s">
        <v>165</v>
      </c>
      <c r="I13" s="115">
        <f>K13/1.19</f>
        <v>32352.941176470591</v>
      </c>
      <c r="J13" s="97">
        <f t="shared" si="1"/>
        <v>6147.0588235294126</v>
      </c>
      <c r="K13" s="97">
        <v>38500</v>
      </c>
      <c r="L13" s="97">
        <f t="shared" si="3"/>
        <v>32352.941176470591</v>
      </c>
      <c r="M13" s="106">
        <f t="shared" si="4"/>
        <v>38500</v>
      </c>
      <c r="N13" s="116">
        <f>P13/1.19</f>
        <v>16806.722689075632</v>
      </c>
      <c r="O13" s="97">
        <f t="shared" si="5"/>
        <v>3193.2773109243699</v>
      </c>
      <c r="P13" s="97">
        <v>20000</v>
      </c>
      <c r="Q13" s="97">
        <f t="shared" si="7"/>
        <v>16806.722689075632</v>
      </c>
      <c r="R13" s="98">
        <f t="shared" si="8"/>
        <v>20000</v>
      </c>
      <c r="S13" s="117">
        <f>U13/1.19</f>
        <v>29411.764705882353</v>
      </c>
      <c r="T13" s="97">
        <f t="shared" si="9"/>
        <v>5588.2352941176468</v>
      </c>
      <c r="U13" s="97">
        <v>35000</v>
      </c>
      <c r="V13" s="97">
        <f t="shared" si="11"/>
        <v>29411.764705882353</v>
      </c>
      <c r="W13" s="106">
        <f t="shared" si="12"/>
        <v>35000</v>
      </c>
      <c r="X13" s="108"/>
      <c r="Y13" s="97">
        <f t="shared" si="13"/>
        <v>0</v>
      </c>
      <c r="Z13" s="97">
        <f t="shared" si="14"/>
        <v>0</v>
      </c>
      <c r="AA13" s="97">
        <f t="shared" si="15"/>
        <v>0</v>
      </c>
      <c r="AB13" s="98">
        <f t="shared" si="16"/>
        <v>0</v>
      </c>
      <c r="AC13" s="109">
        <f t="shared" si="17"/>
        <v>26190</v>
      </c>
      <c r="AD13" s="101">
        <f t="shared" si="23"/>
        <v>19643</v>
      </c>
      <c r="AE13" s="111">
        <f t="shared" si="18"/>
        <v>6743.0829788295378</v>
      </c>
      <c r="AF13" s="112">
        <f t="shared" si="19"/>
        <v>0.25746784951620993</v>
      </c>
      <c r="AG13" s="113">
        <f t="shared" si="20"/>
        <v>29412</v>
      </c>
      <c r="AH13" s="101">
        <f t="shared" si="24"/>
        <v>23109</v>
      </c>
      <c r="AI13" s="114">
        <f t="shared" si="21"/>
        <v>6743.0829788295378</v>
      </c>
      <c r="AJ13" s="166">
        <f t="shared" si="22"/>
        <v>0.22926298717630686</v>
      </c>
      <c r="AK13" s="195" t="s">
        <v>226</v>
      </c>
      <c r="AL13" s="193" t="s">
        <v>227</v>
      </c>
      <c r="AM13" s="194" t="s">
        <v>228</v>
      </c>
      <c r="AN13" s="160"/>
    </row>
    <row r="14" spans="1:40" ht="35.25" customHeight="1" thickBot="1" x14ac:dyDescent="0.3">
      <c r="A14" s="82">
        <f t="shared" si="0"/>
        <v>1</v>
      </c>
      <c r="B14" s="197">
        <v>10</v>
      </c>
      <c r="C14" s="50" t="s">
        <v>42</v>
      </c>
      <c r="D14" s="203" t="s">
        <v>1044</v>
      </c>
      <c r="E14" s="50" t="s">
        <v>43</v>
      </c>
      <c r="F14" s="17">
        <v>1</v>
      </c>
      <c r="G14" s="15"/>
      <c r="H14" s="89" t="s">
        <v>167</v>
      </c>
      <c r="I14" s="115">
        <f>13700*1.052</f>
        <v>14412.400000000001</v>
      </c>
      <c r="J14" s="97">
        <f t="shared" si="1"/>
        <v>2738.3560000000002</v>
      </c>
      <c r="K14" s="97">
        <f t="shared" ref="K14:K45" si="27">I14+J14</f>
        <v>17150.756000000001</v>
      </c>
      <c r="L14" s="97">
        <f t="shared" si="3"/>
        <v>14412.400000000001</v>
      </c>
      <c r="M14" s="106">
        <f t="shared" si="4"/>
        <v>17150.756000000001</v>
      </c>
      <c r="N14" s="116"/>
      <c r="O14" s="97">
        <f t="shared" si="5"/>
        <v>0</v>
      </c>
      <c r="P14" s="97">
        <f t="shared" ref="P14:P45" si="28">N14+O14</f>
        <v>0</v>
      </c>
      <c r="Q14" s="97">
        <f t="shared" si="7"/>
        <v>0</v>
      </c>
      <c r="R14" s="98">
        <f t="shared" si="8"/>
        <v>0</v>
      </c>
      <c r="S14" s="117"/>
      <c r="T14" s="97">
        <f t="shared" si="9"/>
        <v>0</v>
      </c>
      <c r="U14" s="97">
        <f t="shared" ref="U14:U45" si="29">S14+T14</f>
        <v>0</v>
      </c>
      <c r="V14" s="97">
        <f t="shared" si="11"/>
        <v>0</v>
      </c>
      <c r="W14" s="106">
        <f t="shared" si="12"/>
        <v>0</v>
      </c>
      <c r="X14" s="108"/>
      <c r="Y14" s="97">
        <f t="shared" si="13"/>
        <v>0</v>
      </c>
      <c r="Z14" s="97">
        <f t="shared" si="14"/>
        <v>0</v>
      </c>
      <c r="AA14" s="97">
        <f t="shared" si="15"/>
        <v>0</v>
      </c>
      <c r="AB14" s="98">
        <f t="shared" si="16"/>
        <v>0</v>
      </c>
      <c r="AC14" s="109">
        <f t="shared" si="17"/>
        <v>14412</v>
      </c>
      <c r="AD14" s="101">
        <f t="shared" si="23"/>
        <v>3603</v>
      </c>
      <c r="AE14" s="111">
        <f t="shared" si="18"/>
        <v>0</v>
      </c>
      <c r="AF14" s="112">
        <f t="shared" si="19"/>
        <v>0</v>
      </c>
      <c r="AG14" s="113">
        <f t="shared" si="20"/>
        <v>14412</v>
      </c>
      <c r="AH14" s="214">
        <f t="shared" ref="AH14:AH16" si="30">AG14*F14</f>
        <v>14412</v>
      </c>
      <c r="AI14" s="114">
        <f t="shared" si="21"/>
        <v>0</v>
      </c>
      <c r="AJ14" s="166">
        <f t="shared" si="22"/>
        <v>0</v>
      </c>
      <c r="AK14" s="175" t="s">
        <v>253</v>
      </c>
      <c r="AL14" s="161"/>
      <c r="AM14" s="176"/>
      <c r="AN14" s="160"/>
    </row>
    <row r="15" spans="1:40" ht="60.75" thickBot="1" x14ac:dyDescent="0.3">
      <c r="A15" s="82">
        <f t="shared" si="0"/>
        <v>1</v>
      </c>
      <c r="B15" s="197">
        <v>11</v>
      </c>
      <c r="C15" s="50" t="s">
        <v>44</v>
      </c>
      <c r="D15" s="203" t="s">
        <v>1044</v>
      </c>
      <c r="E15" s="50" t="s">
        <v>45</v>
      </c>
      <c r="F15" s="17">
        <v>1</v>
      </c>
      <c r="G15" s="15"/>
      <c r="H15" s="89" t="s">
        <v>28</v>
      </c>
      <c r="I15" s="115">
        <f>39000*1.052</f>
        <v>41028</v>
      </c>
      <c r="J15" s="97">
        <f t="shared" si="1"/>
        <v>7795.32</v>
      </c>
      <c r="K15" s="97">
        <f t="shared" si="27"/>
        <v>48823.32</v>
      </c>
      <c r="L15" s="97">
        <f t="shared" si="3"/>
        <v>41028</v>
      </c>
      <c r="M15" s="106">
        <f t="shared" si="4"/>
        <v>48823.32</v>
      </c>
      <c r="N15" s="116"/>
      <c r="O15" s="97">
        <f t="shared" si="5"/>
        <v>0</v>
      </c>
      <c r="P15" s="97">
        <f t="shared" si="28"/>
        <v>0</v>
      </c>
      <c r="Q15" s="97">
        <f t="shared" si="7"/>
        <v>0</v>
      </c>
      <c r="R15" s="98">
        <f t="shared" si="8"/>
        <v>0</v>
      </c>
      <c r="S15" s="117"/>
      <c r="T15" s="97">
        <f t="shared" si="9"/>
        <v>0</v>
      </c>
      <c r="U15" s="97">
        <f t="shared" si="29"/>
        <v>0</v>
      </c>
      <c r="V15" s="97">
        <f t="shared" si="11"/>
        <v>0</v>
      </c>
      <c r="W15" s="106">
        <f t="shared" si="12"/>
        <v>0</v>
      </c>
      <c r="X15" s="108"/>
      <c r="Y15" s="97">
        <f t="shared" si="13"/>
        <v>0</v>
      </c>
      <c r="Z15" s="97">
        <f t="shared" si="14"/>
        <v>0</v>
      </c>
      <c r="AA15" s="97">
        <f t="shared" si="15"/>
        <v>0</v>
      </c>
      <c r="AB15" s="98">
        <f t="shared" si="16"/>
        <v>0</v>
      </c>
      <c r="AC15" s="109">
        <f t="shared" si="17"/>
        <v>41028</v>
      </c>
      <c r="AD15" s="101">
        <f t="shared" si="23"/>
        <v>10257</v>
      </c>
      <c r="AE15" s="111">
        <f t="shared" si="18"/>
        <v>0</v>
      </c>
      <c r="AF15" s="112">
        <f t="shared" si="19"/>
        <v>0</v>
      </c>
      <c r="AG15" s="113">
        <f t="shared" si="20"/>
        <v>41028</v>
      </c>
      <c r="AH15" s="214">
        <f t="shared" si="30"/>
        <v>41028</v>
      </c>
      <c r="AI15" s="114">
        <f t="shared" si="21"/>
        <v>0</v>
      </c>
      <c r="AJ15" s="166">
        <f t="shared" si="22"/>
        <v>0</v>
      </c>
      <c r="AK15" s="175" t="s">
        <v>253</v>
      </c>
      <c r="AL15" s="161"/>
      <c r="AM15" s="176"/>
      <c r="AN15" s="160"/>
    </row>
    <row r="16" spans="1:40" ht="67.5" customHeight="1" thickBot="1" x14ac:dyDescent="0.3">
      <c r="A16" s="82">
        <f t="shared" si="0"/>
        <v>1</v>
      </c>
      <c r="B16" s="196">
        <v>12</v>
      </c>
      <c r="C16" s="50" t="s">
        <v>46</v>
      </c>
      <c r="D16" s="203" t="s">
        <v>1044</v>
      </c>
      <c r="E16" s="50" t="s">
        <v>47</v>
      </c>
      <c r="F16" s="17">
        <v>1</v>
      </c>
      <c r="G16" s="15"/>
      <c r="H16" s="89" t="s">
        <v>28</v>
      </c>
      <c r="I16" s="115">
        <f>159900*1.052</f>
        <v>168214.80000000002</v>
      </c>
      <c r="J16" s="97">
        <f t="shared" si="1"/>
        <v>31960.812000000005</v>
      </c>
      <c r="K16" s="97">
        <f t="shared" si="27"/>
        <v>200175.61200000002</v>
      </c>
      <c r="L16" s="97">
        <f t="shared" si="3"/>
        <v>168214.80000000002</v>
      </c>
      <c r="M16" s="106">
        <f t="shared" si="4"/>
        <v>200175.61200000002</v>
      </c>
      <c r="N16" s="116"/>
      <c r="O16" s="97">
        <f t="shared" si="5"/>
        <v>0</v>
      </c>
      <c r="P16" s="97">
        <f t="shared" si="28"/>
        <v>0</v>
      </c>
      <c r="Q16" s="97">
        <f t="shared" si="7"/>
        <v>0</v>
      </c>
      <c r="R16" s="98">
        <f t="shared" si="8"/>
        <v>0</v>
      </c>
      <c r="S16" s="117"/>
      <c r="T16" s="97">
        <f t="shared" si="9"/>
        <v>0</v>
      </c>
      <c r="U16" s="97">
        <f t="shared" si="29"/>
        <v>0</v>
      </c>
      <c r="V16" s="97">
        <f t="shared" si="11"/>
        <v>0</v>
      </c>
      <c r="W16" s="106">
        <f t="shared" si="12"/>
        <v>0</v>
      </c>
      <c r="X16" s="108"/>
      <c r="Y16" s="97">
        <f t="shared" si="13"/>
        <v>0</v>
      </c>
      <c r="Z16" s="97">
        <f t="shared" si="14"/>
        <v>0</v>
      </c>
      <c r="AA16" s="97">
        <f t="shared" si="15"/>
        <v>0</v>
      </c>
      <c r="AB16" s="98">
        <f t="shared" si="16"/>
        <v>0</v>
      </c>
      <c r="AC16" s="109">
        <f t="shared" si="17"/>
        <v>168215</v>
      </c>
      <c r="AD16" s="101">
        <f t="shared" si="23"/>
        <v>42054</v>
      </c>
      <c r="AE16" s="111">
        <f t="shared" si="18"/>
        <v>0</v>
      </c>
      <c r="AF16" s="112">
        <f t="shared" si="19"/>
        <v>0</v>
      </c>
      <c r="AG16" s="113">
        <f t="shared" si="20"/>
        <v>168215</v>
      </c>
      <c r="AH16" s="214">
        <f t="shared" si="30"/>
        <v>168215</v>
      </c>
      <c r="AI16" s="114">
        <f t="shared" si="21"/>
        <v>0</v>
      </c>
      <c r="AJ16" s="166">
        <f t="shared" si="22"/>
        <v>0</v>
      </c>
      <c r="AK16" s="175" t="s">
        <v>253</v>
      </c>
      <c r="AL16" s="161"/>
      <c r="AM16" s="176"/>
      <c r="AN16" s="160"/>
    </row>
    <row r="17" spans="1:40" ht="45.75" thickBot="1" x14ac:dyDescent="0.3">
      <c r="A17" s="82">
        <f t="shared" si="0"/>
        <v>3</v>
      </c>
      <c r="B17" s="196">
        <v>13</v>
      </c>
      <c r="C17" s="50" t="s">
        <v>48</v>
      </c>
      <c r="D17" s="203" t="s">
        <v>1044</v>
      </c>
      <c r="E17" s="50" t="s">
        <v>49</v>
      </c>
      <c r="F17" s="17">
        <v>1</v>
      </c>
      <c r="G17" s="15"/>
      <c r="H17" s="89" t="s">
        <v>166</v>
      </c>
      <c r="I17" s="115">
        <v>48000</v>
      </c>
      <c r="J17" s="97">
        <f t="shared" si="1"/>
        <v>9120</v>
      </c>
      <c r="K17" s="97">
        <f t="shared" si="27"/>
        <v>57120</v>
      </c>
      <c r="L17" s="97">
        <f t="shared" si="3"/>
        <v>48000</v>
      </c>
      <c r="M17" s="106">
        <f t="shared" si="4"/>
        <v>57120</v>
      </c>
      <c r="N17" s="116">
        <v>46500</v>
      </c>
      <c r="O17" s="97">
        <f t="shared" si="5"/>
        <v>8835</v>
      </c>
      <c r="P17" s="97">
        <f t="shared" si="28"/>
        <v>55335</v>
      </c>
      <c r="Q17" s="97">
        <f t="shared" si="7"/>
        <v>46500</v>
      </c>
      <c r="R17" s="98">
        <f t="shared" si="8"/>
        <v>55335</v>
      </c>
      <c r="S17" s="117">
        <v>42000</v>
      </c>
      <c r="T17" s="97">
        <f t="shared" si="9"/>
        <v>7980</v>
      </c>
      <c r="U17" s="97">
        <f t="shared" si="29"/>
        <v>49980</v>
      </c>
      <c r="V17" s="97">
        <f t="shared" si="11"/>
        <v>42000</v>
      </c>
      <c r="W17" s="106">
        <f t="shared" si="12"/>
        <v>49980</v>
      </c>
      <c r="X17" s="108"/>
      <c r="Y17" s="97">
        <f t="shared" si="13"/>
        <v>0</v>
      </c>
      <c r="Z17" s="97">
        <f t="shared" si="14"/>
        <v>0</v>
      </c>
      <c r="AA17" s="97">
        <f t="shared" si="15"/>
        <v>0</v>
      </c>
      <c r="AB17" s="98">
        <f t="shared" si="16"/>
        <v>0</v>
      </c>
      <c r="AC17" s="109">
        <f t="shared" si="17"/>
        <v>45500</v>
      </c>
      <c r="AD17" s="101">
        <f t="shared" si="23"/>
        <v>34125</v>
      </c>
      <c r="AE17" s="111">
        <f t="shared" si="18"/>
        <v>2549.5097567963926</v>
      </c>
      <c r="AF17" s="112">
        <f t="shared" si="19"/>
        <v>5.6033181468052584E-2</v>
      </c>
      <c r="AG17" s="113">
        <f t="shared" si="20"/>
        <v>46500</v>
      </c>
      <c r="AH17" s="101">
        <f t="shared" si="24"/>
        <v>44250</v>
      </c>
      <c r="AI17" s="114">
        <f t="shared" si="21"/>
        <v>2549.5097567963926</v>
      </c>
      <c r="AJ17" s="166">
        <f t="shared" si="22"/>
        <v>5.4828166812825645E-2</v>
      </c>
      <c r="AK17" s="175" t="s">
        <v>222</v>
      </c>
      <c r="AL17" s="161" t="s">
        <v>223</v>
      </c>
      <c r="AM17" s="176" t="s">
        <v>224</v>
      </c>
      <c r="AN17" s="160"/>
    </row>
    <row r="18" spans="1:40" ht="50.25" customHeight="1" thickBot="1" x14ac:dyDescent="0.3">
      <c r="A18" s="82">
        <f t="shared" si="0"/>
        <v>1</v>
      </c>
      <c r="B18" s="197">
        <v>14</v>
      </c>
      <c r="C18" s="50" t="s">
        <v>50</v>
      </c>
      <c r="D18" s="203" t="s">
        <v>1044</v>
      </c>
      <c r="E18" s="50" t="s">
        <v>51</v>
      </c>
      <c r="F18" s="17">
        <v>1</v>
      </c>
      <c r="G18" s="15"/>
      <c r="H18" s="89" t="s">
        <v>28</v>
      </c>
      <c r="I18" s="115">
        <f>197600*1.052</f>
        <v>207875.20000000001</v>
      </c>
      <c r="J18" s="97">
        <f t="shared" si="1"/>
        <v>39496.288</v>
      </c>
      <c r="K18" s="97">
        <f t="shared" si="27"/>
        <v>247371.48800000001</v>
      </c>
      <c r="L18" s="97">
        <f t="shared" si="3"/>
        <v>207875.20000000001</v>
      </c>
      <c r="M18" s="106">
        <f t="shared" si="4"/>
        <v>247371.48800000001</v>
      </c>
      <c r="N18" s="116"/>
      <c r="O18" s="97">
        <f t="shared" si="5"/>
        <v>0</v>
      </c>
      <c r="P18" s="97">
        <f t="shared" si="28"/>
        <v>0</v>
      </c>
      <c r="Q18" s="97">
        <f t="shared" si="7"/>
        <v>0</v>
      </c>
      <c r="R18" s="98">
        <f t="shared" si="8"/>
        <v>0</v>
      </c>
      <c r="S18" s="117"/>
      <c r="T18" s="97">
        <f t="shared" si="9"/>
        <v>0</v>
      </c>
      <c r="U18" s="97">
        <f t="shared" si="29"/>
        <v>0</v>
      </c>
      <c r="V18" s="97">
        <f t="shared" si="11"/>
        <v>0</v>
      </c>
      <c r="W18" s="106">
        <f t="shared" si="12"/>
        <v>0</v>
      </c>
      <c r="X18" s="108"/>
      <c r="Y18" s="97">
        <f t="shared" si="13"/>
        <v>0</v>
      </c>
      <c r="Z18" s="97">
        <f t="shared" si="14"/>
        <v>0</v>
      </c>
      <c r="AA18" s="97">
        <f t="shared" si="15"/>
        <v>0</v>
      </c>
      <c r="AB18" s="98">
        <f t="shared" si="16"/>
        <v>0</v>
      </c>
      <c r="AC18" s="109">
        <f t="shared" si="17"/>
        <v>207875</v>
      </c>
      <c r="AD18" s="101">
        <f t="shared" si="23"/>
        <v>51969</v>
      </c>
      <c r="AE18" s="111">
        <f t="shared" si="18"/>
        <v>0</v>
      </c>
      <c r="AF18" s="112">
        <f t="shared" si="19"/>
        <v>0</v>
      </c>
      <c r="AG18" s="113">
        <f t="shared" si="20"/>
        <v>207875</v>
      </c>
      <c r="AH18" s="214">
        <f t="shared" ref="AH18:AH24" si="31">AG18*F18</f>
        <v>207875</v>
      </c>
      <c r="AI18" s="114">
        <f t="shared" si="21"/>
        <v>0</v>
      </c>
      <c r="AJ18" s="166">
        <f t="shared" si="22"/>
        <v>0</v>
      </c>
      <c r="AK18" s="175" t="s">
        <v>253</v>
      </c>
      <c r="AL18" s="161"/>
      <c r="AM18" s="176"/>
      <c r="AN18" s="160"/>
    </row>
    <row r="19" spans="1:40" ht="51" customHeight="1" thickBot="1" x14ac:dyDescent="0.3">
      <c r="A19" s="82">
        <f t="shared" si="0"/>
        <v>1</v>
      </c>
      <c r="B19" s="197">
        <v>15</v>
      </c>
      <c r="C19" s="50" t="s">
        <v>53</v>
      </c>
      <c r="D19" s="203" t="s">
        <v>1044</v>
      </c>
      <c r="E19" s="50" t="s">
        <v>52</v>
      </c>
      <c r="F19" s="17">
        <v>1</v>
      </c>
      <c r="G19" s="15"/>
      <c r="H19" s="89" t="s">
        <v>28</v>
      </c>
      <c r="I19" s="115">
        <f>277900*1.052</f>
        <v>292350.8</v>
      </c>
      <c r="J19" s="97">
        <f t="shared" si="1"/>
        <v>55546.652000000002</v>
      </c>
      <c r="K19" s="97">
        <f t="shared" si="27"/>
        <v>347897.45199999999</v>
      </c>
      <c r="L19" s="97">
        <f t="shared" si="3"/>
        <v>292350.8</v>
      </c>
      <c r="M19" s="106">
        <f t="shared" si="4"/>
        <v>347897.45199999999</v>
      </c>
      <c r="N19" s="116"/>
      <c r="O19" s="97">
        <f t="shared" si="5"/>
        <v>0</v>
      </c>
      <c r="P19" s="97">
        <f t="shared" si="28"/>
        <v>0</v>
      </c>
      <c r="Q19" s="97">
        <f t="shared" si="7"/>
        <v>0</v>
      </c>
      <c r="R19" s="98">
        <f t="shared" si="8"/>
        <v>0</v>
      </c>
      <c r="S19" s="117"/>
      <c r="T19" s="97">
        <f t="shared" si="9"/>
        <v>0</v>
      </c>
      <c r="U19" s="97">
        <f t="shared" si="29"/>
        <v>0</v>
      </c>
      <c r="V19" s="97">
        <f t="shared" si="11"/>
        <v>0</v>
      </c>
      <c r="W19" s="106">
        <f t="shared" si="12"/>
        <v>0</v>
      </c>
      <c r="X19" s="108"/>
      <c r="Y19" s="97">
        <f t="shared" si="13"/>
        <v>0</v>
      </c>
      <c r="Z19" s="97">
        <f t="shared" si="14"/>
        <v>0</v>
      </c>
      <c r="AA19" s="97">
        <f t="shared" si="15"/>
        <v>0</v>
      </c>
      <c r="AB19" s="98">
        <f t="shared" si="16"/>
        <v>0</v>
      </c>
      <c r="AC19" s="109">
        <f t="shared" si="17"/>
        <v>292351</v>
      </c>
      <c r="AD19" s="101">
        <f t="shared" si="23"/>
        <v>73088</v>
      </c>
      <c r="AE19" s="111">
        <f t="shared" si="18"/>
        <v>0</v>
      </c>
      <c r="AF19" s="112">
        <f t="shared" si="19"/>
        <v>0</v>
      </c>
      <c r="AG19" s="113">
        <f t="shared" si="20"/>
        <v>292351</v>
      </c>
      <c r="AH19" s="214">
        <f t="shared" si="31"/>
        <v>292351</v>
      </c>
      <c r="AI19" s="114">
        <f t="shared" si="21"/>
        <v>0</v>
      </c>
      <c r="AJ19" s="166">
        <f t="shared" si="22"/>
        <v>0</v>
      </c>
      <c r="AK19" s="175" t="s">
        <v>253</v>
      </c>
      <c r="AL19" s="161"/>
      <c r="AM19" s="176"/>
      <c r="AN19" s="160"/>
    </row>
    <row r="20" spans="1:40" ht="45.75" thickBot="1" x14ac:dyDescent="0.3">
      <c r="A20" s="82">
        <f t="shared" si="0"/>
        <v>1</v>
      </c>
      <c r="B20" s="196">
        <v>16</v>
      </c>
      <c r="C20" s="50" t="s">
        <v>54</v>
      </c>
      <c r="D20" s="203" t="s">
        <v>1044</v>
      </c>
      <c r="E20" s="50" t="s">
        <v>55</v>
      </c>
      <c r="F20" s="17">
        <v>1</v>
      </c>
      <c r="G20" s="15"/>
      <c r="H20" s="89" t="s">
        <v>28</v>
      </c>
      <c r="I20" s="115">
        <f>190100*1.052</f>
        <v>199985.2</v>
      </c>
      <c r="J20" s="97">
        <f t="shared" si="1"/>
        <v>37997.188000000002</v>
      </c>
      <c r="K20" s="97">
        <f t="shared" si="27"/>
        <v>237982.38800000001</v>
      </c>
      <c r="L20" s="97">
        <f t="shared" si="3"/>
        <v>199985.2</v>
      </c>
      <c r="M20" s="106">
        <f t="shared" si="4"/>
        <v>237982.38800000001</v>
      </c>
      <c r="N20" s="116"/>
      <c r="O20" s="97">
        <f t="shared" si="5"/>
        <v>0</v>
      </c>
      <c r="P20" s="97">
        <f t="shared" si="28"/>
        <v>0</v>
      </c>
      <c r="Q20" s="97">
        <f t="shared" si="7"/>
        <v>0</v>
      </c>
      <c r="R20" s="98">
        <f t="shared" si="8"/>
        <v>0</v>
      </c>
      <c r="S20" s="117"/>
      <c r="T20" s="97">
        <f t="shared" si="9"/>
        <v>0</v>
      </c>
      <c r="U20" s="97">
        <f t="shared" si="29"/>
        <v>0</v>
      </c>
      <c r="V20" s="97">
        <f t="shared" si="11"/>
        <v>0</v>
      </c>
      <c r="W20" s="106">
        <f t="shared" si="12"/>
        <v>0</v>
      </c>
      <c r="X20" s="108"/>
      <c r="Y20" s="97">
        <f t="shared" si="13"/>
        <v>0</v>
      </c>
      <c r="Z20" s="97">
        <f t="shared" si="14"/>
        <v>0</v>
      </c>
      <c r="AA20" s="97">
        <f t="shared" si="15"/>
        <v>0</v>
      </c>
      <c r="AB20" s="98">
        <f t="shared" si="16"/>
        <v>0</v>
      </c>
      <c r="AC20" s="109">
        <f t="shared" si="17"/>
        <v>199985</v>
      </c>
      <c r="AD20" s="101">
        <f t="shared" si="23"/>
        <v>49996</v>
      </c>
      <c r="AE20" s="111">
        <f t="shared" si="18"/>
        <v>0</v>
      </c>
      <c r="AF20" s="112">
        <f t="shared" si="19"/>
        <v>0</v>
      </c>
      <c r="AG20" s="113">
        <f t="shared" si="20"/>
        <v>199985</v>
      </c>
      <c r="AH20" s="214">
        <f t="shared" si="31"/>
        <v>199985</v>
      </c>
      <c r="AI20" s="114">
        <f t="shared" si="21"/>
        <v>0</v>
      </c>
      <c r="AJ20" s="166">
        <f t="shared" si="22"/>
        <v>0</v>
      </c>
      <c r="AK20" s="175" t="s">
        <v>253</v>
      </c>
      <c r="AL20" s="161"/>
      <c r="AM20" s="176"/>
      <c r="AN20" s="160"/>
    </row>
    <row r="21" spans="1:40" ht="58.5" customHeight="1" thickBot="1" x14ac:dyDescent="0.3">
      <c r="A21" s="82">
        <f t="shared" si="0"/>
        <v>1</v>
      </c>
      <c r="B21" s="196">
        <v>17</v>
      </c>
      <c r="C21" s="50" t="s">
        <v>56</v>
      </c>
      <c r="D21" s="203" t="s">
        <v>1044</v>
      </c>
      <c r="E21" s="50" t="s">
        <v>57</v>
      </c>
      <c r="F21" s="17">
        <v>1</v>
      </c>
      <c r="G21" s="15"/>
      <c r="H21" s="89" t="s">
        <v>28</v>
      </c>
      <c r="I21" s="115">
        <f>81800*1.052</f>
        <v>86053.6</v>
      </c>
      <c r="J21" s="97">
        <f t="shared" si="1"/>
        <v>16350.184000000001</v>
      </c>
      <c r="K21" s="97">
        <f t="shared" si="27"/>
        <v>102403.78400000001</v>
      </c>
      <c r="L21" s="97">
        <f t="shared" si="3"/>
        <v>86053.6</v>
      </c>
      <c r="M21" s="106">
        <f t="shared" si="4"/>
        <v>102403.78400000001</v>
      </c>
      <c r="N21" s="116"/>
      <c r="O21" s="97">
        <f t="shared" si="5"/>
        <v>0</v>
      </c>
      <c r="P21" s="97">
        <f t="shared" si="28"/>
        <v>0</v>
      </c>
      <c r="Q21" s="97">
        <f t="shared" si="7"/>
        <v>0</v>
      </c>
      <c r="R21" s="98">
        <f t="shared" si="8"/>
        <v>0</v>
      </c>
      <c r="S21" s="117"/>
      <c r="T21" s="97">
        <f t="shared" si="9"/>
        <v>0</v>
      </c>
      <c r="U21" s="97">
        <f t="shared" si="29"/>
        <v>0</v>
      </c>
      <c r="V21" s="97">
        <f t="shared" si="11"/>
        <v>0</v>
      </c>
      <c r="W21" s="106">
        <f t="shared" si="12"/>
        <v>0</v>
      </c>
      <c r="X21" s="108"/>
      <c r="Y21" s="97">
        <f t="shared" si="13"/>
        <v>0</v>
      </c>
      <c r="Z21" s="97">
        <f t="shared" si="14"/>
        <v>0</v>
      </c>
      <c r="AA21" s="97">
        <f t="shared" si="15"/>
        <v>0</v>
      </c>
      <c r="AB21" s="98">
        <f t="shared" si="16"/>
        <v>0</v>
      </c>
      <c r="AC21" s="109">
        <f t="shared" si="17"/>
        <v>86054</v>
      </c>
      <c r="AD21" s="101">
        <f t="shared" si="23"/>
        <v>21513</v>
      </c>
      <c r="AE21" s="111">
        <f t="shared" si="18"/>
        <v>0</v>
      </c>
      <c r="AF21" s="112">
        <f t="shared" si="19"/>
        <v>0</v>
      </c>
      <c r="AG21" s="113">
        <f t="shared" si="20"/>
        <v>86054</v>
      </c>
      <c r="AH21" s="214">
        <f t="shared" si="31"/>
        <v>86054</v>
      </c>
      <c r="AI21" s="114">
        <f t="shared" si="21"/>
        <v>0</v>
      </c>
      <c r="AJ21" s="166">
        <f t="shared" si="22"/>
        <v>0</v>
      </c>
      <c r="AK21" s="175" t="s">
        <v>253</v>
      </c>
      <c r="AL21" s="161"/>
      <c r="AM21" s="176"/>
      <c r="AN21" s="160"/>
    </row>
    <row r="22" spans="1:40" ht="42.75" customHeight="1" thickBot="1" x14ac:dyDescent="0.3">
      <c r="A22" s="82">
        <f t="shared" si="0"/>
        <v>1</v>
      </c>
      <c r="B22" s="197">
        <v>18</v>
      </c>
      <c r="C22" s="50" t="s">
        <v>58</v>
      </c>
      <c r="D22" s="203" t="s">
        <v>1044</v>
      </c>
      <c r="E22" s="52" t="s">
        <v>59</v>
      </c>
      <c r="F22" s="17">
        <v>1</v>
      </c>
      <c r="G22" s="15"/>
      <c r="H22" s="89" t="s">
        <v>28</v>
      </c>
      <c r="I22" s="115">
        <f>1168200*1.052</f>
        <v>1228946.4000000001</v>
      </c>
      <c r="J22" s="118">
        <f t="shared" ref="J22:J53" si="32">I22*19%</f>
        <v>233499.81600000002</v>
      </c>
      <c r="K22" s="118">
        <f t="shared" si="27"/>
        <v>1462446.2160000002</v>
      </c>
      <c r="L22" s="97">
        <f t="shared" si="3"/>
        <v>1228946.4000000001</v>
      </c>
      <c r="M22" s="106">
        <f t="shared" si="4"/>
        <v>1462446.2160000002</v>
      </c>
      <c r="N22" s="116"/>
      <c r="O22" s="97">
        <f t="shared" si="5"/>
        <v>0</v>
      </c>
      <c r="P22" s="97">
        <f t="shared" si="28"/>
        <v>0</v>
      </c>
      <c r="Q22" s="97">
        <f t="shared" si="7"/>
        <v>0</v>
      </c>
      <c r="R22" s="98">
        <f t="shared" si="8"/>
        <v>0</v>
      </c>
      <c r="S22" s="117"/>
      <c r="T22" s="97">
        <f t="shared" si="9"/>
        <v>0</v>
      </c>
      <c r="U22" s="97">
        <f t="shared" si="29"/>
        <v>0</v>
      </c>
      <c r="V22" s="97">
        <f t="shared" si="11"/>
        <v>0</v>
      </c>
      <c r="W22" s="106">
        <f t="shared" si="12"/>
        <v>0</v>
      </c>
      <c r="X22" s="108"/>
      <c r="Y22" s="97">
        <f t="shared" si="13"/>
        <v>0</v>
      </c>
      <c r="Z22" s="97">
        <f t="shared" si="14"/>
        <v>0</v>
      </c>
      <c r="AA22" s="97">
        <f t="shared" si="15"/>
        <v>0</v>
      </c>
      <c r="AB22" s="98">
        <f t="shared" si="16"/>
        <v>0</v>
      </c>
      <c r="AC22" s="109">
        <f t="shared" si="17"/>
        <v>1228946</v>
      </c>
      <c r="AD22" s="101">
        <f t="shared" si="23"/>
        <v>307237</v>
      </c>
      <c r="AE22" s="111">
        <f t="shared" si="18"/>
        <v>0</v>
      </c>
      <c r="AF22" s="112">
        <f t="shared" si="19"/>
        <v>0</v>
      </c>
      <c r="AG22" s="113">
        <f t="shared" si="20"/>
        <v>1228946</v>
      </c>
      <c r="AH22" s="214">
        <f t="shared" si="31"/>
        <v>1228946</v>
      </c>
      <c r="AI22" s="114">
        <f t="shared" si="21"/>
        <v>0</v>
      </c>
      <c r="AJ22" s="166">
        <f t="shared" si="22"/>
        <v>0</v>
      </c>
      <c r="AK22" s="175" t="s">
        <v>253</v>
      </c>
      <c r="AL22" s="161"/>
      <c r="AM22" s="176"/>
      <c r="AN22" s="160"/>
    </row>
    <row r="23" spans="1:40" ht="67.5" customHeight="1" thickBot="1" x14ac:dyDescent="0.3">
      <c r="A23" s="82">
        <f t="shared" si="0"/>
        <v>1</v>
      </c>
      <c r="B23" s="197">
        <v>19</v>
      </c>
      <c r="C23" s="50" t="s">
        <v>60</v>
      </c>
      <c r="D23" s="203" t="s">
        <v>1044</v>
      </c>
      <c r="E23" s="52" t="s">
        <v>62</v>
      </c>
      <c r="F23" s="17">
        <v>1</v>
      </c>
      <c r="G23" s="15"/>
      <c r="H23" s="89" t="s">
        <v>28</v>
      </c>
      <c r="I23" s="115">
        <f>646800*1.052</f>
        <v>680433.6</v>
      </c>
      <c r="J23" s="118">
        <f t="shared" si="32"/>
        <v>129282.38399999999</v>
      </c>
      <c r="K23" s="118">
        <f t="shared" si="27"/>
        <v>809715.98399999994</v>
      </c>
      <c r="L23" s="97">
        <f t="shared" si="3"/>
        <v>680433.6</v>
      </c>
      <c r="M23" s="106">
        <f t="shared" si="4"/>
        <v>809715.98399999994</v>
      </c>
      <c r="N23" s="116"/>
      <c r="O23" s="97">
        <f t="shared" si="5"/>
        <v>0</v>
      </c>
      <c r="P23" s="97">
        <f t="shared" si="28"/>
        <v>0</v>
      </c>
      <c r="Q23" s="97">
        <f t="shared" si="7"/>
        <v>0</v>
      </c>
      <c r="R23" s="98">
        <f t="shared" si="8"/>
        <v>0</v>
      </c>
      <c r="S23" s="117"/>
      <c r="T23" s="97">
        <f t="shared" si="9"/>
        <v>0</v>
      </c>
      <c r="U23" s="97">
        <f t="shared" si="29"/>
        <v>0</v>
      </c>
      <c r="V23" s="97">
        <f t="shared" si="11"/>
        <v>0</v>
      </c>
      <c r="W23" s="106">
        <f t="shared" si="12"/>
        <v>0</v>
      </c>
      <c r="X23" s="108"/>
      <c r="Y23" s="97">
        <f t="shared" si="13"/>
        <v>0</v>
      </c>
      <c r="Z23" s="97">
        <f t="shared" si="14"/>
        <v>0</v>
      </c>
      <c r="AA23" s="97">
        <f t="shared" si="15"/>
        <v>0</v>
      </c>
      <c r="AB23" s="98">
        <f t="shared" si="16"/>
        <v>0</v>
      </c>
      <c r="AC23" s="109">
        <f t="shared" si="17"/>
        <v>680434</v>
      </c>
      <c r="AD23" s="101">
        <f t="shared" si="23"/>
        <v>170108</v>
      </c>
      <c r="AE23" s="111">
        <f t="shared" si="18"/>
        <v>0</v>
      </c>
      <c r="AF23" s="112">
        <f t="shared" si="19"/>
        <v>0</v>
      </c>
      <c r="AG23" s="113">
        <f t="shared" si="20"/>
        <v>680434</v>
      </c>
      <c r="AH23" s="214">
        <f t="shared" si="31"/>
        <v>680434</v>
      </c>
      <c r="AI23" s="114">
        <f t="shared" si="21"/>
        <v>0</v>
      </c>
      <c r="AJ23" s="166">
        <f t="shared" si="22"/>
        <v>0</v>
      </c>
      <c r="AK23" s="175" t="s">
        <v>253</v>
      </c>
      <c r="AL23" s="161"/>
      <c r="AM23" s="176"/>
      <c r="AN23" s="160"/>
    </row>
    <row r="24" spans="1:40" ht="51" customHeight="1" thickBot="1" x14ac:dyDescent="0.3">
      <c r="A24" s="82">
        <f t="shared" si="0"/>
        <v>1</v>
      </c>
      <c r="B24" s="196">
        <v>20</v>
      </c>
      <c r="C24" s="50" t="s">
        <v>61</v>
      </c>
      <c r="D24" s="203" t="s">
        <v>1044</v>
      </c>
      <c r="E24" s="52" t="s">
        <v>63</v>
      </c>
      <c r="F24" s="17">
        <v>1</v>
      </c>
      <c r="G24" s="15"/>
      <c r="H24" s="89" t="s">
        <v>28</v>
      </c>
      <c r="I24" s="115">
        <f>624300*1.052</f>
        <v>656763.6</v>
      </c>
      <c r="J24" s="118">
        <f t="shared" si="32"/>
        <v>124785.084</v>
      </c>
      <c r="K24" s="118">
        <f t="shared" si="27"/>
        <v>781548.68400000001</v>
      </c>
      <c r="L24" s="97">
        <f t="shared" si="3"/>
        <v>656763.6</v>
      </c>
      <c r="M24" s="106">
        <f t="shared" si="4"/>
        <v>781548.68400000001</v>
      </c>
      <c r="N24" s="116"/>
      <c r="O24" s="97">
        <f t="shared" si="5"/>
        <v>0</v>
      </c>
      <c r="P24" s="97">
        <f t="shared" si="28"/>
        <v>0</v>
      </c>
      <c r="Q24" s="97">
        <f t="shared" si="7"/>
        <v>0</v>
      </c>
      <c r="R24" s="98">
        <f t="shared" si="8"/>
        <v>0</v>
      </c>
      <c r="S24" s="117"/>
      <c r="T24" s="97">
        <f t="shared" si="9"/>
        <v>0</v>
      </c>
      <c r="U24" s="97">
        <f t="shared" si="29"/>
        <v>0</v>
      </c>
      <c r="V24" s="97">
        <f t="shared" si="11"/>
        <v>0</v>
      </c>
      <c r="W24" s="106">
        <f t="shared" si="12"/>
        <v>0</v>
      </c>
      <c r="X24" s="108"/>
      <c r="Y24" s="97">
        <f t="shared" si="13"/>
        <v>0</v>
      </c>
      <c r="Z24" s="97">
        <f t="shared" si="14"/>
        <v>0</v>
      </c>
      <c r="AA24" s="97">
        <f t="shared" si="15"/>
        <v>0</v>
      </c>
      <c r="AB24" s="98">
        <f t="shared" si="16"/>
        <v>0</v>
      </c>
      <c r="AC24" s="109">
        <f t="shared" si="17"/>
        <v>656764</v>
      </c>
      <c r="AD24" s="101">
        <f t="shared" si="23"/>
        <v>164191</v>
      </c>
      <c r="AE24" s="111">
        <f t="shared" si="18"/>
        <v>0</v>
      </c>
      <c r="AF24" s="112">
        <f t="shared" si="19"/>
        <v>0</v>
      </c>
      <c r="AG24" s="113">
        <f t="shared" si="20"/>
        <v>656764</v>
      </c>
      <c r="AH24" s="214">
        <f t="shared" si="31"/>
        <v>656764</v>
      </c>
      <c r="AI24" s="114">
        <f t="shared" si="21"/>
        <v>0</v>
      </c>
      <c r="AJ24" s="166">
        <f t="shared" si="22"/>
        <v>0</v>
      </c>
      <c r="AK24" s="175" t="s">
        <v>253</v>
      </c>
      <c r="AL24" s="161"/>
      <c r="AM24" s="176"/>
      <c r="AN24" s="160"/>
    </row>
    <row r="25" spans="1:40" ht="114.75" customHeight="1" thickBot="1" x14ac:dyDescent="0.3">
      <c r="A25" s="82">
        <f t="shared" si="0"/>
        <v>3</v>
      </c>
      <c r="B25" s="196">
        <v>21</v>
      </c>
      <c r="C25" s="50" t="s">
        <v>64</v>
      </c>
      <c r="D25" s="203" t="s">
        <v>1044</v>
      </c>
      <c r="E25" s="52" t="s">
        <v>66</v>
      </c>
      <c r="F25" s="17">
        <v>1</v>
      </c>
      <c r="G25" s="15"/>
      <c r="H25" s="89" t="s">
        <v>28</v>
      </c>
      <c r="I25" s="115">
        <v>390000</v>
      </c>
      <c r="J25" s="118">
        <f t="shared" si="32"/>
        <v>74100</v>
      </c>
      <c r="K25" s="118">
        <f t="shared" si="27"/>
        <v>464100</v>
      </c>
      <c r="L25" s="97">
        <f t="shared" si="3"/>
        <v>390000</v>
      </c>
      <c r="M25" s="106">
        <f t="shared" si="4"/>
        <v>464100</v>
      </c>
      <c r="N25" s="116">
        <v>383500</v>
      </c>
      <c r="O25" s="97">
        <f t="shared" si="5"/>
        <v>72865</v>
      </c>
      <c r="P25" s="97">
        <f t="shared" si="28"/>
        <v>456365</v>
      </c>
      <c r="Q25" s="97">
        <f t="shared" si="7"/>
        <v>383500</v>
      </c>
      <c r="R25" s="98">
        <f t="shared" si="8"/>
        <v>456365</v>
      </c>
      <c r="S25" s="117">
        <v>385000</v>
      </c>
      <c r="T25" s="97">
        <f t="shared" si="9"/>
        <v>73150</v>
      </c>
      <c r="U25" s="97">
        <f t="shared" si="29"/>
        <v>458150</v>
      </c>
      <c r="V25" s="97">
        <f t="shared" si="11"/>
        <v>385000</v>
      </c>
      <c r="W25" s="106">
        <f t="shared" si="12"/>
        <v>458150</v>
      </c>
      <c r="X25" s="108"/>
      <c r="Y25" s="97">
        <f t="shared" si="13"/>
        <v>0</v>
      </c>
      <c r="Z25" s="97">
        <f t="shared" si="14"/>
        <v>0</v>
      </c>
      <c r="AA25" s="97">
        <f t="shared" si="15"/>
        <v>0</v>
      </c>
      <c r="AB25" s="98">
        <f t="shared" si="16"/>
        <v>0</v>
      </c>
      <c r="AC25" s="109">
        <f t="shared" si="17"/>
        <v>386167</v>
      </c>
      <c r="AD25" s="101">
        <f t="shared" si="23"/>
        <v>289625</v>
      </c>
      <c r="AE25" s="111">
        <f t="shared" si="18"/>
        <v>2778.8886667555107</v>
      </c>
      <c r="AF25" s="112">
        <f t="shared" si="19"/>
        <v>7.1960801071958786E-3</v>
      </c>
      <c r="AG25" s="113">
        <f t="shared" si="20"/>
        <v>385000</v>
      </c>
      <c r="AH25" s="101">
        <f t="shared" si="24"/>
        <v>384250</v>
      </c>
      <c r="AI25" s="114">
        <f t="shared" si="21"/>
        <v>2778.8886667555107</v>
      </c>
      <c r="AJ25" s="166">
        <f t="shared" si="22"/>
        <v>7.2178926409234047E-3</v>
      </c>
      <c r="AK25" s="175" t="s">
        <v>219</v>
      </c>
      <c r="AL25" s="161" t="s">
        <v>220</v>
      </c>
      <c r="AM25" s="176" t="s">
        <v>221</v>
      </c>
      <c r="AN25" s="160"/>
    </row>
    <row r="26" spans="1:40" ht="60.75" thickBot="1" x14ac:dyDescent="0.3">
      <c r="A26" s="82">
        <f t="shared" si="0"/>
        <v>2</v>
      </c>
      <c r="B26" s="197">
        <v>22</v>
      </c>
      <c r="C26" s="50" t="s">
        <v>65</v>
      </c>
      <c r="D26" s="203" t="s">
        <v>1044</v>
      </c>
      <c r="E26" s="50" t="s">
        <v>230</v>
      </c>
      <c r="F26" s="17">
        <v>1</v>
      </c>
      <c r="G26" s="15"/>
      <c r="H26" s="89" t="s">
        <v>28</v>
      </c>
      <c r="I26" s="115">
        <v>220000</v>
      </c>
      <c r="J26" s="118">
        <f t="shared" si="32"/>
        <v>41800</v>
      </c>
      <c r="K26" s="118">
        <f t="shared" si="27"/>
        <v>261800</v>
      </c>
      <c r="L26" s="97">
        <f t="shared" si="3"/>
        <v>220000</v>
      </c>
      <c r="M26" s="106">
        <f t="shared" si="4"/>
        <v>261800</v>
      </c>
      <c r="N26" s="116">
        <v>170000</v>
      </c>
      <c r="O26" s="97">
        <f t="shared" si="5"/>
        <v>32300</v>
      </c>
      <c r="P26" s="97">
        <f t="shared" si="28"/>
        <v>202300</v>
      </c>
      <c r="Q26" s="97">
        <f t="shared" si="7"/>
        <v>170000</v>
      </c>
      <c r="R26" s="98">
        <f t="shared" si="8"/>
        <v>202300</v>
      </c>
      <c r="S26" s="117"/>
      <c r="T26" s="97">
        <f t="shared" si="9"/>
        <v>0</v>
      </c>
      <c r="U26" s="97">
        <f t="shared" si="29"/>
        <v>0</v>
      </c>
      <c r="V26" s="97">
        <f t="shared" si="11"/>
        <v>0</v>
      </c>
      <c r="W26" s="106">
        <f t="shared" si="12"/>
        <v>0</v>
      </c>
      <c r="X26" s="108"/>
      <c r="Y26" s="97">
        <f t="shared" si="13"/>
        <v>0</v>
      </c>
      <c r="Z26" s="97">
        <f t="shared" si="14"/>
        <v>0</v>
      </c>
      <c r="AA26" s="97">
        <f t="shared" si="15"/>
        <v>0</v>
      </c>
      <c r="AB26" s="98">
        <f t="shared" si="16"/>
        <v>0</v>
      </c>
      <c r="AC26" s="109">
        <f t="shared" si="17"/>
        <v>195000</v>
      </c>
      <c r="AD26" s="101">
        <f t="shared" si="23"/>
        <v>97500</v>
      </c>
      <c r="AE26" s="111">
        <f t="shared" si="18"/>
        <v>25000</v>
      </c>
      <c r="AF26" s="112">
        <f t="shared" si="19"/>
        <v>0.12820512820512819</v>
      </c>
      <c r="AG26" s="113">
        <f t="shared" si="20"/>
        <v>195000</v>
      </c>
      <c r="AH26" s="101">
        <f t="shared" si="24"/>
        <v>85000</v>
      </c>
      <c r="AI26" s="114">
        <f t="shared" si="21"/>
        <v>25000</v>
      </c>
      <c r="AJ26" s="166">
        <f t="shared" si="22"/>
        <v>0.12820512820512819</v>
      </c>
      <c r="AK26" s="175" t="s">
        <v>218</v>
      </c>
      <c r="AL26" s="161" t="s">
        <v>229</v>
      </c>
      <c r="AM26" s="176"/>
      <c r="AN26" s="160"/>
    </row>
    <row r="27" spans="1:40" ht="60.75" thickBot="1" x14ac:dyDescent="0.3">
      <c r="A27" s="82">
        <f t="shared" si="0"/>
        <v>2</v>
      </c>
      <c r="B27" s="197">
        <v>23</v>
      </c>
      <c r="C27" s="50" t="s">
        <v>65</v>
      </c>
      <c r="D27" s="203" t="s">
        <v>1044</v>
      </c>
      <c r="E27" s="50" t="s">
        <v>231</v>
      </c>
      <c r="F27" s="17">
        <v>1</v>
      </c>
      <c r="G27" s="15"/>
      <c r="H27" s="89" t="s">
        <v>28</v>
      </c>
      <c r="I27" s="115">
        <v>320000</v>
      </c>
      <c r="J27" s="118">
        <f t="shared" si="32"/>
        <v>60800</v>
      </c>
      <c r="K27" s="118">
        <f t="shared" si="27"/>
        <v>380800</v>
      </c>
      <c r="L27" s="97">
        <f t="shared" si="3"/>
        <v>320000</v>
      </c>
      <c r="M27" s="106">
        <f t="shared" si="4"/>
        <v>380800</v>
      </c>
      <c r="N27" s="116">
        <v>354000</v>
      </c>
      <c r="O27" s="97">
        <f t="shared" si="5"/>
        <v>67260</v>
      </c>
      <c r="P27" s="97">
        <f t="shared" si="28"/>
        <v>421260</v>
      </c>
      <c r="Q27" s="97">
        <f t="shared" si="7"/>
        <v>354000</v>
      </c>
      <c r="R27" s="98">
        <f t="shared" si="8"/>
        <v>421260</v>
      </c>
      <c r="S27" s="117"/>
      <c r="T27" s="97">
        <f t="shared" si="9"/>
        <v>0</v>
      </c>
      <c r="U27" s="97">
        <f t="shared" si="29"/>
        <v>0</v>
      </c>
      <c r="V27" s="97">
        <f t="shared" si="11"/>
        <v>0</v>
      </c>
      <c r="W27" s="106">
        <f t="shared" si="12"/>
        <v>0</v>
      </c>
      <c r="X27" s="108"/>
      <c r="Y27" s="97">
        <f t="shared" si="13"/>
        <v>0</v>
      </c>
      <c r="Z27" s="97">
        <f t="shared" si="14"/>
        <v>0</v>
      </c>
      <c r="AA27" s="97">
        <f t="shared" si="15"/>
        <v>0</v>
      </c>
      <c r="AB27" s="98">
        <f t="shared" si="16"/>
        <v>0</v>
      </c>
      <c r="AC27" s="109">
        <f t="shared" si="17"/>
        <v>337000</v>
      </c>
      <c r="AD27" s="101">
        <f t="shared" si="23"/>
        <v>168500</v>
      </c>
      <c r="AE27" s="111">
        <f t="shared" si="18"/>
        <v>17000</v>
      </c>
      <c r="AF27" s="112">
        <f t="shared" si="19"/>
        <v>5.0445103857566766E-2</v>
      </c>
      <c r="AG27" s="113">
        <f t="shared" si="20"/>
        <v>337000</v>
      </c>
      <c r="AH27" s="101">
        <f t="shared" si="24"/>
        <v>160000</v>
      </c>
      <c r="AI27" s="114">
        <f t="shared" si="21"/>
        <v>17000</v>
      </c>
      <c r="AJ27" s="166">
        <f t="shared" si="22"/>
        <v>5.0445103857566766E-2</v>
      </c>
      <c r="AK27" s="175" t="s">
        <v>218</v>
      </c>
      <c r="AL27" s="161" t="s">
        <v>229</v>
      </c>
      <c r="AM27" s="176"/>
      <c r="AN27" s="160"/>
    </row>
    <row r="28" spans="1:40" ht="69" customHeight="1" thickBot="1" x14ac:dyDescent="0.3">
      <c r="A28" s="82">
        <f t="shared" si="0"/>
        <v>1</v>
      </c>
      <c r="B28" s="196">
        <v>24</v>
      </c>
      <c r="C28" s="50" t="s">
        <v>67</v>
      </c>
      <c r="D28" s="203" t="s">
        <v>1044</v>
      </c>
      <c r="E28" s="50" t="s">
        <v>68</v>
      </c>
      <c r="F28" s="17">
        <v>1</v>
      </c>
      <c r="G28" s="15"/>
      <c r="H28" s="89" t="s">
        <v>28</v>
      </c>
      <c r="I28" s="115">
        <f>2145000*1.052</f>
        <v>2256540</v>
      </c>
      <c r="J28" s="118">
        <f t="shared" si="32"/>
        <v>428742.6</v>
      </c>
      <c r="K28" s="118">
        <f t="shared" si="27"/>
        <v>2685282.6</v>
      </c>
      <c r="L28" s="97">
        <f t="shared" si="3"/>
        <v>2256540</v>
      </c>
      <c r="M28" s="106">
        <f t="shared" si="4"/>
        <v>2685282.6</v>
      </c>
      <c r="N28" s="116"/>
      <c r="O28" s="97">
        <f t="shared" si="5"/>
        <v>0</v>
      </c>
      <c r="P28" s="97">
        <f t="shared" si="28"/>
        <v>0</v>
      </c>
      <c r="Q28" s="97">
        <f t="shared" si="7"/>
        <v>0</v>
      </c>
      <c r="R28" s="98">
        <f t="shared" si="8"/>
        <v>0</v>
      </c>
      <c r="S28" s="117"/>
      <c r="T28" s="97">
        <f t="shared" si="9"/>
        <v>0</v>
      </c>
      <c r="U28" s="97">
        <f t="shared" si="29"/>
        <v>0</v>
      </c>
      <c r="V28" s="97">
        <f t="shared" si="11"/>
        <v>0</v>
      </c>
      <c r="W28" s="106">
        <f t="shared" si="12"/>
        <v>0</v>
      </c>
      <c r="X28" s="108"/>
      <c r="Y28" s="97">
        <f t="shared" si="13"/>
        <v>0</v>
      </c>
      <c r="Z28" s="97">
        <f t="shared" si="14"/>
        <v>0</v>
      </c>
      <c r="AA28" s="97">
        <f t="shared" si="15"/>
        <v>0</v>
      </c>
      <c r="AB28" s="98">
        <f t="shared" si="16"/>
        <v>0</v>
      </c>
      <c r="AC28" s="109">
        <f t="shared" si="17"/>
        <v>2256540</v>
      </c>
      <c r="AD28" s="101">
        <f t="shared" si="23"/>
        <v>564135</v>
      </c>
      <c r="AE28" s="111">
        <f t="shared" si="18"/>
        <v>0</v>
      </c>
      <c r="AF28" s="112">
        <f t="shared" si="19"/>
        <v>0</v>
      </c>
      <c r="AG28" s="113">
        <f t="shared" si="20"/>
        <v>2256540</v>
      </c>
      <c r="AH28" s="214">
        <f t="shared" ref="AH28:AH35" si="33">AG28*F28</f>
        <v>2256540</v>
      </c>
      <c r="AI28" s="114">
        <f t="shared" si="21"/>
        <v>0</v>
      </c>
      <c r="AJ28" s="166">
        <f t="shared" si="22"/>
        <v>0</v>
      </c>
      <c r="AK28" s="175" t="s">
        <v>253</v>
      </c>
      <c r="AL28" s="161"/>
      <c r="AM28" s="176"/>
      <c r="AN28" s="160"/>
    </row>
    <row r="29" spans="1:40" ht="50.25" customHeight="1" thickBot="1" x14ac:dyDescent="0.3">
      <c r="A29" s="82">
        <f t="shared" si="0"/>
        <v>1</v>
      </c>
      <c r="B29" s="196">
        <v>25</v>
      </c>
      <c r="C29" s="50" t="s">
        <v>69</v>
      </c>
      <c r="D29" s="203" t="s">
        <v>1044</v>
      </c>
      <c r="E29" s="50" t="s">
        <v>70</v>
      </c>
      <c r="F29" s="17">
        <v>1</v>
      </c>
      <c r="G29" s="15"/>
      <c r="H29" s="89" t="s">
        <v>28</v>
      </c>
      <c r="I29" s="115">
        <f>3273200*1.052</f>
        <v>3443406.4000000004</v>
      </c>
      <c r="J29" s="118">
        <f t="shared" si="32"/>
        <v>654247.21600000013</v>
      </c>
      <c r="K29" s="118">
        <f t="shared" si="27"/>
        <v>4097653.6160000004</v>
      </c>
      <c r="L29" s="97">
        <f t="shared" si="3"/>
        <v>3443406.4000000004</v>
      </c>
      <c r="M29" s="106">
        <f t="shared" si="4"/>
        <v>4097653.6160000004</v>
      </c>
      <c r="N29" s="116"/>
      <c r="O29" s="97">
        <f t="shared" si="5"/>
        <v>0</v>
      </c>
      <c r="P29" s="97">
        <f t="shared" si="28"/>
        <v>0</v>
      </c>
      <c r="Q29" s="97">
        <f t="shared" si="7"/>
        <v>0</v>
      </c>
      <c r="R29" s="98">
        <f t="shared" si="8"/>
        <v>0</v>
      </c>
      <c r="S29" s="117"/>
      <c r="T29" s="97">
        <f t="shared" si="9"/>
        <v>0</v>
      </c>
      <c r="U29" s="97">
        <f t="shared" si="29"/>
        <v>0</v>
      </c>
      <c r="V29" s="97">
        <f t="shared" si="11"/>
        <v>0</v>
      </c>
      <c r="W29" s="106">
        <f t="shared" si="12"/>
        <v>0</v>
      </c>
      <c r="X29" s="108"/>
      <c r="Y29" s="97">
        <f t="shared" si="13"/>
        <v>0</v>
      </c>
      <c r="Z29" s="97">
        <f t="shared" si="14"/>
        <v>0</v>
      </c>
      <c r="AA29" s="97">
        <f t="shared" si="15"/>
        <v>0</v>
      </c>
      <c r="AB29" s="98">
        <f t="shared" si="16"/>
        <v>0</v>
      </c>
      <c r="AC29" s="109">
        <f t="shared" si="17"/>
        <v>3443406</v>
      </c>
      <c r="AD29" s="101">
        <f t="shared" si="23"/>
        <v>860852</v>
      </c>
      <c r="AE29" s="111">
        <f t="shared" si="18"/>
        <v>0</v>
      </c>
      <c r="AF29" s="112">
        <f t="shared" si="19"/>
        <v>0</v>
      </c>
      <c r="AG29" s="113">
        <f t="shared" si="20"/>
        <v>3443406</v>
      </c>
      <c r="AH29" s="214">
        <f t="shared" si="33"/>
        <v>3443406</v>
      </c>
      <c r="AI29" s="114">
        <f t="shared" si="21"/>
        <v>0</v>
      </c>
      <c r="AJ29" s="166">
        <f t="shared" si="22"/>
        <v>0</v>
      </c>
      <c r="AK29" s="175" t="s">
        <v>253</v>
      </c>
      <c r="AL29" s="161"/>
      <c r="AM29" s="176"/>
      <c r="AN29" s="160"/>
    </row>
    <row r="30" spans="1:40" ht="38.25" customHeight="1" thickBot="1" x14ac:dyDescent="0.3">
      <c r="A30" s="82">
        <f t="shared" si="0"/>
        <v>1</v>
      </c>
      <c r="B30" s="197">
        <v>26</v>
      </c>
      <c r="C30" s="50" t="s">
        <v>71</v>
      </c>
      <c r="D30" s="203" t="s">
        <v>1044</v>
      </c>
      <c r="E30" s="50" t="s">
        <v>72</v>
      </c>
      <c r="F30" s="17">
        <v>1</v>
      </c>
      <c r="G30" s="15"/>
      <c r="H30" s="89" t="s">
        <v>28</v>
      </c>
      <c r="I30" s="115">
        <f>2725800*1.052</f>
        <v>2867541.6</v>
      </c>
      <c r="J30" s="118">
        <f t="shared" si="32"/>
        <v>544832.90399999998</v>
      </c>
      <c r="K30" s="118">
        <f t="shared" si="27"/>
        <v>3412374.5040000002</v>
      </c>
      <c r="L30" s="97">
        <f t="shared" si="3"/>
        <v>2867541.6</v>
      </c>
      <c r="M30" s="106">
        <f t="shared" si="4"/>
        <v>3412374.5040000002</v>
      </c>
      <c r="N30" s="116"/>
      <c r="O30" s="97">
        <f t="shared" si="5"/>
        <v>0</v>
      </c>
      <c r="P30" s="97">
        <f t="shared" si="28"/>
        <v>0</v>
      </c>
      <c r="Q30" s="97">
        <f t="shared" si="7"/>
        <v>0</v>
      </c>
      <c r="R30" s="98">
        <f t="shared" si="8"/>
        <v>0</v>
      </c>
      <c r="S30" s="117"/>
      <c r="T30" s="97">
        <f t="shared" si="9"/>
        <v>0</v>
      </c>
      <c r="U30" s="97">
        <f t="shared" si="29"/>
        <v>0</v>
      </c>
      <c r="V30" s="97">
        <f t="shared" si="11"/>
        <v>0</v>
      </c>
      <c r="W30" s="106">
        <f t="shared" si="12"/>
        <v>0</v>
      </c>
      <c r="X30" s="108"/>
      <c r="Y30" s="97">
        <f t="shared" si="13"/>
        <v>0</v>
      </c>
      <c r="Z30" s="97">
        <f t="shared" si="14"/>
        <v>0</v>
      </c>
      <c r="AA30" s="97">
        <f t="shared" si="15"/>
        <v>0</v>
      </c>
      <c r="AB30" s="98">
        <f t="shared" si="16"/>
        <v>0</v>
      </c>
      <c r="AC30" s="109">
        <f t="shared" si="17"/>
        <v>2867542</v>
      </c>
      <c r="AD30" s="101">
        <f t="shared" si="23"/>
        <v>716885</v>
      </c>
      <c r="AE30" s="111">
        <f t="shared" si="18"/>
        <v>0</v>
      </c>
      <c r="AF30" s="112">
        <f t="shared" si="19"/>
        <v>0</v>
      </c>
      <c r="AG30" s="113">
        <f t="shared" si="20"/>
        <v>2867542</v>
      </c>
      <c r="AH30" s="214">
        <f t="shared" si="33"/>
        <v>2867542</v>
      </c>
      <c r="AI30" s="114">
        <f t="shared" si="21"/>
        <v>0</v>
      </c>
      <c r="AJ30" s="166">
        <f t="shared" si="22"/>
        <v>0</v>
      </c>
      <c r="AK30" s="175" t="s">
        <v>253</v>
      </c>
      <c r="AL30" s="161"/>
      <c r="AM30" s="176"/>
      <c r="AN30" s="160"/>
    </row>
    <row r="31" spans="1:40" ht="57" customHeight="1" thickBot="1" x14ac:dyDescent="0.3">
      <c r="A31" s="82">
        <f t="shared" si="0"/>
        <v>1</v>
      </c>
      <c r="B31" s="197">
        <v>27</v>
      </c>
      <c r="C31" s="50" t="s">
        <v>73</v>
      </c>
      <c r="D31" s="203" t="s">
        <v>1044</v>
      </c>
      <c r="E31" s="52" t="s">
        <v>75</v>
      </c>
      <c r="F31" s="17">
        <v>1</v>
      </c>
      <c r="G31" s="15"/>
      <c r="H31" s="89" t="s">
        <v>165</v>
      </c>
      <c r="I31" s="115">
        <f>(30200*1.052)*10</f>
        <v>317704</v>
      </c>
      <c r="J31" s="118">
        <f t="shared" si="32"/>
        <v>60363.76</v>
      </c>
      <c r="K31" s="118">
        <f t="shared" si="27"/>
        <v>378067.76</v>
      </c>
      <c r="L31" s="97">
        <f t="shared" si="3"/>
        <v>317704</v>
      </c>
      <c r="M31" s="106">
        <f t="shared" si="4"/>
        <v>378067.76</v>
      </c>
      <c r="N31" s="116"/>
      <c r="O31" s="97">
        <f t="shared" si="5"/>
        <v>0</v>
      </c>
      <c r="P31" s="97">
        <f t="shared" si="28"/>
        <v>0</v>
      </c>
      <c r="Q31" s="97">
        <f t="shared" si="7"/>
        <v>0</v>
      </c>
      <c r="R31" s="98">
        <f t="shared" si="8"/>
        <v>0</v>
      </c>
      <c r="S31" s="117"/>
      <c r="T31" s="97">
        <f t="shared" si="9"/>
        <v>0</v>
      </c>
      <c r="U31" s="97">
        <f t="shared" si="29"/>
        <v>0</v>
      </c>
      <c r="V31" s="97">
        <f t="shared" si="11"/>
        <v>0</v>
      </c>
      <c r="W31" s="106">
        <f t="shared" si="12"/>
        <v>0</v>
      </c>
      <c r="X31" s="108"/>
      <c r="Y31" s="97">
        <f t="shared" si="13"/>
        <v>0</v>
      </c>
      <c r="Z31" s="97">
        <f t="shared" si="14"/>
        <v>0</v>
      </c>
      <c r="AA31" s="97">
        <f t="shared" si="15"/>
        <v>0</v>
      </c>
      <c r="AB31" s="98">
        <f t="shared" si="16"/>
        <v>0</v>
      </c>
      <c r="AC31" s="109">
        <f t="shared" si="17"/>
        <v>317704</v>
      </c>
      <c r="AD31" s="101">
        <f t="shared" si="23"/>
        <v>79426</v>
      </c>
      <c r="AE31" s="111">
        <f t="shared" si="18"/>
        <v>0</v>
      </c>
      <c r="AF31" s="112">
        <f t="shared" si="19"/>
        <v>0</v>
      </c>
      <c r="AG31" s="113">
        <f t="shared" si="20"/>
        <v>317704</v>
      </c>
      <c r="AH31" s="214">
        <f t="shared" si="33"/>
        <v>317704</v>
      </c>
      <c r="AI31" s="114">
        <f t="shared" si="21"/>
        <v>0</v>
      </c>
      <c r="AJ31" s="166">
        <f t="shared" si="22"/>
        <v>0</v>
      </c>
      <c r="AK31" s="175" t="s">
        <v>253</v>
      </c>
      <c r="AL31" s="161"/>
      <c r="AM31" s="176"/>
      <c r="AN31" s="160"/>
    </row>
    <row r="32" spans="1:40" ht="47.25" customHeight="1" thickBot="1" x14ac:dyDescent="0.3">
      <c r="A32" s="82">
        <f t="shared" si="0"/>
        <v>1</v>
      </c>
      <c r="B32" s="196">
        <v>28</v>
      </c>
      <c r="C32" s="50" t="s">
        <v>74</v>
      </c>
      <c r="D32" s="203" t="s">
        <v>1044</v>
      </c>
      <c r="E32" s="52" t="s">
        <v>76</v>
      </c>
      <c r="F32" s="17">
        <v>1</v>
      </c>
      <c r="G32" s="15"/>
      <c r="H32" s="89" t="s">
        <v>165</v>
      </c>
      <c r="I32" s="115">
        <f>(8000*1.052)*10</f>
        <v>84160</v>
      </c>
      <c r="J32" s="118">
        <f t="shared" si="32"/>
        <v>15990.4</v>
      </c>
      <c r="K32" s="118">
        <f t="shared" si="27"/>
        <v>100150.39999999999</v>
      </c>
      <c r="L32" s="97">
        <f t="shared" si="3"/>
        <v>84160</v>
      </c>
      <c r="M32" s="106">
        <f t="shared" si="4"/>
        <v>100150.39999999999</v>
      </c>
      <c r="N32" s="116"/>
      <c r="O32" s="97">
        <f t="shared" si="5"/>
        <v>0</v>
      </c>
      <c r="P32" s="97">
        <f t="shared" si="28"/>
        <v>0</v>
      </c>
      <c r="Q32" s="97">
        <f t="shared" si="7"/>
        <v>0</v>
      </c>
      <c r="R32" s="98">
        <f t="shared" si="8"/>
        <v>0</v>
      </c>
      <c r="S32" s="117"/>
      <c r="T32" s="97">
        <f t="shared" si="9"/>
        <v>0</v>
      </c>
      <c r="U32" s="97">
        <f t="shared" si="29"/>
        <v>0</v>
      </c>
      <c r="V32" s="97">
        <f t="shared" si="11"/>
        <v>0</v>
      </c>
      <c r="W32" s="106">
        <f t="shared" si="12"/>
        <v>0</v>
      </c>
      <c r="X32" s="108"/>
      <c r="Y32" s="97">
        <f t="shared" si="13"/>
        <v>0</v>
      </c>
      <c r="Z32" s="97">
        <f t="shared" si="14"/>
        <v>0</v>
      </c>
      <c r="AA32" s="97">
        <f t="shared" si="15"/>
        <v>0</v>
      </c>
      <c r="AB32" s="98">
        <f t="shared" si="16"/>
        <v>0</v>
      </c>
      <c r="AC32" s="109">
        <f t="shared" si="17"/>
        <v>84160</v>
      </c>
      <c r="AD32" s="101">
        <f t="shared" si="23"/>
        <v>21040</v>
      </c>
      <c r="AE32" s="111">
        <f t="shared" si="18"/>
        <v>0</v>
      </c>
      <c r="AF32" s="112">
        <f t="shared" si="19"/>
        <v>0</v>
      </c>
      <c r="AG32" s="113">
        <f t="shared" si="20"/>
        <v>84160</v>
      </c>
      <c r="AH32" s="214">
        <f t="shared" si="33"/>
        <v>84160</v>
      </c>
      <c r="AI32" s="114">
        <f t="shared" si="21"/>
        <v>0</v>
      </c>
      <c r="AJ32" s="166">
        <f t="shared" si="22"/>
        <v>0</v>
      </c>
      <c r="AK32" s="175" t="s">
        <v>253</v>
      </c>
      <c r="AL32" s="161"/>
      <c r="AM32" s="176"/>
      <c r="AN32" s="160"/>
    </row>
    <row r="33" spans="1:40" ht="45.75" thickBot="1" x14ac:dyDescent="0.3">
      <c r="A33" s="82">
        <f t="shared" si="0"/>
        <v>1</v>
      </c>
      <c r="B33" s="196">
        <v>29</v>
      </c>
      <c r="C33" s="50" t="s">
        <v>77</v>
      </c>
      <c r="D33" s="203" t="s">
        <v>1044</v>
      </c>
      <c r="E33" s="52" t="s">
        <v>78</v>
      </c>
      <c r="F33" s="17">
        <v>1</v>
      </c>
      <c r="G33" s="15"/>
      <c r="H33" s="89" t="s">
        <v>28</v>
      </c>
      <c r="I33" s="115">
        <f>138900*1.052</f>
        <v>146122.80000000002</v>
      </c>
      <c r="J33" s="118">
        <f t="shared" si="32"/>
        <v>27763.332000000002</v>
      </c>
      <c r="K33" s="118">
        <f t="shared" si="27"/>
        <v>173886.13200000001</v>
      </c>
      <c r="L33" s="97">
        <f t="shared" si="3"/>
        <v>146122.80000000002</v>
      </c>
      <c r="M33" s="106">
        <f t="shared" si="4"/>
        <v>173886.13200000001</v>
      </c>
      <c r="N33" s="116"/>
      <c r="O33" s="97">
        <f t="shared" si="5"/>
        <v>0</v>
      </c>
      <c r="P33" s="97">
        <f t="shared" si="28"/>
        <v>0</v>
      </c>
      <c r="Q33" s="97">
        <f t="shared" si="7"/>
        <v>0</v>
      </c>
      <c r="R33" s="98">
        <f t="shared" si="8"/>
        <v>0</v>
      </c>
      <c r="S33" s="117"/>
      <c r="T33" s="97">
        <f t="shared" si="9"/>
        <v>0</v>
      </c>
      <c r="U33" s="97">
        <f t="shared" si="29"/>
        <v>0</v>
      </c>
      <c r="V33" s="97">
        <f t="shared" si="11"/>
        <v>0</v>
      </c>
      <c r="W33" s="106">
        <f t="shared" si="12"/>
        <v>0</v>
      </c>
      <c r="X33" s="108"/>
      <c r="Y33" s="97">
        <f t="shared" si="13"/>
        <v>0</v>
      </c>
      <c r="Z33" s="97">
        <f t="shared" si="14"/>
        <v>0</v>
      </c>
      <c r="AA33" s="97">
        <f t="shared" si="15"/>
        <v>0</v>
      </c>
      <c r="AB33" s="98">
        <f t="shared" si="16"/>
        <v>0</v>
      </c>
      <c r="AC33" s="109">
        <f t="shared" si="17"/>
        <v>146123</v>
      </c>
      <c r="AD33" s="101">
        <f t="shared" si="23"/>
        <v>36531</v>
      </c>
      <c r="AE33" s="111">
        <f t="shared" si="18"/>
        <v>0</v>
      </c>
      <c r="AF33" s="112">
        <f t="shared" si="19"/>
        <v>0</v>
      </c>
      <c r="AG33" s="113">
        <f t="shared" si="20"/>
        <v>146123</v>
      </c>
      <c r="AH33" s="214">
        <f t="shared" si="33"/>
        <v>146123</v>
      </c>
      <c r="AI33" s="114">
        <f t="shared" si="21"/>
        <v>0</v>
      </c>
      <c r="AJ33" s="166">
        <f t="shared" si="22"/>
        <v>0</v>
      </c>
      <c r="AK33" s="175" t="s">
        <v>253</v>
      </c>
      <c r="AL33" s="161"/>
      <c r="AM33" s="176"/>
      <c r="AN33" s="160"/>
    </row>
    <row r="34" spans="1:40" ht="60.75" thickBot="1" x14ac:dyDescent="0.3">
      <c r="A34" s="82">
        <f t="shared" si="0"/>
        <v>1</v>
      </c>
      <c r="B34" s="197">
        <v>30</v>
      </c>
      <c r="C34" s="53" t="s">
        <v>79</v>
      </c>
      <c r="D34" s="203" t="s">
        <v>1044</v>
      </c>
      <c r="E34" s="54" t="s">
        <v>80</v>
      </c>
      <c r="F34" s="17">
        <v>1</v>
      </c>
      <c r="G34" s="15"/>
      <c r="H34" s="89" t="s">
        <v>28</v>
      </c>
      <c r="I34" s="115">
        <f>186400*1.052</f>
        <v>196092.80000000002</v>
      </c>
      <c r="J34" s="118">
        <f t="shared" si="32"/>
        <v>37257.632000000005</v>
      </c>
      <c r="K34" s="118">
        <f t="shared" si="27"/>
        <v>233350.43200000003</v>
      </c>
      <c r="L34" s="97">
        <f t="shared" si="3"/>
        <v>196092.80000000002</v>
      </c>
      <c r="M34" s="106">
        <f t="shared" si="4"/>
        <v>233350.43200000003</v>
      </c>
      <c r="N34" s="116"/>
      <c r="O34" s="97">
        <f t="shared" si="5"/>
        <v>0</v>
      </c>
      <c r="P34" s="97">
        <f t="shared" si="28"/>
        <v>0</v>
      </c>
      <c r="Q34" s="97">
        <f t="shared" si="7"/>
        <v>0</v>
      </c>
      <c r="R34" s="98">
        <f t="shared" si="8"/>
        <v>0</v>
      </c>
      <c r="S34" s="117"/>
      <c r="T34" s="97">
        <f t="shared" si="9"/>
        <v>0</v>
      </c>
      <c r="U34" s="97">
        <f t="shared" si="29"/>
        <v>0</v>
      </c>
      <c r="V34" s="97">
        <f t="shared" si="11"/>
        <v>0</v>
      </c>
      <c r="W34" s="106">
        <f t="shared" si="12"/>
        <v>0</v>
      </c>
      <c r="X34" s="108"/>
      <c r="Y34" s="97">
        <f t="shared" si="13"/>
        <v>0</v>
      </c>
      <c r="Z34" s="97">
        <f t="shared" si="14"/>
        <v>0</v>
      </c>
      <c r="AA34" s="97">
        <f t="shared" si="15"/>
        <v>0</v>
      </c>
      <c r="AB34" s="98">
        <f t="shared" si="16"/>
        <v>0</v>
      </c>
      <c r="AC34" s="109">
        <f t="shared" si="17"/>
        <v>196093</v>
      </c>
      <c r="AD34" s="101">
        <f t="shared" si="23"/>
        <v>49023</v>
      </c>
      <c r="AE34" s="111">
        <f t="shared" si="18"/>
        <v>0</v>
      </c>
      <c r="AF34" s="112">
        <f t="shared" si="19"/>
        <v>0</v>
      </c>
      <c r="AG34" s="113">
        <f t="shared" si="20"/>
        <v>196093</v>
      </c>
      <c r="AH34" s="214">
        <f t="shared" si="33"/>
        <v>196093</v>
      </c>
      <c r="AI34" s="114">
        <f t="shared" si="21"/>
        <v>0</v>
      </c>
      <c r="AJ34" s="166">
        <f t="shared" si="22"/>
        <v>0</v>
      </c>
      <c r="AK34" s="175" t="s">
        <v>253</v>
      </c>
      <c r="AL34" s="161"/>
      <c r="AM34" s="176"/>
      <c r="AN34" s="160"/>
    </row>
    <row r="35" spans="1:40" ht="45.75" thickBot="1" x14ac:dyDescent="0.3">
      <c r="A35" s="82">
        <f t="shared" si="0"/>
        <v>1</v>
      </c>
      <c r="B35" s="197">
        <v>31</v>
      </c>
      <c r="C35" s="55" t="s">
        <v>81</v>
      </c>
      <c r="D35" s="203" t="s">
        <v>1044</v>
      </c>
      <c r="E35" s="56" t="s">
        <v>82</v>
      </c>
      <c r="F35" s="17">
        <v>1</v>
      </c>
      <c r="G35" s="15"/>
      <c r="H35" s="89" t="s">
        <v>28</v>
      </c>
      <c r="I35" s="115">
        <f>21100*1.052</f>
        <v>22197.200000000001</v>
      </c>
      <c r="J35" s="118">
        <f t="shared" si="32"/>
        <v>4217.4679999999998</v>
      </c>
      <c r="K35" s="118">
        <f t="shared" si="27"/>
        <v>26414.668000000001</v>
      </c>
      <c r="L35" s="97">
        <f t="shared" si="3"/>
        <v>22197.200000000001</v>
      </c>
      <c r="M35" s="106">
        <f t="shared" si="4"/>
        <v>26414.668000000001</v>
      </c>
      <c r="N35" s="116"/>
      <c r="O35" s="97">
        <f t="shared" si="5"/>
        <v>0</v>
      </c>
      <c r="P35" s="97">
        <f t="shared" si="28"/>
        <v>0</v>
      </c>
      <c r="Q35" s="97">
        <f t="shared" si="7"/>
        <v>0</v>
      </c>
      <c r="R35" s="98">
        <f t="shared" si="8"/>
        <v>0</v>
      </c>
      <c r="S35" s="117"/>
      <c r="T35" s="97">
        <f t="shared" si="9"/>
        <v>0</v>
      </c>
      <c r="U35" s="97">
        <f t="shared" si="29"/>
        <v>0</v>
      </c>
      <c r="V35" s="97">
        <f t="shared" si="11"/>
        <v>0</v>
      </c>
      <c r="W35" s="106">
        <f t="shared" si="12"/>
        <v>0</v>
      </c>
      <c r="X35" s="108"/>
      <c r="Y35" s="97">
        <f t="shared" si="13"/>
        <v>0</v>
      </c>
      <c r="Z35" s="97">
        <f t="shared" si="14"/>
        <v>0</v>
      </c>
      <c r="AA35" s="97">
        <f t="shared" si="15"/>
        <v>0</v>
      </c>
      <c r="AB35" s="98">
        <f t="shared" si="16"/>
        <v>0</v>
      </c>
      <c r="AC35" s="109">
        <f t="shared" si="17"/>
        <v>22197</v>
      </c>
      <c r="AD35" s="101">
        <f t="shared" si="23"/>
        <v>5549</v>
      </c>
      <c r="AE35" s="111">
        <f t="shared" si="18"/>
        <v>0</v>
      </c>
      <c r="AF35" s="112">
        <f t="shared" si="19"/>
        <v>0</v>
      </c>
      <c r="AG35" s="113">
        <f t="shared" si="20"/>
        <v>22197</v>
      </c>
      <c r="AH35" s="214">
        <f t="shared" si="33"/>
        <v>22197</v>
      </c>
      <c r="AI35" s="114">
        <f t="shared" si="21"/>
        <v>0</v>
      </c>
      <c r="AJ35" s="166">
        <f t="shared" si="22"/>
        <v>0</v>
      </c>
      <c r="AK35" s="175" t="s">
        <v>253</v>
      </c>
      <c r="AL35" s="161"/>
      <c r="AM35" s="176"/>
      <c r="AN35" s="160"/>
    </row>
    <row r="36" spans="1:40" ht="61.5" customHeight="1" thickBot="1" x14ac:dyDescent="0.3">
      <c r="A36" s="82">
        <f t="shared" si="0"/>
        <v>3</v>
      </c>
      <c r="B36" s="196">
        <v>32</v>
      </c>
      <c r="C36" s="50" t="s">
        <v>83</v>
      </c>
      <c r="D36" s="203" t="s">
        <v>1044</v>
      </c>
      <c r="E36" s="57" t="s">
        <v>84</v>
      </c>
      <c r="F36" s="17">
        <v>1</v>
      </c>
      <c r="G36" s="15"/>
      <c r="H36" s="89" t="s">
        <v>167</v>
      </c>
      <c r="I36" s="115">
        <f>(26471*12)+(966*12)</f>
        <v>329244</v>
      </c>
      <c r="J36" s="118">
        <f t="shared" si="32"/>
        <v>62556.36</v>
      </c>
      <c r="K36" s="118">
        <f t="shared" si="27"/>
        <v>391800.36</v>
      </c>
      <c r="L36" s="97">
        <f t="shared" si="3"/>
        <v>329244</v>
      </c>
      <c r="M36" s="106">
        <f t="shared" si="4"/>
        <v>391800.36</v>
      </c>
      <c r="N36" s="116">
        <f>(25210*12)+(966*12)</f>
        <v>314112</v>
      </c>
      <c r="O36" s="97">
        <f t="shared" si="5"/>
        <v>59681.279999999999</v>
      </c>
      <c r="P36" s="97">
        <f t="shared" si="28"/>
        <v>373793.28000000003</v>
      </c>
      <c r="Q36" s="97">
        <f t="shared" si="7"/>
        <v>314112</v>
      </c>
      <c r="R36" s="98">
        <f t="shared" si="8"/>
        <v>373793.28000000003</v>
      </c>
      <c r="S36" s="117">
        <f>(18000*12)+(966*12)</f>
        <v>227592</v>
      </c>
      <c r="T36" s="97">
        <f t="shared" si="9"/>
        <v>43242.48</v>
      </c>
      <c r="U36" s="97">
        <f t="shared" si="29"/>
        <v>270834.48</v>
      </c>
      <c r="V36" s="97">
        <f t="shared" si="11"/>
        <v>227592</v>
      </c>
      <c r="W36" s="106">
        <f t="shared" si="12"/>
        <v>270834.48</v>
      </c>
      <c r="X36" s="108"/>
      <c r="Y36" s="97">
        <f t="shared" si="13"/>
        <v>0</v>
      </c>
      <c r="Z36" s="97">
        <f t="shared" si="14"/>
        <v>0</v>
      </c>
      <c r="AA36" s="97">
        <f t="shared" si="15"/>
        <v>0</v>
      </c>
      <c r="AB36" s="98">
        <f t="shared" si="16"/>
        <v>0</v>
      </c>
      <c r="AC36" s="109">
        <f t="shared" si="17"/>
        <v>290316</v>
      </c>
      <c r="AD36" s="101">
        <f t="shared" si="23"/>
        <v>217737</v>
      </c>
      <c r="AE36" s="111">
        <f t="shared" si="18"/>
        <v>44780.721209020296</v>
      </c>
      <c r="AF36" s="112">
        <f t="shared" si="19"/>
        <v>0.15424820267921951</v>
      </c>
      <c r="AG36" s="113">
        <f t="shared" si="20"/>
        <v>314112</v>
      </c>
      <c r="AH36" s="101">
        <f t="shared" si="24"/>
        <v>270852</v>
      </c>
      <c r="AI36" s="114">
        <f t="shared" si="21"/>
        <v>44780.721209020296</v>
      </c>
      <c r="AJ36" s="166">
        <f t="shared" si="22"/>
        <v>0.14256291134697271</v>
      </c>
      <c r="AK36" s="177" t="s">
        <v>241</v>
      </c>
      <c r="AL36" s="162" t="s">
        <v>242</v>
      </c>
      <c r="AM36" s="178" t="s">
        <v>243</v>
      </c>
      <c r="AN36" s="160"/>
    </row>
    <row r="37" spans="1:40" ht="50.25" customHeight="1" thickBot="1" x14ac:dyDescent="0.3">
      <c r="A37" s="82">
        <f t="shared" ref="A37:A68" si="34">COUNT(I37,N37,S37)</f>
        <v>1</v>
      </c>
      <c r="B37" s="196">
        <v>33</v>
      </c>
      <c r="C37" s="50" t="s">
        <v>85</v>
      </c>
      <c r="D37" s="203" t="s">
        <v>1044</v>
      </c>
      <c r="E37" s="50" t="s">
        <v>86</v>
      </c>
      <c r="F37" s="17">
        <v>1</v>
      </c>
      <c r="G37" s="15"/>
      <c r="H37" s="89" t="s">
        <v>165</v>
      </c>
      <c r="I37" s="115">
        <f>505900*1.052</f>
        <v>532206.80000000005</v>
      </c>
      <c r="J37" s="118">
        <f t="shared" si="32"/>
        <v>101119.29200000002</v>
      </c>
      <c r="K37" s="118">
        <f t="shared" si="27"/>
        <v>633326.09200000006</v>
      </c>
      <c r="L37" s="97">
        <f t="shared" ref="L37:L68" si="35">I37*F37</f>
        <v>532206.80000000005</v>
      </c>
      <c r="M37" s="106">
        <f t="shared" ref="M37:M68" si="36">K37*F37</f>
        <v>633326.09200000006</v>
      </c>
      <c r="N37" s="116"/>
      <c r="O37" s="97">
        <f t="shared" ref="O37:O68" si="37">N37*0.19</f>
        <v>0</v>
      </c>
      <c r="P37" s="97">
        <f t="shared" si="28"/>
        <v>0</v>
      </c>
      <c r="Q37" s="97">
        <f t="shared" ref="Q37:Q68" si="38">N37*F37</f>
        <v>0</v>
      </c>
      <c r="R37" s="98">
        <f t="shared" ref="R37:R68" si="39">P37*F37</f>
        <v>0</v>
      </c>
      <c r="S37" s="117"/>
      <c r="T37" s="97">
        <f t="shared" ref="T37:T68" si="40">S37*0.19</f>
        <v>0</v>
      </c>
      <c r="U37" s="97">
        <f t="shared" si="29"/>
        <v>0</v>
      </c>
      <c r="V37" s="97">
        <f t="shared" ref="V37:V68" si="41">S37*F37</f>
        <v>0</v>
      </c>
      <c r="W37" s="106">
        <f t="shared" ref="W37:W68" si="42">U37*F37</f>
        <v>0</v>
      </c>
      <c r="X37" s="108"/>
      <c r="Y37" s="97">
        <f t="shared" ref="Y37:Y68" si="43">X37*0.19</f>
        <v>0</v>
      </c>
      <c r="Z37" s="97">
        <f t="shared" ref="Z37:Z68" si="44">X37+Y37</f>
        <v>0</v>
      </c>
      <c r="AA37" s="97">
        <f t="shared" ref="AA37:AA68" si="45">X37*F37</f>
        <v>0</v>
      </c>
      <c r="AB37" s="98">
        <f t="shared" ref="AB37:AB68" si="46">Z37*F37</f>
        <v>0</v>
      </c>
      <c r="AC37" s="109">
        <f t="shared" ref="AC37:AC68" si="47">+IFERROR(ROUND(AVERAGE(I37,N37,S37,X37),0),0)</f>
        <v>532207</v>
      </c>
      <c r="AD37" s="101">
        <f t="shared" si="23"/>
        <v>133052</v>
      </c>
      <c r="AE37" s="111">
        <f t="shared" ref="AE37:AE68" si="48">+IFERROR(_xlfn.STDEV.P(I37,N37,S37,X37),0)</f>
        <v>0</v>
      </c>
      <c r="AF37" s="112">
        <f t="shared" ref="AF37:AF68" si="49">AE37/AC37</f>
        <v>0</v>
      </c>
      <c r="AG37" s="113">
        <f t="shared" ref="AG37:AG68" si="50">IFERROR(ROUND(MEDIAN(I37,N37,S37,X37),0),0)</f>
        <v>532207</v>
      </c>
      <c r="AH37" s="214">
        <f t="shared" ref="AH37:AH40" si="51">AG37*F37</f>
        <v>532207</v>
      </c>
      <c r="AI37" s="114">
        <f t="shared" ref="AI37:AI68" si="52">AE37</f>
        <v>0</v>
      </c>
      <c r="AJ37" s="166">
        <f t="shared" ref="AJ37:AJ68" si="53">AI37/AG37</f>
        <v>0</v>
      </c>
      <c r="AK37" s="175" t="s">
        <v>253</v>
      </c>
      <c r="AL37" s="161"/>
      <c r="AM37" s="176"/>
      <c r="AN37" s="160"/>
    </row>
    <row r="38" spans="1:40" ht="60.75" thickBot="1" x14ac:dyDescent="0.3">
      <c r="A38" s="82">
        <f t="shared" si="34"/>
        <v>1</v>
      </c>
      <c r="B38" s="197">
        <v>34</v>
      </c>
      <c r="C38" s="50" t="s">
        <v>87</v>
      </c>
      <c r="D38" s="203" t="s">
        <v>1044</v>
      </c>
      <c r="E38" s="50" t="s">
        <v>89</v>
      </c>
      <c r="F38" s="17">
        <v>1</v>
      </c>
      <c r="G38" s="15"/>
      <c r="H38" s="89" t="s">
        <v>167</v>
      </c>
      <c r="I38" s="115">
        <f>125500*1.052</f>
        <v>132026</v>
      </c>
      <c r="J38" s="118">
        <f t="shared" si="32"/>
        <v>25084.94</v>
      </c>
      <c r="K38" s="118">
        <f t="shared" si="27"/>
        <v>157110.94</v>
      </c>
      <c r="L38" s="97">
        <f t="shared" si="35"/>
        <v>132026</v>
      </c>
      <c r="M38" s="106">
        <f t="shared" si="36"/>
        <v>157110.94</v>
      </c>
      <c r="N38" s="116"/>
      <c r="O38" s="97">
        <f t="shared" si="37"/>
        <v>0</v>
      </c>
      <c r="P38" s="97">
        <f t="shared" si="28"/>
        <v>0</v>
      </c>
      <c r="Q38" s="97">
        <f t="shared" si="38"/>
        <v>0</v>
      </c>
      <c r="R38" s="98">
        <f t="shared" si="39"/>
        <v>0</v>
      </c>
      <c r="S38" s="117"/>
      <c r="T38" s="97">
        <f t="shared" si="40"/>
        <v>0</v>
      </c>
      <c r="U38" s="97">
        <f t="shared" si="29"/>
        <v>0</v>
      </c>
      <c r="V38" s="97">
        <f t="shared" si="41"/>
        <v>0</v>
      </c>
      <c r="W38" s="106">
        <f t="shared" si="42"/>
        <v>0</v>
      </c>
      <c r="X38" s="108"/>
      <c r="Y38" s="97">
        <f t="shared" si="43"/>
        <v>0</v>
      </c>
      <c r="Z38" s="97">
        <f t="shared" si="44"/>
        <v>0</v>
      </c>
      <c r="AA38" s="97">
        <f t="shared" si="45"/>
        <v>0</v>
      </c>
      <c r="AB38" s="98">
        <f t="shared" si="46"/>
        <v>0</v>
      </c>
      <c r="AC38" s="109">
        <f t="shared" si="47"/>
        <v>132026</v>
      </c>
      <c r="AD38" s="101">
        <f t="shared" si="23"/>
        <v>33007</v>
      </c>
      <c r="AE38" s="111">
        <f t="shared" si="48"/>
        <v>0</v>
      </c>
      <c r="AF38" s="112">
        <f t="shared" si="49"/>
        <v>0</v>
      </c>
      <c r="AG38" s="113">
        <f t="shared" si="50"/>
        <v>132026</v>
      </c>
      <c r="AH38" s="214">
        <f t="shared" si="51"/>
        <v>132026</v>
      </c>
      <c r="AI38" s="114">
        <f t="shared" si="52"/>
        <v>0</v>
      </c>
      <c r="AJ38" s="166">
        <f t="shared" si="53"/>
        <v>0</v>
      </c>
      <c r="AK38" s="175" t="s">
        <v>253</v>
      </c>
      <c r="AL38" s="161"/>
      <c r="AM38" s="176"/>
      <c r="AN38" s="160"/>
    </row>
    <row r="39" spans="1:40" ht="45.75" thickBot="1" x14ac:dyDescent="0.3">
      <c r="A39" s="82">
        <f t="shared" si="34"/>
        <v>1</v>
      </c>
      <c r="B39" s="197">
        <v>35</v>
      </c>
      <c r="C39" s="50" t="s">
        <v>88</v>
      </c>
      <c r="D39" s="203" t="s">
        <v>1044</v>
      </c>
      <c r="E39" s="50" t="s">
        <v>90</v>
      </c>
      <c r="F39" s="17">
        <v>1</v>
      </c>
      <c r="G39" s="15"/>
      <c r="H39" s="89" t="s">
        <v>167</v>
      </c>
      <c r="I39" s="115">
        <f>184800*1.052</f>
        <v>194409.60000000001</v>
      </c>
      <c r="J39" s="118">
        <f t="shared" si="32"/>
        <v>36937.824000000001</v>
      </c>
      <c r="K39" s="118">
        <f t="shared" si="27"/>
        <v>231347.424</v>
      </c>
      <c r="L39" s="97">
        <f t="shared" si="35"/>
        <v>194409.60000000001</v>
      </c>
      <c r="M39" s="106">
        <f t="shared" si="36"/>
        <v>231347.424</v>
      </c>
      <c r="N39" s="116"/>
      <c r="O39" s="97">
        <f t="shared" si="37"/>
        <v>0</v>
      </c>
      <c r="P39" s="97">
        <f t="shared" si="28"/>
        <v>0</v>
      </c>
      <c r="Q39" s="97">
        <f t="shared" si="38"/>
        <v>0</v>
      </c>
      <c r="R39" s="98">
        <f t="shared" si="39"/>
        <v>0</v>
      </c>
      <c r="S39" s="117"/>
      <c r="T39" s="97">
        <f t="shared" si="40"/>
        <v>0</v>
      </c>
      <c r="U39" s="97">
        <f t="shared" si="29"/>
        <v>0</v>
      </c>
      <c r="V39" s="97">
        <f t="shared" si="41"/>
        <v>0</v>
      </c>
      <c r="W39" s="106">
        <f t="shared" si="42"/>
        <v>0</v>
      </c>
      <c r="X39" s="108"/>
      <c r="Y39" s="97">
        <f t="shared" si="43"/>
        <v>0</v>
      </c>
      <c r="Z39" s="97">
        <f t="shared" si="44"/>
        <v>0</v>
      </c>
      <c r="AA39" s="97">
        <f t="shared" si="45"/>
        <v>0</v>
      </c>
      <c r="AB39" s="98">
        <f t="shared" si="46"/>
        <v>0</v>
      </c>
      <c r="AC39" s="109">
        <f t="shared" si="47"/>
        <v>194410</v>
      </c>
      <c r="AD39" s="101">
        <f t="shared" si="23"/>
        <v>48602</v>
      </c>
      <c r="AE39" s="111">
        <f t="shared" si="48"/>
        <v>0</v>
      </c>
      <c r="AF39" s="112">
        <f t="shared" si="49"/>
        <v>0</v>
      </c>
      <c r="AG39" s="113">
        <f t="shared" si="50"/>
        <v>194410</v>
      </c>
      <c r="AH39" s="214">
        <f t="shared" si="51"/>
        <v>194410</v>
      </c>
      <c r="AI39" s="114">
        <f t="shared" si="52"/>
        <v>0</v>
      </c>
      <c r="AJ39" s="166">
        <f t="shared" si="53"/>
        <v>0</v>
      </c>
      <c r="AK39" s="175" t="s">
        <v>253</v>
      </c>
      <c r="AL39" s="161"/>
      <c r="AM39" s="176"/>
      <c r="AN39" s="160"/>
    </row>
    <row r="40" spans="1:40" ht="45.75" thickBot="1" x14ac:dyDescent="0.3">
      <c r="A40" s="82">
        <f t="shared" si="34"/>
        <v>1</v>
      </c>
      <c r="B40" s="196">
        <v>36</v>
      </c>
      <c r="C40" s="51" t="s">
        <v>91</v>
      </c>
      <c r="D40" s="203" t="s">
        <v>1044</v>
      </c>
      <c r="E40" s="58" t="s">
        <v>92</v>
      </c>
      <c r="F40" s="17">
        <v>1</v>
      </c>
      <c r="G40" s="15"/>
      <c r="H40" s="89" t="s">
        <v>167</v>
      </c>
      <c r="I40" s="115">
        <f>520600*1.052</f>
        <v>547671.20000000007</v>
      </c>
      <c r="J40" s="118">
        <f t="shared" si="32"/>
        <v>104057.52800000002</v>
      </c>
      <c r="K40" s="118">
        <f t="shared" si="27"/>
        <v>651728.72800000012</v>
      </c>
      <c r="L40" s="97">
        <f t="shared" si="35"/>
        <v>547671.20000000007</v>
      </c>
      <c r="M40" s="106">
        <f t="shared" si="36"/>
        <v>651728.72800000012</v>
      </c>
      <c r="N40" s="116"/>
      <c r="O40" s="97">
        <f t="shared" si="37"/>
        <v>0</v>
      </c>
      <c r="P40" s="97">
        <f t="shared" si="28"/>
        <v>0</v>
      </c>
      <c r="Q40" s="97">
        <f t="shared" si="38"/>
        <v>0</v>
      </c>
      <c r="R40" s="98">
        <f t="shared" si="39"/>
        <v>0</v>
      </c>
      <c r="S40" s="117"/>
      <c r="T40" s="97">
        <f t="shared" si="40"/>
        <v>0</v>
      </c>
      <c r="U40" s="97">
        <f t="shared" si="29"/>
        <v>0</v>
      </c>
      <c r="V40" s="97">
        <f t="shared" si="41"/>
        <v>0</v>
      </c>
      <c r="W40" s="106">
        <f t="shared" si="42"/>
        <v>0</v>
      </c>
      <c r="X40" s="108"/>
      <c r="Y40" s="97">
        <f t="shared" si="43"/>
        <v>0</v>
      </c>
      <c r="Z40" s="97">
        <f t="shared" si="44"/>
        <v>0</v>
      </c>
      <c r="AA40" s="97">
        <f t="shared" si="45"/>
        <v>0</v>
      </c>
      <c r="AB40" s="98">
        <f t="shared" si="46"/>
        <v>0</v>
      </c>
      <c r="AC40" s="109">
        <f t="shared" si="47"/>
        <v>547671</v>
      </c>
      <c r="AD40" s="101">
        <f t="shared" si="23"/>
        <v>136918</v>
      </c>
      <c r="AE40" s="111">
        <f t="shared" si="48"/>
        <v>0</v>
      </c>
      <c r="AF40" s="112">
        <f t="shared" si="49"/>
        <v>0</v>
      </c>
      <c r="AG40" s="113">
        <f t="shared" si="50"/>
        <v>547671</v>
      </c>
      <c r="AH40" s="214">
        <f t="shared" si="51"/>
        <v>547671</v>
      </c>
      <c r="AI40" s="114">
        <f t="shared" si="52"/>
        <v>0</v>
      </c>
      <c r="AJ40" s="166">
        <f t="shared" si="53"/>
        <v>0</v>
      </c>
      <c r="AK40" s="175" t="s">
        <v>253</v>
      </c>
      <c r="AL40" s="161"/>
      <c r="AM40" s="176"/>
      <c r="AN40" s="160"/>
    </row>
    <row r="41" spans="1:40" ht="75.75" thickBot="1" x14ac:dyDescent="0.3">
      <c r="A41" s="82">
        <f t="shared" si="34"/>
        <v>3</v>
      </c>
      <c r="B41" s="196">
        <v>37</v>
      </c>
      <c r="C41" s="51" t="s">
        <v>93</v>
      </c>
      <c r="D41" s="203" t="s">
        <v>1044</v>
      </c>
      <c r="E41" s="58" t="s">
        <v>94</v>
      </c>
      <c r="F41" s="17">
        <v>1</v>
      </c>
      <c r="G41" s="15"/>
      <c r="H41" s="89" t="s">
        <v>167</v>
      </c>
      <c r="I41" s="115">
        <f>22000*12</f>
        <v>264000</v>
      </c>
      <c r="J41" s="118">
        <f t="shared" si="32"/>
        <v>50160</v>
      </c>
      <c r="K41" s="118">
        <f t="shared" si="27"/>
        <v>314160</v>
      </c>
      <c r="L41" s="97">
        <f t="shared" si="35"/>
        <v>264000</v>
      </c>
      <c r="M41" s="106">
        <f t="shared" si="36"/>
        <v>314160</v>
      </c>
      <c r="N41" s="116">
        <f>26000*12</f>
        <v>312000</v>
      </c>
      <c r="O41" s="97">
        <f t="shared" si="37"/>
        <v>59280</v>
      </c>
      <c r="P41" s="97">
        <f t="shared" si="28"/>
        <v>371280</v>
      </c>
      <c r="Q41" s="97">
        <f t="shared" si="38"/>
        <v>312000</v>
      </c>
      <c r="R41" s="98">
        <f t="shared" si="39"/>
        <v>371280</v>
      </c>
      <c r="S41" s="117">
        <f>25000*12</f>
        <v>300000</v>
      </c>
      <c r="T41" s="97">
        <f t="shared" si="40"/>
        <v>57000</v>
      </c>
      <c r="U41" s="97">
        <f t="shared" si="29"/>
        <v>357000</v>
      </c>
      <c r="V41" s="97">
        <f t="shared" si="41"/>
        <v>300000</v>
      </c>
      <c r="W41" s="106">
        <f t="shared" si="42"/>
        <v>357000</v>
      </c>
      <c r="X41" s="108"/>
      <c r="Y41" s="97">
        <f t="shared" si="43"/>
        <v>0</v>
      </c>
      <c r="Z41" s="97">
        <f t="shared" si="44"/>
        <v>0</v>
      </c>
      <c r="AA41" s="97">
        <f t="shared" si="45"/>
        <v>0</v>
      </c>
      <c r="AB41" s="98">
        <f t="shared" si="46"/>
        <v>0</v>
      </c>
      <c r="AC41" s="109">
        <f t="shared" si="47"/>
        <v>292000</v>
      </c>
      <c r="AD41" s="101">
        <f t="shared" si="23"/>
        <v>219000</v>
      </c>
      <c r="AE41" s="111">
        <f t="shared" si="48"/>
        <v>20396.078054371141</v>
      </c>
      <c r="AF41" s="112">
        <f t="shared" si="49"/>
        <v>6.984958237798336E-2</v>
      </c>
      <c r="AG41" s="113">
        <f t="shared" si="50"/>
        <v>300000</v>
      </c>
      <c r="AH41" s="101">
        <f t="shared" si="24"/>
        <v>282000</v>
      </c>
      <c r="AI41" s="114">
        <f t="shared" si="52"/>
        <v>20396.078054371141</v>
      </c>
      <c r="AJ41" s="166">
        <f t="shared" si="53"/>
        <v>6.7986926847903806E-2</v>
      </c>
      <c r="AK41" s="175" t="s">
        <v>224</v>
      </c>
      <c r="AL41" s="161" t="s">
        <v>222</v>
      </c>
      <c r="AM41" s="176" t="s">
        <v>223</v>
      </c>
      <c r="AN41" s="160"/>
    </row>
    <row r="42" spans="1:40" ht="133.5" customHeight="1" thickBot="1" x14ac:dyDescent="0.3">
      <c r="A42" s="82">
        <f t="shared" si="34"/>
        <v>3</v>
      </c>
      <c r="B42" s="197">
        <v>38</v>
      </c>
      <c r="C42" s="51" t="s">
        <v>95</v>
      </c>
      <c r="D42" s="203" t="s">
        <v>1044</v>
      </c>
      <c r="E42" s="58" t="s">
        <v>232</v>
      </c>
      <c r="F42" s="17">
        <v>1</v>
      </c>
      <c r="G42" s="15"/>
      <c r="H42" s="89" t="s">
        <v>167</v>
      </c>
      <c r="I42" s="115">
        <f>26000*12</f>
        <v>312000</v>
      </c>
      <c r="J42" s="118">
        <f t="shared" si="32"/>
        <v>59280</v>
      </c>
      <c r="K42" s="118">
        <f t="shared" si="27"/>
        <v>371280</v>
      </c>
      <c r="L42" s="97">
        <f t="shared" si="35"/>
        <v>312000</v>
      </c>
      <c r="M42" s="106">
        <f t="shared" si="36"/>
        <v>371280</v>
      </c>
      <c r="N42" s="116">
        <f>16000*12</f>
        <v>192000</v>
      </c>
      <c r="O42" s="97">
        <f t="shared" si="37"/>
        <v>36480</v>
      </c>
      <c r="P42" s="97">
        <f t="shared" si="28"/>
        <v>228480</v>
      </c>
      <c r="Q42" s="97">
        <f t="shared" si="38"/>
        <v>192000</v>
      </c>
      <c r="R42" s="98">
        <f t="shared" si="39"/>
        <v>228480</v>
      </c>
      <c r="S42" s="117">
        <f>13025*12</f>
        <v>156300</v>
      </c>
      <c r="T42" s="97">
        <f t="shared" si="40"/>
        <v>29697</v>
      </c>
      <c r="U42" s="97">
        <f t="shared" si="29"/>
        <v>185997</v>
      </c>
      <c r="V42" s="97">
        <f t="shared" si="41"/>
        <v>156300</v>
      </c>
      <c r="W42" s="106">
        <f t="shared" si="42"/>
        <v>185997</v>
      </c>
      <c r="X42" s="108"/>
      <c r="Y42" s="97">
        <f t="shared" si="43"/>
        <v>0</v>
      </c>
      <c r="Z42" s="97">
        <f t="shared" si="44"/>
        <v>0</v>
      </c>
      <c r="AA42" s="97">
        <f t="shared" si="45"/>
        <v>0</v>
      </c>
      <c r="AB42" s="98">
        <f t="shared" si="46"/>
        <v>0</v>
      </c>
      <c r="AC42" s="109">
        <f t="shared" si="47"/>
        <v>220100</v>
      </c>
      <c r="AD42" s="101">
        <f t="shared" si="23"/>
        <v>165075</v>
      </c>
      <c r="AE42" s="111">
        <f t="shared" si="48"/>
        <v>66597.447398530217</v>
      </c>
      <c r="AF42" s="112">
        <f t="shared" si="49"/>
        <v>0.30257813447764753</v>
      </c>
      <c r="AG42" s="113">
        <f t="shared" si="50"/>
        <v>192000</v>
      </c>
      <c r="AH42" s="101">
        <f t="shared" si="24"/>
        <v>174150</v>
      </c>
      <c r="AI42" s="114">
        <f t="shared" si="52"/>
        <v>66597.447398530217</v>
      </c>
      <c r="AJ42" s="166">
        <f t="shared" si="53"/>
        <v>0.34686170520067822</v>
      </c>
      <c r="AK42" s="175" t="s">
        <v>233</v>
      </c>
      <c r="AL42" s="161" t="s">
        <v>234</v>
      </c>
      <c r="AM42" s="176" t="s">
        <v>235</v>
      </c>
      <c r="AN42" s="160"/>
    </row>
    <row r="43" spans="1:40" ht="84" customHeight="1" thickBot="1" x14ac:dyDescent="0.3">
      <c r="A43" s="82">
        <f t="shared" si="34"/>
        <v>3</v>
      </c>
      <c r="B43" s="197">
        <v>39</v>
      </c>
      <c r="C43" s="51" t="s">
        <v>96</v>
      </c>
      <c r="D43" s="203" t="s">
        <v>1044</v>
      </c>
      <c r="E43" s="58" t="s">
        <v>97</v>
      </c>
      <c r="F43" s="17">
        <v>1</v>
      </c>
      <c r="G43" s="15"/>
      <c r="H43" s="89" t="s">
        <v>167</v>
      </c>
      <c r="I43" s="115">
        <f>41933*12</f>
        <v>503196</v>
      </c>
      <c r="J43" s="118">
        <f t="shared" si="32"/>
        <v>95607.24</v>
      </c>
      <c r="K43" s="118">
        <f t="shared" si="27"/>
        <v>598803.24</v>
      </c>
      <c r="L43" s="97">
        <f t="shared" si="35"/>
        <v>503196</v>
      </c>
      <c r="M43" s="106">
        <f t="shared" si="36"/>
        <v>598803.24</v>
      </c>
      <c r="N43" s="116">
        <f>41597*12</f>
        <v>499164</v>
      </c>
      <c r="O43" s="97">
        <f t="shared" si="37"/>
        <v>94841.16</v>
      </c>
      <c r="P43" s="97">
        <f t="shared" si="28"/>
        <v>594005.16</v>
      </c>
      <c r="Q43" s="97">
        <f t="shared" si="38"/>
        <v>499164</v>
      </c>
      <c r="R43" s="98">
        <f t="shared" si="39"/>
        <v>594005.16</v>
      </c>
      <c r="S43" s="117">
        <f>36200*12</f>
        <v>434400</v>
      </c>
      <c r="T43" s="97">
        <f t="shared" si="40"/>
        <v>82536</v>
      </c>
      <c r="U43" s="97">
        <f t="shared" si="29"/>
        <v>516936</v>
      </c>
      <c r="V43" s="97">
        <f t="shared" si="41"/>
        <v>434400</v>
      </c>
      <c r="W43" s="106">
        <f t="shared" si="42"/>
        <v>516936</v>
      </c>
      <c r="X43" s="108"/>
      <c r="Y43" s="97">
        <f t="shared" si="43"/>
        <v>0</v>
      </c>
      <c r="Z43" s="97">
        <f t="shared" si="44"/>
        <v>0</v>
      </c>
      <c r="AA43" s="97">
        <f t="shared" si="45"/>
        <v>0</v>
      </c>
      <c r="AB43" s="98">
        <f t="shared" si="46"/>
        <v>0</v>
      </c>
      <c r="AC43" s="109">
        <f t="shared" si="47"/>
        <v>478920</v>
      </c>
      <c r="AD43" s="101">
        <f t="shared" si="23"/>
        <v>359190</v>
      </c>
      <c r="AE43" s="111">
        <f t="shared" si="48"/>
        <v>31523.399309084671</v>
      </c>
      <c r="AF43" s="112">
        <f t="shared" si="49"/>
        <v>6.5821847717958473E-2</v>
      </c>
      <c r="AG43" s="113">
        <f t="shared" si="50"/>
        <v>499164</v>
      </c>
      <c r="AH43" s="101">
        <f t="shared" si="24"/>
        <v>466782</v>
      </c>
      <c r="AI43" s="114">
        <f t="shared" si="52"/>
        <v>31523.399309084671</v>
      </c>
      <c r="AJ43" s="166">
        <f t="shared" si="53"/>
        <v>6.3152389413268326E-2</v>
      </c>
      <c r="AK43" s="175" t="s">
        <v>236</v>
      </c>
      <c r="AL43" s="161" t="s">
        <v>237</v>
      </c>
      <c r="AM43" s="176" t="s">
        <v>238</v>
      </c>
      <c r="AN43" s="160"/>
    </row>
    <row r="44" spans="1:40" ht="90" customHeight="1" thickBot="1" x14ac:dyDescent="0.3">
      <c r="A44" s="82">
        <f t="shared" si="34"/>
        <v>3</v>
      </c>
      <c r="B44" s="196">
        <v>40</v>
      </c>
      <c r="C44" s="51" t="s">
        <v>98</v>
      </c>
      <c r="D44" s="203" t="s">
        <v>1044</v>
      </c>
      <c r="E44" s="58" t="s">
        <v>1002</v>
      </c>
      <c r="F44" s="17">
        <v>1</v>
      </c>
      <c r="G44" s="15"/>
      <c r="H44" s="89" t="s">
        <v>167</v>
      </c>
      <c r="I44" s="115">
        <f>50420*12</f>
        <v>605040</v>
      </c>
      <c r="J44" s="118">
        <f t="shared" si="32"/>
        <v>114957.6</v>
      </c>
      <c r="K44" s="118">
        <f t="shared" si="27"/>
        <v>719997.6</v>
      </c>
      <c r="L44" s="97">
        <f t="shared" si="35"/>
        <v>605040</v>
      </c>
      <c r="M44" s="106">
        <f t="shared" si="36"/>
        <v>719997.6</v>
      </c>
      <c r="N44" s="116">
        <f>43697*12</f>
        <v>524364</v>
      </c>
      <c r="O44" s="97">
        <f t="shared" si="37"/>
        <v>99629.16</v>
      </c>
      <c r="P44" s="97">
        <f t="shared" si="28"/>
        <v>623993.16</v>
      </c>
      <c r="Q44" s="97">
        <f t="shared" si="38"/>
        <v>524364</v>
      </c>
      <c r="R44" s="98">
        <f t="shared" si="39"/>
        <v>623993.16</v>
      </c>
      <c r="S44" s="117">
        <f>51260*12</f>
        <v>615120</v>
      </c>
      <c r="T44" s="97">
        <f t="shared" si="40"/>
        <v>116872.8</v>
      </c>
      <c r="U44" s="97">
        <f t="shared" si="29"/>
        <v>731992.8</v>
      </c>
      <c r="V44" s="97">
        <f t="shared" si="41"/>
        <v>615120</v>
      </c>
      <c r="W44" s="106">
        <f t="shared" si="42"/>
        <v>731992.8</v>
      </c>
      <c r="X44" s="108"/>
      <c r="Y44" s="97">
        <f t="shared" si="43"/>
        <v>0</v>
      </c>
      <c r="Z44" s="97">
        <f t="shared" si="44"/>
        <v>0</v>
      </c>
      <c r="AA44" s="97">
        <f t="shared" si="45"/>
        <v>0</v>
      </c>
      <c r="AB44" s="98">
        <f t="shared" si="46"/>
        <v>0</v>
      </c>
      <c r="AC44" s="109">
        <f t="shared" si="47"/>
        <v>581508</v>
      </c>
      <c r="AD44" s="101">
        <f t="shared" si="23"/>
        <v>436131</v>
      </c>
      <c r="AE44" s="111">
        <f t="shared" si="48"/>
        <v>40615.917667830676</v>
      </c>
      <c r="AF44" s="112">
        <f t="shared" si="49"/>
        <v>6.984584505773038E-2</v>
      </c>
      <c r="AG44" s="113">
        <f t="shared" si="50"/>
        <v>605040</v>
      </c>
      <c r="AH44" s="101">
        <f t="shared" si="24"/>
        <v>564702</v>
      </c>
      <c r="AI44" s="114">
        <f t="shared" si="52"/>
        <v>40615.917667830676</v>
      </c>
      <c r="AJ44" s="166">
        <f t="shared" si="53"/>
        <v>6.7129309909808726E-2</v>
      </c>
      <c r="AK44" s="175" t="s">
        <v>240</v>
      </c>
      <c r="AL44" s="161" t="s">
        <v>244</v>
      </c>
      <c r="AM44" s="176" t="s">
        <v>235</v>
      </c>
      <c r="AN44" s="160"/>
    </row>
    <row r="45" spans="1:40" ht="180.75" thickBot="1" x14ac:dyDescent="0.3">
      <c r="A45" s="82">
        <f t="shared" si="34"/>
        <v>3</v>
      </c>
      <c r="B45" s="196">
        <v>41</v>
      </c>
      <c r="C45" s="51" t="s">
        <v>99</v>
      </c>
      <c r="D45" s="203" t="s">
        <v>1044</v>
      </c>
      <c r="E45" s="58" t="s">
        <v>248</v>
      </c>
      <c r="F45" s="17">
        <v>1</v>
      </c>
      <c r="G45" s="15"/>
      <c r="H45" s="89" t="s">
        <v>165</v>
      </c>
      <c r="I45" s="115">
        <f>74789*100</f>
        <v>7478900</v>
      </c>
      <c r="J45" s="118">
        <f t="shared" si="32"/>
        <v>1420991</v>
      </c>
      <c r="K45" s="118">
        <f t="shared" si="27"/>
        <v>8899891</v>
      </c>
      <c r="L45" s="97">
        <f t="shared" si="35"/>
        <v>7478900</v>
      </c>
      <c r="M45" s="106">
        <f t="shared" si="36"/>
        <v>8899891</v>
      </c>
      <c r="N45" s="116">
        <f>75546*100</f>
        <v>7554600</v>
      </c>
      <c r="O45" s="97">
        <f t="shared" si="37"/>
        <v>1435374</v>
      </c>
      <c r="P45" s="97">
        <f t="shared" si="28"/>
        <v>8989974</v>
      </c>
      <c r="Q45" s="97">
        <f t="shared" si="38"/>
        <v>7554600</v>
      </c>
      <c r="R45" s="98">
        <f t="shared" si="39"/>
        <v>8989974</v>
      </c>
      <c r="S45" s="117">
        <f>75546*100</f>
        <v>7554600</v>
      </c>
      <c r="T45" s="97">
        <f t="shared" si="40"/>
        <v>1435374</v>
      </c>
      <c r="U45" s="97">
        <f t="shared" si="29"/>
        <v>8989974</v>
      </c>
      <c r="V45" s="97">
        <f t="shared" si="41"/>
        <v>7554600</v>
      </c>
      <c r="W45" s="106">
        <f t="shared" si="42"/>
        <v>8989974</v>
      </c>
      <c r="X45" s="108"/>
      <c r="Y45" s="97">
        <f t="shared" si="43"/>
        <v>0</v>
      </c>
      <c r="Z45" s="97">
        <f t="shared" si="44"/>
        <v>0</v>
      </c>
      <c r="AA45" s="97">
        <f t="shared" si="45"/>
        <v>0</v>
      </c>
      <c r="AB45" s="98">
        <f t="shared" si="46"/>
        <v>0</v>
      </c>
      <c r="AC45" s="109">
        <f t="shared" si="47"/>
        <v>7529367</v>
      </c>
      <c r="AD45" s="101">
        <f t="shared" si="23"/>
        <v>5647025</v>
      </c>
      <c r="AE45" s="111">
        <f t="shared" si="48"/>
        <v>35685.322223881099</v>
      </c>
      <c r="AF45" s="112">
        <f t="shared" si="49"/>
        <v>4.739485035578834E-3</v>
      </c>
      <c r="AG45" s="113">
        <f t="shared" si="50"/>
        <v>7554600</v>
      </c>
      <c r="AH45" s="101">
        <f t="shared" si="24"/>
        <v>7516750</v>
      </c>
      <c r="AI45" s="114">
        <f t="shared" si="52"/>
        <v>35685.322223881099</v>
      </c>
      <c r="AJ45" s="166">
        <f t="shared" si="53"/>
        <v>4.7236547565564155E-3</v>
      </c>
      <c r="AK45" s="175" t="s">
        <v>245</v>
      </c>
      <c r="AL45" s="161" t="s">
        <v>246</v>
      </c>
      <c r="AM45" s="176" t="s">
        <v>247</v>
      </c>
      <c r="AN45" s="160"/>
    </row>
    <row r="46" spans="1:40" ht="52.5" customHeight="1" thickBot="1" x14ac:dyDescent="0.3">
      <c r="A46" s="82">
        <f t="shared" si="34"/>
        <v>3</v>
      </c>
      <c r="B46" s="197">
        <v>42</v>
      </c>
      <c r="C46" s="51" t="s">
        <v>100</v>
      </c>
      <c r="D46" s="203" t="s">
        <v>1044</v>
      </c>
      <c r="E46" s="51" t="s">
        <v>101</v>
      </c>
      <c r="F46" s="17">
        <v>1</v>
      </c>
      <c r="G46" s="15"/>
      <c r="H46" s="89" t="s">
        <v>165</v>
      </c>
      <c r="I46" s="115">
        <f>13553*100</f>
        <v>1355300</v>
      </c>
      <c r="J46" s="118">
        <f t="shared" si="32"/>
        <v>257507</v>
      </c>
      <c r="K46" s="118">
        <f t="shared" ref="K46:K68" si="54">I46+J46</f>
        <v>1612807</v>
      </c>
      <c r="L46" s="97">
        <f t="shared" si="35"/>
        <v>1355300</v>
      </c>
      <c r="M46" s="106">
        <f t="shared" si="36"/>
        <v>1612807</v>
      </c>
      <c r="N46" s="116">
        <f>8350*100</f>
        <v>835000</v>
      </c>
      <c r="O46" s="97">
        <f t="shared" si="37"/>
        <v>158650</v>
      </c>
      <c r="P46" s="97">
        <f t="shared" ref="P46:P68" si="55">N46+O46</f>
        <v>993650</v>
      </c>
      <c r="Q46" s="97">
        <f t="shared" si="38"/>
        <v>835000</v>
      </c>
      <c r="R46" s="98">
        <f t="shared" si="39"/>
        <v>993650</v>
      </c>
      <c r="S46" s="117">
        <f>9583*100</f>
        <v>958300</v>
      </c>
      <c r="T46" s="97">
        <f t="shared" si="40"/>
        <v>182077</v>
      </c>
      <c r="U46" s="97">
        <f t="shared" ref="U46:U68" si="56">S46+T46</f>
        <v>1140377</v>
      </c>
      <c r="V46" s="97">
        <f t="shared" si="41"/>
        <v>958300</v>
      </c>
      <c r="W46" s="106">
        <f t="shared" si="42"/>
        <v>1140377</v>
      </c>
      <c r="X46" s="108"/>
      <c r="Y46" s="97">
        <f t="shared" si="43"/>
        <v>0</v>
      </c>
      <c r="Z46" s="97">
        <f t="shared" si="44"/>
        <v>0</v>
      </c>
      <c r="AA46" s="97">
        <f t="shared" si="45"/>
        <v>0</v>
      </c>
      <c r="AB46" s="98">
        <f t="shared" si="46"/>
        <v>0</v>
      </c>
      <c r="AC46" s="109">
        <f t="shared" si="47"/>
        <v>1049533</v>
      </c>
      <c r="AD46" s="101">
        <f t="shared" si="23"/>
        <v>787150</v>
      </c>
      <c r="AE46" s="111">
        <f t="shared" si="48"/>
        <v>221991.98684236829</v>
      </c>
      <c r="AF46" s="112">
        <f t="shared" si="49"/>
        <v>0.21151501367024028</v>
      </c>
      <c r="AG46" s="113">
        <f t="shared" si="50"/>
        <v>958300</v>
      </c>
      <c r="AH46" s="101">
        <f t="shared" si="24"/>
        <v>896650</v>
      </c>
      <c r="AI46" s="114">
        <f t="shared" si="52"/>
        <v>221991.98684236829</v>
      </c>
      <c r="AJ46" s="166">
        <f t="shared" si="53"/>
        <v>0.2316518698135952</v>
      </c>
      <c r="AK46" s="175" t="s">
        <v>249</v>
      </c>
      <c r="AL46" s="161" t="s">
        <v>250</v>
      </c>
      <c r="AM46" s="176" t="s">
        <v>251</v>
      </c>
      <c r="AN46" s="160"/>
    </row>
    <row r="47" spans="1:40" ht="57.75" customHeight="1" thickBot="1" x14ac:dyDescent="0.3">
      <c r="A47" s="82">
        <f t="shared" si="34"/>
        <v>3</v>
      </c>
      <c r="B47" s="197">
        <v>43</v>
      </c>
      <c r="C47" s="51" t="s">
        <v>93</v>
      </c>
      <c r="D47" s="203" t="s">
        <v>1044</v>
      </c>
      <c r="E47" s="58" t="s">
        <v>94</v>
      </c>
      <c r="F47" s="17">
        <v>1</v>
      </c>
      <c r="G47" s="15"/>
      <c r="H47" s="89" t="s">
        <v>165</v>
      </c>
      <c r="I47" s="115">
        <f>22000*12</f>
        <v>264000</v>
      </c>
      <c r="J47" s="118">
        <f t="shared" si="32"/>
        <v>50160</v>
      </c>
      <c r="K47" s="118">
        <f t="shared" si="54"/>
        <v>314160</v>
      </c>
      <c r="L47" s="97">
        <f t="shared" si="35"/>
        <v>264000</v>
      </c>
      <c r="M47" s="106">
        <f t="shared" si="36"/>
        <v>314160</v>
      </c>
      <c r="N47" s="116">
        <f>26000*12</f>
        <v>312000</v>
      </c>
      <c r="O47" s="97">
        <f t="shared" si="37"/>
        <v>59280</v>
      </c>
      <c r="P47" s="97">
        <f t="shared" si="55"/>
        <v>371280</v>
      </c>
      <c r="Q47" s="97">
        <f t="shared" si="38"/>
        <v>312000</v>
      </c>
      <c r="R47" s="98">
        <f t="shared" si="39"/>
        <v>371280</v>
      </c>
      <c r="S47" s="117">
        <f>25000*12</f>
        <v>300000</v>
      </c>
      <c r="T47" s="97">
        <f t="shared" si="40"/>
        <v>57000</v>
      </c>
      <c r="U47" s="97">
        <f t="shared" si="56"/>
        <v>357000</v>
      </c>
      <c r="V47" s="97">
        <f t="shared" si="41"/>
        <v>300000</v>
      </c>
      <c r="W47" s="106">
        <f t="shared" si="42"/>
        <v>357000</v>
      </c>
      <c r="X47" s="108"/>
      <c r="Y47" s="97">
        <f t="shared" si="43"/>
        <v>0</v>
      </c>
      <c r="Z47" s="97">
        <f t="shared" si="44"/>
        <v>0</v>
      </c>
      <c r="AA47" s="97">
        <f t="shared" si="45"/>
        <v>0</v>
      </c>
      <c r="AB47" s="98">
        <f t="shared" si="46"/>
        <v>0</v>
      </c>
      <c r="AC47" s="109">
        <f t="shared" si="47"/>
        <v>292000</v>
      </c>
      <c r="AD47" s="101">
        <f t="shared" si="23"/>
        <v>219000</v>
      </c>
      <c r="AE47" s="111">
        <f t="shared" si="48"/>
        <v>20396.078054371141</v>
      </c>
      <c r="AF47" s="112">
        <f t="shared" si="49"/>
        <v>6.984958237798336E-2</v>
      </c>
      <c r="AG47" s="113">
        <f t="shared" si="50"/>
        <v>300000</v>
      </c>
      <c r="AH47" s="101">
        <f t="shared" si="24"/>
        <v>282000</v>
      </c>
      <c r="AI47" s="114">
        <f t="shared" si="52"/>
        <v>20396.078054371141</v>
      </c>
      <c r="AJ47" s="166">
        <f t="shared" si="53"/>
        <v>6.7986926847903806E-2</v>
      </c>
      <c r="AK47" s="175" t="s">
        <v>224</v>
      </c>
      <c r="AL47" s="161" t="s">
        <v>222</v>
      </c>
      <c r="AM47" s="176" t="s">
        <v>223</v>
      </c>
      <c r="AN47" s="160"/>
    </row>
    <row r="48" spans="1:40" ht="45.75" thickBot="1" x14ac:dyDescent="0.3">
      <c r="A48" s="82">
        <f t="shared" si="34"/>
        <v>1</v>
      </c>
      <c r="B48" s="196">
        <v>44</v>
      </c>
      <c r="C48" s="51" t="s">
        <v>102</v>
      </c>
      <c r="D48" s="203" t="s">
        <v>1044</v>
      </c>
      <c r="E48" s="58" t="s">
        <v>103</v>
      </c>
      <c r="F48" s="17">
        <v>1</v>
      </c>
      <c r="G48" s="15"/>
      <c r="H48" s="89" t="s">
        <v>167</v>
      </c>
      <c r="I48" s="115">
        <f>27900*1.052</f>
        <v>29350.800000000003</v>
      </c>
      <c r="J48" s="118">
        <f t="shared" si="32"/>
        <v>5576.652000000001</v>
      </c>
      <c r="K48" s="118">
        <f t="shared" si="54"/>
        <v>34927.452000000005</v>
      </c>
      <c r="L48" s="97">
        <f t="shared" si="35"/>
        <v>29350.800000000003</v>
      </c>
      <c r="M48" s="106">
        <f t="shared" si="36"/>
        <v>34927.452000000005</v>
      </c>
      <c r="N48" s="116"/>
      <c r="O48" s="97">
        <f t="shared" si="37"/>
        <v>0</v>
      </c>
      <c r="P48" s="97">
        <f t="shared" si="55"/>
        <v>0</v>
      </c>
      <c r="Q48" s="97">
        <f t="shared" si="38"/>
        <v>0</v>
      </c>
      <c r="R48" s="98">
        <f t="shared" si="39"/>
        <v>0</v>
      </c>
      <c r="S48" s="117"/>
      <c r="T48" s="97">
        <f t="shared" si="40"/>
        <v>0</v>
      </c>
      <c r="U48" s="97">
        <f t="shared" si="56"/>
        <v>0</v>
      </c>
      <c r="V48" s="97">
        <f t="shared" si="41"/>
        <v>0</v>
      </c>
      <c r="W48" s="106">
        <f t="shared" si="42"/>
        <v>0</v>
      </c>
      <c r="X48" s="108"/>
      <c r="Y48" s="97">
        <f t="shared" si="43"/>
        <v>0</v>
      </c>
      <c r="Z48" s="97">
        <f t="shared" si="44"/>
        <v>0</v>
      </c>
      <c r="AA48" s="97">
        <f t="shared" si="45"/>
        <v>0</v>
      </c>
      <c r="AB48" s="98">
        <f t="shared" si="46"/>
        <v>0</v>
      </c>
      <c r="AC48" s="109">
        <f t="shared" si="47"/>
        <v>29351</v>
      </c>
      <c r="AD48" s="101">
        <f t="shared" si="23"/>
        <v>7338</v>
      </c>
      <c r="AE48" s="111">
        <f t="shared" si="48"/>
        <v>0</v>
      </c>
      <c r="AF48" s="112">
        <f t="shared" si="49"/>
        <v>0</v>
      </c>
      <c r="AG48" s="113">
        <f t="shared" si="50"/>
        <v>29351</v>
      </c>
      <c r="AH48" s="214">
        <f t="shared" ref="AH48:AH50" si="57">AG48*F48</f>
        <v>29351</v>
      </c>
      <c r="AI48" s="114">
        <f t="shared" si="52"/>
        <v>0</v>
      </c>
      <c r="AJ48" s="166">
        <f t="shared" si="53"/>
        <v>0</v>
      </c>
      <c r="AK48" s="175" t="s">
        <v>253</v>
      </c>
      <c r="AL48" s="161"/>
      <c r="AM48" s="176"/>
      <c r="AN48" s="160"/>
    </row>
    <row r="49" spans="1:40" ht="45.75" thickBot="1" x14ac:dyDescent="0.3">
      <c r="A49" s="82">
        <f t="shared" si="34"/>
        <v>1</v>
      </c>
      <c r="B49" s="196">
        <v>45</v>
      </c>
      <c r="C49" s="51" t="s">
        <v>104</v>
      </c>
      <c r="D49" s="203" t="s">
        <v>1044</v>
      </c>
      <c r="E49" s="58" t="s">
        <v>105</v>
      </c>
      <c r="F49" s="17">
        <v>1</v>
      </c>
      <c r="G49" s="15"/>
      <c r="H49" s="89" t="s">
        <v>165</v>
      </c>
      <c r="I49" s="115">
        <f>2988600*1.052</f>
        <v>3144007.2</v>
      </c>
      <c r="J49" s="118">
        <f t="shared" si="32"/>
        <v>597361.36800000002</v>
      </c>
      <c r="K49" s="118">
        <f t="shared" si="54"/>
        <v>3741368.568</v>
      </c>
      <c r="L49" s="97">
        <f t="shared" si="35"/>
        <v>3144007.2</v>
      </c>
      <c r="M49" s="106">
        <f t="shared" si="36"/>
        <v>3741368.568</v>
      </c>
      <c r="N49" s="116"/>
      <c r="O49" s="97">
        <f t="shared" si="37"/>
        <v>0</v>
      </c>
      <c r="P49" s="97">
        <f t="shared" si="55"/>
        <v>0</v>
      </c>
      <c r="Q49" s="97">
        <f t="shared" si="38"/>
        <v>0</v>
      </c>
      <c r="R49" s="98">
        <f t="shared" si="39"/>
        <v>0</v>
      </c>
      <c r="S49" s="117"/>
      <c r="T49" s="97">
        <f t="shared" si="40"/>
        <v>0</v>
      </c>
      <c r="U49" s="97">
        <f t="shared" si="56"/>
        <v>0</v>
      </c>
      <c r="V49" s="97">
        <f t="shared" si="41"/>
        <v>0</v>
      </c>
      <c r="W49" s="106">
        <f t="shared" si="42"/>
        <v>0</v>
      </c>
      <c r="X49" s="108"/>
      <c r="Y49" s="97">
        <f t="shared" si="43"/>
        <v>0</v>
      </c>
      <c r="Z49" s="97">
        <f t="shared" si="44"/>
        <v>0</v>
      </c>
      <c r="AA49" s="97">
        <f t="shared" si="45"/>
        <v>0</v>
      </c>
      <c r="AB49" s="98">
        <f t="shared" si="46"/>
        <v>0</v>
      </c>
      <c r="AC49" s="109">
        <f t="shared" si="47"/>
        <v>3144007</v>
      </c>
      <c r="AD49" s="101">
        <f t="shared" si="23"/>
        <v>786002</v>
      </c>
      <c r="AE49" s="111">
        <f t="shared" si="48"/>
        <v>0</v>
      </c>
      <c r="AF49" s="112">
        <f t="shared" si="49"/>
        <v>0</v>
      </c>
      <c r="AG49" s="113">
        <f t="shared" si="50"/>
        <v>3144007</v>
      </c>
      <c r="AH49" s="214">
        <f t="shared" si="57"/>
        <v>3144007</v>
      </c>
      <c r="AI49" s="114">
        <f t="shared" si="52"/>
        <v>0</v>
      </c>
      <c r="AJ49" s="166">
        <f t="shared" si="53"/>
        <v>0</v>
      </c>
      <c r="AK49" s="175" t="s">
        <v>253</v>
      </c>
      <c r="AL49" s="161"/>
      <c r="AM49" s="176"/>
      <c r="AN49" s="160"/>
    </row>
    <row r="50" spans="1:40" ht="45.75" thickBot="1" x14ac:dyDescent="0.3">
      <c r="A50" s="82">
        <f t="shared" si="34"/>
        <v>1</v>
      </c>
      <c r="B50" s="197">
        <v>46</v>
      </c>
      <c r="C50" s="51" t="s">
        <v>106</v>
      </c>
      <c r="D50" s="203" t="s">
        <v>1044</v>
      </c>
      <c r="E50" s="58" t="s">
        <v>107</v>
      </c>
      <c r="F50" s="17">
        <v>1</v>
      </c>
      <c r="G50" s="15"/>
      <c r="H50" s="89" t="s">
        <v>165</v>
      </c>
      <c r="I50" s="115">
        <f>640000*1.052</f>
        <v>673280</v>
      </c>
      <c r="J50" s="118">
        <f t="shared" si="32"/>
        <v>127923.2</v>
      </c>
      <c r="K50" s="118">
        <f t="shared" si="54"/>
        <v>801203.19999999995</v>
      </c>
      <c r="L50" s="97">
        <f t="shared" si="35"/>
        <v>673280</v>
      </c>
      <c r="M50" s="106">
        <f t="shared" si="36"/>
        <v>801203.19999999995</v>
      </c>
      <c r="N50" s="116"/>
      <c r="O50" s="97">
        <f t="shared" si="37"/>
        <v>0</v>
      </c>
      <c r="P50" s="97">
        <f t="shared" si="55"/>
        <v>0</v>
      </c>
      <c r="Q50" s="97">
        <f t="shared" si="38"/>
        <v>0</v>
      </c>
      <c r="R50" s="98">
        <f t="shared" si="39"/>
        <v>0</v>
      </c>
      <c r="S50" s="117"/>
      <c r="T50" s="97">
        <f t="shared" si="40"/>
        <v>0</v>
      </c>
      <c r="U50" s="97">
        <f t="shared" si="56"/>
        <v>0</v>
      </c>
      <c r="V50" s="97">
        <f t="shared" si="41"/>
        <v>0</v>
      </c>
      <c r="W50" s="106">
        <f t="shared" si="42"/>
        <v>0</v>
      </c>
      <c r="X50" s="108"/>
      <c r="Y50" s="97">
        <f t="shared" si="43"/>
        <v>0</v>
      </c>
      <c r="Z50" s="97">
        <f t="shared" si="44"/>
        <v>0</v>
      </c>
      <c r="AA50" s="97">
        <f t="shared" si="45"/>
        <v>0</v>
      </c>
      <c r="AB50" s="98">
        <f t="shared" si="46"/>
        <v>0</v>
      </c>
      <c r="AC50" s="109">
        <f t="shared" si="47"/>
        <v>673280</v>
      </c>
      <c r="AD50" s="101">
        <f t="shared" si="23"/>
        <v>168320</v>
      </c>
      <c r="AE50" s="111">
        <f t="shared" si="48"/>
        <v>0</v>
      </c>
      <c r="AF50" s="112">
        <f t="shared" si="49"/>
        <v>0</v>
      </c>
      <c r="AG50" s="113">
        <f t="shared" si="50"/>
        <v>673280</v>
      </c>
      <c r="AH50" s="214">
        <f t="shared" si="57"/>
        <v>673280</v>
      </c>
      <c r="AI50" s="114">
        <f t="shared" si="52"/>
        <v>0</v>
      </c>
      <c r="AJ50" s="166">
        <f t="shared" si="53"/>
        <v>0</v>
      </c>
      <c r="AK50" s="175" t="s">
        <v>253</v>
      </c>
      <c r="AL50" s="161"/>
      <c r="AM50" s="176"/>
      <c r="AN50" s="160"/>
    </row>
    <row r="51" spans="1:40" ht="111.75" customHeight="1" thickBot="1" x14ac:dyDescent="0.3">
      <c r="A51" s="82">
        <f t="shared" si="34"/>
        <v>2</v>
      </c>
      <c r="B51" s="197">
        <v>47</v>
      </c>
      <c r="C51" s="51" t="s">
        <v>108</v>
      </c>
      <c r="D51" s="203" t="s">
        <v>1044</v>
      </c>
      <c r="E51" s="58" t="s">
        <v>252</v>
      </c>
      <c r="F51" s="17">
        <v>1</v>
      </c>
      <c r="G51" s="15"/>
      <c r="H51" s="89" t="s">
        <v>167</v>
      </c>
      <c r="I51" s="115">
        <f>15756*12</f>
        <v>189072</v>
      </c>
      <c r="J51" s="118">
        <f t="shared" si="32"/>
        <v>35923.68</v>
      </c>
      <c r="K51" s="118">
        <f t="shared" si="54"/>
        <v>224995.68</v>
      </c>
      <c r="L51" s="97">
        <f t="shared" si="35"/>
        <v>189072</v>
      </c>
      <c r="M51" s="106">
        <f t="shared" si="36"/>
        <v>224995.68</v>
      </c>
      <c r="N51" s="116">
        <f>21000*12</f>
        <v>252000</v>
      </c>
      <c r="O51" s="97">
        <f t="shared" si="37"/>
        <v>47880</v>
      </c>
      <c r="P51" s="97">
        <f t="shared" si="55"/>
        <v>299880</v>
      </c>
      <c r="Q51" s="97">
        <f t="shared" si="38"/>
        <v>252000</v>
      </c>
      <c r="R51" s="98">
        <f t="shared" si="39"/>
        <v>299880</v>
      </c>
      <c r="S51" s="117"/>
      <c r="T51" s="97">
        <f t="shared" si="40"/>
        <v>0</v>
      </c>
      <c r="U51" s="97">
        <f t="shared" si="56"/>
        <v>0</v>
      </c>
      <c r="V51" s="97">
        <f t="shared" si="41"/>
        <v>0</v>
      </c>
      <c r="W51" s="106">
        <f t="shared" si="42"/>
        <v>0</v>
      </c>
      <c r="X51" s="108"/>
      <c r="Y51" s="97">
        <f t="shared" si="43"/>
        <v>0</v>
      </c>
      <c r="Z51" s="97">
        <f t="shared" si="44"/>
        <v>0</v>
      </c>
      <c r="AA51" s="97">
        <f t="shared" si="45"/>
        <v>0</v>
      </c>
      <c r="AB51" s="98">
        <f t="shared" si="46"/>
        <v>0</v>
      </c>
      <c r="AC51" s="109">
        <f t="shared" si="47"/>
        <v>220536</v>
      </c>
      <c r="AD51" s="101">
        <f t="shared" si="23"/>
        <v>110268</v>
      </c>
      <c r="AE51" s="111">
        <f t="shared" si="48"/>
        <v>31464</v>
      </c>
      <c r="AF51" s="112">
        <f t="shared" si="49"/>
        <v>0.1426705843943846</v>
      </c>
      <c r="AG51" s="113">
        <f t="shared" si="50"/>
        <v>220536</v>
      </c>
      <c r="AH51" s="101">
        <f t="shared" si="24"/>
        <v>94536</v>
      </c>
      <c r="AI51" s="114">
        <f t="shared" si="52"/>
        <v>31464</v>
      </c>
      <c r="AJ51" s="166">
        <f t="shared" si="53"/>
        <v>0.1426705843943846</v>
      </c>
      <c r="AK51" s="175" t="s">
        <v>314</v>
      </c>
      <c r="AL51" s="161" t="s">
        <v>315</v>
      </c>
      <c r="AM51" s="176" t="s">
        <v>316</v>
      </c>
      <c r="AN51" s="160"/>
    </row>
    <row r="52" spans="1:40" ht="112.5" customHeight="1" thickBot="1" x14ac:dyDescent="0.3">
      <c r="A52" s="82">
        <f t="shared" si="34"/>
        <v>1</v>
      </c>
      <c r="B52" s="196">
        <v>48</v>
      </c>
      <c r="C52" s="51" t="s">
        <v>109</v>
      </c>
      <c r="D52" s="203" t="s">
        <v>1044</v>
      </c>
      <c r="E52" s="58" t="s">
        <v>110</v>
      </c>
      <c r="F52" s="17">
        <v>1</v>
      </c>
      <c r="G52" s="15"/>
      <c r="H52" s="89" t="s">
        <v>166</v>
      </c>
      <c r="I52" s="115">
        <f>349200*1.052</f>
        <v>367358.4</v>
      </c>
      <c r="J52" s="118">
        <f t="shared" si="32"/>
        <v>69798.096000000005</v>
      </c>
      <c r="K52" s="118">
        <f t="shared" si="54"/>
        <v>437156.49600000004</v>
      </c>
      <c r="L52" s="97">
        <f t="shared" si="35"/>
        <v>367358.4</v>
      </c>
      <c r="M52" s="106">
        <f t="shared" si="36"/>
        <v>437156.49600000004</v>
      </c>
      <c r="N52" s="116"/>
      <c r="O52" s="97">
        <f t="shared" si="37"/>
        <v>0</v>
      </c>
      <c r="P52" s="97">
        <f t="shared" si="55"/>
        <v>0</v>
      </c>
      <c r="Q52" s="97">
        <f t="shared" si="38"/>
        <v>0</v>
      </c>
      <c r="R52" s="98">
        <f t="shared" si="39"/>
        <v>0</v>
      </c>
      <c r="S52" s="117"/>
      <c r="T52" s="97">
        <f t="shared" si="40"/>
        <v>0</v>
      </c>
      <c r="U52" s="97">
        <f t="shared" si="56"/>
        <v>0</v>
      </c>
      <c r="V52" s="97">
        <f t="shared" si="41"/>
        <v>0</v>
      </c>
      <c r="W52" s="106">
        <f t="shared" si="42"/>
        <v>0</v>
      </c>
      <c r="X52" s="108"/>
      <c r="Y52" s="97">
        <f t="shared" si="43"/>
        <v>0</v>
      </c>
      <c r="Z52" s="97">
        <f t="shared" si="44"/>
        <v>0</v>
      </c>
      <c r="AA52" s="97">
        <f t="shared" si="45"/>
        <v>0</v>
      </c>
      <c r="AB52" s="98">
        <f t="shared" si="46"/>
        <v>0</v>
      </c>
      <c r="AC52" s="109">
        <f t="shared" si="47"/>
        <v>367358</v>
      </c>
      <c r="AD52" s="101">
        <f t="shared" si="23"/>
        <v>91840</v>
      </c>
      <c r="AE52" s="111">
        <f t="shared" si="48"/>
        <v>0</v>
      </c>
      <c r="AF52" s="112">
        <f t="shared" si="49"/>
        <v>0</v>
      </c>
      <c r="AG52" s="113">
        <f t="shared" si="50"/>
        <v>367358</v>
      </c>
      <c r="AH52" s="214">
        <f t="shared" ref="AH52:AH68" si="58">AG52*F52</f>
        <v>367358</v>
      </c>
      <c r="AI52" s="114">
        <f t="shared" si="52"/>
        <v>0</v>
      </c>
      <c r="AJ52" s="166">
        <f t="shared" si="53"/>
        <v>0</v>
      </c>
      <c r="AK52" s="175" t="s">
        <v>253</v>
      </c>
      <c r="AL52" s="161"/>
      <c r="AM52" s="176"/>
      <c r="AN52" s="160"/>
    </row>
    <row r="53" spans="1:40" ht="99.75" customHeight="1" thickBot="1" x14ac:dyDescent="0.3">
      <c r="A53" s="82">
        <f t="shared" si="34"/>
        <v>1</v>
      </c>
      <c r="B53" s="196">
        <v>49</v>
      </c>
      <c r="C53" s="51" t="s">
        <v>111</v>
      </c>
      <c r="D53" s="203" t="s">
        <v>1044</v>
      </c>
      <c r="E53" s="58" t="s">
        <v>112</v>
      </c>
      <c r="F53" s="17">
        <v>1</v>
      </c>
      <c r="G53" s="15"/>
      <c r="H53" s="89" t="s">
        <v>166</v>
      </c>
      <c r="I53" s="115">
        <f>349200*1.052</f>
        <v>367358.4</v>
      </c>
      <c r="J53" s="118">
        <f t="shared" si="32"/>
        <v>69798.096000000005</v>
      </c>
      <c r="K53" s="118">
        <f t="shared" si="54"/>
        <v>437156.49600000004</v>
      </c>
      <c r="L53" s="97">
        <f t="shared" si="35"/>
        <v>367358.4</v>
      </c>
      <c r="M53" s="106">
        <f t="shared" si="36"/>
        <v>437156.49600000004</v>
      </c>
      <c r="N53" s="116"/>
      <c r="O53" s="97">
        <f t="shared" si="37"/>
        <v>0</v>
      </c>
      <c r="P53" s="97">
        <f t="shared" si="55"/>
        <v>0</v>
      </c>
      <c r="Q53" s="97">
        <f t="shared" si="38"/>
        <v>0</v>
      </c>
      <c r="R53" s="98">
        <f t="shared" si="39"/>
        <v>0</v>
      </c>
      <c r="S53" s="117"/>
      <c r="T53" s="97">
        <f t="shared" si="40"/>
        <v>0</v>
      </c>
      <c r="U53" s="97">
        <f t="shared" si="56"/>
        <v>0</v>
      </c>
      <c r="V53" s="97">
        <f t="shared" si="41"/>
        <v>0</v>
      </c>
      <c r="W53" s="106">
        <f t="shared" si="42"/>
        <v>0</v>
      </c>
      <c r="X53" s="108"/>
      <c r="Y53" s="97">
        <f t="shared" si="43"/>
        <v>0</v>
      </c>
      <c r="Z53" s="97">
        <f t="shared" si="44"/>
        <v>0</v>
      </c>
      <c r="AA53" s="97">
        <f t="shared" si="45"/>
        <v>0</v>
      </c>
      <c r="AB53" s="98">
        <f t="shared" si="46"/>
        <v>0</v>
      </c>
      <c r="AC53" s="109">
        <f t="shared" si="47"/>
        <v>367358</v>
      </c>
      <c r="AD53" s="101">
        <f t="shared" si="23"/>
        <v>91840</v>
      </c>
      <c r="AE53" s="111">
        <f t="shared" si="48"/>
        <v>0</v>
      </c>
      <c r="AF53" s="112">
        <f t="shared" si="49"/>
        <v>0</v>
      </c>
      <c r="AG53" s="113">
        <f t="shared" si="50"/>
        <v>367358</v>
      </c>
      <c r="AH53" s="214">
        <f t="shared" si="58"/>
        <v>367358</v>
      </c>
      <c r="AI53" s="114">
        <f t="shared" si="52"/>
        <v>0</v>
      </c>
      <c r="AJ53" s="166">
        <f t="shared" si="53"/>
        <v>0</v>
      </c>
      <c r="AK53" s="175" t="s">
        <v>253</v>
      </c>
      <c r="AL53" s="161"/>
      <c r="AM53" s="176"/>
      <c r="AN53" s="160"/>
    </row>
    <row r="54" spans="1:40" ht="86.25" customHeight="1" thickBot="1" x14ac:dyDescent="0.3">
      <c r="A54" s="82">
        <f t="shared" si="34"/>
        <v>1</v>
      </c>
      <c r="B54" s="197">
        <v>50</v>
      </c>
      <c r="C54" s="51" t="s">
        <v>113</v>
      </c>
      <c r="D54" s="203" t="s">
        <v>1044</v>
      </c>
      <c r="E54" s="58" t="s">
        <v>114</v>
      </c>
      <c r="F54" s="17">
        <v>1</v>
      </c>
      <c r="G54" s="15"/>
      <c r="H54" s="89" t="s">
        <v>165</v>
      </c>
      <c r="I54" s="115">
        <f>944900*1.052</f>
        <v>994034.8</v>
      </c>
      <c r="J54" s="118">
        <f t="shared" ref="J54:J85" si="59">I54*19%</f>
        <v>188866.61200000002</v>
      </c>
      <c r="K54" s="118">
        <f t="shared" si="54"/>
        <v>1182901.412</v>
      </c>
      <c r="L54" s="97">
        <f t="shared" si="35"/>
        <v>994034.8</v>
      </c>
      <c r="M54" s="106">
        <f t="shared" si="36"/>
        <v>1182901.412</v>
      </c>
      <c r="N54" s="116"/>
      <c r="O54" s="97">
        <f t="shared" si="37"/>
        <v>0</v>
      </c>
      <c r="P54" s="97">
        <f t="shared" si="55"/>
        <v>0</v>
      </c>
      <c r="Q54" s="97">
        <f t="shared" si="38"/>
        <v>0</v>
      </c>
      <c r="R54" s="98">
        <f t="shared" si="39"/>
        <v>0</v>
      </c>
      <c r="S54" s="117"/>
      <c r="T54" s="97">
        <f t="shared" si="40"/>
        <v>0</v>
      </c>
      <c r="U54" s="97">
        <f t="shared" si="56"/>
        <v>0</v>
      </c>
      <c r="V54" s="97">
        <f t="shared" si="41"/>
        <v>0</v>
      </c>
      <c r="W54" s="106">
        <f t="shared" si="42"/>
        <v>0</v>
      </c>
      <c r="X54" s="108"/>
      <c r="Y54" s="97">
        <f t="shared" si="43"/>
        <v>0</v>
      </c>
      <c r="Z54" s="97">
        <f t="shared" si="44"/>
        <v>0</v>
      </c>
      <c r="AA54" s="97">
        <f t="shared" si="45"/>
        <v>0</v>
      </c>
      <c r="AB54" s="98">
        <f t="shared" si="46"/>
        <v>0</v>
      </c>
      <c r="AC54" s="109">
        <f t="shared" si="47"/>
        <v>994035</v>
      </c>
      <c r="AD54" s="101">
        <f t="shared" si="23"/>
        <v>248509</v>
      </c>
      <c r="AE54" s="111">
        <f t="shared" si="48"/>
        <v>0</v>
      </c>
      <c r="AF54" s="112">
        <f t="shared" si="49"/>
        <v>0</v>
      </c>
      <c r="AG54" s="113">
        <f t="shared" si="50"/>
        <v>994035</v>
      </c>
      <c r="AH54" s="214">
        <f t="shared" si="58"/>
        <v>994035</v>
      </c>
      <c r="AI54" s="114">
        <f t="shared" si="52"/>
        <v>0</v>
      </c>
      <c r="AJ54" s="166">
        <f t="shared" si="53"/>
        <v>0</v>
      </c>
      <c r="AK54" s="175" t="s">
        <v>253</v>
      </c>
      <c r="AL54" s="161"/>
      <c r="AM54" s="176"/>
      <c r="AN54" s="160"/>
    </row>
    <row r="55" spans="1:40" ht="91.5" customHeight="1" thickBot="1" x14ac:dyDescent="0.3">
      <c r="A55" s="82">
        <f t="shared" si="34"/>
        <v>1</v>
      </c>
      <c r="B55" s="197">
        <v>51</v>
      </c>
      <c r="C55" s="51" t="s">
        <v>115</v>
      </c>
      <c r="D55" s="203" t="s">
        <v>1044</v>
      </c>
      <c r="E55" s="58" t="s">
        <v>116</v>
      </c>
      <c r="F55" s="17">
        <v>1</v>
      </c>
      <c r="G55" s="15"/>
      <c r="H55" s="89" t="s">
        <v>165</v>
      </c>
      <c r="I55" s="115">
        <f>2126700*1.052</f>
        <v>2237288.4</v>
      </c>
      <c r="J55" s="118">
        <f t="shared" si="59"/>
        <v>425084.79599999997</v>
      </c>
      <c r="K55" s="118">
        <f t="shared" si="54"/>
        <v>2662373.196</v>
      </c>
      <c r="L55" s="97">
        <f t="shared" si="35"/>
        <v>2237288.4</v>
      </c>
      <c r="M55" s="106">
        <f t="shared" si="36"/>
        <v>2662373.196</v>
      </c>
      <c r="N55" s="116"/>
      <c r="O55" s="97">
        <f t="shared" si="37"/>
        <v>0</v>
      </c>
      <c r="P55" s="97">
        <f t="shared" si="55"/>
        <v>0</v>
      </c>
      <c r="Q55" s="97">
        <f t="shared" si="38"/>
        <v>0</v>
      </c>
      <c r="R55" s="98">
        <f t="shared" si="39"/>
        <v>0</v>
      </c>
      <c r="S55" s="117"/>
      <c r="T55" s="97">
        <f t="shared" si="40"/>
        <v>0</v>
      </c>
      <c r="U55" s="97">
        <f t="shared" si="56"/>
        <v>0</v>
      </c>
      <c r="V55" s="97">
        <f t="shared" si="41"/>
        <v>0</v>
      </c>
      <c r="W55" s="106">
        <f t="shared" si="42"/>
        <v>0</v>
      </c>
      <c r="X55" s="108"/>
      <c r="Y55" s="97">
        <f t="shared" si="43"/>
        <v>0</v>
      </c>
      <c r="Z55" s="97">
        <f t="shared" si="44"/>
        <v>0</v>
      </c>
      <c r="AA55" s="97">
        <f t="shared" si="45"/>
        <v>0</v>
      </c>
      <c r="AB55" s="98">
        <f t="shared" si="46"/>
        <v>0</v>
      </c>
      <c r="AC55" s="109">
        <f t="shared" si="47"/>
        <v>2237288</v>
      </c>
      <c r="AD55" s="101">
        <f t="shared" si="23"/>
        <v>559322</v>
      </c>
      <c r="AE55" s="111">
        <f t="shared" si="48"/>
        <v>0</v>
      </c>
      <c r="AF55" s="112">
        <f t="shared" si="49"/>
        <v>0</v>
      </c>
      <c r="AG55" s="113">
        <f t="shared" si="50"/>
        <v>2237288</v>
      </c>
      <c r="AH55" s="214">
        <f t="shared" si="58"/>
        <v>2237288</v>
      </c>
      <c r="AI55" s="114">
        <f t="shared" si="52"/>
        <v>0</v>
      </c>
      <c r="AJ55" s="166">
        <f t="shared" si="53"/>
        <v>0</v>
      </c>
      <c r="AK55" s="175" t="s">
        <v>253</v>
      </c>
      <c r="AL55" s="161"/>
      <c r="AM55" s="176"/>
      <c r="AN55" s="160"/>
    </row>
    <row r="56" spans="1:40" ht="94.5" customHeight="1" thickBot="1" x14ac:dyDescent="0.3">
      <c r="A56" s="82">
        <f t="shared" si="34"/>
        <v>1</v>
      </c>
      <c r="B56" s="196">
        <v>52</v>
      </c>
      <c r="C56" s="51" t="s">
        <v>117</v>
      </c>
      <c r="D56" s="203" t="s">
        <v>1044</v>
      </c>
      <c r="E56" s="58" t="s">
        <v>118</v>
      </c>
      <c r="F56" s="17">
        <v>1</v>
      </c>
      <c r="G56" s="15"/>
      <c r="H56" s="89" t="s">
        <v>166</v>
      </c>
      <c r="I56" s="115">
        <f>772200*1.052</f>
        <v>812354.4</v>
      </c>
      <c r="J56" s="118">
        <f t="shared" si="59"/>
        <v>154347.33600000001</v>
      </c>
      <c r="K56" s="118">
        <f t="shared" si="54"/>
        <v>966701.73600000003</v>
      </c>
      <c r="L56" s="97">
        <f t="shared" si="35"/>
        <v>812354.4</v>
      </c>
      <c r="M56" s="106">
        <f t="shared" si="36"/>
        <v>966701.73600000003</v>
      </c>
      <c r="N56" s="116"/>
      <c r="O56" s="97">
        <f t="shared" si="37"/>
        <v>0</v>
      </c>
      <c r="P56" s="97">
        <f t="shared" si="55"/>
        <v>0</v>
      </c>
      <c r="Q56" s="97">
        <f t="shared" si="38"/>
        <v>0</v>
      </c>
      <c r="R56" s="98">
        <f t="shared" si="39"/>
        <v>0</v>
      </c>
      <c r="S56" s="117"/>
      <c r="T56" s="97">
        <f t="shared" si="40"/>
        <v>0</v>
      </c>
      <c r="U56" s="97">
        <f t="shared" si="56"/>
        <v>0</v>
      </c>
      <c r="V56" s="97">
        <f t="shared" si="41"/>
        <v>0</v>
      </c>
      <c r="W56" s="106">
        <f t="shared" si="42"/>
        <v>0</v>
      </c>
      <c r="X56" s="108"/>
      <c r="Y56" s="97">
        <f t="shared" si="43"/>
        <v>0</v>
      </c>
      <c r="Z56" s="97">
        <f t="shared" si="44"/>
        <v>0</v>
      </c>
      <c r="AA56" s="97">
        <f t="shared" si="45"/>
        <v>0</v>
      </c>
      <c r="AB56" s="98">
        <f t="shared" si="46"/>
        <v>0</v>
      </c>
      <c r="AC56" s="109">
        <f t="shared" si="47"/>
        <v>812354</v>
      </c>
      <c r="AD56" s="101">
        <f t="shared" si="23"/>
        <v>203089</v>
      </c>
      <c r="AE56" s="111">
        <f t="shared" si="48"/>
        <v>0</v>
      </c>
      <c r="AF56" s="112">
        <f t="shared" si="49"/>
        <v>0</v>
      </c>
      <c r="AG56" s="113">
        <f t="shared" si="50"/>
        <v>812354</v>
      </c>
      <c r="AH56" s="214">
        <f t="shared" si="58"/>
        <v>812354</v>
      </c>
      <c r="AI56" s="114">
        <f t="shared" si="52"/>
        <v>0</v>
      </c>
      <c r="AJ56" s="166">
        <f t="shared" si="53"/>
        <v>0</v>
      </c>
      <c r="AK56" s="175" t="s">
        <v>253</v>
      </c>
      <c r="AL56" s="161"/>
      <c r="AM56" s="176"/>
      <c r="AN56" s="160"/>
    </row>
    <row r="57" spans="1:40" ht="54.75" customHeight="1" thickBot="1" x14ac:dyDescent="0.3">
      <c r="A57" s="82">
        <f t="shared" si="34"/>
        <v>1</v>
      </c>
      <c r="B57" s="196">
        <v>53</v>
      </c>
      <c r="C57" s="51" t="s">
        <v>119</v>
      </c>
      <c r="D57" s="203" t="s">
        <v>1044</v>
      </c>
      <c r="E57" s="58" t="s">
        <v>120</v>
      </c>
      <c r="F57" s="17">
        <v>1</v>
      </c>
      <c r="G57" s="15"/>
      <c r="H57" s="89" t="s">
        <v>167</v>
      </c>
      <c r="I57" s="115">
        <f>285200*1.052</f>
        <v>300030.40000000002</v>
      </c>
      <c r="J57" s="118">
        <f t="shared" si="59"/>
        <v>57005.776000000005</v>
      </c>
      <c r="K57" s="118">
        <f t="shared" si="54"/>
        <v>357036.17600000004</v>
      </c>
      <c r="L57" s="97">
        <f t="shared" si="35"/>
        <v>300030.40000000002</v>
      </c>
      <c r="M57" s="106">
        <f t="shared" si="36"/>
        <v>357036.17600000004</v>
      </c>
      <c r="N57" s="116"/>
      <c r="O57" s="97">
        <f t="shared" si="37"/>
        <v>0</v>
      </c>
      <c r="P57" s="97">
        <f t="shared" si="55"/>
        <v>0</v>
      </c>
      <c r="Q57" s="97">
        <f t="shared" si="38"/>
        <v>0</v>
      </c>
      <c r="R57" s="98">
        <f t="shared" si="39"/>
        <v>0</v>
      </c>
      <c r="S57" s="117"/>
      <c r="T57" s="97">
        <f t="shared" si="40"/>
        <v>0</v>
      </c>
      <c r="U57" s="97">
        <f t="shared" si="56"/>
        <v>0</v>
      </c>
      <c r="V57" s="97">
        <f t="shared" si="41"/>
        <v>0</v>
      </c>
      <c r="W57" s="106">
        <f t="shared" si="42"/>
        <v>0</v>
      </c>
      <c r="X57" s="108"/>
      <c r="Y57" s="97">
        <f t="shared" si="43"/>
        <v>0</v>
      </c>
      <c r="Z57" s="97">
        <f t="shared" si="44"/>
        <v>0</v>
      </c>
      <c r="AA57" s="97">
        <f t="shared" si="45"/>
        <v>0</v>
      </c>
      <c r="AB57" s="98">
        <f t="shared" si="46"/>
        <v>0</v>
      </c>
      <c r="AC57" s="109">
        <f t="shared" si="47"/>
        <v>300030</v>
      </c>
      <c r="AD57" s="101">
        <f t="shared" si="23"/>
        <v>75008</v>
      </c>
      <c r="AE57" s="111">
        <f t="shared" si="48"/>
        <v>0</v>
      </c>
      <c r="AF57" s="112">
        <f t="shared" si="49"/>
        <v>0</v>
      </c>
      <c r="AG57" s="113">
        <f t="shared" si="50"/>
        <v>300030</v>
      </c>
      <c r="AH57" s="214">
        <f t="shared" si="58"/>
        <v>300030</v>
      </c>
      <c r="AI57" s="114">
        <f t="shared" si="52"/>
        <v>0</v>
      </c>
      <c r="AJ57" s="166">
        <f t="shared" si="53"/>
        <v>0</v>
      </c>
      <c r="AK57" s="175" t="s">
        <v>253</v>
      </c>
      <c r="AL57" s="161"/>
      <c r="AM57" s="176"/>
      <c r="AN57" s="160"/>
    </row>
    <row r="58" spans="1:40" ht="172.5" customHeight="1" thickBot="1" x14ac:dyDescent="0.3">
      <c r="A58" s="82">
        <f t="shared" si="34"/>
        <v>1</v>
      </c>
      <c r="B58" s="197">
        <v>54</v>
      </c>
      <c r="C58" s="51" t="s">
        <v>121</v>
      </c>
      <c r="D58" s="203" t="s">
        <v>1044</v>
      </c>
      <c r="E58" s="207" t="s">
        <v>1073</v>
      </c>
      <c r="F58" s="17">
        <v>1</v>
      </c>
      <c r="G58" s="15"/>
      <c r="H58" s="89" t="s">
        <v>167</v>
      </c>
      <c r="I58" s="115">
        <f>337500*1.052</f>
        <v>355050</v>
      </c>
      <c r="J58" s="118">
        <f t="shared" si="59"/>
        <v>67459.5</v>
      </c>
      <c r="K58" s="118">
        <f t="shared" si="54"/>
        <v>422509.5</v>
      </c>
      <c r="L58" s="97">
        <f t="shared" si="35"/>
        <v>355050</v>
      </c>
      <c r="M58" s="106">
        <f t="shared" si="36"/>
        <v>422509.5</v>
      </c>
      <c r="N58" s="116"/>
      <c r="O58" s="97">
        <f t="shared" si="37"/>
        <v>0</v>
      </c>
      <c r="P58" s="97">
        <f t="shared" si="55"/>
        <v>0</v>
      </c>
      <c r="Q58" s="97">
        <f t="shared" si="38"/>
        <v>0</v>
      </c>
      <c r="R58" s="98">
        <f t="shared" si="39"/>
        <v>0</v>
      </c>
      <c r="S58" s="117"/>
      <c r="T58" s="97">
        <f t="shared" si="40"/>
        <v>0</v>
      </c>
      <c r="U58" s="97">
        <f t="shared" si="56"/>
        <v>0</v>
      </c>
      <c r="V58" s="97">
        <f t="shared" si="41"/>
        <v>0</v>
      </c>
      <c r="W58" s="106">
        <f t="shared" si="42"/>
        <v>0</v>
      </c>
      <c r="X58" s="108"/>
      <c r="Y58" s="97">
        <f t="shared" si="43"/>
        <v>0</v>
      </c>
      <c r="Z58" s="97">
        <f t="shared" si="44"/>
        <v>0</v>
      </c>
      <c r="AA58" s="97">
        <f t="shared" si="45"/>
        <v>0</v>
      </c>
      <c r="AB58" s="98">
        <f t="shared" si="46"/>
        <v>0</v>
      </c>
      <c r="AC58" s="109">
        <f t="shared" si="47"/>
        <v>355050</v>
      </c>
      <c r="AD58" s="101">
        <f t="shared" si="23"/>
        <v>88763</v>
      </c>
      <c r="AE58" s="111">
        <f t="shared" si="48"/>
        <v>0</v>
      </c>
      <c r="AF58" s="112">
        <f t="shared" si="49"/>
        <v>0</v>
      </c>
      <c r="AG58" s="113">
        <f t="shared" si="50"/>
        <v>355050</v>
      </c>
      <c r="AH58" s="214">
        <f t="shared" si="58"/>
        <v>355050</v>
      </c>
      <c r="AI58" s="114">
        <f t="shared" si="52"/>
        <v>0</v>
      </c>
      <c r="AJ58" s="166">
        <f t="shared" si="53"/>
        <v>0</v>
      </c>
      <c r="AK58" s="175" t="s">
        <v>253</v>
      </c>
      <c r="AL58" s="161"/>
      <c r="AM58" s="176"/>
      <c r="AN58" s="160"/>
    </row>
    <row r="59" spans="1:40" ht="116.25" customHeight="1" thickBot="1" x14ac:dyDescent="0.3">
      <c r="A59" s="82">
        <f t="shared" si="34"/>
        <v>1</v>
      </c>
      <c r="B59" s="197">
        <v>55</v>
      </c>
      <c r="C59" s="51" t="s">
        <v>122</v>
      </c>
      <c r="D59" s="203" t="s">
        <v>1044</v>
      </c>
      <c r="E59" s="58" t="s">
        <v>123</v>
      </c>
      <c r="F59" s="17">
        <v>1</v>
      </c>
      <c r="G59" s="15"/>
      <c r="H59" s="89" t="s">
        <v>165</v>
      </c>
      <c r="I59" s="115">
        <f>198300*1.052</f>
        <v>208611.6</v>
      </c>
      <c r="J59" s="118">
        <f t="shared" si="59"/>
        <v>39636.204000000005</v>
      </c>
      <c r="K59" s="118">
        <f t="shared" si="54"/>
        <v>248247.804</v>
      </c>
      <c r="L59" s="97">
        <f t="shared" si="35"/>
        <v>208611.6</v>
      </c>
      <c r="M59" s="106">
        <f t="shared" si="36"/>
        <v>248247.804</v>
      </c>
      <c r="N59" s="116"/>
      <c r="O59" s="97">
        <f t="shared" si="37"/>
        <v>0</v>
      </c>
      <c r="P59" s="97">
        <f t="shared" si="55"/>
        <v>0</v>
      </c>
      <c r="Q59" s="97">
        <f t="shared" si="38"/>
        <v>0</v>
      </c>
      <c r="R59" s="98">
        <f t="shared" si="39"/>
        <v>0</v>
      </c>
      <c r="S59" s="117"/>
      <c r="T59" s="97">
        <f t="shared" si="40"/>
        <v>0</v>
      </c>
      <c r="U59" s="97">
        <f t="shared" si="56"/>
        <v>0</v>
      </c>
      <c r="V59" s="97">
        <f t="shared" si="41"/>
        <v>0</v>
      </c>
      <c r="W59" s="106">
        <f t="shared" si="42"/>
        <v>0</v>
      </c>
      <c r="X59" s="108"/>
      <c r="Y59" s="97">
        <f t="shared" si="43"/>
        <v>0</v>
      </c>
      <c r="Z59" s="97">
        <f t="shared" si="44"/>
        <v>0</v>
      </c>
      <c r="AA59" s="97">
        <f t="shared" si="45"/>
        <v>0</v>
      </c>
      <c r="AB59" s="98">
        <f t="shared" si="46"/>
        <v>0</v>
      </c>
      <c r="AC59" s="109">
        <f t="shared" si="47"/>
        <v>208612</v>
      </c>
      <c r="AD59" s="101">
        <f t="shared" si="23"/>
        <v>52153</v>
      </c>
      <c r="AE59" s="111">
        <f t="shared" si="48"/>
        <v>0</v>
      </c>
      <c r="AF59" s="112">
        <f t="shared" si="49"/>
        <v>0</v>
      </c>
      <c r="AG59" s="113">
        <f t="shared" si="50"/>
        <v>208612</v>
      </c>
      <c r="AH59" s="214">
        <f t="shared" si="58"/>
        <v>208612</v>
      </c>
      <c r="AI59" s="114">
        <f t="shared" si="52"/>
        <v>0</v>
      </c>
      <c r="AJ59" s="166">
        <f t="shared" si="53"/>
        <v>0</v>
      </c>
      <c r="AK59" s="175" t="s">
        <v>253</v>
      </c>
      <c r="AL59" s="161"/>
      <c r="AM59" s="176"/>
      <c r="AN59" s="160"/>
    </row>
    <row r="60" spans="1:40" ht="90.75" thickBot="1" x14ac:dyDescent="0.3">
      <c r="A60" s="82">
        <f t="shared" si="34"/>
        <v>1</v>
      </c>
      <c r="B60" s="196">
        <v>56</v>
      </c>
      <c r="C60" s="51" t="s">
        <v>168</v>
      </c>
      <c r="D60" s="203" t="s">
        <v>1044</v>
      </c>
      <c r="E60" s="58" t="s">
        <v>124</v>
      </c>
      <c r="F60" s="17">
        <v>1</v>
      </c>
      <c r="G60" s="15"/>
      <c r="H60" s="89" t="s">
        <v>167</v>
      </c>
      <c r="I60" s="115">
        <f>82200*1.052</f>
        <v>86474.400000000009</v>
      </c>
      <c r="J60" s="118">
        <f t="shared" si="59"/>
        <v>16430.136000000002</v>
      </c>
      <c r="K60" s="118">
        <f t="shared" si="54"/>
        <v>102904.53600000001</v>
      </c>
      <c r="L60" s="97">
        <f t="shared" si="35"/>
        <v>86474.400000000009</v>
      </c>
      <c r="M60" s="106">
        <f t="shared" si="36"/>
        <v>102904.53600000001</v>
      </c>
      <c r="N60" s="116"/>
      <c r="O60" s="97">
        <f t="shared" si="37"/>
        <v>0</v>
      </c>
      <c r="P60" s="97">
        <f t="shared" si="55"/>
        <v>0</v>
      </c>
      <c r="Q60" s="97">
        <f t="shared" si="38"/>
        <v>0</v>
      </c>
      <c r="R60" s="98">
        <f t="shared" si="39"/>
        <v>0</v>
      </c>
      <c r="S60" s="117"/>
      <c r="T60" s="97">
        <f t="shared" si="40"/>
        <v>0</v>
      </c>
      <c r="U60" s="97">
        <f t="shared" si="56"/>
        <v>0</v>
      </c>
      <c r="V60" s="97">
        <f t="shared" si="41"/>
        <v>0</v>
      </c>
      <c r="W60" s="106">
        <f t="shared" si="42"/>
        <v>0</v>
      </c>
      <c r="X60" s="108"/>
      <c r="Y60" s="97">
        <f t="shared" si="43"/>
        <v>0</v>
      </c>
      <c r="Z60" s="97">
        <f t="shared" si="44"/>
        <v>0</v>
      </c>
      <c r="AA60" s="97">
        <f t="shared" si="45"/>
        <v>0</v>
      </c>
      <c r="AB60" s="98">
        <f t="shared" si="46"/>
        <v>0</v>
      </c>
      <c r="AC60" s="109">
        <f t="shared" si="47"/>
        <v>86474</v>
      </c>
      <c r="AD60" s="101">
        <f t="shared" si="23"/>
        <v>21619</v>
      </c>
      <c r="AE60" s="111">
        <f t="shared" si="48"/>
        <v>0</v>
      </c>
      <c r="AF60" s="112">
        <f t="shared" si="49"/>
        <v>0</v>
      </c>
      <c r="AG60" s="113">
        <f t="shared" si="50"/>
        <v>86474</v>
      </c>
      <c r="AH60" s="214">
        <f t="shared" si="58"/>
        <v>86474</v>
      </c>
      <c r="AI60" s="114">
        <f t="shared" si="52"/>
        <v>0</v>
      </c>
      <c r="AJ60" s="166">
        <f t="shared" si="53"/>
        <v>0</v>
      </c>
      <c r="AK60" s="175" t="s">
        <v>253</v>
      </c>
      <c r="AL60" s="161"/>
      <c r="AM60" s="176"/>
      <c r="AN60" s="160"/>
    </row>
    <row r="61" spans="1:40" ht="45.75" thickBot="1" x14ac:dyDescent="0.3">
      <c r="A61" s="82">
        <f t="shared" si="34"/>
        <v>1</v>
      </c>
      <c r="B61" s="196">
        <v>57</v>
      </c>
      <c r="C61" s="51" t="s">
        <v>125</v>
      </c>
      <c r="D61" s="203" t="s">
        <v>1044</v>
      </c>
      <c r="E61" s="58" t="s">
        <v>126</v>
      </c>
      <c r="F61" s="17">
        <v>1</v>
      </c>
      <c r="G61" s="15"/>
      <c r="H61" s="89" t="s">
        <v>165</v>
      </c>
      <c r="I61" s="115">
        <f>4031400*1.052</f>
        <v>4241032.8</v>
      </c>
      <c r="J61" s="118">
        <f t="shared" si="59"/>
        <v>805796.23199999996</v>
      </c>
      <c r="K61" s="118">
        <f t="shared" si="54"/>
        <v>5046829.0319999997</v>
      </c>
      <c r="L61" s="97">
        <f t="shared" si="35"/>
        <v>4241032.8</v>
      </c>
      <c r="M61" s="106">
        <f t="shared" si="36"/>
        <v>5046829.0319999997</v>
      </c>
      <c r="N61" s="116"/>
      <c r="O61" s="97">
        <f t="shared" si="37"/>
        <v>0</v>
      </c>
      <c r="P61" s="97">
        <f t="shared" si="55"/>
        <v>0</v>
      </c>
      <c r="Q61" s="97">
        <f t="shared" si="38"/>
        <v>0</v>
      </c>
      <c r="R61" s="98">
        <f t="shared" si="39"/>
        <v>0</v>
      </c>
      <c r="S61" s="117"/>
      <c r="T61" s="97">
        <f t="shared" si="40"/>
        <v>0</v>
      </c>
      <c r="U61" s="97">
        <f t="shared" si="56"/>
        <v>0</v>
      </c>
      <c r="V61" s="97">
        <f t="shared" si="41"/>
        <v>0</v>
      </c>
      <c r="W61" s="106">
        <f t="shared" si="42"/>
        <v>0</v>
      </c>
      <c r="X61" s="108"/>
      <c r="Y61" s="97">
        <f t="shared" si="43"/>
        <v>0</v>
      </c>
      <c r="Z61" s="97">
        <f t="shared" si="44"/>
        <v>0</v>
      </c>
      <c r="AA61" s="97">
        <f t="shared" si="45"/>
        <v>0</v>
      </c>
      <c r="AB61" s="98">
        <f t="shared" si="46"/>
        <v>0</v>
      </c>
      <c r="AC61" s="109">
        <f t="shared" si="47"/>
        <v>4241033</v>
      </c>
      <c r="AD61" s="101">
        <f t="shared" si="23"/>
        <v>1060258</v>
      </c>
      <c r="AE61" s="111">
        <f t="shared" si="48"/>
        <v>0</v>
      </c>
      <c r="AF61" s="112">
        <f t="shared" si="49"/>
        <v>0</v>
      </c>
      <c r="AG61" s="113">
        <f t="shared" si="50"/>
        <v>4241033</v>
      </c>
      <c r="AH61" s="214">
        <f t="shared" si="58"/>
        <v>4241033</v>
      </c>
      <c r="AI61" s="114">
        <f t="shared" si="52"/>
        <v>0</v>
      </c>
      <c r="AJ61" s="166">
        <f t="shared" si="53"/>
        <v>0</v>
      </c>
      <c r="AK61" s="175" t="s">
        <v>253</v>
      </c>
      <c r="AL61" s="161"/>
      <c r="AM61" s="176"/>
      <c r="AN61" s="160"/>
    </row>
    <row r="62" spans="1:40" ht="51" customHeight="1" thickBot="1" x14ac:dyDescent="0.3">
      <c r="A62" s="82">
        <f t="shared" si="34"/>
        <v>1</v>
      </c>
      <c r="B62" s="197">
        <v>58</v>
      </c>
      <c r="C62" s="51" t="s">
        <v>127</v>
      </c>
      <c r="D62" s="203" t="s">
        <v>1044</v>
      </c>
      <c r="E62" s="58" t="s">
        <v>128</v>
      </c>
      <c r="F62" s="17">
        <v>1</v>
      </c>
      <c r="G62" s="15"/>
      <c r="H62" s="89" t="s">
        <v>165</v>
      </c>
      <c r="I62" s="115">
        <f>1789800*1.052</f>
        <v>1882869.6</v>
      </c>
      <c r="J62" s="118">
        <f t="shared" si="59"/>
        <v>357745.22400000005</v>
      </c>
      <c r="K62" s="118">
        <f t="shared" si="54"/>
        <v>2240614.824</v>
      </c>
      <c r="L62" s="97">
        <f t="shared" si="35"/>
        <v>1882869.6</v>
      </c>
      <c r="M62" s="106">
        <f t="shared" si="36"/>
        <v>2240614.824</v>
      </c>
      <c r="N62" s="116"/>
      <c r="O62" s="97">
        <f t="shared" si="37"/>
        <v>0</v>
      </c>
      <c r="P62" s="97">
        <f t="shared" si="55"/>
        <v>0</v>
      </c>
      <c r="Q62" s="97">
        <f t="shared" si="38"/>
        <v>0</v>
      </c>
      <c r="R62" s="98">
        <f t="shared" si="39"/>
        <v>0</v>
      </c>
      <c r="S62" s="117"/>
      <c r="T62" s="97">
        <f t="shared" si="40"/>
        <v>0</v>
      </c>
      <c r="U62" s="97">
        <f t="shared" si="56"/>
        <v>0</v>
      </c>
      <c r="V62" s="97">
        <f t="shared" si="41"/>
        <v>0</v>
      </c>
      <c r="W62" s="106">
        <f t="shared" si="42"/>
        <v>0</v>
      </c>
      <c r="X62" s="108"/>
      <c r="Y62" s="97">
        <f t="shared" si="43"/>
        <v>0</v>
      </c>
      <c r="Z62" s="97">
        <f t="shared" si="44"/>
        <v>0</v>
      </c>
      <c r="AA62" s="97">
        <f t="shared" si="45"/>
        <v>0</v>
      </c>
      <c r="AB62" s="98">
        <f t="shared" si="46"/>
        <v>0</v>
      </c>
      <c r="AC62" s="109">
        <f t="shared" si="47"/>
        <v>1882870</v>
      </c>
      <c r="AD62" s="101">
        <f t="shared" si="23"/>
        <v>470717</v>
      </c>
      <c r="AE62" s="111">
        <f t="shared" si="48"/>
        <v>0</v>
      </c>
      <c r="AF62" s="112">
        <f t="shared" si="49"/>
        <v>0</v>
      </c>
      <c r="AG62" s="113">
        <f t="shared" si="50"/>
        <v>1882870</v>
      </c>
      <c r="AH62" s="214">
        <f t="shared" si="58"/>
        <v>1882870</v>
      </c>
      <c r="AI62" s="114">
        <f t="shared" si="52"/>
        <v>0</v>
      </c>
      <c r="AJ62" s="166">
        <f t="shared" si="53"/>
        <v>0</v>
      </c>
      <c r="AK62" s="175" t="s">
        <v>253</v>
      </c>
      <c r="AL62" s="161"/>
      <c r="AM62" s="176"/>
      <c r="AN62" s="160"/>
    </row>
    <row r="63" spans="1:40" ht="75.75" thickBot="1" x14ac:dyDescent="0.3">
      <c r="A63" s="82">
        <f t="shared" si="34"/>
        <v>1</v>
      </c>
      <c r="B63" s="197">
        <v>59</v>
      </c>
      <c r="C63" s="51" t="s">
        <v>129</v>
      </c>
      <c r="D63" s="203" t="s">
        <v>1044</v>
      </c>
      <c r="E63" s="58" t="s">
        <v>130</v>
      </c>
      <c r="F63" s="17">
        <v>1</v>
      </c>
      <c r="G63" s="15"/>
      <c r="H63" s="89" t="s">
        <v>167</v>
      </c>
      <c r="I63" s="115">
        <f>73900*1.052</f>
        <v>77742.8</v>
      </c>
      <c r="J63" s="118">
        <f t="shared" si="59"/>
        <v>14771.132000000001</v>
      </c>
      <c r="K63" s="118">
        <f t="shared" si="54"/>
        <v>92513.932000000001</v>
      </c>
      <c r="L63" s="97">
        <f t="shared" si="35"/>
        <v>77742.8</v>
      </c>
      <c r="M63" s="106">
        <f t="shared" si="36"/>
        <v>92513.932000000001</v>
      </c>
      <c r="N63" s="116"/>
      <c r="O63" s="97">
        <f t="shared" si="37"/>
        <v>0</v>
      </c>
      <c r="P63" s="97">
        <f t="shared" si="55"/>
        <v>0</v>
      </c>
      <c r="Q63" s="97">
        <f t="shared" si="38"/>
        <v>0</v>
      </c>
      <c r="R63" s="98">
        <f t="shared" si="39"/>
        <v>0</v>
      </c>
      <c r="S63" s="117"/>
      <c r="T63" s="97">
        <f t="shared" si="40"/>
        <v>0</v>
      </c>
      <c r="U63" s="97">
        <f t="shared" si="56"/>
        <v>0</v>
      </c>
      <c r="V63" s="97">
        <f t="shared" si="41"/>
        <v>0</v>
      </c>
      <c r="W63" s="106">
        <f t="shared" si="42"/>
        <v>0</v>
      </c>
      <c r="X63" s="108"/>
      <c r="Y63" s="97">
        <f t="shared" si="43"/>
        <v>0</v>
      </c>
      <c r="Z63" s="97">
        <f t="shared" si="44"/>
        <v>0</v>
      </c>
      <c r="AA63" s="97">
        <f t="shared" si="45"/>
        <v>0</v>
      </c>
      <c r="AB63" s="98">
        <f t="shared" si="46"/>
        <v>0</v>
      </c>
      <c r="AC63" s="109">
        <f t="shared" si="47"/>
        <v>77743</v>
      </c>
      <c r="AD63" s="101">
        <f t="shared" si="23"/>
        <v>19436</v>
      </c>
      <c r="AE63" s="111">
        <f t="shared" si="48"/>
        <v>0</v>
      </c>
      <c r="AF63" s="112">
        <f t="shared" si="49"/>
        <v>0</v>
      </c>
      <c r="AG63" s="113">
        <f t="shared" si="50"/>
        <v>77743</v>
      </c>
      <c r="AH63" s="214">
        <f t="shared" si="58"/>
        <v>77743</v>
      </c>
      <c r="AI63" s="114">
        <f t="shared" si="52"/>
        <v>0</v>
      </c>
      <c r="AJ63" s="166">
        <f t="shared" si="53"/>
        <v>0</v>
      </c>
      <c r="AK63" s="175" t="s">
        <v>253</v>
      </c>
      <c r="AL63" s="161"/>
      <c r="AM63" s="176"/>
      <c r="AN63" s="160"/>
    </row>
    <row r="64" spans="1:40" ht="45.75" thickBot="1" x14ac:dyDescent="0.3">
      <c r="A64" s="82">
        <f t="shared" si="34"/>
        <v>1</v>
      </c>
      <c r="B64" s="196">
        <v>60</v>
      </c>
      <c r="C64" s="51" t="s">
        <v>131</v>
      </c>
      <c r="D64" s="203" t="s">
        <v>1044</v>
      </c>
      <c r="E64" s="58" t="s">
        <v>132</v>
      </c>
      <c r="F64" s="17">
        <v>1</v>
      </c>
      <c r="G64" s="15"/>
      <c r="H64" s="89" t="s">
        <v>167</v>
      </c>
      <c r="I64" s="115">
        <f>538500*1.052</f>
        <v>566502</v>
      </c>
      <c r="J64" s="118">
        <f t="shared" si="59"/>
        <v>107635.38</v>
      </c>
      <c r="K64" s="118">
        <f t="shared" si="54"/>
        <v>674137.38</v>
      </c>
      <c r="L64" s="97">
        <f t="shared" si="35"/>
        <v>566502</v>
      </c>
      <c r="M64" s="106">
        <f t="shared" si="36"/>
        <v>674137.38</v>
      </c>
      <c r="N64" s="116"/>
      <c r="O64" s="97">
        <f t="shared" si="37"/>
        <v>0</v>
      </c>
      <c r="P64" s="97">
        <f t="shared" si="55"/>
        <v>0</v>
      </c>
      <c r="Q64" s="97">
        <f t="shared" si="38"/>
        <v>0</v>
      </c>
      <c r="R64" s="98">
        <f t="shared" si="39"/>
        <v>0</v>
      </c>
      <c r="S64" s="117"/>
      <c r="T64" s="97">
        <f t="shared" si="40"/>
        <v>0</v>
      </c>
      <c r="U64" s="97">
        <f t="shared" si="56"/>
        <v>0</v>
      </c>
      <c r="V64" s="97">
        <f t="shared" si="41"/>
        <v>0</v>
      </c>
      <c r="W64" s="106">
        <f t="shared" si="42"/>
        <v>0</v>
      </c>
      <c r="X64" s="108"/>
      <c r="Y64" s="97">
        <f t="shared" si="43"/>
        <v>0</v>
      </c>
      <c r="Z64" s="97">
        <f t="shared" si="44"/>
        <v>0</v>
      </c>
      <c r="AA64" s="97">
        <f t="shared" si="45"/>
        <v>0</v>
      </c>
      <c r="AB64" s="98">
        <f t="shared" si="46"/>
        <v>0</v>
      </c>
      <c r="AC64" s="109">
        <f t="shared" si="47"/>
        <v>566502</v>
      </c>
      <c r="AD64" s="101">
        <f t="shared" si="23"/>
        <v>141626</v>
      </c>
      <c r="AE64" s="111">
        <f t="shared" si="48"/>
        <v>0</v>
      </c>
      <c r="AF64" s="112">
        <f t="shared" si="49"/>
        <v>0</v>
      </c>
      <c r="AG64" s="113">
        <f t="shared" si="50"/>
        <v>566502</v>
      </c>
      <c r="AH64" s="214">
        <f t="shared" si="58"/>
        <v>566502</v>
      </c>
      <c r="AI64" s="114">
        <f t="shared" si="52"/>
        <v>0</v>
      </c>
      <c r="AJ64" s="166">
        <f t="shared" si="53"/>
        <v>0</v>
      </c>
      <c r="AK64" s="175" t="s">
        <v>253</v>
      </c>
      <c r="AL64" s="161"/>
      <c r="AM64" s="176"/>
      <c r="AN64" s="160"/>
    </row>
    <row r="65" spans="1:40" ht="45.75" thickBot="1" x14ac:dyDescent="0.3">
      <c r="A65" s="82">
        <f t="shared" si="34"/>
        <v>1</v>
      </c>
      <c r="B65" s="196">
        <v>61</v>
      </c>
      <c r="C65" s="51" t="s">
        <v>133</v>
      </c>
      <c r="D65" s="203" t="s">
        <v>1044</v>
      </c>
      <c r="E65" s="58" t="s">
        <v>134</v>
      </c>
      <c r="F65" s="17">
        <v>1</v>
      </c>
      <c r="G65" s="15"/>
      <c r="H65" s="89" t="s">
        <v>165</v>
      </c>
      <c r="I65" s="115">
        <f>938200*1.052</f>
        <v>986986.4</v>
      </c>
      <c r="J65" s="118">
        <f t="shared" si="59"/>
        <v>187527.416</v>
      </c>
      <c r="K65" s="118">
        <f t="shared" si="54"/>
        <v>1174513.8160000001</v>
      </c>
      <c r="L65" s="97">
        <f t="shared" si="35"/>
        <v>986986.4</v>
      </c>
      <c r="M65" s="106">
        <f t="shared" si="36"/>
        <v>1174513.8160000001</v>
      </c>
      <c r="N65" s="116"/>
      <c r="O65" s="97">
        <f t="shared" si="37"/>
        <v>0</v>
      </c>
      <c r="P65" s="97">
        <f t="shared" si="55"/>
        <v>0</v>
      </c>
      <c r="Q65" s="97">
        <f t="shared" si="38"/>
        <v>0</v>
      </c>
      <c r="R65" s="98">
        <f t="shared" si="39"/>
        <v>0</v>
      </c>
      <c r="S65" s="117"/>
      <c r="T65" s="97">
        <f t="shared" si="40"/>
        <v>0</v>
      </c>
      <c r="U65" s="97">
        <f t="shared" si="56"/>
        <v>0</v>
      </c>
      <c r="V65" s="97">
        <f t="shared" si="41"/>
        <v>0</v>
      </c>
      <c r="W65" s="106">
        <f t="shared" si="42"/>
        <v>0</v>
      </c>
      <c r="X65" s="108"/>
      <c r="Y65" s="97">
        <f t="shared" si="43"/>
        <v>0</v>
      </c>
      <c r="Z65" s="97">
        <f t="shared" si="44"/>
        <v>0</v>
      </c>
      <c r="AA65" s="97">
        <f t="shared" si="45"/>
        <v>0</v>
      </c>
      <c r="AB65" s="98">
        <f t="shared" si="46"/>
        <v>0</v>
      </c>
      <c r="AC65" s="109">
        <f t="shared" si="47"/>
        <v>986986</v>
      </c>
      <c r="AD65" s="101">
        <f t="shared" si="23"/>
        <v>246747</v>
      </c>
      <c r="AE65" s="111">
        <f t="shared" si="48"/>
        <v>0</v>
      </c>
      <c r="AF65" s="112">
        <f t="shared" si="49"/>
        <v>0</v>
      </c>
      <c r="AG65" s="113">
        <f t="shared" si="50"/>
        <v>986986</v>
      </c>
      <c r="AH65" s="214">
        <f t="shared" si="58"/>
        <v>986986</v>
      </c>
      <c r="AI65" s="114">
        <f t="shared" si="52"/>
        <v>0</v>
      </c>
      <c r="AJ65" s="166">
        <f t="shared" si="53"/>
        <v>0</v>
      </c>
      <c r="AK65" s="175" t="s">
        <v>253</v>
      </c>
      <c r="AL65" s="161"/>
      <c r="AM65" s="176"/>
      <c r="AN65" s="160"/>
    </row>
    <row r="66" spans="1:40" ht="90.75" thickBot="1" x14ac:dyDescent="0.3">
      <c r="A66" s="82">
        <f t="shared" si="34"/>
        <v>1</v>
      </c>
      <c r="B66" s="197">
        <v>62</v>
      </c>
      <c r="C66" s="51" t="s">
        <v>135</v>
      </c>
      <c r="D66" s="203" t="s">
        <v>1044</v>
      </c>
      <c r="E66" s="58" t="s">
        <v>136</v>
      </c>
      <c r="F66" s="17">
        <v>1</v>
      </c>
      <c r="G66" s="15"/>
      <c r="H66" s="89" t="s">
        <v>165</v>
      </c>
      <c r="I66" s="115">
        <f>2900700*1.052</f>
        <v>3051536.4</v>
      </c>
      <c r="J66" s="118">
        <f t="shared" si="59"/>
        <v>579791.91599999997</v>
      </c>
      <c r="K66" s="118">
        <f t="shared" si="54"/>
        <v>3631328.3159999996</v>
      </c>
      <c r="L66" s="97">
        <f t="shared" si="35"/>
        <v>3051536.4</v>
      </c>
      <c r="M66" s="106">
        <f t="shared" si="36"/>
        <v>3631328.3159999996</v>
      </c>
      <c r="N66" s="116"/>
      <c r="O66" s="97">
        <f t="shared" si="37"/>
        <v>0</v>
      </c>
      <c r="P66" s="97">
        <f t="shared" si="55"/>
        <v>0</v>
      </c>
      <c r="Q66" s="97">
        <f t="shared" si="38"/>
        <v>0</v>
      </c>
      <c r="R66" s="98">
        <f t="shared" si="39"/>
        <v>0</v>
      </c>
      <c r="S66" s="117"/>
      <c r="T66" s="97">
        <f t="shared" si="40"/>
        <v>0</v>
      </c>
      <c r="U66" s="97">
        <f t="shared" si="56"/>
        <v>0</v>
      </c>
      <c r="V66" s="97">
        <f t="shared" si="41"/>
        <v>0</v>
      </c>
      <c r="W66" s="106">
        <f t="shared" si="42"/>
        <v>0</v>
      </c>
      <c r="X66" s="108"/>
      <c r="Y66" s="97">
        <f t="shared" si="43"/>
        <v>0</v>
      </c>
      <c r="Z66" s="97">
        <f t="shared" si="44"/>
        <v>0</v>
      </c>
      <c r="AA66" s="97">
        <f t="shared" si="45"/>
        <v>0</v>
      </c>
      <c r="AB66" s="98">
        <f t="shared" si="46"/>
        <v>0</v>
      </c>
      <c r="AC66" s="109">
        <f t="shared" si="47"/>
        <v>3051536</v>
      </c>
      <c r="AD66" s="101">
        <f t="shared" si="23"/>
        <v>762884</v>
      </c>
      <c r="AE66" s="111">
        <f t="shared" si="48"/>
        <v>0</v>
      </c>
      <c r="AF66" s="112">
        <f t="shared" si="49"/>
        <v>0</v>
      </c>
      <c r="AG66" s="113">
        <f t="shared" si="50"/>
        <v>3051536</v>
      </c>
      <c r="AH66" s="214">
        <f t="shared" si="58"/>
        <v>3051536</v>
      </c>
      <c r="AI66" s="114">
        <f t="shared" si="52"/>
        <v>0</v>
      </c>
      <c r="AJ66" s="166">
        <f t="shared" si="53"/>
        <v>0</v>
      </c>
      <c r="AK66" s="175" t="s">
        <v>253</v>
      </c>
      <c r="AL66" s="161"/>
      <c r="AM66" s="176"/>
      <c r="AN66" s="160"/>
    </row>
    <row r="67" spans="1:40" ht="45.75" thickBot="1" x14ac:dyDescent="0.3">
      <c r="A67" s="82">
        <f t="shared" si="34"/>
        <v>1</v>
      </c>
      <c r="B67" s="197">
        <v>63</v>
      </c>
      <c r="C67" s="51" t="s">
        <v>137</v>
      </c>
      <c r="D67" s="203" t="s">
        <v>1044</v>
      </c>
      <c r="E67" s="58" t="s">
        <v>171</v>
      </c>
      <c r="F67" s="17">
        <v>1</v>
      </c>
      <c r="G67" s="15"/>
      <c r="H67" s="89" t="s">
        <v>167</v>
      </c>
      <c r="I67" s="115">
        <f>(48800*1.052)/2</f>
        <v>25668.800000000003</v>
      </c>
      <c r="J67" s="118">
        <f t="shared" si="59"/>
        <v>4877.072000000001</v>
      </c>
      <c r="K67" s="118">
        <f t="shared" si="54"/>
        <v>30545.872000000003</v>
      </c>
      <c r="L67" s="97">
        <f t="shared" si="35"/>
        <v>25668.800000000003</v>
      </c>
      <c r="M67" s="106">
        <f t="shared" si="36"/>
        <v>30545.872000000003</v>
      </c>
      <c r="N67" s="116"/>
      <c r="O67" s="97">
        <f t="shared" si="37"/>
        <v>0</v>
      </c>
      <c r="P67" s="97">
        <f t="shared" si="55"/>
        <v>0</v>
      </c>
      <c r="Q67" s="97">
        <f t="shared" si="38"/>
        <v>0</v>
      </c>
      <c r="R67" s="98">
        <f t="shared" si="39"/>
        <v>0</v>
      </c>
      <c r="S67" s="117"/>
      <c r="T67" s="97">
        <f t="shared" si="40"/>
        <v>0</v>
      </c>
      <c r="U67" s="97">
        <f t="shared" si="56"/>
        <v>0</v>
      </c>
      <c r="V67" s="97">
        <f t="shared" si="41"/>
        <v>0</v>
      </c>
      <c r="W67" s="106">
        <f t="shared" si="42"/>
        <v>0</v>
      </c>
      <c r="X67" s="108"/>
      <c r="Y67" s="97">
        <f t="shared" si="43"/>
        <v>0</v>
      </c>
      <c r="Z67" s="97">
        <f t="shared" si="44"/>
        <v>0</v>
      </c>
      <c r="AA67" s="97">
        <f t="shared" si="45"/>
        <v>0</v>
      </c>
      <c r="AB67" s="98">
        <f t="shared" si="46"/>
        <v>0</v>
      </c>
      <c r="AC67" s="109">
        <f t="shared" si="47"/>
        <v>25669</v>
      </c>
      <c r="AD67" s="101">
        <f t="shared" si="23"/>
        <v>6417</v>
      </c>
      <c r="AE67" s="111">
        <f t="shared" si="48"/>
        <v>0</v>
      </c>
      <c r="AF67" s="112">
        <f t="shared" si="49"/>
        <v>0</v>
      </c>
      <c r="AG67" s="113">
        <f t="shared" si="50"/>
        <v>25669</v>
      </c>
      <c r="AH67" s="214">
        <f t="shared" si="58"/>
        <v>25669</v>
      </c>
      <c r="AI67" s="114">
        <f t="shared" si="52"/>
        <v>0</v>
      </c>
      <c r="AJ67" s="166">
        <f t="shared" si="53"/>
        <v>0</v>
      </c>
      <c r="AK67" s="175" t="s">
        <v>253</v>
      </c>
      <c r="AL67" s="161"/>
      <c r="AM67" s="176"/>
      <c r="AN67" s="160"/>
    </row>
    <row r="68" spans="1:40" ht="45.75" thickBot="1" x14ac:dyDescent="0.3">
      <c r="A68" s="82">
        <f t="shared" si="34"/>
        <v>1</v>
      </c>
      <c r="B68" s="196">
        <v>64</v>
      </c>
      <c r="C68" s="51" t="s">
        <v>138</v>
      </c>
      <c r="D68" s="203" t="s">
        <v>1044</v>
      </c>
      <c r="E68" s="58" t="s">
        <v>170</v>
      </c>
      <c r="F68" s="17">
        <v>1</v>
      </c>
      <c r="G68" s="15"/>
      <c r="H68" s="89" t="s">
        <v>167</v>
      </c>
      <c r="I68" s="115">
        <f>(48800*1.052)/2</f>
        <v>25668.800000000003</v>
      </c>
      <c r="J68" s="118">
        <f t="shared" si="59"/>
        <v>4877.072000000001</v>
      </c>
      <c r="K68" s="118">
        <f t="shared" si="54"/>
        <v>30545.872000000003</v>
      </c>
      <c r="L68" s="97">
        <f t="shared" si="35"/>
        <v>25668.800000000003</v>
      </c>
      <c r="M68" s="106">
        <f t="shared" si="36"/>
        <v>30545.872000000003</v>
      </c>
      <c r="N68" s="116"/>
      <c r="O68" s="97">
        <f t="shared" si="37"/>
        <v>0</v>
      </c>
      <c r="P68" s="97">
        <f t="shared" si="55"/>
        <v>0</v>
      </c>
      <c r="Q68" s="97">
        <f t="shared" si="38"/>
        <v>0</v>
      </c>
      <c r="R68" s="98">
        <f t="shared" si="39"/>
        <v>0</v>
      </c>
      <c r="S68" s="117"/>
      <c r="T68" s="97">
        <f t="shared" si="40"/>
        <v>0</v>
      </c>
      <c r="U68" s="97">
        <f t="shared" si="56"/>
        <v>0</v>
      </c>
      <c r="V68" s="97">
        <f t="shared" si="41"/>
        <v>0</v>
      </c>
      <c r="W68" s="106">
        <f t="shared" si="42"/>
        <v>0</v>
      </c>
      <c r="X68" s="108"/>
      <c r="Y68" s="97">
        <f t="shared" si="43"/>
        <v>0</v>
      </c>
      <c r="Z68" s="97">
        <f t="shared" si="44"/>
        <v>0</v>
      </c>
      <c r="AA68" s="97">
        <f t="shared" si="45"/>
        <v>0</v>
      </c>
      <c r="AB68" s="98">
        <f t="shared" si="46"/>
        <v>0</v>
      </c>
      <c r="AC68" s="109">
        <f t="shared" si="47"/>
        <v>25669</v>
      </c>
      <c r="AD68" s="101">
        <f t="shared" si="23"/>
        <v>6417</v>
      </c>
      <c r="AE68" s="111">
        <f t="shared" si="48"/>
        <v>0</v>
      </c>
      <c r="AF68" s="112">
        <f t="shared" si="49"/>
        <v>0</v>
      </c>
      <c r="AG68" s="113">
        <f t="shared" si="50"/>
        <v>25669</v>
      </c>
      <c r="AH68" s="214">
        <f t="shared" si="58"/>
        <v>25669</v>
      </c>
      <c r="AI68" s="114">
        <f t="shared" si="52"/>
        <v>0</v>
      </c>
      <c r="AJ68" s="166">
        <f t="shared" si="53"/>
        <v>0</v>
      </c>
      <c r="AK68" s="175" t="s">
        <v>253</v>
      </c>
      <c r="AL68" s="161"/>
      <c r="AM68" s="176"/>
      <c r="AN68" s="160"/>
    </row>
    <row r="69" spans="1:40" ht="28.5" customHeight="1" thickBot="1" x14ac:dyDescent="0.3">
      <c r="A69" s="82">
        <f t="shared" ref="A69:A99" si="60">COUNT(I69,N69,S69)</f>
        <v>3</v>
      </c>
      <c r="B69" s="196">
        <v>65</v>
      </c>
      <c r="C69" s="51" t="s">
        <v>139</v>
      </c>
      <c r="D69" s="203" t="s">
        <v>1044</v>
      </c>
      <c r="E69" s="58" t="s">
        <v>169</v>
      </c>
      <c r="F69" s="17">
        <v>1</v>
      </c>
      <c r="G69" s="15"/>
      <c r="H69" s="89" t="s">
        <v>167</v>
      </c>
      <c r="I69" s="115">
        <f>K69/1.19</f>
        <v>121008.40336134455</v>
      </c>
      <c r="J69" s="118">
        <f t="shared" si="59"/>
        <v>22991.596638655465</v>
      </c>
      <c r="K69" s="118">
        <f>12000*12</f>
        <v>144000</v>
      </c>
      <c r="L69" s="97">
        <f t="shared" ref="L69:L99" si="61">I69*F69</f>
        <v>121008.40336134455</v>
      </c>
      <c r="M69" s="106">
        <f t="shared" ref="M69:M99" si="62">K69*F69</f>
        <v>144000</v>
      </c>
      <c r="N69" s="119">
        <f>P69/1.19</f>
        <v>150252.10084033615</v>
      </c>
      <c r="O69" s="118">
        <f>N69*19%</f>
        <v>28547.89915966387</v>
      </c>
      <c r="P69" s="118">
        <f>14900*12</f>
        <v>178800</v>
      </c>
      <c r="Q69" s="97">
        <f t="shared" ref="Q69:Q99" si="63">N69*F69</f>
        <v>150252.10084033615</v>
      </c>
      <c r="R69" s="98">
        <f t="shared" ref="R69:R99" si="64">P69*F69</f>
        <v>178800</v>
      </c>
      <c r="S69" s="115">
        <f>U69/1.19</f>
        <v>99831.932773109249</v>
      </c>
      <c r="T69" s="118">
        <f>S69*19%</f>
        <v>18968.067226890758</v>
      </c>
      <c r="U69" s="118">
        <f>9900*12</f>
        <v>118800</v>
      </c>
      <c r="V69" s="97">
        <f t="shared" ref="V69:V99" si="65">S69*F69</f>
        <v>99831.932773109249</v>
      </c>
      <c r="W69" s="106">
        <f t="shared" ref="W69:W99" si="66">U69*F69</f>
        <v>118800</v>
      </c>
      <c r="X69" s="108"/>
      <c r="Y69" s="97">
        <f t="shared" ref="Y69:Y99" si="67">X69*0.19</f>
        <v>0</v>
      </c>
      <c r="Z69" s="97">
        <f t="shared" ref="Z69:Z99" si="68">X69+Y69</f>
        <v>0</v>
      </c>
      <c r="AA69" s="97">
        <f t="shared" ref="AA69:AA99" si="69">X69*F69</f>
        <v>0</v>
      </c>
      <c r="AB69" s="98">
        <f t="shared" ref="AB69:AB99" si="70">Z69*F69</f>
        <v>0</v>
      </c>
      <c r="AC69" s="109">
        <f t="shared" ref="AC69:AC99" si="71">+IFERROR(ROUND(AVERAGE(I69,N69,S69,X69),0),0)</f>
        <v>123697</v>
      </c>
      <c r="AD69" s="101">
        <f t="shared" si="23"/>
        <v>92773</v>
      </c>
      <c r="AE69" s="111">
        <f t="shared" ref="AE69:AE99" si="72">+IFERROR(_xlfn.STDEV.P(I69,N69,S69,X69),0)</f>
        <v>20671.585696163809</v>
      </c>
      <c r="AF69" s="112">
        <f t="shared" ref="AF69:AF99" si="73">AE69/AC69</f>
        <v>0.16711468908836763</v>
      </c>
      <c r="AG69" s="113">
        <f t="shared" ref="AG69:AG99" si="74">IFERROR(ROUND(MEDIAN(I69,N69,S69,X69),0),0)</f>
        <v>121008</v>
      </c>
      <c r="AH69" s="101">
        <f t="shared" si="24"/>
        <v>110420</v>
      </c>
      <c r="AI69" s="114">
        <f t="shared" ref="AI69:AI99" si="75">AE69</f>
        <v>20671.585696163809</v>
      </c>
      <c r="AJ69" s="166">
        <f t="shared" ref="AJ69:AJ99" si="76">AI69/AG69</f>
        <v>0.17082825677776517</v>
      </c>
      <c r="AK69" s="175" t="s">
        <v>296</v>
      </c>
      <c r="AL69" s="161" t="s">
        <v>297</v>
      </c>
      <c r="AM69" s="176" t="s">
        <v>298</v>
      </c>
      <c r="AN69" s="160"/>
    </row>
    <row r="70" spans="1:40" ht="45.75" thickBot="1" x14ac:dyDescent="0.3">
      <c r="A70" s="82">
        <f t="shared" si="60"/>
        <v>1</v>
      </c>
      <c r="B70" s="197">
        <v>66</v>
      </c>
      <c r="C70" s="51" t="s">
        <v>140</v>
      </c>
      <c r="D70" s="203" t="s">
        <v>1044</v>
      </c>
      <c r="E70" s="58" t="s">
        <v>141</v>
      </c>
      <c r="F70" s="17">
        <v>1</v>
      </c>
      <c r="G70" s="15"/>
      <c r="H70" s="89" t="s">
        <v>165</v>
      </c>
      <c r="I70" s="115">
        <f>2453400*1.052</f>
        <v>2580976.8000000003</v>
      </c>
      <c r="J70" s="118">
        <f t="shared" si="59"/>
        <v>490385.59200000006</v>
      </c>
      <c r="K70" s="118">
        <f>I70+J70</f>
        <v>3071362.3920000005</v>
      </c>
      <c r="L70" s="97">
        <f t="shared" si="61"/>
        <v>2580976.8000000003</v>
      </c>
      <c r="M70" s="106">
        <f t="shared" si="62"/>
        <v>3071362.3920000005</v>
      </c>
      <c r="N70" s="116"/>
      <c r="O70" s="97">
        <f t="shared" ref="O70:O76" si="77">N70*0.19</f>
        <v>0</v>
      </c>
      <c r="P70" s="97">
        <f t="shared" ref="P70:P76" si="78">N70+O70</f>
        <v>0</v>
      </c>
      <c r="Q70" s="97">
        <f t="shared" si="63"/>
        <v>0</v>
      </c>
      <c r="R70" s="98">
        <f t="shared" si="64"/>
        <v>0</v>
      </c>
      <c r="S70" s="117"/>
      <c r="T70" s="97">
        <f t="shared" ref="T70:T76" si="79">S70*0.19</f>
        <v>0</v>
      </c>
      <c r="U70" s="97">
        <f t="shared" ref="U70:U76" si="80">S70+T70</f>
        <v>0</v>
      </c>
      <c r="V70" s="97">
        <f t="shared" si="65"/>
        <v>0</v>
      </c>
      <c r="W70" s="106">
        <f t="shared" si="66"/>
        <v>0</v>
      </c>
      <c r="X70" s="108"/>
      <c r="Y70" s="97">
        <f t="shared" si="67"/>
        <v>0</v>
      </c>
      <c r="Z70" s="97">
        <f t="shared" si="68"/>
        <v>0</v>
      </c>
      <c r="AA70" s="97">
        <f t="shared" si="69"/>
        <v>0</v>
      </c>
      <c r="AB70" s="98">
        <f t="shared" si="70"/>
        <v>0</v>
      </c>
      <c r="AC70" s="109">
        <f t="shared" si="71"/>
        <v>2580977</v>
      </c>
      <c r="AD70" s="101">
        <f t="shared" ref="AD70:AD133" si="81">+IFERROR(ROUND(AVERAGE(L70,Q70,V70,AA70),0),0)</f>
        <v>645244</v>
      </c>
      <c r="AE70" s="111">
        <f t="shared" si="72"/>
        <v>0</v>
      </c>
      <c r="AF70" s="112">
        <f t="shared" si="73"/>
        <v>0</v>
      </c>
      <c r="AG70" s="113">
        <f t="shared" si="74"/>
        <v>2580977</v>
      </c>
      <c r="AH70" s="214">
        <f t="shared" ref="AH70:AH76" si="82">AG70*F70</f>
        <v>2580977</v>
      </c>
      <c r="AI70" s="114">
        <f t="shared" si="75"/>
        <v>0</v>
      </c>
      <c r="AJ70" s="166">
        <f t="shared" si="76"/>
        <v>0</v>
      </c>
      <c r="AK70" s="175" t="s">
        <v>253</v>
      </c>
      <c r="AL70" s="161"/>
      <c r="AM70" s="176"/>
      <c r="AN70" s="160"/>
    </row>
    <row r="71" spans="1:40" ht="150.75" customHeight="1" thickBot="1" x14ac:dyDescent="0.3">
      <c r="A71" s="82">
        <f t="shared" si="60"/>
        <v>1</v>
      </c>
      <c r="B71" s="197">
        <v>67</v>
      </c>
      <c r="C71" s="51" t="s">
        <v>333</v>
      </c>
      <c r="D71" s="203" t="s">
        <v>1044</v>
      </c>
      <c r="E71" s="207" t="s">
        <v>1074</v>
      </c>
      <c r="F71" s="17">
        <v>1</v>
      </c>
      <c r="G71" s="15"/>
      <c r="H71" s="89" t="s">
        <v>28</v>
      </c>
      <c r="I71" s="115">
        <f t="shared" ref="I71:I96" si="83">K71/1.19</f>
        <v>176470.58823529413</v>
      </c>
      <c r="J71" s="118">
        <f t="shared" si="59"/>
        <v>33529.411764705881</v>
      </c>
      <c r="K71" s="118">
        <v>210000</v>
      </c>
      <c r="L71" s="97">
        <f t="shared" si="61"/>
        <v>176470.58823529413</v>
      </c>
      <c r="M71" s="106">
        <f t="shared" si="62"/>
        <v>210000</v>
      </c>
      <c r="N71" s="116"/>
      <c r="O71" s="97">
        <f t="shared" si="77"/>
        <v>0</v>
      </c>
      <c r="P71" s="97">
        <f t="shared" si="78"/>
        <v>0</v>
      </c>
      <c r="Q71" s="97">
        <f t="shared" si="63"/>
        <v>0</v>
      </c>
      <c r="R71" s="98">
        <f t="shared" si="64"/>
        <v>0</v>
      </c>
      <c r="S71" s="117"/>
      <c r="T71" s="97">
        <f t="shared" si="79"/>
        <v>0</v>
      </c>
      <c r="U71" s="97">
        <f t="shared" si="80"/>
        <v>0</v>
      </c>
      <c r="V71" s="97">
        <f t="shared" si="65"/>
        <v>0</v>
      </c>
      <c r="W71" s="106">
        <f t="shared" si="66"/>
        <v>0</v>
      </c>
      <c r="X71" s="108"/>
      <c r="Y71" s="97">
        <f t="shared" si="67"/>
        <v>0</v>
      </c>
      <c r="Z71" s="97">
        <f t="shared" si="68"/>
        <v>0</v>
      </c>
      <c r="AA71" s="97">
        <f t="shared" si="69"/>
        <v>0</v>
      </c>
      <c r="AB71" s="98">
        <f t="shared" si="70"/>
        <v>0</v>
      </c>
      <c r="AC71" s="109">
        <f t="shared" si="71"/>
        <v>176471</v>
      </c>
      <c r="AD71" s="101">
        <f t="shared" si="81"/>
        <v>44118</v>
      </c>
      <c r="AE71" s="111">
        <f t="shared" si="72"/>
        <v>0</v>
      </c>
      <c r="AF71" s="112">
        <f t="shared" si="73"/>
        <v>0</v>
      </c>
      <c r="AG71" s="113">
        <f t="shared" si="74"/>
        <v>176471</v>
      </c>
      <c r="AH71" s="214">
        <f t="shared" si="82"/>
        <v>176471</v>
      </c>
      <c r="AI71" s="114">
        <f t="shared" si="75"/>
        <v>0</v>
      </c>
      <c r="AJ71" s="166">
        <f t="shared" si="76"/>
        <v>0</v>
      </c>
      <c r="AK71" s="175" t="s">
        <v>332</v>
      </c>
      <c r="AL71" s="161"/>
      <c r="AM71" s="176"/>
      <c r="AN71" s="160"/>
    </row>
    <row r="72" spans="1:40" ht="126.75" customHeight="1" thickBot="1" x14ac:dyDescent="0.3">
      <c r="A72" s="82">
        <f t="shared" si="60"/>
        <v>1</v>
      </c>
      <c r="B72" s="196">
        <v>68</v>
      </c>
      <c r="C72" s="51" t="s">
        <v>333</v>
      </c>
      <c r="D72" s="203" t="s">
        <v>1044</v>
      </c>
      <c r="E72" s="207" t="s">
        <v>1071</v>
      </c>
      <c r="F72" s="17">
        <v>1</v>
      </c>
      <c r="G72" s="15"/>
      <c r="H72" s="89" t="s">
        <v>28</v>
      </c>
      <c r="I72" s="115">
        <f t="shared" si="83"/>
        <v>462100.84033613448</v>
      </c>
      <c r="J72" s="118">
        <f t="shared" si="59"/>
        <v>87799.159663865546</v>
      </c>
      <c r="K72" s="118">
        <v>549900</v>
      </c>
      <c r="L72" s="97">
        <f t="shared" si="61"/>
        <v>462100.84033613448</v>
      </c>
      <c r="M72" s="106">
        <f t="shared" si="62"/>
        <v>549900</v>
      </c>
      <c r="N72" s="116"/>
      <c r="O72" s="97">
        <f t="shared" si="77"/>
        <v>0</v>
      </c>
      <c r="P72" s="97">
        <f t="shared" si="78"/>
        <v>0</v>
      </c>
      <c r="Q72" s="97">
        <f t="shared" si="63"/>
        <v>0</v>
      </c>
      <c r="R72" s="98">
        <f t="shared" si="64"/>
        <v>0</v>
      </c>
      <c r="S72" s="117"/>
      <c r="T72" s="97">
        <f t="shared" si="79"/>
        <v>0</v>
      </c>
      <c r="U72" s="97">
        <f t="shared" si="80"/>
        <v>0</v>
      </c>
      <c r="V72" s="97">
        <f t="shared" si="65"/>
        <v>0</v>
      </c>
      <c r="W72" s="106">
        <f t="shared" si="66"/>
        <v>0</v>
      </c>
      <c r="X72" s="108"/>
      <c r="Y72" s="97">
        <f t="shared" si="67"/>
        <v>0</v>
      </c>
      <c r="Z72" s="97">
        <f t="shared" si="68"/>
        <v>0</v>
      </c>
      <c r="AA72" s="97">
        <f t="shared" si="69"/>
        <v>0</v>
      </c>
      <c r="AB72" s="98">
        <f t="shared" si="70"/>
        <v>0</v>
      </c>
      <c r="AC72" s="109">
        <f t="shared" si="71"/>
        <v>462101</v>
      </c>
      <c r="AD72" s="101">
        <f t="shared" si="81"/>
        <v>115525</v>
      </c>
      <c r="AE72" s="111">
        <f t="shared" si="72"/>
        <v>0</v>
      </c>
      <c r="AF72" s="112">
        <f t="shared" si="73"/>
        <v>0</v>
      </c>
      <c r="AG72" s="113">
        <f t="shared" si="74"/>
        <v>462101</v>
      </c>
      <c r="AH72" s="214">
        <f t="shared" si="82"/>
        <v>462101</v>
      </c>
      <c r="AI72" s="114">
        <f t="shared" si="75"/>
        <v>0</v>
      </c>
      <c r="AJ72" s="166">
        <f t="shared" si="76"/>
        <v>0</v>
      </c>
      <c r="AK72" s="175" t="s">
        <v>332</v>
      </c>
      <c r="AL72" s="161"/>
      <c r="AM72" s="176"/>
      <c r="AN72" s="160"/>
    </row>
    <row r="73" spans="1:40" ht="39.75" customHeight="1" thickBot="1" x14ac:dyDescent="0.3">
      <c r="A73" s="82">
        <f t="shared" si="60"/>
        <v>1</v>
      </c>
      <c r="B73" s="196">
        <v>69</v>
      </c>
      <c r="C73" s="51" t="s">
        <v>333</v>
      </c>
      <c r="D73" s="203" t="s">
        <v>1044</v>
      </c>
      <c r="E73" s="207" t="s">
        <v>1072</v>
      </c>
      <c r="F73" s="17">
        <v>1</v>
      </c>
      <c r="G73" s="15"/>
      <c r="H73" s="89" t="s">
        <v>28</v>
      </c>
      <c r="I73" s="115">
        <f t="shared" si="83"/>
        <v>151260.50420168068</v>
      </c>
      <c r="J73" s="118">
        <f t="shared" si="59"/>
        <v>28739.495798319331</v>
      </c>
      <c r="K73" s="118">
        <v>180000</v>
      </c>
      <c r="L73" s="97">
        <f t="shared" si="61"/>
        <v>151260.50420168068</v>
      </c>
      <c r="M73" s="106">
        <f t="shared" si="62"/>
        <v>180000</v>
      </c>
      <c r="N73" s="116"/>
      <c r="O73" s="97">
        <f t="shared" si="77"/>
        <v>0</v>
      </c>
      <c r="P73" s="97">
        <f t="shared" si="78"/>
        <v>0</v>
      </c>
      <c r="Q73" s="97">
        <f t="shared" si="63"/>
        <v>0</v>
      </c>
      <c r="R73" s="98">
        <f t="shared" si="64"/>
        <v>0</v>
      </c>
      <c r="S73" s="117"/>
      <c r="T73" s="97">
        <f t="shared" si="79"/>
        <v>0</v>
      </c>
      <c r="U73" s="97">
        <f t="shared" si="80"/>
        <v>0</v>
      </c>
      <c r="V73" s="97">
        <f t="shared" si="65"/>
        <v>0</v>
      </c>
      <c r="W73" s="106">
        <f t="shared" si="66"/>
        <v>0</v>
      </c>
      <c r="X73" s="108"/>
      <c r="Y73" s="97">
        <f t="shared" si="67"/>
        <v>0</v>
      </c>
      <c r="Z73" s="97">
        <f t="shared" si="68"/>
        <v>0</v>
      </c>
      <c r="AA73" s="97">
        <f t="shared" si="69"/>
        <v>0</v>
      </c>
      <c r="AB73" s="98">
        <f t="shared" si="70"/>
        <v>0</v>
      </c>
      <c r="AC73" s="109">
        <f t="shared" si="71"/>
        <v>151261</v>
      </c>
      <c r="AD73" s="101">
        <f t="shared" si="81"/>
        <v>37815</v>
      </c>
      <c r="AE73" s="111">
        <f t="shared" si="72"/>
        <v>0</v>
      </c>
      <c r="AF73" s="112">
        <f t="shared" si="73"/>
        <v>0</v>
      </c>
      <c r="AG73" s="113">
        <f t="shared" si="74"/>
        <v>151261</v>
      </c>
      <c r="AH73" s="214">
        <f t="shared" si="82"/>
        <v>151261</v>
      </c>
      <c r="AI73" s="114">
        <f t="shared" si="75"/>
        <v>0</v>
      </c>
      <c r="AJ73" s="166">
        <f t="shared" si="76"/>
        <v>0</v>
      </c>
      <c r="AK73" s="175" t="s">
        <v>332</v>
      </c>
      <c r="AL73" s="161"/>
      <c r="AM73" s="176"/>
      <c r="AN73" s="160"/>
    </row>
    <row r="74" spans="1:40" ht="115.5" customHeight="1" thickBot="1" x14ac:dyDescent="0.3">
      <c r="A74" s="82">
        <f t="shared" si="60"/>
        <v>1</v>
      </c>
      <c r="B74" s="197">
        <v>70</v>
      </c>
      <c r="C74" s="51" t="s">
        <v>333</v>
      </c>
      <c r="D74" s="203" t="s">
        <v>1044</v>
      </c>
      <c r="E74" s="207" t="s">
        <v>1075</v>
      </c>
      <c r="F74" s="17">
        <v>1</v>
      </c>
      <c r="G74" s="15"/>
      <c r="H74" s="89" t="s">
        <v>28</v>
      </c>
      <c r="I74" s="115">
        <f t="shared" si="83"/>
        <v>22260.504201680673</v>
      </c>
      <c r="J74" s="118">
        <f t="shared" si="59"/>
        <v>4229.4957983193281</v>
      </c>
      <c r="K74" s="118">
        <v>26490</v>
      </c>
      <c r="L74" s="97">
        <f t="shared" si="61"/>
        <v>22260.504201680673</v>
      </c>
      <c r="M74" s="106">
        <f t="shared" si="62"/>
        <v>26490</v>
      </c>
      <c r="N74" s="116"/>
      <c r="O74" s="97">
        <f t="shared" si="77"/>
        <v>0</v>
      </c>
      <c r="P74" s="97">
        <f t="shared" si="78"/>
        <v>0</v>
      </c>
      <c r="Q74" s="97">
        <f t="shared" si="63"/>
        <v>0</v>
      </c>
      <c r="R74" s="98">
        <f t="shared" si="64"/>
        <v>0</v>
      </c>
      <c r="S74" s="117"/>
      <c r="T74" s="97">
        <f t="shared" si="79"/>
        <v>0</v>
      </c>
      <c r="U74" s="97">
        <f t="shared" si="80"/>
        <v>0</v>
      </c>
      <c r="V74" s="97">
        <f t="shared" si="65"/>
        <v>0</v>
      </c>
      <c r="W74" s="106">
        <f t="shared" si="66"/>
        <v>0</v>
      </c>
      <c r="X74" s="108"/>
      <c r="Y74" s="97">
        <f t="shared" si="67"/>
        <v>0</v>
      </c>
      <c r="Z74" s="97">
        <f t="shared" si="68"/>
        <v>0</v>
      </c>
      <c r="AA74" s="97">
        <f t="shared" si="69"/>
        <v>0</v>
      </c>
      <c r="AB74" s="98">
        <f t="shared" si="70"/>
        <v>0</v>
      </c>
      <c r="AC74" s="109">
        <f t="shared" si="71"/>
        <v>22261</v>
      </c>
      <c r="AD74" s="101">
        <f t="shared" si="81"/>
        <v>5565</v>
      </c>
      <c r="AE74" s="111">
        <f t="shared" si="72"/>
        <v>0</v>
      </c>
      <c r="AF74" s="112">
        <f t="shared" si="73"/>
        <v>0</v>
      </c>
      <c r="AG74" s="113">
        <f t="shared" si="74"/>
        <v>22261</v>
      </c>
      <c r="AH74" s="214">
        <f t="shared" si="82"/>
        <v>22261</v>
      </c>
      <c r="AI74" s="114">
        <f t="shared" si="75"/>
        <v>0</v>
      </c>
      <c r="AJ74" s="166">
        <f t="shared" si="76"/>
        <v>0</v>
      </c>
      <c r="AK74" s="175" t="s">
        <v>332</v>
      </c>
      <c r="AL74" s="161"/>
      <c r="AM74" s="176"/>
      <c r="AN74" s="160"/>
    </row>
    <row r="75" spans="1:40" ht="39.75" customHeight="1" thickBot="1" x14ac:dyDescent="0.3">
      <c r="A75" s="82">
        <f t="shared" si="60"/>
        <v>1</v>
      </c>
      <c r="B75" s="197">
        <v>71</v>
      </c>
      <c r="C75" s="51" t="s">
        <v>333</v>
      </c>
      <c r="D75" s="203" t="s">
        <v>1044</v>
      </c>
      <c r="E75" s="208" t="s">
        <v>1076</v>
      </c>
      <c r="F75" s="17">
        <v>1</v>
      </c>
      <c r="G75" s="15"/>
      <c r="H75" s="89" t="s">
        <v>28</v>
      </c>
      <c r="I75" s="115">
        <f t="shared" si="83"/>
        <v>993277.31092436984</v>
      </c>
      <c r="J75" s="118">
        <f t="shared" si="59"/>
        <v>188722.68907563027</v>
      </c>
      <c r="K75" s="118">
        <f>98500*12</f>
        <v>1182000</v>
      </c>
      <c r="L75" s="97">
        <f t="shared" si="61"/>
        <v>993277.31092436984</v>
      </c>
      <c r="M75" s="106">
        <f t="shared" si="62"/>
        <v>1182000</v>
      </c>
      <c r="N75" s="116"/>
      <c r="O75" s="97">
        <f t="shared" si="77"/>
        <v>0</v>
      </c>
      <c r="P75" s="97">
        <f t="shared" si="78"/>
        <v>0</v>
      </c>
      <c r="Q75" s="97">
        <f t="shared" si="63"/>
        <v>0</v>
      </c>
      <c r="R75" s="98">
        <f t="shared" si="64"/>
        <v>0</v>
      </c>
      <c r="S75" s="117"/>
      <c r="T75" s="97">
        <f t="shared" si="79"/>
        <v>0</v>
      </c>
      <c r="U75" s="97">
        <f t="shared" si="80"/>
        <v>0</v>
      </c>
      <c r="V75" s="97">
        <f t="shared" si="65"/>
        <v>0</v>
      </c>
      <c r="W75" s="106">
        <f t="shared" si="66"/>
        <v>0</v>
      </c>
      <c r="X75" s="108"/>
      <c r="Y75" s="97">
        <f t="shared" si="67"/>
        <v>0</v>
      </c>
      <c r="Z75" s="97">
        <f t="shared" si="68"/>
        <v>0</v>
      </c>
      <c r="AA75" s="97">
        <f t="shared" si="69"/>
        <v>0</v>
      </c>
      <c r="AB75" s="98">
        <f t="shared" si="70"/>
        <v>0</v>
      </c>
      <c r="AC75" s="109">
        <f t="shared" si="71"/>
        <v>993277</v>
      </c>
      <c r="AD75" s="101">
        <f t="shared" si="81"/>
        <v>248319</v>
      </c>
      <c r="AE75" s="111">
        <f t="shared" si="72"/>
        <v>0</v>
      </c>
      <c r="AF75" s="112">
        <f t="shared" si="73"/>
        <v>0</v>
      </c>
      <c r="AG75" s="113">
        <f t="shared" si="74"/>
        <v>993277</v>
      </c>
      <c r="AH75" s="214">
        <f t="shared" si="82"/>
        <v>993277</v>
      </c>
      <c r="AI75" s="114">
        <f t="shared" si="75"/>
        <v>0</v>
      </c>
      <c r="AJ75" s="166">
        <f t="shared" si="76"/>
        <v>0</v>
      </c>
      <c r="AK75" s="175" t="s">
        <v>332</v>
      </c>
      <c r="AL75" s="161"/>
      <c r="AM75" s="176"/>
      <c r="AN75" s="160"/>
    </row>
    <row r="76" spans="1:40" ht="39.75" customHeight="1" thickBot="1" x14ac:dyDescent="0.3">
      <c r="A76" s="82">
        <f t="shared" si="60"/>
        <v>1</v>
      </c>
      <c r="B76" s="196">
        <v>72</v>
      </c>
      <c r="C76" s="51" t="s">
        <v>333</v>
      </c>
      <c r="D76" s="203" t="s">
        <v>1044</v>
      </c>
      <c r="E76" s="207" t="s">
        <v>1077</v>
      </c>
      <c r="F76" s="17">
        <v>1</v>
      </c>
      <c r="G76" s="15"/>
      <c r="H76" s="89" t="s">
        <v>28</v>
      </c>
      <c r="I76" s="115">
        <f t="shared" si="83"/>
        <v>457371.42857142858</v>
      </c>
      <c r="J76" s="118">
        <f t="shared" si="59"/>
        <v>86900.571428571435</v>
      </c>
      <c r="K76" s="118">
        <v>544272</v>
      </c>
      <c r="L76" s="97">
        <f t="shared" si="61"/>
        <v>457371.42857142858</v>
      </c>
      <c r="M76" s="106">
        <f t="shared" si="62"/>
        <v>544272</v>
      </c>
      <c r="N76" s="116"/>
      <c r="O76" s="97">
        <f t="shared" si="77"/>
        <v>0</v>
      </c>
      <c r="P76" s="97">
        <f t="shared" si="78"/>
        <v>0</v>
      </c>
      <c r="Q76" s="97">
        <f t="shared" si="63"/>
        <v>0</v>
      </c>
      <c r="R76" s="98">
        <f t="shared" si="64"/>
        <v>0</v>
      </c>
      <c r="S76" s="117"/>
      <c r="T76" s="97">
        <f t="shared" si="79"/>
        <v>0</v>
      </c>
      <c r="U76" s="97">
        <f t="shared" si="80"/>
        <v>0</v>
      </c>
      <c r="V76" s="97">
        <f t="shared" si="65"/>
        <v>0</v>
      </c>
      <c r="W76" s="106">
        <f t="shared" si="66"/>
        <v>0</v>
      </c>
      <c r="X76" s="108"/>
      <c r="Y76" s="97">
        <f t="shared" si="67"/>
        <v>0</v>
      </c>
      <c r="Z76" s="97">
        <f t="shared" si="68"/>
        <v>0</v>
      </c>
      <c r="AA76" s="97">
        <f t="shared" si="69"/>
        <v>0</v>
      </c>
      <c r="AB76" s="98">
        <f t="shared" si="70"/>
        <v>0</v>
      </c>
      <c r="AC76" s="109">
        <f t="shared" si="71"/>
        <v>457371</v>
      </c>
      <c r="AD76" s="101">
        <f t="shared" si="81"/>
        <v>114343</v>
      </c>
      <c r="AE76" s="111">
        <f t="shared" si="72"/>
        <v>0</v>
      </c>
      <c r="AF76" s="112">
        <f t="shared" si="73"/>
        <v>0</v>
      </c>
      <c r="AG76" s="113">
        <f t="shared" si="74"/>
        <v>457371</v>
      </c>
      <c r="AH76" s="214">
        <f t="shared" si="82"/>
        <v>457371</v>
      </c>
      <c r="AI76" s="114">
        <f t="shared" si="75"/>
        <v>0</v>
      </c>
      <c r="AJ76" s="166">
        <f t="shared" si="76"/>
        <v>0</v>
      </c>
      <c r="AK76" s="175" t="s">
        <v>332</v>
      </c>
      <c r="AL76" s="161"/>
      <c r="AM76" s="176"/>
      <c r="AN76" s="160"/>
    </row>
    <row r="77" spans="1:40" ht="95.25" customHeight="1" thickBot="1" x14ac:dyDescent="0.3">
      <c r="A77" s="82">
        <f t="shared" si="60"/>
        <v>3</v>
      </c>
      <c r="B77" s="196">
        <v>73</v>
      </c>
      <c r="C77" s="209" t="s">
        <v>336</v>
      </c>
      <c r="D77" s="203" t="s">
        <v>1044</v>
      </c>
      <c r="E77" s="58" t="s">
        <v>335</v>
      </c>
      <c r="F77" s="17">
        <v>1</v>
      </c>
      <c r="G77" s="15"/>
      <c r="H77" s="89" t="s">
        <v>28</v>
      </c>
      <c r="I77" s="115">
        <f t="shared" si="83"/>
        <v>546218.48739495804</v>
      </c>
      <c r="J77" s="118">
        <f t="shared" si="59"/>
        <v>103781.51260504202</v>
      </c>
      <c r="K77" s="118">
        <v>650000</v>
      </c>
      <c r="L77" s="97">
        <f t="shared" si="61"/>
        <v>546218.48739495804</v>
      </c>
      <c r="M77" s="106">
        <f t="shared" si="62"/>
        <v>650000</v>
      </c>
      <c r="N77" s="119">
        <f t="shared" ref="N77:N96" si="84">P77/1.19</f>
        <v>453773.10924369749</v>
      </c>
      <c r="O77" s="118">
        <f>N77*19%</f>
        <v>86216.890756302528</v>
      </c>
      <c r="P77" s="118">
        <v>539990</v>
      </c>
      <c r="Q77" s="97">
        <f t="shared" si="63"/>
        <v>453773.10924369749</v>
      </c>
      <c r="R77" s="98">
        <f t="shared" si="64"/>
        <v>539990</v>
      </c>
      <c r="S77" s="115">
        <f>U77/1.19</f>
        <v>486554.62184873951</v>
      </c>
      <c r="T77" s="118">
        <f>S77*19%</f>
        <v>92445.378151260506</v>
      </c>
      <c r="U77" s="118">
        <v>579000</v>
      </c>
      <c r="V77" s="97">
        <f t="shared" si="65"/>
        <v>486554.62184873951</v>
      </c>
      <c r="W77" s="106">
        <f t="shared" si="66"/>
        <v>579000</v>
      </c>
      <c r="X77" s="108"/>
      <c r="Y77" s="97">
        <f t="shared" si="67"/>
        <v>0</v>
      </c>
      <c r="Z77" s="97">
        <f t="shared" si="68"/>
        <v>0</v>
      </c>
      <c r="AA77" s="97">
        <f t="shared" si="69"/>
        <v>0</v>
      </c>
      <c r="AB77" s="98">
        <f t="shared" si="70"/>
        <v>0</v>
      </c>
      <c r="AC77" s="109">
        <f t="shared" si="71"/>
        <v>495515</v>
      </c>
      <c r="AD77" s="101">
        <f t="shared" si="81"/>
        <v>371637</v>
      </c>
      <c r="AE77" s="111">
        <f t="shared" si="72"/>
        <v>38268.862251358893</v>
      </c>
      <c r="AF77" s="112">
        <f t="shared" si="73"/>
        <v>7.723048192559033E-2</v>
      </c>
      <c r="AG77" s="113">
        <f t="shared" si="74"/>
        <v>486555</v>
      </c>
      <c r="AH77" s="101">
        <f t="shared" ref="AH77:AH133" si="85">+IFERROR(ROUND(MEDIAN(L77,Q77,V77,AA77),0),0)</f>
        <v>470164</v>
      </c>
      <c r="AI77" s="114">
        <f t="shared" si="75"/>
        <v>38268.862251358893</v>
      </c>
      <c r="AJ77" s="166">
        <f t="shared" si="76"/>
        <v>7.8652695484290353E-2</v>
      </c>
      <c r="AK77" s="175" t="s">
        <v>282</v>
      </c>
      <c r="AL77" s="161" t="s">
        <v>283</v>
      </c>
      <c r="AM77" s="176" t="s">
        <v>284</v>
      </c>
      <c r="AN77" s="160"/>
    </row>
    <row r="78" spans="1:40" ht="93" customHeight="1" thickBot="1" x14ac:dyDescent="0.3">
      <c r="A78" s="82">
        <f t="shared" si="60"/>
        <v>3</v>
      </c>
      <c r="B78" s="197">
        <v>74</v>
      </c>
      <c r="C78" s="51" t="s">
        <v>334</v>
      </c>
      <c r="D78" s="203" t="s">
        <v>1044</v>
      </c>
      <c r="E78" s="58" t="s">
        <v>142</v>
      </c>
      <c r="F78" s="17">
        <v>1</v>
      </c>
      <c r="G78" s="15"/>
      <c r="H78" s="89" t="s">
        <v>28</v>
      </c>
      <c r="I78" s="115">
        <f t="shared" si="83"/>
        <v>7193193.2773109246</v>
      </c>
      <c r="J78" s="118">
        <f t="shared" si="59"/>
        <v>1366706.7226890756</v>
      </c>
      <c r="K78" s="118">
        <f>8559900</f>
        <v>8559900</v>
      </c>
      <c r="L78" s="97">
        <f t="shared" si="61"/>
        <v>7193193.2773109246</v>
      </c>
      <c r="M78" s="106">
        <f t="shared" si="62"/>
        <v>8559900</v>
      </c>
      <c r="N78" s="119">
        <f t="shared" si="84"/>
        <v>6546218.4873949587</v>
      </c>
      <c r="O78" s="118">
        <f>N78*19%</f>
        <v>1243781.5126050422</v>
      </c>
      <c r="P78" s="118">
        <v>7790000</v>
      </c>
      <c r="Q78" s="97">
        <f t="shared" si="63"/>
        <v>6546218.4873949587</v>
      </c>
      <c r="R78" s="98">
        <f t="shared" si="64"/>
        <v>7790000</v>
      </c>
      <c r="S78" s="115">
        <f>U78/1.19</f>
        <v>6890672.2689075638</v>
      </c>
      <c r="T78" s="118">
        <f>S78*19%</f>
        <v>1309227.7310924372</v>
      </c>
      <c r="U78" s="118">
        <v>8199900</v>
      </c>
      <c r="V78" s="97">
        <f t="shared" si="65"/>
        <v>6890672.2689075638</v>
      </c>
      <c r="W78" s="106">
        <f t="shared" si="66"/>
        <v>8199900</v>
      </c>
      <c r="X78" s="108"/>
      <c r="Y78" s="97">
        <f t="shared" si="67"/>
        <v>0</v>
      </c>
      <c r="Z78" s="97">
        <f t="shared" si="68"/>
        <v>0</v>
      </c>
      <c r="AA78" s="97">
        <f t="shared" si="69"/>
        <v>0</v>
      </c>
      <c r="AB78" s="98">
        <f t="shared" si="70"/>
        <v>0</v>
      </c>
      <c r="AC78" s="109">
        <f t="shared" si="71"/>
        <v>6876695</v>
      </c>
      <c r="AD78" s="101">
        <f t="shared" si="81"/>
        <v>5157521</v>
      </c>
      <c r="AE78" s="111">
        <f t="shared" si="72"/>
        <v>264311.21111937723</v>
      </c>
      <c r="AF78" s="112">
        <f t="shared" si="73"/>
        <v>3.8435790902370578E-2</v>
      </c>
      <c r="AG78" s="113">
        <f t="shared" si="74"/>
        <v>6890672</v>
      </c>
      <c r="AH78" s="101">
        <f t="shared" si="85"/>
        <v>6718445</v>
      </c>
      <c r="AI78" s="114">
        <f t="shared" si="75"/>
        <v>264311.21111937723</v>
      </c>
      <c r="AJ78" s="166">
        <f t="shared" si="76"/>
        <v>3.8357827962117078E-2</v>
      </c>
      <c r="AK78" s="175" t="s">
        <v>299</v>
      </c>
      <c r="AL78" s="161" t="s">
        <v>300</v>
      </c>
      <c r="AM78" s="176" t="s">
        <v>301</v>
      </c>
      <c r="AN78" s="160"/>
    </row>
    <row r="79" spans="1:40" ht="87.75" customHeight="1" thickBot="1" x14ac:dyDescent="0.3">
      <c r="A79" s="82">
        <f t="shared" si="60"/>
        <v>3</v>
      </c>
      <c r="B79" s="197">
        <v>75</v>
      </c>
      <c r="C79" s="51" t="s">
        <v>337</v>
      </c>
      <c r="D79" s="203" t="s">
        <v>1044</v>
      </c>
      <c r="E79" s="58" t="s">
        <v>338</v>
      </c>
      <c r="F79" s="17">
        <v>1</v>
      </c>
      <c r="G79" s="15"/>
      <c r="H79" s="89" t="s">
        <v>28</v>
      </c>
      <c r="I79" s="115">
        <f t="shared" si="83"/>
        <v>1008403.3613445378</v>
      </c>
      <c r="J79" s="118">
        <f t="shared" si="59"/>
        <v>191596.63865546219</v>
      </c>
      <c r="K79" s="118">
        <v>1200000</v>
      </c>
      <c r="L79" s="97">
        <f t="shared" si="61"/>
        <v>1008403.3613445378</v>
      </c>
      <c r="M79" s="106">
        <f t="shared" si="62"/>
        <v>1200000</v>
      </c>
      <c r="N79" s="119">
        <f t="shared" si="84"/>
        <v>672184.87394957989</v>
      </c>
      <c r="O79" s="118">
        <f>N79*19%</f>
        <v>127715.12605042018</v>
      </c>
      <c r="P79" s="118">
        <v>799900</v>
      </c>
      <c r="Q79" s="97">
        <f t="shared" si="63"/>
        <v>672184.87394957989</v>
      </c>
      <c r="R79" s="98">
        <f t="shared" si="64"/>
        <v>799900</v>
      </c>
      <c r="S79" s="117">
        <f>U79/1.19</f>
        <v>1024369.7478991597</v>
      </c>
      <c r="T79" s="97">
        <f>S79*0.19</f>
        <v>194630.25210084033</v>
      </c>
      <c r="U79" s="97">
        <v>1219000</v>
      </c>
      <c r="V79" s="97">
        <f t="shared" si="65"/>
        <v>1024369.7478991597</v>
      </c>
      <c r="W79" s="106">
        <f t="shared" si="66"/>
        <v>1219000</v>
      </c>
      <c r="X79" s="108"/>
      <c r="Y79" s="97">
        <f t="shared" si="67"/>
        <v>0</v>
      </c>
      <c r="Z79" s="97">
        <f t="shared" si="68"/>
        <v>0</v>
      </c>
      <c r="AA79" s="97">
        <f t="shared" si="69"/>
        <v>0</v>
      </c>
      <c r="AB79" s="98">
        <f t="shared" si="70"/>
        <v>0</v>
      </c>
      <c r="AC79" s="109">
        <f t="shared" si="71"/>
        <v>901653</v>
      </c>
      <c r="AD79" s="101">
        <f t="shared" si="81"/>
        <v>676239</v>
      </c>
      <c r="AE79" s="111">
        <f t="shared" si="72"/>
        <v>162389.10137370895</v>
      </c>
      <c r="AF79" s="112">
        <f t="shared" si="73"/>
        <v>0.18010154834920858</v>
      </c>
      <c r="AG79" s="113">
        <f t="shared" si="74"/>
        <v>1008403</v>
      </c>
      <c r="AH79" s="101">
        <f t="shared" si="85"/>
        <v>840294</v>
      </c>
      <c r="AI79" s="114">
        <f t="shared" si="75"/>
        <v>162389.10137370895</v>
      </c>
      <c r="AJ79" s="166">
        <f t="shared" si="76"/>
        <v>0.16103591656679814</v>
      </c>
      <c r="AK79" s="175" t="s">
        <v>276</v>
      </c>
      <c r="AL79" s="161" t="s">
        <v>277</v>
      </c>
      <c r="AM79" s="176" t="s">
        <v>278</v>
      </c>
      <c r="AN79" s="160"/>
    </row>
    <row r="80" spans="1:40" ht="98.25" customHeight="1" thickBot="1" x14ac:dyDescent="0.3">
      <c r="A80" s="82">
        <f t="shared" si="60"/>
        <v>3</v>
      </c>
      <c r="B80" s="196">
        <v>76</v>
      </c>
      <c r="C80" s="51" t="s">
        <v>339</v>
      </c>
      <c r="D80" s="203" t="s">
        <v>1044</v>
      </c>
      <c r="E80" s="58" t="s">
        <v>143</v>
      </c>
      <c r="F80" s="17">
        <v>4</v>
      </c>
      <c r="G80" s="15"/>
      <c r="H80" s="89" t="s">
        <v>28</v>
      </c>
      <c r="I80" s="115">
        <f t="shared" si="83"/>
        <v>3214248.7394957985</v>
      </c>
      <c r="J80" s="118">
        <f t="shared" si="59"/>
        <v>610707.26050420175</v>
      </c>
      <c r="K80" s="118">
        <f>956239*4</f>
        <v>3824956</v>
      </c>
      <c r="L80" s="97">
        <f t="shared" si="61"/>
        <v>12856994.957983194</v>
      </c>
      <c r="M80" s="106">
        <f t="shared" si="62"/>
        <v>15299824</v>
      </c>
      <c r="N80" s="119">
        <f t="shared" si="84"/>
        <v>2554621.848739496</v>
      </c>
      <c r="O80" s="118">
        <f>N80*19%</f>
        <v>485378.15126050427</v>
      </c>
      <c r="P80" s="118">
        <f>760000*4</f>
        <v>3040000</v>
      </c>
      <c r="Q80" s="97">
        <f t="shared" si="63"/>
        <v>10218487.394957984</v>
      </c>
      <c r="R80" s="98">
        <f t="shared" si="64"/>
        <v>12160000</v>
      </c>
      <c r="S80" s="115">
        <f>U80/1.19</f>
        <v>2853781.5126050422</v>
      </c>
      <c r="T80" s="118">
        <f>S80*19%</f>
        <v>542218.48739495804</v>
      </c>
      <c r="U80" s="118">
        <f>849000*4</f>
        <v>3396000</v>
      </c>
      <c r="V80" s="97">
        <f t="shared" si="65"/>
        <v>11415126.050420169</v>
      </c>
      <c r="W80" s="106">
        <f t="shared" si="66"/>
        <v>13584000</v>
      </c>
      <c r="X80" s="108"/>
      <c r="Y80" s="97">
        <f t="shared" si="67"/>
        <v>0</v>
      </c>
      <c r="Z80" s="97">
        <f t="shared" si="68"/>
        <v>0</v>
      </c>
      <c r="AA80" s="97">
        <f t="shared" si="69"/>
        <v>0</v>
      </c>
      <c r="AB80" s="98">
        <f t="shared" si="70"/>
        <v>0</v>
      </c>
      <c r="AC80" s="109">
        <f t="shared" si="71"/>
        <v>2874217</v>
      </c>
      <c r="AD80" s="101">
        <f t="shared" si="81"/>
        <v>8622652</v>
      </c>
      <c r="AE80" s="111">
        <f t="shared" si="72"/>
        <v>269678.97811931168</v>
      </c>
      <c r="AF80" s="112">
        <f t="shared" si="73"/>
        <v>9.3826937256063711E-2</v>
      </c>
      <c r="AG80" s="113">
        <f t="shared" si="74"/>
        <v>2853782</v>
      </c>
      <c r="AH80" s="101">
        <f t="shared" si="85"/>
        <v>10816807</v>
      </c>
      <c r="AI80" s="114">
        <f t="shared" si="75"/>
        <v>269678.97811931168</v>
      </c>
      <c r="AJ80" s="166">
        <f t="shared" si="76"/>
        <v>9.4498801281706762E-2</v>
      </c>
      <c r="AK80" s="175" t="s">
        <v>302</v>
      </c>
      <c r="AL80" s="161" t="s">
        <v>303</v>
      </c>
      <c r="AM80" s="176" t="s">
        <v>304</v>
      </c>
      <c r="AN80" s="160"/>
    </row>
    <row r="81" spans="1:40" ht="71.25" customHeight="1" thickBot="1" x14ac:dyDescent="0.3">
      <c r="A81" s="82">
        <f t="shared" si="60"/>
        <v>3</v>
      </c>
      <c r="B81" s="196">
        <v>77</v>
      </c>
      <c r="C81" s="209" t="s">
        <v>144</v>
      </c>
      <c r="D81" s="203" t="s">
        <v>1044</v>
      </c>
      <c r="E81" s="58" t="s">
        <v>145</v>
      </c>
      <c r="F81" s="17">
        <v>4</v>
      </c>
      <c r="G81" s="15"/>
      <c r="H81" s="89" t="s">
        <v>28</v>
      </c>
      <c r="I81" s="115">
        <f t="shared" si="83"/>
        <v>46134.45378151261</v>
      </c>
      <c r="J81" s="118">
        <f t="shared" si="59"/>
        <v>8765.5462184873959</v>
      </c>
      <c r="K81" s="118">
        <v>54900</v>
      </c>
      <c r="L81" s="97">
        <f t="shared" si="61"/>
        <v>184537.81512605044</v>
      </c>
      <c r="M81" s="106">
        <f t="shared" si="62"/>
        <v>219600</v>
      </c>
      <c r="N81" s="119">
        <f t="shared" si="84"/>
        <v>50336.134453781517</v>
      </c>
      <c r="O81" s="118">
        <f>N81*19%</f>
        <v>9563.8655462184888</v>
      </c>
      <c r="P81" s="118">
        <v>59900</v>
      </c>
      <c r="Q81" s="97">
        <f t="shared" si="63"/>
        <v>201344.53781512607</v>
      </c>
      <c r="R81" s="98">
        <f t="shared" si="64"/>
        <v>239600</v>
      </c>
      <c r="S81" s="115">
        <f>U81/1.19</f>
        <v>57941.176470588238</v>
      </c>
      <c r="T81" s="118">
        <f>S81*19%</f>
        <v>11008.823529411766</v>
      </c>
      <c r="U81" s="118">
        <v>68950</v>
      </c>
      <c r="V81" s="97">
        <f t="shared" si="65"/>
        <v>231764.70588235295</v>
      </c>
      <c r="W81" s="106">
        <f t="shared" si="66"/>
        <v>275800</v>
      </c>
      <c r="X81" s="108"/>
      <c r="Y81" s="97">
        <f t="shared" si="67"/>
        <v>0</v>
      </c>
      <c r="Z81" s="97">
        <f t="shared" si="68"/>
        <v>0</v>
      </c>
      <c r="AA81" s="97">
        <f t="shared" si="69"/>
        <v>0</v>
      </c>
      <c r="AB81" s="98">
        <f t="shared" si="70"/>
        <v>0</v>
      </c>
      <c r="AC81" s="109">
        <f t="shared" si="71"/>
        <v>51471</v>
      </c>
      <c r="AD81" s="101">
        <f t="shared" si="81"/>
        <v>154412</v>
      </c>
      <c r="AE81" s="111">
        <f t="shared" si="72"/>
        <v>4886.3697636708102</v>
      </c>
      <c r="AF81" s="112">
        <f t="shared" si="73"/>
        <v>9.4934424504493992E-2</v>
      </c>
      <c r="AG81" s="113">
        <f t="shared" si="74"/>
        <v>50336</v>
      </c>
      <c r="AH81" s="101">
        <f t="shared" si="85"/>
        <v>192941</v>
      </c>
      <c r="AI81" s="114">
        <f t="shared" si="75"/>
        <v>4886.3697636708102</v>
      </c>
      <c r="AJ81" s="166">
        <f t="shared" si="76"/>
        <v>9.7075050931158813E-2</v>
      </c>
      <c r="AK81" s="175" t="s">
        <v>326</v>
      </c>
      <c r="AL81" s="161" t="s">
        <v>327</v>
      </c>
      <c r="AM81" s="176" t="s">
        <v>328</v>
      </c>
      <c r="AN81" s="160"/>
    </row>
    <row r="82" spans="1:40" ht="71.25" customHeight="1" thickBot="1" x14ac:dyDescent="0.3">
      <c r="A82" s="82">
        <f t="shared" si="60"/>
        <v>2</v>
      </c>
      <c r="B82" s="197">
        <v>78</v>
      </c>
      <c r="C82" s="51" t="s">
        <v>340</v>
      </c>
      <c r="D82" s="203" t="s">
        <v>1044</v>
      </c>
      <c r="E82" s="58" t="s">
        <v>146</v>
      </c>
      <c r="F82" s="17">
        <v>6</v>
      </c>
      <c r="G82" s="15"/>
      <c r="H82" s="89" t="s">
        <v>28</v>
      </c>
      <c r="I82" s="115">
        <f t="shared" si="83"/>
        <v>151176.4705882353</v>
      </c>
      <c r="J82" s="118">
        <f t="shared" si="59"/>
        <v>28723.529411764706</v>
      </c>
      <c r="K82" s="118">
        <v>179900</v>
      </c>
      <c r="L82" s="97">
        <f t="shared" si="61"/>
        <v>907058.82352941181</v>
      </c>
      <c r="M82" s="106">
        <f t="shared" si="62"/>
        <v>1079400</v>
      </c>
      <c r="N82" s="116">
        <f t="shared" si="84"/>
        <v>142689.0756302521</v>
      </c>
      <c r="O82" s="97">
        <f>N82*0.19</f>
        <v>27110.9243697479</v>
      </c>
      <c r="P82" s="97">
        <v>169800</v>
      </c>
      <c r="Q82" s="97">
        <f t="shared" si="63"/>
        <v>856134.45378151257</v>
      </c>
      <c r="R82" s="98">
        <f t="shared" si="64"/>
        <v>1018800</v>
      </c>
      <c r="S82" s="117"/>
      <c r="T82" s="97">
        <f>S82*0.19</f>
        <v>0</v>
      </c>
      <c r="U82" s="97">
        <f>S82+T82</f>
        <v>0</v>
      </c>
      <c r="V82" s="97">
        <f t="shared" si="65"/>
        <v>0</v>
      </c>
      <c r="W82" s="106">
        <f t="shared" si="66"/>
        <v>0</v>
      </c>
      <c r="X82" s="108"/>
      <c r="Y82" s="97">
        <f t="shared" si="67"/>
        <v>0</v>
      </c>
      <c r="Z82" s="97">
        <f t="shared" si="68"/>
        <v>0</v>
      </c>
      <c r="AA82" s="97">
        <f t="shared" si="69"/>
        <v>0</v>
      </c>
      <c r="AB82" s="98">
        <f t="shared" si="70"/>
        <v>0</v>
      </c>
      <c r="AC82" s="109">
        <f t="shared" si="71"/>
        <v>146933</v>
      </c>
      <c r="AD82" s="101">
        <f t="shared" si="81"/>
        <v>440798</v>
      </c>
      <c r="AE82" s="111">
        <f t="shared" si="72"/>
        <v>4243.6974789915985</v>
      </c>
      <c r="AF82" s="112">
        <f t="shared" si="73"/>
        <v>2.8881854171572068E-2</v>
      </c>
      <c r="AG82" s="113">
        <f t="shared" si="74"/>
        <v>146933</v>
      </c>
      <c r="AH82" s="101">
        <f t="shared" si="85"/>
        <v>428067</v>
      </c>
      <c r="AI82" s="114">
        <f t="shared" si="75"/>
        <v>4243.6974789915985</v>
      </c>
      <c r="AJ82" s="166">
        <f t="shared" si="76"/>
        <v>2.8881854171572068E-2</v>
      </c>
      <c r="AK82" s="175" t="s">
        <v>288</v>
      </c>
      <c r="AL82" s="161" t="s">
        <v>289</v>
      </c>
      <c r="AM82" s="176"/>
      <c r="AN82" s="160"/>
    </row>
    <row r="83" spans="1:40" ht="110.25" customHeight="1" thickBot="1" x14ac:dyDescent="0.3">
      <c r="A83" s="82">
        <f t="shared" si="60"/>
        <v>3</v>
      </c>
      <c r="B83" s="197">
        <v>79</v>
      </c>
      <c r="C83" s="51" t="s">
        <v>148</v>
      </c>
      <c r="D83" s="203" t="s">
        <v>1044</v>
      </c>
      <c r="E83" s="59" t="s">
        <v>147</v>
      </c>
      <c r="F83" s="17">
        <v>8</v>
      </c>
      <c r="G83" s="15"/>
      <c r="H83" s="89" t="s">
        <v>1037</v>
      </c>
      <c r="I83" s="115">
        <f t="shared" si="83"/>
        <v>94117.647058823539</v>
      </c>
      <c r="J83" s="118">
        <f t="shared" si="59"/>
        <v>17882.352941176472</v>
      </c>
      <c r="K83" s="118">
        <f>112000</f>
        <v>112000</v>
      </c>
      <c r="L83" s="97">
        <f t="shared" si="61"/>
        <v>752941.17647058831</v>
      </c>
      <c r="M83" s="106">
        <f t="shared" si="62"/>
        <v>896000</v>
      </c>
      <c r="N83" s="119">
        <f t="shared" si="84"/>
        <v>83949.579831932773</v>
      </c>
      <c r="O83" s="118">
        <f t="shared" ref="O83:O91" si="86">N83*19%</f>
        <v>15950.420168067227</v>
      </c>
      <c r="P83" s="118">
        <v>99900</v>
      </c>
      <c r="Q83" s="97">
        <f t="shared" si="63"/>
        <v>671596.63865546219</v>
      </c>
      <c r="R83" s="98">
        <f t="shared" si="64"/>
        <v>799200</v>
      </c>
      <c r="S83" s="115">
        <f t="shared" ref="S83:S96" si="87">U83/1.19</f>
        <v>109159.66386554623</v>
      </c>
      <c r="T83" s="118">
        <f t="shared" ref="T83:T91" si="88">S83*19%</f>
        <v>20740.336134453784</v>
      </c>
      <c r="U83" s="118">
        <v>129900</v>
      </c>
      <c r="V83" s="97">
        <f t="shared" si="65"/>
        <v>873277.31092436984</v>
      </c>
      <c r="W83" s="106">
        <f t="shared" si="66"/>
        <v>1039200</v>
      </c>
      <c r="X83" s="108"/>
      <c r="Y83" s="97">
        <f t="shared" si="67"/>
        <v>0</v>
      </c>
      <c r="Z83" s="97">
        <f t="shared" si="68"/>
        <v>0</v>
      </c>
      <c r="AA83" s="97">
        <f t="shared" si="69"/>
        <v>0</v>
      </c>
      <c r="AB83" s="98">
        <f t="shared" si="70"/>
        <v>0</v>
      </c>
      <c r="AC83" s="109">
        <f t="shared" si="71"/>
        <v>95742</v>
      </c>
      <c r="AD83" s="101">
        <f t="shared" si="81"/>
        <v>574454</v>
      </c>
      <c r="AE83" s="111">
        <f t="shared" si="72"/>
        <v>10355.890421108979</v>
      </c>
      <c r="AF83" s="112">
        <f t="shared" si="73"/>
        <v>0.10816455078344905</v>
      </c>
      <c r="AG83" s="113">
        <f t="shared" si="74"/>
        <v>94118</v>
      </c>
      <c r="AH83" s="101">
        <f t="shared" si="85"/>
        <v>712269</v>
      </c>
      <c r="AI83" s="114">
        <f t="shared" si="75"/>
        <v>10355.890421108979</v>
      </c>
      <c r="AJ83" s="166">
        <f t="shared" si="76"/>
        <v>0.11003092310832124</v>
      </c>
      <c r="AK83" s="175" t="s">
        <v>254</v>
      </c>
      <c r="AL83" s="161" t="s">
        <v>255</v>
      </c>
      <c r="AM83" s="176" t="s">
        <v>256</v>
      </c>
      <c r="AN83" s="160"/>
    </row>
    <row r="84" spans="1:40" ht="36.75" customHeight="1" thickBot="1" x14ac:dyDescent="0.3">
      <c r="A84" s="82">
        <f t="shared" si="60"/>
        <v>3</v>
      </c>
      <c r="B84" s="196">
        <v>80</v>
      </c>
      <c r="C84" s="51" t="s">
        <v>149</v>
      </c>
      <c r="D84" s="203" t="s">
        <v>1044</v>
      </c>
      <c r="E84" s="58" t="s">
        <v>151</v>
      </c>
      <c r="F84" s="17">
        <v>1</v>
      </c>
      <c r="G84" s="15"/>
      <c r="H84" s="89" t="s">
        <v>28</v>
      </c>
      <c r="I84" s="115">
        <f t="shared" si="83"/>
        <v>45882.352941176476</v>
      </c>
      <c r="J84" s="118">
        <f t="shared" si="59"/>
        <v>8717.6470588235297</v>
      </c>
      <c r="K84" s="118">
        <v>54600</v>
      </c>
      <c r="L84" s="97">
        <f t="shared" si="61"/>
        <v>45882.352941176476</v>
      </c>
      <c r="M84" s="106">
        <f t="shared" si="62"/>
        <v>54600</v>
      </c>
      <c r="N84" s="119">
        <f t="shared" si="84"/>
        <v>58739.495798319331</v>
      </c>
      <c r="O84" s="118">
        <f t="shared" si="86"/>
        <v>11160.504201680673</v>
      </c>
      <c r="P84" s="118">
        <v>69900</v>
      </c>
      <c r="Q84" s="97">
        <f t="shared" si="63"/>
        <v>58739.495798319331</v>
      </c>
      <c r="R84" s="98">
        <f t="shared" si="64"/>
        <v>69900</v>
      </c>
      <c r="S84" s="115">
        <f t="shared" si="87"/>
        <v>47676.470588235294</v>
      </c>
      <c r="T84" s="118">
        <f t="shared" si="88"/>
        <v>9058.5294117647063</v>
      </c>
      <c r="U84" s="118">
        <v>56735</v>
      </c>
      <c r="V84" s="97">
        <f t="shared" si="65"/>
        <v>47676.470588235294</v>
      </c>
      <c r="W84" s="106">
        <f t="shared" si="66"/>
        <v>56735</v>
      </c>
      <c r="X84" s="108"/>
      <c r="Y84" s="97">
        <f t="shared" si="67"/>
        <v>0</v>
      </c>
      <c r="Z84" s="97">
        <f t="shared" si="68"/>
        <v>0</v>
      </c>
      <c r="AA84" s="97">
        <f t="shared" si="69"/>
        <v>0</v>
      </c>
      <c r="AB84" s="98">
        <f t="shared" si="70"/>
        <v>0</v>
      </c>
      <c r="AC84" s="109">
        <f t="shared" si="71"/>
        <v>50766</v>
      </c>
      <c r="AD84" s="101">
        <f t="shared" si="81"/>
        <v>38075</v>
      </c>
      <c r="AE84" s="111">
        <f t="shared" si="72"/>
        <v>5685.4151356237953</v>
      </c>
      <c r="AF84" s="112">
        <f t="shared" si="73"/>
        <v>0.11199257644139375</v>
      </c>
      <c r="AG84" s="113">
        <f t="shared" si="74"/>
        <v>47676</v>
      </c>
      <c r="AH84" s="101">
        <f t="shared" si="85"/>
        <v>46779</v>
      </c>
      <c r="AI84" s="114">
        <f t="shared" si="75"/>
        <v>5685.4151356237953</v>
      </c>
      <c r="AJ84" s="166">
        <f t="shared" si="76"/>
        <v>0.11925109354022559</v>
      </c>
      <c r="AK84" s="175" t="s">
        <v>285</v>
      </c>
      <c r="AL84" s="161" t="s">
        <v>286</v>
      </c>
      <c r="AM84" s="176" t="s">
        <v>287</v>
      </c>
      <c r="AN84" s="160"/>
    </row>
    <row r="85" spans="1:40" ht="71.25" customHeight="1" thickBot="1" x14ac:dyDescent="0.3">
      <c r="A85" s="82">
        <f t="shared" si="60"/>
        <v>3</v>
      </c>
      <c r="B85" s="196">
        <v>81</v>
      </c>
      <c r="C85" s="51" t="s">
        <v>149</v>
      </c>
      <c r="D85" s="203" t="s">
        <v>1044</v>
      </c>
      <c r="E85" s="58" t="s">
        <v>150</v>
      </c>
      <c r="F85" s="17">
        <v>1</v>
      </c>
      <c r="G85" s="15"/>
      <c r="H85" s="89" t="s">
        <v>28</v>
      </c>
      <c r="I85" s="115">
        <f t="shared" si="83"/>
        <v>52016.806722689078</v>
      </c>
      <c r="J85" s="118">
        <f t="shared" si="59"/>
        <v>9883.1932773109256</v>
      </c>
      <c r="K85" s="118">
        <v>61900</v>
      </c>
      <c r="L85" s="97">
        <f t="shared" si="61"/>
        <v>52016.806722689078</v>
      </c>
      <c r="M85" s="106">
        <f t="shared" si="62"/>
        <v>61900</v>
      </c>
      <c r="N85" s="119">
        <f t="shared" si="84"/>
        <v>57058.823529411769</v>
      </c>
      <c r="O85" s="118">
        <f t="shared" si="86"/>
        <v>10841.176470588236</v>
      </c>
      <c r="P85" s="118">
        <v>67900</v>
      </c>
      <c r="Q85" s="97">
        <f t="shared" si="63"/>
        <v>57058.823529411769</v>
      </c>
      <c r="R85" s="98">
        <f t="shared" si="64"/>
        <v>67900</v>
      </c>
      <c r="S85" s="115">
        <f t="shared" si="87"/>
        <v>60495.798319327732</v>
      </c>
      <c r="T85" s="118">
        <f t="shared" si="88"/>
        <v>11494.20168067227</v>
      </c>
      <c r="U85" s="118">
        <v>71990</v>
      </c>
      <c r="V85" s="97">
        <f t="shared" si="65"/>
        <v>60495.798319327732</v>
      </c>
      <c r="W85" s="106">
        <f t="shared" si="66"/>
        <v>71990</v>
      </c>
      <c r="X85" s="108"/>
      <c r="Y85" s="97">
        <f t="shared" si="67"/>
        <v>0</v>
      </c>
      <c r="Z85" s="97">
        <f t="shared" si="68"/>
        <v>0</v>
      </c>
      <c r="AA85" s="97">
        <f t="shared" si="69"/>
        <v>0</v>
      </c>
      <c r="AB85" s="98">
        <f t="shared" si="70"/>
        <v>0</v>
      </c>
      <c r="AC85" s="109">
        <f t="shared" si="71"/>
        <v>56524</v>
      </c>
      <c r="AD85" s="101">
        <f t="shared" si="81"/>
        <v>42393</v>
      </c>
      <c r="AE85" s="111">
        <f t="shared" si="72"/>
        <v>3482.1453744887554</v>
      </c>
      <c r="AF85" s="112">
        <f t="shared" si="73"/>
        <v>6.1604723205872819E-2</v>
      </c>
      <c r="AG85" s="113">
        <f t="shared" si="74"/>
        <v>57059</v>
      </c>
      <c r="AH85" s="101">
        <f t="shared" si="85"/>
        <v>54538</v>
      </c>
      <c r="AI85" s="114">
        <f t="shared" si="75"/>
        <v>3482.1453744887554</v>
      </c>
      <c r="AJ85" s="166">
        <f t="shared" si="76"/>
        <v>6.1027101324747285E-2</v>
      </c>
      <c r="AK85" s="175" t="s">
        <v>320</v>
      </c>
      <c r="AL85" s="161" t="s">
        <v>321</v>
      </c>
      <c r="AM85" s="176" t="s">
        <v>322</v>
      </c>
      <c r="AN85" s="160"/>
    </row>
    <row r="86" spans="1:40" ht="71.25" customHeight="1" thickBot="1" x14ac:dyDescent="0.3">
      <c r="A86" s="82">
        <f t="shared" si="60"/>
        <v>3</v>
      </c>
      <c r="B86" s="197">
        <v>82</v>
      </c>
      <c r="C86" s="51" t="s">
        <v>149</v>
      </c>
      <c r="D86" s="203" t="s">
        <v>1044</v>
      </c>
      <c r="E86" s="58" t="s">
        <v>152</v>
      </c>
      <c r="F86" s="17">
        <v>1</v>
      </c>
      <c r="G86" s="15"/>
      <c r="H86" s="89" t="s">
        <v>28</v>
      </c>
      <c r="I86" s="115">
        <f t="shared" si="83"/>
        <v>16806.722689075632</v>
      </c>
      <c r="J86" s="118">
        <f t="shared" ref="J86:J99" si="89">I86*19%</f>
        <v>3193.2773109243699</v>
      </c>
      <c r="K86" s="118">
        <v>20000</v>
      </c>
      <c r="L86" s="97">
        <f t="shared" si="61"/>
        <v>16806.722689075632</v>
      </c>
      <c r="M86" s="106">
        <f t="shared" si="62"/>
        <v>20000</v>
      </c>
      <c r="N86" s="119">
        <f t="shared" si="84"/>
        <v>10840.336134453783</v>
      </c>
      <c r="O86" s="118">
        <f t="shared" si="86"/>
        <v>2059.6638655462189</v>
      </c>
      <c r="P86" s="118">
        <f>12900</f>
        <v>12900</v>
      </c>
      <c r="Q86" s="97">
        <f t="shared" si="63"/>
        <v>10840.336134453783</v>
      </c>
      <c r="R86" s="98">
        <f t="shared" si="64"/>
        <v>12900</v>
      </c>
      <c r="S86" s="115">
        <f t="shared" si="87"/>
        <v>8319.3277310924368</v>
      </c>
      <c r="T86" s="118">
        <f t="shared" si="88"/>
        <v>1580.672268907563</v>
      </c>
      <c r="U86" s="118">
        <v>9900</v>
      </c>
      <c r="V86" s="97">
        <f t="shared" si="65"/>
        <v>8319.3277310924368</v>
      </c>
      <c r="W86" s="106">
        <f t="shared" si="66"/>
        <v>9900</v>
      </c>
      <c r="X86" s="108"/>
      <c r="Y86" s="97">
        <f t="shared" si="67"/>
        <v>0</v>
      </c>
      <c r="Z86" s="97">
        <f t="shared" si="68"/>
        <v>0</v>
      </c>
      <c r="AA86" s="97">
        <f t="shared" si="69"/>
        <v>0</v>
      </c>
      <c r="AB86" s="98">
        <f t="shared" si="70"/>
        <v>0</v>
      </c>
      <c r="AC86" s="109">
        <f t="shared" si="71"/>
        <v>11989</v>
      </c>
      <c r="AD86" s="101">
        <f t="shared" si="81"/>
        <v>8992</v>
      </c>
      <c r="AE86" s="111">
        <f t="shared" si="72"/>
        <v>3558.8563247479951</v>
      </c>
      <c r="AF86" s="112">
        <f t="shared" si="73"/>
        <v>0.2968434669069977</v>
      </c>
      <c r="AG86" s="113">
        <f t="shared" si="74"/>
        <v>10840</v>
      </c>
      <c r="AH86" s="101">
        <f t="shared" si="85"/>
        <v>9580</v>
      </c>
      <c r="AI86" s="114">
        <f t="shared" si="75"/>
        <v>3558.8563247479951</v>
      </c>
      <c r="AJ86" s="166">
        <f t="shared" si="76"/>
        <v>0.32830777903579289</v>
      </c>
      <c r="AK86" s="175" t="s">
        <v>273</v>
      </c>
      <c r="AL86" s="161" t="s">
        <v>274</v>
      </c>
      <c r="AM86" s="176" t="s">
        <v>275</v>
      </c>
      <c r="AN86" s="160"/>
    </row>
    <row r="87" spans="1:40" ht="106.5" customHeight="1" thickBot="1" x14ac:dyDescent="0.3">
      <c r="A87" s="82">
        <f t="shared" si="60"/>
        <v>3</v>
      </c>
      <c r="B87" s="197">
        <v>83</v>
      </c>
      <c r="C87" s="51" t="s">
        <v>153</v>
      </c>
      <c r="D87" s="203" t="s">
        <v>1044</v>
      </c>
      <c r="E87" s="58" t="s">
        <v>341</v>
      </c>
      <c r="F87" s="17">
        <v>1</v>
      </c>
      <c r="G87" s="15"/>
      <c r="H87" s="89" t="s">
        <v>28</v>
      </c>
      <c r="I87" s="115">
        <f t="shared" si="83"/>
        <v>2827010.9243697482</v>
      </c>
      <c r="J87" s="118">
        <f t="shared" si="89"/>
        <v>537132.07563025213</v>
      </c>
      <c r="K87" s="118">
        <v>3364143</v>
      </c>
      <c r="L87" s="97">
        <f t="shared" si="61"/>
        <v>2827010.9243697482</v>
      </c>
      <c r="M87" s="106">
        <f t="shared" si="62"/>
        <v>3364143</v>
      </c>
      <c r="N87" s="119">
        <f t="shared" si="84"/>
        <v>3781428.5714285718</v>
      </c>
      <c r="O87" s="118">
        <f t="shared" si="86"/>
        <v>718471.42857142864</v>
      </c>
      <c r="P87" s="118">
        <v>4499900</v>
      </c>
      <c r="Q87" s="97">
        <f t="shared" si="63"/>
        <v>3781428.5714285718</v>
      </c>
      <c r="R87" s="98">
        <f t="shared" si="64"/>
        <v>4499900</v>
      </c>
      <c r="S87" s="115">
        <f t="shared" si="87"/>
        <v>3528571.4285714286</v>
      </c>
      <c r="T87" s="118">
        <f t="shared" si="88"/>
        <v>670428.57142857148</v>
      </c>
      <c r="U87" s="118">
        <v>4199000</v>
      </c>
      <c r="V87" s="97">
        <f t="shared" si="65"/>
        <v>3528571.4285714286</v>
      </c>
      <c r="W87" s="106">
        <f t="shared" si="66"/>
        <v>4199000</v>
      </c>
      <c r="X87" s="108"/>
      <c r="Y87" s="97">
        <f t="shared" si="67"/>
        <v>0</v>
      </c>
      <c r="Z87" s="97">
        <f t="shared" si="68"/>
        <v>0</v>
      </c>
      <c r="AA87" s="97">
        <f t="shared" si="69"/>
        <v>0</v>
      </c>
      <c r="AB87" s="98">
        <f t="shared" si="70"/>
        <v>0</v>
      </c>
      <c r="AC87" s="109">
        <f t="shared" si="71"/>
        <v>3379004</v>
      </c>
      <c r="AD87" s="101">
        <f t="shared" si="81"/>
        <v>2534253</v>
      </c>
      <c r="AE87" s="111">
        <f t="shared" si="72"/>
        <v>403737.66520778352</v>
      </c>
      <c r="AF87" s="112">
        <f t="shared" si="73"/>
        <v>0.11948422233527499</v>
      </c>
      <c r="AG87" s="113">
        <f t="shared" si="74"/>
        <v>3528571</v>
      </c>
      <c r="AH87" s="101">
        <f t="shared" si="85"/>
        <v>3177791</v>
      </c>
      <c r="AI87" s="114">
        <f t="shared" si="75"/>
        <v>403737.66520778352</v>
      </c>
      <c r="AJ87" s="166">
        <f t="shared" si="76"/>
        <v>0.11441959513009191</v>
      </c>
      <c r="AK87" s="175" t="s">
        <v>305</v>
      </c>
      <c r="AL87" s="161" t="s">
        <v>306</v>
      </c>
      <c r="AM87" s="176" t="s">
        <v>307</v>
      </c>
      <c r="AN87" s="160"/>
    </row>
    <row r="88" spans="1:40" ht="103.5" customHeight="1" thickBot="1" x14ac:dyDescent="0.3">
      <c r="A88" s="82">
        <f t="shared" si="60"/>
        <v>3</v>
      </c>
      <c r="B88" s="196">
        <v>84</v>
      </c>
      <c r="C88" s="51" t="s">
        <v>172</v>
      </c>
      <c r="D88" s="203" t="s">
        <v>1044</v>
      </c>
      <c r="E88" s="59" t="s">
        <v>173</v>
      </c>
      <c r="F88" s="17">
        <v>1</v>
      </c>
      <c r="G88" s="15"/>
      <c r="H88" s="89" t="s">
        <v>28</v>
      </c>
      <c r="I88" s="115">
        <f t="shared" si="83"/>
        <v>3109159.6638655462</v>
      </c>
      <c r="J88" s="118">
        <f t="shared" si="89"/>
        <v>590740.33613445377</v>
      </c>
      <c r="K88" s="118">
        <v>3699900</v>
      </c>
      <c r="L88" s="97">
        <f t="shared" si="61"/>
        <v>3109159.6638655462</v>
      </c>
      <c r="M88" s="106">
        <f t="shared" si="62"/>
        <v>3699900</v>
      </c>
      <c r="N88" s="119">
        <f t="shared" si="84"/>
        <v>3444537.8151260507</v>
      </c>
      <c r="O88" s="118">
        <f t="shared" si="86"/>
        <v>654462.18487394962</v>
      </c>
      <c r="P88" s="118">
        <v>4099000</v>
      </c>
      <c r="Q88" s="97">
        <f t="shared" si="63"/>
        <v>3444537.8151260507</v>
      </c>
      <c r="R88" s="98">
        <f t="shared" si="64"/>
        <v>4099000</v>
      </c>
      <c r="S88" s="115">
        <f t="shared" si="87"/>
        <v>3444537.8151260507</v>
      </c>
      <c r="T88" s="118">
        <f t="shared" si="88"/>
        <v>654462.18487394962</v>
      </c>
      <c r="U88" s="118">
        <v>4099000</v>
      </c>
      <c r="V88" s="97">
        <f t="shared" si="65"/>
        <v>3444537.8151260507</v>
      </c>
      <c r="W88" s="106">
        <f t="shared" si="66"/>
        <v>4099000</v>
      </c>
      <c r="X88" s="108"/>
      <c r="Y88" s="97">
        <f t="shared" si="67"/>
        <v>0</v>
      </c>
      <c r="Z88" s="97">
        <f t="shared" si="68"/>
        <v>0</v>
      </c>
      <c r="AA88" s="97">
        <f t="shared" si="69"/>
        <v>0</v>
      </c>
      <c r="AB88" s="98">
        <f t="shared" si="70"/>
        <v>0</v>
      </c>
      <c r="AC88" s="109">
        <f t="shared" si="71"/>
        <v>3332745</v>
      </c>
      <c r="AD88" s="101">
        <f t="shared" si="81"/>
        <v>2499559</v>
      </c>
      <c r="AE88" s="111">
        <f t="shared" si="72"/>
        <v>158098.77667874025</v>
      </c>
      <c r="AF88" s="112">
        <f t="shared" si="73"/>
        <v>4.7438005811647831E-2</v>
      </c>
      <c r="AG88" s="113">
        <f t="shared" si="74"/>
        <v>3444538</v>
      </c>
      <c r="AH88" s="101">
        <f t="shared" si="85"/>
        <v>3276849</v>
      </c>
      <c r="AI88" s="114">
        <f t="shared" si="75"/>
        <v>158098.77667874025</v>
      </c>
      <c r="AJ88" s="166">
        <f t="shared" si="76"/>
        <v>4.5898398182496539E-2</v>
      </c>
      <c r="AK88" s="175" t="s">
        <v>317</v>
      </c>
      <c r="AL88" s="161" t="s">
        <v>318</v>
      </c>
      <c r="AM88" s="176" t="s">
        <v>319</v>
      </c>
      <c r="AN88" s="160"/>
    </row>
    <row r="89" spans="1:40" ht="70.5" customHeight="1" thickBot="1" x14ac:dyDescent="0.3">
      <c r="A89" s="82">
        <f t="shared" si="60"/>
        <v>3</v>
      </c>
      <c r="B89" s="196">
        <v>85</v>
      </c>
      <c r="C89" s="51" t="s">
        <v>154</v>
      </c>
      <c r="D89" s="203" t="s">
        <v>1044</v>
      </c>
      <c r="E89" s="59" t="s">
        <v>155</v>
      </c>
      <c r="F89" s="17">
        <v>1</v>
      </c>
      <c r="G89" s="15"/>
      <c r="H89" s="89" t="s">
        <v>28</v>
      </c>
      <c r="I89" s="115">
        <f t="shared" si="83"/>
        <v>168058.82352941178</v>
      </c>
      <c r="J89" s="118">
        <f t="shared" si="89"/>
        <v>31931.176470588238</v>
      </c>
      <c r="K89" s="118">
        <v>199990</v>
      </c>
      <c r="L89" s="97">
        <f t="shared" si="61"/>
        <v>168058.82352941178</v>
      </c>
      <c r="M89" s="106">
        <f t="shared" si="62"/>
        <v>199990</v>
      </c>
      <c r="N89" s="119">
        <f t="shared" si="84"/>
        <v>664285.71428571432</v>
      </c>
      <c r="O89" s="118">
        <f t="shared" si="86"/>
        <v>126214.28571428572</v>
      </c>
      <c r="P89" s="118">
        <v>790500</v>
      </c>
      <c r="Q89" s="97">
        <f t="shared" si="63"/>
        <v>664285.71428571432</v>
      </c>
      <c r="R89" s="98">
        <f t="shared" si="64"/>
        <v>790500</v>
      </c>
      <c r="S89" s="115">
        <f t="shared" si="87"/>
        <v>369663.86554621853</v>
      </c>
      <c r="T89" s="118">
        <f t="shared" si="88"/>
        <v>70236.134453781517</v>
      </c>
      <c r="U89" s="118">
        <v>439900</v>
      </c>
      <c r="V89" s="97">
        <f t="shared" si="65"/>
        <v>369663.86554621853</v>
      </c>
      <c r="W89" s="106">
        <f t="shared" si="66"/>
        <v>439900</v>
      </c>
      <c r="X89" s="108"/>
      <c r="Y89" s="97">
        <f t="shared" si="67"/>
        <v>0</v>
      </c>
      <c r="Z89" s="97">
        <f t="shared" si="68"/>
        <v>0</v>
      </c>
      <c r="AA89" s="97">
        <f t="shared" si="69"/>
        <v>0</v>
      </c>
      <c r="AB89" s="98">
        <f t="shared" si="70"/>
        <v>0</v>
      </c>
      <c r="AC89" s="109">
        <f t="shared" si="71"/>
        <v>400669</v>
      </c>
      <c r="AD89" s="101">
        <f t="shared" si="81"/>
        <v>300502</v>
      </c>
      <c r="AE89" s="111">
        <f t="shared" si="72"/>
        <v>203766.68406972609</v>
      </c>
      <c r="AF89" s="112">
        <f t="shared" si="73"/>
        <v>0.50856613331634359</v>
      </c>
      <c r="AG89" s="113">
        <f t="shared" si="74"/>
        <v>369664</v>
      </c>
      <c r="AH89" s="101">
        <f t="shared" si="85"/>
        <v>268861</v>
      </c>
      <c r="AI89" s="114">
        <f t="shared" si="75"/>
        <v>203766.68406972609</v>
      </c>
      <c r="AJ89" s="166">
        <f t="shared" si="76"/>
        <v>0.55122133632089165</v>
      </c>
      <c r="AK89" s="175" t="s">
        <v>293</v>
      </c>
      <c r="AL89" s="161" t="s">
        <v>294</v>
      </c>
      <c r="AM89" s="176" t="s">
        <v>295</v>
      </c>
      <c r="AN89" s="160"/>
    </row>
    <row r="90" spans="1:40" ht="91.5" customHeight="1" thickBot="1" x14ac:dyDescent="0.3">
      <c r="A90" s="82">
        <f t="shared" si="60"/>
        <v>3</v>
      </c>
      <c r="B90" s="197">
        <v>86</v>
      </c>
      <c r="C90" s="51" t="s">
        <v>156</v>
      </c>
      <c r="D90" s="203" t="s">
        <v>1044</v>
      </c>
      <c r="E90" s="58" t="s">
        <v>158</v>
      </c>
      <c r="F90" s="17">
        <v>1</v>
      </c>
      <c r="G90" s="15"/>
      <c r="H90" s="89" t="s">
        <v>28</v>
      </c>
      <c r="I90" s="115">
        <f t="shared" si="83"/>
        <v>294109.24369747902</v>
      </c>
      <c r="J90" s="118">
        <f t="shared" si="89"/>
        <v>55880.756302521011</v>
      </c>
      <c r="K90" s="118">
        <v>349990</v>
      </c>
      <c r="L90" s="97">
        <f t="shared" si="61"/>
        <v>294109.24369747902</v>
      </c>
      <c r="M90" s="106">
        <f t="shared" si="62"/>
        <v>349990</v>
      </c>
      <c r="N90" s="119">
        <f t="shared" si="84"/>
        <v>184789.91596638656</v>
      </c>
      <c r="O90" s="118">
        <f t="shared" si="86"/>
        <v>35110.08403361345</v>
      </c>
      <c r="P90" s="118">
        <v>219900</v>
      </c>
      <c r="Q90" s="97">
        <f t="shared" si="63"/>
        <v>184789.91596638656</v>
      </c>
      <c r="R90" s="98">
        <f t="shared" si="64"/>
        <v>219900</v>
      </c>
      <c r="S90" s="115">
        <f t="shared" si="87"/>
        <v>210000</v>
      </c>
      <c r="T90" s="118">
        <f t="shared" si="88"/>
        <v>39900</v>
      </c>
      <c r="U90" s="118">
        <v>249900</v>
      </c>
      <c r="V90" s="97">
        <f t="shared" si="65"/>
        <v>210000</v>
      </c>
      <c r="W90" s="106">
        <f t="shared" si="66"/>
        <v>249900</v>
      </c>
      <c r="X90" s="108"/>
      <c r="Y90" s="97">
        <f t="shared" si="67"/>
        <v>0</v>
      </c>
      <c r="Z90" s="97">
        <f t="shared" si="68"/>
        <v>0</v>
      </c>
      <c r="AA90" s="97">
        <f t="shared" si="69"/>
        <v>0</v>
      </c>
      <c r="AB90" s="98">
        <f t="shared" si="70"/>
        <v>0</v>
      </c>
      <c r="AC90" s="109">
        <f t="shared" si="71"/>
        <v>229633</v>
      </c>
      <c r="AD90" s="101">
        <f t="shared" si="81"/>
        <v>172225</v>
      </c>
      <c r="AE90" s="111">
        <f t="shared" si="72"/>
        <v>46738.787874647605</v>
      </c>
      <c r="AF90" s="112">
        <f t="shared" si="73"/>
        <v>0.20353689528355073</v>
      </c>
      <c r="AG90" s="113">
        <f t="shared" si="74"/>
        <v>210000</v>
      </c>
      <c r="AH90" s="101">
        <f t="shared" si="85"/>
        <v>197395</v>
      </c>
      <c r="AI90" s="114">
        <f t="shared" si="75"/>
        <v>46738.787874647605</v>
      </c>
      <c r="AJ90" s="166">
        <f t="shared" si="76"/>
        <v>0.22256565654594099</v>
      </c>
      <c r="AK90" s="175" t="s">
        <v>279</v>
      </c>
      <c r="AL90" s="161" t="s">
        <v>280</v>
      </c>
      <c r="AM90" s="176" t="s">
        <v>281</v>
      </c>
      <c r="AN90" s="160"/>
    </row>
    <row r="91" spans="1:40" ht="69" customHeight="1" thickBot="1" x14ac:dyDescent="0.3">
      <c r="A91" s="82">
        <f t="shared" si="60"/>
        <v>3</v>
      </c>
      <c r="B91" s="197">
        <v>87</v>
      </c>
      <c r="C91" s="51" t="s">
        <v>157</v>
      </c>
      <c r="D91" s="203" t="s">
        <v>1044</v>
      </c>
      <c r="E91" s="58" t="s">
        <v>158</v>
      </c>
      <c r="F91" s="17">
        <v>1</v>
      </c>
      <c r="G91" s="15"/>
      <c r="H91" s="89" t="s">
        <v>28</v>
      </c>
      <c r="I91" s="115">
        <f t="shared" si="83"/>
        <v>184033.61344537817</v>
      </c>
      <c r="J91" s="118">
        <f t="shared" si="89"/>
        <v>34966.386554621851</v>
      </c>
      <c r="K91" s="118">
        <v>219000</v>
      </c>
      <c r="L91" s="97">
        <f t="shared" si="61"/>
        <v>184033.61344537817</v>
      </c>
      <c r="M91" s="106">
        <f t="shared" si="62"/>
        <v>219000</v>
      </c>
      <c r="N91" s="119">
        <f t="shared" si="84"/>
        <v>142857.14285714287</v>
      </c>
      <c r="O91" s="118">
        <f t="shared" si="86"/>
        <v>27142.857142857145</v>
      </c>
      <c r="P91" s="118">
        <v>170000</v>
      </c>
      <c r="Q91" s="97">
        <f t="shared" si="63"/>
        <v>142857.14285714287</v>
      </c>
      <c r="R91" s="98">
        <f t="shared" si="64"/>
        <v>170000</v>
      </c>
      <c r="S91" s="115">
        <f t="shared" si="87"/>
        <v>184873.94957983194</v>
      </c>
      <c r="T91" s="118">
        <f t="shared" si="88"/>
        <v>35126.050420168067</v>
      </c>
      <c r="U91" s="118">
        <v>220000</v>
      </c>
      <c r="V91" s="97">
        <f t="shared" si="65"/>
        <v>184873.94957983194</v>
      </c>
      <c r="W91" s="106">
        <f t="shared" si="66"/>
        <v>220000</v>
      </c>
      <c r="X91" s="108"/>
      <c r="Y91" s="97">
        <f t="shared" si="67"/>
        <v>0</v>
      </c>
      <c r="Z91" s="97">
        <f t="shared" si="68"/>
        <v>0</v>
      </c>
      <c r="AA91" s="97">
        <f t="shared" si="69"/>
        <v>0</v>
      </c>
      <c r="AB91" s="98">
        <f t="shared" si="70"/>
        <v>0</v>
      </c>
      <c r="AC91" s="109">
        <f t="shared" si="71"/>
        <v>170588</v>
      </c>
      <c r="AD91" s="101">
        <f t="shared" si="81"/>
        <v>127941</v>
      </c>
      <c r="AE91" s="111">
        <f t="shared" si="72"/>
        <v>19611.84432965178</v>
      </c>
      <c r="AF91" s="112">
        <f t="shared" si="73"/>
        <v>0.11496614257539674</v>
      </c>
      <c r="AG91" s="113">
        <f t="shared" si="74"/>
        <v>184034</v>
      </c>
      <c r="AH91" s="101">
        <f t="shared" si="85"/>
        <v>163445</v>
      </c>
      <c r="AI91" s="114">
        <f t="shared" si="75"/>
        <v>19611.84432965178</v>
      </c>
      <c r="AJ91" s="166">
        <f t="shared" si="76"/>
        <v>0.10656641886636045</v>
      </c>
      <c r="AK91" s="175" t="s">
        <v>308</v>
      </c>
      <c r="AL91" s="161" t="s">
        <v>309</v>
      </c>
      <c r="AM91" s="176" t="s">
        <v>310</v>
      </c>
      <c r="AN91" s="160"/>
    </row>
    <row r="92" spans="1:40" ht="63" customHeight="1" thickBot="1" x14ac:dyDescent="0.3">
      <c r="A92" s="82">
        <f t="shared" si="60"/>
        <v>3</v>
      </c>
      <c r="B92" s="196">
        <v>88</v>
      </c>
      <c r="C92" s="51" t="s">
        <v>342</v>
      </c>
      <c r="D92" s="203" t="s">
        <v>1044</v>
      </c>
      <c r="E92" s="58" t="s">
        <v>159</v>
      </c>
      <c r="F92" s="17">
        <v>1</v>
      </c>
      <c r="G92" s="15"/>
      <c r="H92" s="89" t="s">
        <v>28</v>
      </c>
      <c r="I92" s="115">
        <f t="shared" si="83"/>
        <v>3095532.7731092437</v>
      </c>
      <c r="J92" s="118">
        <f t="shared" si="89"/>
        <v>588151.22689075628</v>
      </c>
      <c r="K92" s="118">
        <v>3683684</v>
      </c>
      <c r="L92" s="97">
        <f t="shared" si="61"/>
        <v>3095532.7731092437</v>
      </c>
      <c r="M92" s="106">
        <f t="shared" si="62"/>
        <v>3683684</v>
      </c>
      <c r="N92" s="116">
        <f t="shared" si="84"/>
        <v>3235294.1176470588</v>
      </c>
      <c r="O92" s="97">
        <f>N92*0.19</f>
        <v>614705.8823529412</v>
      </c>
      <c r="P92" s="97">
        <f>3850000</f>
        <v>3850000</v>
      </c>
      <c r="Q92" s="97">
        <f t="shared" si="63"/>
        <v>3235294.1176470588</v>
      </c>
      <c r="R92" s="98">
        <f t="shared" si="64"/>
        <v>3850000</v>
      </c>
      <c r="S92" s="117">
        <f t="shared" si="87"/>
        <v>3159495.7983193276</v>
      </c>
      <c r="T92" s="97">
        <f>S92*0.19</f>
        <v>600304.20168067224</v>
      </c>
      <c r="U92" s="97">
        <v>3759800</v>
      </c>
      <c r="V92" s="97">
        <f t="shared" si="65"/>
        <v>3159495.7983193276</v>
      </c>
      <c r="W92" s="106">
        <f t="shared" si="66"/>
        <v>3759800</v>
      </c>
      <c r="X92" s="108"/>
      <c r="Y92" s="97">
        <f t="shared" si="67"/>
        <v>0</v>
      </c>
      <c r="Z92" s="97">
        <f t="shared" si="68"/>
        <v>0</v>
      </c>
      <c r="AA92" s="97">
        <f t="shared" si="69"/>
        <v>0</v>
      </c>
      <c r="AB92" s="98">
        <f t="shared" si="70"/>
        <v>0</v>
      </c>
      <c r="AC92" s="109">
        <f t="shared" si="71"/>
        <v>3163441</v>
      </c>
      <c r="AD92" s="101">
        <f t="shared" si="81"/>
        <v>2372581</v>
      </c>
      <c r="AE92" s="111">
        <f t="shared" si="72"/>
        <v>57125.482963144277</v>
      </c>
      <c r="AF92" s="112">
        <f t="shared" si="73"/>
        <v>1.8058020668994389E-2</v>
      </c>
      <c r="AG92" s="113">
        <f t="shared" si="74"/>
        <v>3159496</v>
      </c>
      <c r="AH92" s="101">
        <f t="shared" si="85"/>
        <v>3127514</v>
      </c>
      <c r="AI92" s="114">
        <f t="shared" si="75"/>
        <v>57125.482963144277</v>
      </c>
      <c r="AJ92" s="166">
        <f t="shared" si="76"/>
        <v>1.8080568218204512E-2</v>
      </c>
      <c r="AK92" s="179" t="s">
        <v>270</v>
      </c>
      <c r="AL92" s="161" t="s">
        <v>271</v>
      </c>
      <c r="AM92" s="176" t="s">
        <v>272</v>
      </c>
      <c r="AN92" s="160"/>
    </row>
    <row r="93" spans="1:40" ht="102" customHeight="1" thickBot="1" x14ac:dyDescent="0.3">
      <c r="A93" s="82">
        <f t="shared" si="60"/>
        <v>3</v>
      </c>
      <c r="B93" s="196">
        <v>89</v>
      </c>
      <c r="C93" s="209" t="s">
        <v>160</v>
      </c>
      <c r="D93" s="203" t="s">
        <v>1044</v>
      </c>
      <c r="E93" s="59" t="s">
        <v>161</v>
      </c>
      <c r="F93" s="17">
        <v>2</v>
      </c>
      <c r="G93" s="15"/>
      <c r="H93" s="89" t="s">
        <v>28</v>
      </c>
      <c r="I93" s="115">
        <f t="shared" si="83"/>
        <v>528571.42857142864</v>
      </c>
      <c r="J93" s="118">
        <f t="shared" si="89"/>
        <v>100428.57142857145</v>
      </c>
      <c r="K93" s="118">
        <f>629000</f>
        <v>629000</v>
      </c>
      <c r="L93" s="97">
        <f t="shared" si="61"/>
        <v>1057142.8571428573</v>
      </c>
      <c r="M93" s="106">
        <f t="shared" si="62"/>
        <v>1258000</v>
      </c>
      <c r="N93" s="119">
        <f t="shared" si="84"/>
        <v>588151.26050420175</v>
      </c>
      <c r="O93" s="118">
        <f>N93*19%</f>
        <v>111748.73949579833</v>
      </c>
      <c r="P93" s="118">
        <v>699900</v>
      </c>
      <c r="Q93" s="97">
        <f t="shared" si="63"/>
        <v>1176302.5210084035</v>
      </c>
      <c r="R93" s="98">
        <f t="shared" si="64"/>
        <v>1399800</v>
      </c>
      <c r="S93" s="115">
        <f t="shared" si="87"/>
        <v>525210.08403361344</v>
      </c>
      <c r="T93" s="118">
        <f>S93*19%</f>
        <v>99789.915966386558</v>
      </c>
      <c r="U93" s="118">
        <v>625000</v>
      </c>
      <c r="V93" s="97">
        <f t="shared" si="65"/>
        <v>1050420.1680672269</v>
      </c>
      <c r="W93" s="106">
        <f t="shared" si="66"/>
        <v>1250000</v>
      </c>
      <c r="X93" s="108"/>
      <c r="Y93" s="97">
        <f t="shared" si="67"/>
        <v>0</v>
      </c>
      <c r="Z93" s="97">
        <f t="shared" si="68"/>
        <v>0</v>
      </c>
      <c r="AA93" s="97">
        <f t="shared" si="69"/>
        <v>0</v>
      </c>
      <c r="AB93" s="98">
        <f t="shared" si="70"/>
        <v>0</v>
      </c>
      <c r="AC93" s="109">
        <f t="shared" si="71"/>
        <v>547311</v>
      </c>
      <c r="AD93" s="101">
        <f t="shared" si="81"/>
        <v>820966</v>
      </c>
      <c r="AE93" s="111">
        <f t="shared" si="72"/>
        <v>28911.064213744135</v>
      </c>
      <c r="AF93" s="112">
        <f t="shared" si="73"/>
        <v>5.2823831813619923E-2</v>
      </c>
      <c r="AG93" s="113">
        <f t="shared" si="74"/>
        <v>528571</v>
      </c>
      <c r="AH93" s="101">
        <f t="shared" si="85"/>
        <v>1053782</v>
      </c>
      <c r="AI93" s="114">
        <f t="shared" si="75"/>
        <v>28911.064213744135</v>
      </c>
      <c r="AJ93" s="166">
        <f t="shared" si="76"/>
        <v>5.4696652320585383E-2</v>
      </c>
      <c r="AK93" s="175" t="s">
        <v>257</v>
      </c>
      <c r="AL93" s="161" t="s">
        <v>258</v>
      </c>
      <c r="AM93" s="176" t="s">
        <v>259</v>
      </c>
      <c r="AN93" s="160"/>
    </row>
    <row r="94" spans="1:40" ht="116.25" customHeight="1" thickBot="1" x14ac:dyDescent="0.3">
      <c r="A94" s="82">
        <f t="shared" si="60"/>
        <v>3</v>
      </c>
      <c r="B94" s="197">
        <v>90</v>
      </c>
      <c r="C94" s="51" t="s">
        <v>162</v>
      </c>
      <c r="D94" s="203" t="s">
        <v>1044</v>
      </c>
      <c r="E94" s="58" t="s">
        <v>163</v>
      </c>
      <c r="F94" s="17">
        <v>3</v>
      </c>
      <c r="G94" s="15"/>
      <c r="H94" s="89" t="s">
        <v>28</v>
      </c>
      <c r="I94" s="115">
        <f t="shared" si="83"/>
        <v>29411.764705882353</v>
      </c>
      <c r="J94" s="118">
        <f t="shared" si="89"/>
        <v>5588.2352941176468</v>
      </c>
      <c r="K94" s="118">
        <f>35000</f>
        <v>35000</v>
      </c>
      <c r="L94" s="97">
        <f t="shared" si="61"/>
        <v>88235.294117647063</v>
      </c>
      <c r="M94" s="106">
        <f t="shared" si="62"/>
        <v>105000</v>
      </c>
      <c r="N94" s="119">
        <f t="shared" si="84"/>
        <v>25201.680672268907</v>
      </c>
      <c r="O94" s="118">
        <f>N94*19%</f>
        <v>4788.319327731092</v>
      </c>
      <c r="P94" s="118">
        <v>29990</v>
      </c>
      <c r="Q94" s="97">
        <f t="shared" si="63"/>
        <v>75605.042016806721</v>
      </c>
      <c r="R94" s="98">
        <f t="shared" si="64"/>
        <v>89970</v>
      </c>
      <c r="S94" s="115">
        <f t="shared" si="87"/>
        <v>37815.126050420171</v>
      </c>
      <c r="T94" s="118">
        <f>S94*19%</f>
        <v>7184.8739495798327</v>
      </c>
      <c r="U94" s="118">
        <v>45000</v>
      </c>
      <c r="V94" s="97">
        <f t="shared" si="65"/>
        <v>113445.37815126052</v>
      </c>
      <c r="W94" s="106">
        <f t="shared" si="66"/>
        <v>135000</v>
      </c>
      <c r="X94" s="108"/>
      <c r="Y94" s="97">
        <f t="shared" si="67"/>
        <v>0</v>
      </c>
      <c r="Z94" s="97">
        <f t="shared" si="68"/>
        <v>0</v>
      </c>
      <c r="AA94" s="97">
        <f t="shared" si="69"/>
        <v>0</v>
      </c>
      <c r="AB94" s="98">
        <f t="shared" si="70"/>
        <v>0</v>
      </c>
      <c r="AC94" s="109">
        <f t="shared" si="71"/>
        <v>30810</v>
      </c>
      <c r="AD94" s="101">
        <f t="shared" si="81"/>
        <v>69321</v>
      </c>
      <c r="AE94" s="111">
        <f t="shared" si="72"/>
        <v>5243.411673122816</v>
      </c>
      <c r="AF94" s="112">
        <f t="shared" si="73"/>
        <v>0.17018538374303199</v>
      </c>
      <c r="AG94" s="113">
        <f t="shared" si="74"/>
        <v>29412</v>
      </c>
      <c r="AH94" s="101">
        <f t="shared" si="85"/>
        <v>81920</v>
      </c>
      <c r="AI94" s="114">
        <f t="shared" si="75"/>
        <v>5243.411673122816</v>
      </c>
      <c r="AJ94" s="166">
        <f t="shared" si="76"/>
        <v>0.17827457068961022</v>
      </c>
      <c r="AK94" s="175" t="s">
        <v>323</v>
      </c>
      <c r="AL94" s="161" t="s">
        <v>324</v>
      </c>
      <c r="AM94" s="176" t="s">
        <v>325</v>
      </c>
      <c r="AN94" s="160"/>
    </row>
    <row r="95" spans="1:40" ht="71.25" customHeight="1" thickBot="1" x14ac:dyDescent="0.3">
      <c r="A95" s="82">
        <f t="shared" si="60"/>
        <v>3</v>
      </c>
      <c r="B95" s="197">
        <v>91</v>
      </c>
      <c r="C95" s="51" t="s">
        <v>174</v>
      </c>
      <c r="D95" s="203" t="s">
        <v>1044</v>
      </c>
      <c r="E95" s="58" t="s">
        <v>175</v>
      </c>
      <c r="F95" s="17">
        <v>1</v>
      </c>
      <c r="G95" s="15"/>
      <c r="H95" s="89" t="s">
        <v>28</v>
      </c>
      <c r="I95" s="115">
        <f t="shared" si="83"/>
        <v>2857058.823529412</v>
      </c>
      <c r="J95" s="118">
        <f t="shared" si="89"/>
        <v>542841.17647058831</v>
      </c>
      <c r="K95" s="118">
        <v>3399900</v>
      </c>
      <c r="L95" s="97">
        <f t="shared" si="61"/>
        <v>2857058.823529412</v>
      </c>
      <c r="M95" s="106">
        <f t="shared" si="62"/>
        <v>3399900</v>
      </c>
      <c r="N95" s="119">
        <f t="shared" si="84"/>
        <v>1899915.9663865548</v>
      </c>
      <c r="O95" s="118">
        <f>N95*19%</f>
        <v>360984.03361344541</v>
      </c>
      <c r="P95" s="118">
        <v>2260900</v>
      </c>
      <c r="Q95" s="97">
        <f t="shared" si="63"/>
        <v>1899915.9663865548</v>
      </c>
      <c r="R95" s="98">
        <f t="shared" si="64"/>
        <v>2260900</v>
      </c>
      <c r="S95" s="115">
        <f t="shared" si="87"/>
        <v>1899159.6638655462</v>
      </c>
      <c r="T95" s="118">
        <f>S95*19%</f>
        <v>360840.33613445377</v>
      </c>
      <c r="U95" s="118">
        <v>2260000</v>
      </c>
      <c r="V95" s="97">
        <f t="shared" si="65"/>
        <v>1899159.6638655462</v>
      </c>
      <c r="W95" s="106">
        <f t="shared" si="66"/>
        <v>2260000</v>
      </c>
      <c r="X95" s="108"/>
      <c r="Y95" s="97">
        <f t="shared" si="67"/>
        <v>0</v>
      </c>
      <c r="Z95" s="97">
        <f t="shared" si="68"/>
        <v>0</v>
      </c>
      <c r="AA95" s="97">
        <f t="shared" si="69"/>
        <v>0</v>
      </c>
      <c r="AB95" s="98">
        <f t="shared" si="70"/>
        <v>0</v>
      </c>
      <c r="AC95" s="109">
        <f t="shared" si="71"/>
        <v>2218711</v>
      </c>
      <c r="AD95" s="101">
        <f t="shared" si="81"/>
        <v>1664034</v>
      </c>
      <c r="AE95" s="111">
        <f t="shared" si="72"/>
        <v>451379.83771466161</v>
      </c>
      <c r="AF95" s="112">
        <f t="shared" si="73"/>
        <v>0.20344237609795129</v>
      </c>
      <c r="AG95" s="113">
        <f t="shared" si="74"/>
        <v>1899916</v>
      </c>
      <c r="AH95" s="101">
        <f t="shared" si="85"/>
        <v>1899538</v>
      </c>
      <c r="AI95" s="114">
        <f t="shared" si="75"/>
        <v>451379.83771466161</v>
      </c>
      <c r="AJ95" s="166">
        <f t="shared" si="76"/>
        <v>0.23757883912481478</v>
      </c>
      <c r="AK95" s="175" t="s">
        <v>311</v>
      </c>
      <c r="AL95" s="161" t="s">
        <v>312</v>
      </c>
      <c r="AM95" s="176" t="s">
        <v>313</v>
      </c>
      <c r="AN95" s="160"/>
    </row>
    <row r="96" spans="1:40" ht="85.5" customHeight="1" thickBot="1" x14ac:dyDescent="0.3">
      <c r="A96" s="82">
        <f t="shared" si="60"/>
        <v>3</v>
      </c>
      <c r="B96" s="196">
        <v>92</v>
      </c>
      <c r="C96" s="51" t="s">
        <v>176</v>
      </c>
      <c r="D96" s="203" t="s">
        <v>1044</v>
      </c>
      <c r="E96" s="59" t="s">
        <v>177</v>
      </c>
      <c r="F96" s="17">
        <v>4</v>
      </c>
      <c r="G96" s="15"/>
      <c r="H96" s="89" t="s">
        <v>1037</v>
      </c>
      <c r="I96" s="115">
        <f t="shared" si="83"/>
        <v>83949.579831932773</v>
      </c>
      <c r="J96" s="118">
        <f t="shared" si="89"/>
        <v>15950.420168067227</v>
      </c>
      <c r="K96" s="118">
        <f>99900</f>
        <v>99900</v>
      </c>
      <c r="L96" s="97">
        <f t="shared" si="61"/>
        <v>335798.31932773109</v>
      </c>
      <c r="M96" s="106">
        <f t="shared" si="62"/>
        <v>399600</v>
      </c>
      <c r="N96" s="119">
        <f t="shared" si="84"/>
        <v>83949.579831932773</v>
      </c>
      <c r="O96" s="118">
        <f>N96*19%</f>
        <v>15950.420168067227</v>
      </c>
      <c r="P96" s="118">
        <f>99900</f>
        <v>99900</v>
      </c>
      <c r="Q96" s="97">
        <f t="shared" si="63"/>
        <v>335798.31932773109</v>
      </c>
      <c r="R96" s="98">
        <f t="shared" si="64"/>
        <v>399600</v>
      </c>
      <c r="S96" s="115">
        <f t="shared" si="87"/>
        <v>77016.806722689085</v>
      </c>
      <c r="T96" s="118">
        <f>S96*19%</f>
        <v>14633.193277310926</v>
      </c>
      <c r="U96" s="118">
        <v>91650</v>
      </c>
      <c r="V96" s="97">
        <f t="shared" si="65"/>
        <v>308067.22689075634</v>
      </c>
      <c r="W96" s="106">
        <f t="shared" si="66"/>
        <v>366600</v>
      </c>
      <c r="X96" s="108"/>
      <c r="Y96" s="97">
        <f t="shared" si="67"/>
        <v>0</v>
      </c>
      <c r="Z96" s="97">
        <f t="shared" si="68"/>
        <v>0</v>
      </c>
      <c r="AA96" s="97">
        <f t="shared" si="69"/>
        <v>0</v>
      </c>
      <c r="AB96" s="98">
        <f t="shared" si="70"/>
        <v>0</v>
      </c>
      <c r="AC96" s="109">
        <f t="shared" si="71"/>
        <v>81639</v>
      </c>
      <c r="AD96" s="101">
        <f t="shared" si="81"/>
        <v>244916</v>
      </c>
      <c r="AE96" s="111">
        <f t="shared" si="72"/>
        <v>3268.1405853159717</v>
      </c>
      <c r="AF96" s="112">
        <f t="shared" si="73"/>
        <v>4.0031609712465513E-2</v>
      </c>
      <c r="AG96" s="113">
        <f t="shared" si="74"/>
        <v>83950</v>
      </c>
      <c r="AH96" s="101">
        <f t="shared" si="85"/>
        <v>321933</v>
      </c>
      <c r="AI96" s="114">
        <f t="shared" si="75"/>
        <v>3268.1405853159717</v>
      </c>
      <c r="AJ96" s="166">
        <f t="shared" si="76"/>
        <v>3.8929607925145583E-2</v>
      </c>
      <c r="AK96" s="175" t="s">
        <v>290</v>
      </c>
      <c r="AL96" s="161" t="s">
        <v>291</v>
      </c>
      <c r="AM96" s="176" t="s">
        <v>292</v>
      </c>
      <c r="AN96" s="160"/>
    </row>
    <row r="97" spans="1:40" ht="84" customHeight="1" thickBot="1" x14ac:dyDescent="0.3">
      <c r="A97" s="82">
        <f t="shared" si="60"/>
        <v>3</v>
      </c>
      <c r="B97" s="196">
        <v>93</v>
      </c>
      <c r="C97" s="51" t="s">
        <v>178</v>
      </c>
      <c r="D97" s="203" t="s">
        <v>1044</v>
      </c>
      <c r="E97" s="58" t="s">
        <v>260</v>
      </c>
      <c r="F97" s="17">
        <v>2</v>
      </c>
      <c r="G97" s="15"/>
      <c r="H97" s="89" t="s">
        <v>28</v>
      </c>
      <c r="I97" s="115">
        <v>121833</v>
      </c>
      <c r="J97" s="118">
        <f t="shared" si="89"/>
        <v>23148.27</v>
      </c>
      <c r="K97" s="118">
        <f>I97+J97</f>
        <v>144981.26999999999</v>
      </c>
      <c r="L97" s="97">
        <f t="shared" si="61"/>
        <v>243666</v>
      </c>
      <c r="M97" s="106">
        <f t="shared" si="62"/>
        <v>289962.53999999998</v>
      </c>
      <c r="N97" s="116">
        <v>124879</v>
      </c>
      <c r="O97" s="97">
        <f>N97*0.19</f>
        <v>23727.010000000002</v>
      </c>
      <c r="P97" s="97">
        <f>N97+O97</f>
        <v>148606.01</v>
      </c>
      <c r="Q97" s="97">
        <f t="shared" si="63"/>
        <v>249758</v>
      </c>
      <c r="R97" s="98">
        <f t="shared" si="64"/>
        <v>297212.02</v>
      </c>
      <c r="S97" s="117">
        <v>129143</v>
      </c>
      <c r="T97" s="97">
        <f>S97*0.19</f>
        <v>24537.170000000002</v>
      </c>
      <c r="U97" s="97">
        <f>S97+T97</f>
        <v>153680.17000000001</v>
      </c>
      <c r="V97" s="97">
        <f t="shared" si="65"/>
        <v>258286</v>
      </c>
      <c r="W97" s="106">
        <f t="shared" si="66"/>
        <v>307360.34000000003</v>
      </c>
      <c r="X97" s="108"/>
      <c r="Y97" s="97">
        <f t="shared" si="67"/>
        <v>0</v>
      </c>
      <c r="Z97" s="97">
        <f t="shared" si="68"/>
        <v>0</v>
      </c>
      <c r="AA97" s="97">
        <f t="shared" si="69"/>
        <v>0</v>
      </c>
      <c r="AB97" s="98">
        <f t="shared" si="70"/>
        <v>0</v>
      </c>
      <c r="AC97" s="109">
        <f t="shared" si="71"/>
        <v>125285</v>
      </c>
      <c r="AD97" s="101">
        <f t="shared" si="81"/>
        <v>187928</v>
      </c>
      <c r="AE97" s="111">
        <f t="shared" si="72"/>
        <v>2998.0718248011781</v>
      </c>
      <c r="AF97" s="112">
        <f t="shared" si="73"/>
        <v>2.3930014166110691E-2</v>
      </c>
      <c r="AG97" s="113">
        <f t="shared" si="74"/>
        <v>124879</v>
      </c>
      <c r="AH97" s="101">
        <f t="shared" si="85"/>
        <v>246712</v>
      </c>
      <c r="AI97" s="114">
        <f t="shared" si="75"/>
        <v>2998.0718248011781</v>
      </c>
      <c r="AJ97" s="166">
        <f t="shared" si="76"/>
        <v>2.4007814162518744E-2</v>
      </c>
      <c r="AK97" s="175" t="s">
        <v>261</v>
      </c>
      <c r="AL97" s="161" t="s">
        <v>262</v>
      </c>
      <c r="AM97" s="176" t="s">
        <v>263</v>
      </c>
      <c r="AN97" s="160"/>
    </row>
    <row r="98" spans="1:40" ht="84.75" customHeight="1" thickBot="1" x14ac:dyDescent="0.3">
      <c r="A98" s="84">
        <f t="shared" si="60"/>
        <v>3</v>
      </c>
      <c r="B98" s="197">
        <v>94</v>
      </c>
      <c r="C98" s="51" t="s">
        <v>179</v>
      </c>
      <c r="D98" s="203" t="s">
        <v>1044</v>
      </c>
      <c r="E98" s="58" t="s">
        <v>343</v>
      </c>
      <c r="F98" s="17">
        <v>1</v>
      </c>
      <c r="G98" s="15"/>
      <c r="H98" s="89" t="s">
        <v>28</v>
      </c>
      <c r="I98" s="115">
        <f>K98/1.19</f>
        <v>1660420.1680672269</v>
      </c>
      <c r="J98" s="118">
        <f t="shared" si="89"/>
        <v>315479.83193277312</v>
      </c>
      <c r="K98" s="118">
        <v>1975900</v>
      </c>
      <c r="L98" s="97">
        <f t="shared" si="61"/>
        <v>1660420.1680672269</v>
      </c>
      <c r="M98" s="106">
        <f t="shared" si="62"/>
        <v>1975900</v>
      </c>
      <c r="N98" s="119">
        <f>P98/1.19</f>
        <v>1512521.0084033613</v>
      </c>
      <c r="O98" s="118">
        <f>N98*19%</f>
        <v>287378.99159663863</v>
      </c>
      <c r="P98" s="118">
        <v>1799900</v>
      </c>
      <c r="Q98" s="97">
        <f t="shared" si="63"/>
        <v>1512521.0084033613</v>
      </c>
      <c r="R98" s="98">
        <f t="shared" si="64"/>
        <v>1799900</v>
      </c>
      <c r="S98" s="115">
        <f>U98/1.19</f>
        <v>1596554.6218487397</v>
      </c>
      <c r="T98" s="118">
        <f>S98*19%</f>
        <v>303345.37815126055</v>
      </c>
      <c r="U98" s="118">
        <v>1899900</v>
      </c>
      <c r="V98" s="97">
        <f t="shared" si="65"/>
        <v>1596554.6218487397</v>
      </c>
      <c r="W98" s="106">
        <f t="shared" si="66"/>
        <v>1899900</v>
      </c>
      <c r="X98" s="108"/>
      <c r="Y98" s="97">
        <f t="shared" si="67"/>
        <v>0</v>
      </c>
      <c r="Z98" s="97">
        <f t="shared" si="68"/>
        <v>0</v>
      </c>
      <c r="AA98" s="97">
        <f t="shared" si="69"/>
        <v>0</v>
      </c>
      <c r="AB98" s="98">
        <f t="shared" si="70"/>
        <v>0</v>
      </c>
      <c r="AC98" s="109">
        <f t="shared" si="71"/>
        <v>1589832</v>
      </c>
      <c r="AD98" s="101">
        <f t="shared" si="81"/>
        <v>1192374</v>
      </c>
      <c r="AE98" s="111">
        <f t="shared" si="72"/>
        <v>60566.416814519143</v>
      </c>
      <c r="AF98" s="112">
        <f t="shared" si="73"/>
        <v>3.8096111296362853E-2</v>
      </c>
      <c r="AG98" s="113">
        <f t="shared" si="74"/>
        <v>1596555</v>
      </c>
      <c r="AH98" s="101">
        <f t="shared" si="85"/>
        <v>1554538</v>
      </c>
      <c r="AI98" s="114">
        <f t="shared" si="75"/>
        <v>60566.416814519143</v>
      </c>
      <c r="AJ98" s="166">
        <f t="shared" si="76"/>
        <v>3.7935690793313818E-2</v>
      </c>
      <c r="AK98" s="175" t="s">
        <v>264</v>
      </c>
      <c r="AL98" s="161" t="s">
        <v>265</v>
      </c>
      <c r="AM98" s="176" t="s">
        <v>266</v>
      </c>
      <c r="AN98" s="160"/>
    </row>
    <row r="99" spans="1:40" ht="69.75" customHeight="1" thickBot="1" x14ac:dyDescent="0.3">
      <c r="A99" s="84">
        <f t="shared" si="60"/>
        <v>3</v>
      </c>
      <c r="B99" s="197">
        <v>95</v>
      </c>
      <c r="C99" s="51" t="s">
        <v>195</v>
      </c>
      <c r="D99" s="203" t="s">
        <v>1044</v>
      </c>
      <c r="E99" s="58" t="s">
        <v>344</v>
      </c>
      <c r="F99" s="17">
        <v>1</v>
      </c>
      <c r="G99" s="17"/>
      <c r="H99" s="89" t="s">
        <v>28</v>
      </c>
      <c r="I99" s="120">
        <f>K99/1.19</f>
        <v>700756.30252100842</v>
      </c>
      <c r="J99" s="121">
        <f t="shared" si="89"/>
        <v>133143.69747899161</v>
      </c>
      <c r="K99" s="121">
        <v>833900</v>
      </c>
      <c r="L99" s="121">
        <f t="shared" si="61"/>
        <v>700756.30252100842</v>
      </c>
      <c r="M99" s="122">
        <f t="shared" si="62"/>
        <v>833900</v>
      </c>
      <c r="N99" s="123">
        <f>P99/1.19</f>
        <v>638571.42857142864</v>
      </c>
      <c r="O99" s="121">
        <f>N99*0.19</f>
        <v>121328.57142857145</v>
      </c>
      <c r="P99" s="121">
        <v>759900</v>
      </c>
      <c r="Q99" s="121">
        <f t="shared" si="63"/>
        <v>638571.42857142864</v>
      </c>
      <c r="R99" s="124">
        <f t="shared" si="64"/>
        <v>759900</v>
      </c>
      <c r="S99" s="125">
        <f>U99/1.19</f>
        <v>700756.30252100842</v>
      </c>
      <c r="T99" s="121">
        <f>S99*0.19</f>
        <v>133143.69747899161</v>
      </c>
      <c r="U99" s="121">
        <v>833900</v>
      </c>
      <c r="V99" s="121">
        <f t="shared" si="65"/>
        <v>700756.30252100842</v>
      </c>
      <c r="W99" s="122">
        <f t="shared" si="66"/>
        <v>833900</v>
      </c>
      <c r="X99" s="108"/>
      <c r="Y99" s="121">
        <f t="shared" si="67"/>
        <v>0</v>
      </c>
      <c r="Z99" s="121">
        <f t="shared" si="68"/>
        <v>0</v>
      </c>
      <c r="AA99" s="121">
        <f t="shared" si="69"/>
        <v>0</v>
      </c>
      <c r="AB99" s="124">
        <f t="shared" si="70"/>
        <v>0</v>
      </c>
      <c r="AC99" s="126">
        <f t="shared" si="71"/>
        <v>680028</v>
      </c>
      <c r="AD99" s="101">
        <f t="shared" si="81"/>
        <v>510021</v>
      </c>
      <c r="AE99" s="127">
        <f t="shared" si="72"/>
        <v>29314.230704652364</v>
      </c>
      <c r="AF99" s="128">
        <f t="shared" si="73"/>
        <v>4.310738779087385E-2</v>
      </c>
      <c r="AG99" s="129">
        <f t="shared" si="74"/>
        <v>700756</v>
      </c>
      <c r="AH99" s="101">
        <f t="shared" si="85"/>
        <v>669664</v>
      </c>
      <c r="AI99" s="130">
        <f t="shared" si="75"/>
        <v>29314.230704652364</v>
      </c>
      <c r="AJ99" s="159">
        <f t="shared" si="76"/>
        <v>4.1832293558174832E-2</v>
      </c>
      <c r="AK99" s="175" t="s">
        <v>267</v>
      </c>
      <c r="AL99" s="161" t="s">
        <v>268</v>
      </c>
      <c r="AM99" s="176" t="s">
        <v>269</v>
      </c>
      <c r="AN99" s="160"/>
    </row>
    <row r="100" spans="1:40" ht="69.75" customHeight="1" thickBot="1" x14ac:dyDescent="0.3">
      <c r="A100" s="300" t="s">
        <v>1080</v>
      </c>
      <c r="B100" s="301"/>
      <c r="C100" s="301"/>
      <c r="D100" s="301"/>
      <c r="E100" s="301"/>
      <c r="F100" s="301"/>
      <c r="G100" s="301"/>
      <c r="H100" s="302"/>
      <c r="I100" s="216"/>
      <c r="J100" s="217"/>
      <c r="K100" s="217"/>
      <c r="L100" s="217"/>
      <c r="M100" s="218"/>
      <c r="N100" s="219"/>
      <c r="O100" s="217"/>
      <c r="P100" s="217"/>
      <c r="Q100" s="217"/>
      <c r="R100" s="220"/>
      <c r="S100" s="221"/>
      <c r="T100" s="217"/>
      <c r="U100" s="217"/>
      <c r="V100" s="217"/>
      <c r="W100" s="218"/>
      <c r="X100" s="222"/>
      <c r="Y100" s="217"/>
      <c r="Z100" s="217"/>
      <c r="AA100" s="217"/>
      <c r="AB100" s="220"/>
      <c r="AC100" s="223"/>
      <c r="AD100" s="224"/>
      <c r="AE100" s="225"/>
      <c r="AF100" s="226"/>
      <c r="AG100" s="227"/>
      <c r="AH100" s="228"/>
      <c r="AI100" s="228"/>
      <c r="AJ100" s="229"/>
      <c r="AK100" s="230"/>
      <c r="AL100" s="231"/>
      <c r="AM100" s="232"/>
      <c r="AN100" s="233"/>
    </row>
    <row r="101" spans="1:40" ht="171.75" customHeight="1" thickBot="1" x14ac:dyDescent="0.3">
      <c r="A101" s="84">
        <f t="shared" ref="A101:A164" si="90">COUNT(I101,N101,S101)</f>
        <v>3</v>
      </c>
      <c r="B101" s="198">
        <v>96</v>
      </c>
      <c r="C101" s="204" t="s">
        <v>1052</v>
      </c>
      <c r="D101" s="203" t="s">
        <v>1044</v>
      </c>
      <c r="E101" s="58" t="s">
        <v>345</v>
      </c>
      <c r="F101" s="17">
        <v>1</v>
      </c>
      <c r="G101" s="17"/>
      <c r="H101" s="89" t="s">
        <v>28</v>
      </c>
      <c r="I101" s="131">
        <f>24300*1.052</f>
        <v>25563.600000000002</v>
      </c>
      <c r="J101" s="121">
        <f t="shared" ref="J101:J164" si="91">I101*19%</f>
        <v>4857.0840000000007</v>
      </c>
      <c r="K101" s="130">
        <f t="shared" ref="K101:K164" si="92">I101+J101</f>
        <v>30420.684000000001</v>
      </c>
      <c r="L101" s="121">
        <f t="shared" ref="L101:L164" si="93">I101*F101</f>
        <v>25563.600000000002</v>
      </c>
      <c r="M101" s="122">
        <f t="shared" ref="M101:M164" si="94">K101*F101</f>
        <v>30420.684000000001</v>
      </c>
      <c r="N101" s="132">
        <f>24300*1.052</f>
        <v>25563.600000000002</v>
      </c>
      <c r="O101" s="121">
        <f t="shared" ref="O101:O164" si="95">N101*0.19</f>
        <v>4857.0840000000007</v>
      </c>
      <c r="P101" s="110">
        <f t="shared" ref="P101:P164" si="96">N101+O101</f>
        <v>30420.684000000001</v>
      </c>
      <c r="Q101" s="121">
        <f t="shared" ref="Q101:Q164" si="97">N101*F101</f>
        <v>25563.600000000002</v>
      </c>
      <c r="R101" s="124">
        <f t="shared" ref="R101:R164" si="98">P101*F101</f>
        <v>30420.684000000001</v>
      </c>
      <c r="S101" s="131">
        <f>25000*1.052</f>
        <v>26300</v>
      </c>
      <c r="T101" s="121">
        <f t="shared" ref="T101:T164" si="99">S101*0.19</f>
        <v>4997</v>
      </c>
      <c r="U101" s="110">
        <f t="shared" ref="U101:U164" si="100">S101+T101</f>
        <v>31297</v>
      </c>
      <c r="V101" s="121">
        <f t="shared" ref="V101:V164" si="101">S101*F101</f>
        <v>26300</v>
      </c>
      <c r="W101" s="122">
        <f t="shared" ref="W101:W164" si="102">U101*F101</f>
        <v>31297</v>
      </c>
      <c r="X101" s="108"/>
      <c r="Y101" s="121">
        <f t="shared" ref="Y101:Y132" si="103">X101*0.19</f>
        <v>0</v>
      </c>
      <c r="Z101" s="121">
        <f t="shared" ref="Z101:Z132" si="104">X101+Y101</f>
        <v>0</v>
      </c>
      <c r="AA101" s="121">
        <f t="shared" ref="AA101:AA164" si="105">X101*F101</f>
        <v>0</v>
      </c>
      <c r="AB101" s="124">
        <f t="shared" ref="AB101:AB132" si="106">Z101*F101</f>
        <v>0</v>
      </c>
      <c r="AC101" s="126">
        <f t="shared" ref="AC101:AC164" si="107">+IFERROR(ROUND(AVERAGE(I101,N101,S101,X101),0),0)</f>
        <v>25809</v>
      </c>
      <c r="AD101" s="101">
        <f t="shared" si="81"/>
        <v>19357</v>
      </c>
      <c r="AE101" s="127">
        <f t="shared" ref="AE101:AE164" si="108">+IFERROR(_xlfn.STDEV.P(I101,N101,S101,X101),0)</f>
        <v>347.1422891105147</v>
      </c>
      <c r="AF101" s="128">
        <f t="shared" ref="AF101:AF132" si="109">AE101/AC101</f>
        <v>1.3450435472529533E-2</v>
      </c>
      <c r="AG101" s="129">
        <f t="shared" ref="AG101:AG164" si="110">IFERROR(ROUND(MEDIAN(I101,N101,S101,X101),0),0)</f>
        <v>25564</v>
      </c>
      <c r="AH101" s="101">
        <f t="shared" si="85"/>
        <v>25564</v>
      </c>
      <c r="AI101" s="130">
        <f t="shared" ref="AI101:AI132" si="111">AE101</f>
        <v>347.1422891105147</v>
      </c>
      <c r="AJ101" s="159">
        <f t="shared" ref="AJ101:AJ132" si="112">AI101/AG101</f>
        <v>1.357934161752913E-2</v>
      </c>
      <c r="AK101" s="290" t="s">
        <v>1036</v>
      </c>
      <c r="AL101" s="291"/>
      <c r="AM101" s="292"/>
      <c r="AN101" s="160"/>
    </row>
    <row r="102" spans="1:40" ht="114" customHeight="1" thickBot="1" x14ac:dyDescent="0.3">
      <c r="A102" s="84">
        <f t="shared" si="90"/>
        <v>3</v>
      </c>
      <c r="B102" s="198">
        <v>97</v>
      </c>
      <c r="C102" s="204" t="s">
        <v>1053</v>
      </c>
      <c r="D102" s="203" t="s">
        <v>1044</v>
      </c>
      <c r="E102" s="60" t="s">
        <v>346</v>
      </c>
      <c r="F102" s="17">
        <v>1</v>
      </c>
      <c r="G102" s="17"/>
      <c r="H102" s="89" t="s">
        <v>28</v>
      </c>
      <c r="I102" s="131">
        <f>24300*1.052</f>
        <v>25563.600000000002</v>
      </c>
      <c r="J102" s="121">
        <f t="shared" si="91"/>
        <v>4857.0840000000007</v>
      </c>
      <c r="K102" s="130">
        <f t="shared" si="92"/>
        <v>30420.684000000001</v>
      </c>
      <c r="L102" s="121">
        <f t="shared" si="93"/>
        <v>25563.600000000002</v>
      </c>
      <c r="M102" s="122">
        <f t="shared" si="94"/>
        <v>30420.684000000001</v>
      </c>
      <c r="N102" s="132">
        <f>25600*1.052</f>
        <v>26931.200000000001</v>
      </c>
      <c r="O102" s="121">
        <f t="shared" si="95"/>
        <v>5116.9279999999999</v>
      </c>
      <c r="P102" s="110">
        <f t="shared" si="96"/>
        <v>32048.128000000001</v>
      </c>
      <c r="Q102" s="121">
        <f t="shared" si="97"/>
        <v>26931.200000000001</v>
      </c>
      <c r="R102" s="124">
        <f t="shared" si="98"/>
        <v>32048.128000000001</v>
      </c>
      <c r="S102" s="131">
        <f>27000*1.052</f>
        <v>28404</v>
      </c>
      <c r="T102" s="121">
        <f t="shared" si="99"/>
        <v>5396.76</v>
      </c>
      <c r="U102" s="110">
        <f t="shared" si="100"/>
        <v>33800.76</v>
      </c>
      <c r="V102" s="121">
        <f t="shared" si="101"/>
        <v>28404</v>
      </c>
      <c r="W102" s="122">
        <f t="shared" si="102"/>
        <v>33800.76</v>
      </c>
      <c r="X102" s="108"/>
      <c r="Y102" s="121">
        <f t="shared" si="103"/>
        <v>0</v>
      </c>
      <c r="Z102" s="121">
        <f t="shared" si="104"/>
        <v>0</v>
      </c>
      <c r="AA102" s="121">
        <f t="shared" si="105"/>
        <v>0</v>
      </c>
      <c r="AB102" s="124">
        <f t="shared" si="106"/>
        <v>0</v>
      </c>
      <c r="AC102" s="126">
        <f t="shared" si="107"/>
        <v>26966</v>
      </c>
      <c r="AD102" s="101">
        <f t="shared" si="81"/>
        <v>20225</v>
      </c>
      <c r="AE102" s="127">
        <f t="shared" si="108"/>
        <v>1159.8535233190239</v>
      </c>
      <c r="AF102" s="128">
        <f t="shared" si="109"/>
        <v>4.3011700783172291E-2</v>
      </c>
      <c r="AG102" s="129">
        <f t="shared" si="110"/>
        <v>26931</v>
      </c>
      <c r="AH102" s="101">
        <f t="shared" si="85"/>
        <v>26247</v>
      </c>
      <c r="AI102" s="130">
        <f t="shared" si="111"/>
        <v>1159.8535233190239</v>
      </c>
      <c r="AJ102" s="159">
        <f t="shared" si="112"/>
        <v>4.3067599543983662E-2</v>
      </c>
      <c r="AK102" s="290" t="s">
        <v>1036</v>
      </c>
      <c r="AL102" s="291"/>
      <c r="AM102" s="292"/>
      <c r="AN102" s="160"/>
    </row>
    <row r="103" spans="1:40" ht="153" customHeight="1" thickBot="1" x14ac:dyDescent="0.3">
      <c r="A103" s="84">
        <f t="shared" si="90"/>
        <v>3</v>
      </c>
      <c r="B103" s="198">
        <v>98</v>
      </c>
      <c r="C103" s="204" t="s">
        <v>1054</v>
      </c>
      <c r="D103" s="203" t="s">
        <v>1044</v>
      </c>
      <c r="E103" s="60" t="s">
        <v>347</v>
      </c>
      <c r="F103" s="17">
        <v>1</v>
      </c>
      <c r="G103" s="17"/>
      <c r="H103" s="89" t="s">
        <v>28</v>
      </c>
      <c r="I103" s="115">
        <f>24300*1.052</f>
        <v>25563.600000000002</v>
      </c>
      <c r="J103" s="121">
        <f t="shared" si="91"/>
        <v>4857.0840000000007</v>
      </c>
      <c r="K103" s="130">
        <f t="shared" si="92"/>
        <v>30420.684000000001</v>
      </c>
      <c r="L103" s="121">
        <f t="shared" si="93"/>
        <v>25563.600000000002</v>
      </c>
      <c r="M103" s="122">
        <f t="shared" si="94"/>
        <v>30420.684000000001</v>
      </c>
      <c r="N103" s="119">
        <f>24300*1.052</f>
        <v>25563.600000000002</v>
      </c>
      <c r="O103" s="121">
        <f t="shared" si="95"/>
        <v>4857.0840000000007</v>
      </c>
      <c r="P103" s="110">
        <f t="shared" si="96"/>
        <v>30420.684000000001</v>
      </c>
      <c r="Q103" s="121">
        <f t="shared" si="97"/>
        <v>25563.600000000002</v>
      </c>
      <c r="R103" s="124">
        <f t="shared" si="98"/>
        <v>30420.684000000001</v>
      </c>
      <c r="S103" s="115">
        <f>25000*1.052</f>
        <v>26300</v>
      </c>
      <c r="T103" s="121">
        <f t="shared" si="99"/>
        <v>4997</v>
      </c>
      <c r="U103" s="110">
        <f t="shared" si="100"/>
        <v>31297</v>
      </c>
      <c r="V103" s="121">
        <f t="shared" si="101"/>
        <v>26300</v>
      </c>
      <c r="W103" s="122">
        <f t="shared" si="102"/>
        <v>31297</v>
      </c>
      <c r="X103" s="108"/>
      <c r="Y103" s="121">
        <f t="shared" si="103"/>
        <v>0</v>
      </c>
      <c r="Z103" s="121">
        <f t="shared" si="104"/>
        <v>0</v>
      </c>
      <c r="AA103" s="121">
        <f t="shared" si="105"/>
        <v>0</v>
      </c>
      <c r="AB103" s="124">
        <f t="shared" si="106"/>
        <v>0</v>
      </c>
      <c r="AC103" s="126">
        <f t="shared" si="107"/>
        <v>25809</v>
      </c>
      <c r="AD103" s="101">
        <f t="shared" si="81"/>
        <v>19357</v>
      </c>
      <c r="AE103" s="127">
        <f t="shared" si="108"/>
        <v>347.1422891105147</v>
      </c>
      <c r="AF103" s="128">
        <f t="shared" si="109"/>
        <v>1.3450435472529533E-2</v>
      </c>
      <c r="AG103" s="129">
        <f t="shared" si="110"/>
        <v>25564</v>
      </c>
      <c r="AH103" s="101">
        <f t="shared" si="85"/>
        <v>25564</v>
      </c>
      <c r="AI103" s="130">
        <f t="shared" si="111"/>
        <v>347.1422891105147</v>
      </c>
      <c r="AJ103" s="159">
        <f t="shared" si="112"/>
        <v>1.357934161752913E-2</v>
      </c>
      <c r="AK103" s="290" t="s">
        <v>1036</v>
      </c>
      <c r="AL103" s="291"/>
      <c r="AM103" s="292"/>
      <c r="AN103" s="160"/>
    </row>
    <row r="104" spans="1:40" ht="45.75" thickBot="1" x14ac:dyDescent="0.3">
      <c r="A104" s="84">
        <f t="shared" si="90"/>
        <v>3</v>
      </c>
      <c r="B104" s="198">
        <v>99</v>
      </c>
      <c r="C104" s="204" t="s">
        <v>1055</v>
      </c>
      <c r="D104" s="203" t="s">
        <v>1044</v>
      </c>
      <c r="E104" s="60" t="s">
        <v>348</v>
      </c>
      <c r="F104" s="17">
        <v>1</v>
      </c>
      <c r="G104" s="17"/>
      <c r="H104" s="89" t="s">
        <v>28</v>
      </c>
      <c r="I104" s="131">
        <f>49000*1.052</f>
        <v>51548</v>
      </c>
      <c r="J104" s="121">
        <f t="shared" si="91"/>
        <v>9794.1200000000008</v>
      </c>
      <c r="K104" s="130">
        <f t="shared" si="92"/>
        <v>61342.12</v>
      </c>
      <c r="L104" s="121">
        <f t="shared" si="93"/>
        <v>51548</v>
      </c>
      <c r="M104" s="122">
        <f t="shared" si="94"/>
        <v>61342.12</v>
      </c>
      <c r="N104" s="132">
        <f>47000*1.052</f>
        <v>49444</v>
      </c>
      <c r="O104" s="121">
        <f t="shared" si="95"/>
        <v>9394.36</v>
      </c>
      <c r="P104" s="110">
        <f t="shared" si="96"/>
        <v>58838.36</v>
      </c>
      <c r="Q104" s="121">
        <f t="shared" si="97"/>
        <v>49444</v>
      </c>
      <c r="R104" s="124">
        <f t="shared" si="98"/>
        <v>58838.36</v>
      </c>
      <c r="S104" s="131">
        <f>41000*1.052</f>
        <v>43132</v>
      </c>
      <c r="T104" s="121">
        <f t="shared" si="99"/>
        <v>8195.08</v>
      </c>
      <c r="U104" s="110">
        <f t="shared" si="100"/>
        <v>51327.08</v>
      </c>
      <c r="V104" s="121">
        <f t="shared" si="101"/>
        <v>43132</v>
      </c>
      <c r="W104" s="122">
        <f t="shared" si="102"/>
        <v>51327.08</v>
      </c>
      <c r="X104" s="108"/>
      <c r="Y104" s="121">
        <f t="shared" si="103"/>
        <v>0</v>
      </c>
      <c r="Z104" s="121">
        <f t="shared" si="104"/>
        <v>0</v>
      </c>
      <c r="AA104" s="121">
        <f t="shared" si="105"/>
        <v>0</v>
      </c>
      <c r="AB104" s="124">
        <f t="shared" si="106"/>
        <v>0</v>
      </c>
      <c r="AC104" s="126">
        <f t="shared" si="107"/>
        <v>48041</v>
      </c>
      <c r="AD104" s="101">
        <f t="shared" si="81"/>
        <v>36031</v>
      </c>
      <c r="AE104" s="127">
        <f t="shared" si="108"/>
        <v>3576.1123521997397</v>
      </c>
      <c r="AF104" s="128">
        <f t="shared" si="109"/>
        <v>7.4438757565407451E-2</v>
      </c>
      <c r="AG104" s="129">
        <f t="shared" si="110"/>
        <v>49444</v>
      </c>
      <c r="AH104" s="101">
        <f t="shared" si="85"/>
        <v>46288</v>
      </c>
      <c r="AI104" s="130">
        <f t="shared" si="111"/>
        <v>3576.1123521997397</v>
      </c>
      <c r="AJ104" s="159">
        <f t="shared" si="112"/>
        <v>7.2326517923301914E-2</v>
      </c>
      <c r="AK104" s="290" t="s">
        <v>1036</v>
      </c>
      <c r="AL104" s="291"/>
      <c r="AM104" s="292"/>
      <c r="AN104" s="160"/>
    </row>
    <row r="105" spans="1:40" ht="138" customHeight="1" thickBot="1" x14ac:dyDescent="0.3">
      <c r="A105" s="84">
        <f t="shared" si="90"/>
        <v>3</v>
      </c>
      <c r="B105" s="198">
        <v>100</v>
      </c>
      <c r="C105" s="204" t="s">
        <v>1056</v>
      </c>
      <c r="D105" s="203" t="s">
        <v>1044</v>
      </c>
      <c r="E105" s="60" t="s">
        <v>349</v>
      </c>
      <c r="F105" s="17">
        <v>1</v>
      </c>
      <c r="G105" s="17"/>
      <c r="H105" s="89" t="s">
        <v>28</v>
      </c>
      <c r="I105" s="131">
        <f>43000*1.052</f>
        <v>45236</v>
      </c>
      <c r="J105" s="121">
        <f t="shared" si="91"/>
        <v>8594.84</v>
      </c>
      <c r="K105" s="130">
        <f t="shared" si="92"/>
        <v>53830.84</v>
      </c>
      <c r="L105" s="121">
        <f t="shared" si="93"/>
        <v>45236</v>
      </c>
      <c r="M105" s="122">
        <f t="shared" si="94"/>
        <v>53830.84</v>
      </c>
      <c r="N105" s="132">
        <f>42500*1.052</f>
        <v>44710</v>
      </c>
      <c r="O105" s="121">
        <f t="shared" si="95"/>
        <v>8494.9</v>
      </c>
      <c r="P105" s="110">
        <f t="shared" si="96"/>
        <v>53204.9</v>
      </c>
      <c r="Q105" s="121">
        <f t="shared" si="97"/>
        <v>44710</v>
      </c>
      <c r="R105" s="124">
        <f t="shared" si="98"/>
        <v>53204.9</v>
      </c>
      <c r="S105" s="131">
        <f>37000*1.052</f>
        <v>38924</v>
      </c>
      <c r="T105" s="121">
        <f t="shared" si="99"/>
        <v>7395.56</v>
      </c>
      <c r="U105" s="110">
        <f t="shared" si="100"/>
        <v>46319.56</v>
      </c>
      <c r="V105" s="121">
        <f t="shared" si="101"/>
        <v>38924</v>
      </c>
      <c r="W105" s="122">
        <f t="shared" si="102"/>
        <v>46319.56</v>
      </c>
      <c r="X105" s="108"/>
      <c r="Y105" s="121">
        <f t="shared" si="103"/>
        <v>0</v>
      </c>
      <c r="Z105" s="121">
        <f t="shared" si="104"/>
        <v>0</v>
      </c>
      <c r="AA105" s="121">
        <f t="shared" si="105"/>
        <v>0</v>
      </c>
      <c r="AB105" s="124">
        <f t="shared" si="106"/>
        <v>0</v>
      </c>
      <c r="AC105" s="126">
        <f t="shared" si="107"/>
        <v>42957</v>
      </c>
      <c r="AD105" s="101">
        <f t="shared" si="81"/>
        <v>32218</v>
      </c>
      <c r="AE105" s="127">
        <f t="shared" si="108"/>
        <v>2859.6001274459491</v>
      </c>
      <c r="AF105" s="128">
        <f t="shared" si="109"/>
        <v>6.6568897442697325E-2</v>
      </c>
      <c r="AG105" s="129">
        <f t="shared" si="110"/>
        <v>44710</v>
      </c>
      <c r="AH105" s="101">
        <f t="shared" si="85"/>
        <v>41817</v>
      </c>
      <c r="AI105" s="130">
        <f t="shared" si="111"/>
        <v>2859.6001274459491</v>
      </c>
      <c r="AJ105" s="159">
        <f t="shared" si="112"/>
        <v>6.395884874627486E-2</v>
      </c>
      <c r="AK105" s="290" t="s">
        <v>1036</v>
      </c>
      <c r="AL105" s="291"/>
      <c r="AM105" s="292"/>
      <c r="AN105" s="160"/>
    </row>
    <row r="106" spans="1:40" ht="124.5" customHeight="1" thickBot="1" x14ac:dyDescent="0.3">
      <c r="A106" s="84">
        <f t="shared" si="90"/>
        <v>3</v>
      </c>
      <c r="B106" s="198">
        <v>101</v>
      </c>
      <c r="C106" s="204" t="s">
        <v>1057</v>
      </c>
      <c r="D106" s="203" t="s">
        <v>1044</v>
      </c>
      <c r="E106" s="60" t="s">
        <v>350</v>
      </c>
      <c r="F106" s="17">
        <v>1</v>
      </c>
      <c r="G106" s="17"/>
      <c r="H106" s="89" t="s">
        <v>28</v>
      </c>
      <c r="I106" s="131">
        <f>40000*1.052</f>
        <v>42080</v>
      </c>
      <c r="J106" s="121">
        <f t="shared" si="91"/>
        <v>7995.2</v>
      </c>
      <c r="K106" s="130">
        <f t="shared" si="92"/>
        <v>50075.199999999997</v>
      </c>
      <c r="L106" s="121">
        <f t="shared" si="93"/>
        <v>42080</v>
      </c>
      <c r="M106" s="122">
        <f t="shared" si="94"/>
        <v>50075.199999999997</v>
      </c>
      <c r="N106" s="132">
        <f>35000*1.052</f>
        <v>36820</v>
      </c>
      <c r="O106" s="121">
        <f t="shared" si="95"/>
        <v>6995.8</v>
      </c>
      <c r="P106" s="110">
        <f t="shared" si="96"/>
        <v>43815.8</v>
      </c>
      <c r="Q106" s="121">
        <f t="shared" si="97"/>
        <v>36820</v>
      </c>
      <c r="R106" s="124">
        <f t="shared" si="98"/>
        <v>43815.8</v>
      </c>
      <c r="S106" s="131">
        <f>37000*1.052</f>
        <v>38924</v>
      </c>
      <c r="T106" s="121">
        <f t="shared" si="99"/>
        <v>7395.56</v>
      </c>
      <c r="U106" s="110">
        <f t="shared" si="100"/>
        <v>46319.56</v>
      </c>
      <c r="V106" s="121">
        <f t="shared" si="101"/>
        <v>38924</v>
      </c>
      <c r="W106" s="122">
        <f t="shared" si="102"/>
        <v>46319.56</v>
      </c>
      <c r="X106" s="108"/>
      <c r="Y106" s="121">
        <f t="shared" si="103"/>
        <v>0</v>
      </c>
      <c r="Z106" s="121">
        <f t="shared" si="104"/>
        <v>0</v>
      </c>
      <c r="AA106" s="121">
        <f t="shared" si="105"/>
        <v>0</v>
      </c>
      <c r="AB106" s="124">
        <f t="shared" si="106"/>
        <v>0</v>
      </c>
      <c r="AC106" s="126">
        <f t="shared" si="107"/>
        <v>39275</v>
      </c>
      <c r="AD106" s="101">
        <f t="shared" si="81"/>
        <v>29456</v>
      </c>
      <c r="AE106" s="127">
        <f t="shared" si="108"/>
        <v>2161.6545103744547</v>
      </c>
      <c r="AF106" s="128">
        <f t="shared" si="109"/>
        <v>5.503894361233494E-2</v>
      </c>
      <c r="AG106" s="129">
        <f t="shared" si="110"/>
        <v>38924</v>
      </c>
      <c r="AH106" s="101">
        <f t="shared" si="85"/>
        <v>37872</v>
      </c>
      <c r="AI106" s="130">
        <f t="shared" si="111"/>
        <v>2161.6545103744547</v>
      </c>
      <c r="AJ106" s="159">
        <f t="shared" si="112"/>
        <v>5.5535261288008807E-2</v>
      </c>
      <c r="AK106" s="290" t="s">
        <v>1036</v>
      </c>
      <c r="AL106" s="291"/>
      <c r="AM106" s="292"/>
      <c r="AN106" s="160"/>
    </row>
    <row r="107" spans="1:40" ht="45.75" thickBot="1" x14ac:dyDescent="0.3">
      <c r="A107" s="84">
        <f t="shared" si="90"/>
        <v>3</v>
      </c>
      <c r="B107" s="198">
        <v>102</v>
      </c>
      <c r="C107" s="204" t="s">
        <v>1058</v>
      </c>
      <c r="D107" s="203" t="s">
        <v>1044</v>
      </c>
      <c r="E107" s="60" t="s">
        <v>351</v>
      </c>
      <c r="F107" s="17">
        <v>1</v>
      </c>
      <c r="G107" s="17"/>
      <c r="H107" s="89" t="s">
        <v>28</v>
      </c>
      <c r="I107" s="131">
        <f>32000*1.052</f>
        <v>33664</v>
      </c>
      <c r="J107" s="121">
        <f t="shared" si="91"/>
        <v>6396.16</v>
      </c>
      <c r="K107" s="130">
        <f t="shared" si="92"/>
        <v>40060.160000000003</v>
      </c>
      <c r="L107" s="121">
        <f t="shared" si="93"/>
        <v>33664</v>
      </c>
      <c r="M107" s="122">
        <f t="shared" si="94"/>
        <v>40060.160000000003</v>
      </c>
      <c r="N107" s="132">
        <f>35000*1.052</f>
        <v>36820</v>
      </c>
      <c r="O107" s="121">
        <f t="shared" si="95"/>
        <v>6995.8</v>
      </c>
      <c r="P107" s="110">
        <f t="shared" si="96"/>
        <v>43815.8</v>
      </c>
      <c r="Q107" s="121">
        <f t="shared" si="97"/>
        <v>36820</v>
      </c>
      <c r="R107" s="124">
        <f t="shared" si="98"/>
        <v>43815.8</v>
      </c>
      <c r="S107" s="131">
        <f>37000*1.052</f>
        <v>38924</v>
      </c>
      <c r="T107" s="121">
        <f t="shared" si="99"/>
        <v>7395.56</v>
      </c>
      <c r="U107" s="110">
        <f t="shared" si="100"/>
        <v>46319.56</v>
      </c>
      <c r="V107" s="121">
        <f t="shared" si="101"/>
        <v>38924</v>
      </c>
      <c r="W107" s="122">
        <f t="shared" si="102"/>
        <v>46319.56</v>
      </c>
      <c r="X107" s="108"/>
      <c r="Y107" s="121">
        <f t="shared" si="103"/>
        <v>0</v>
      </c>
      <c r="Z107" s="121">
        <f t="shared" si="104"/>
        <v>0</v>
      </c>
      <c r="AA107" s="121">
        <f t="shared" si="105"/>
        <v>0</v>
      </c>
      <c r="AB107" s="124">
        <f t="shared" si="106"/>
        <v>0</v>
      </c>
      <c r="AC107" s="126">
        <f t="shared" si="107"/>
        <v>36469</v>
      </c>
      <c r="AD107" s="101">
        <f t="shared" si="81"/>
        <v>27352</v>
      </c>
      <c r="AE107" s="127">
        <f t="shared" si="108"/>
        <v>2161.6545103744547</v>
      </c>
      <c r="AF107" s="128">
        <f t="shared" si="109"/>
        <v>5.9273753335009317E-2</v>
      </c>
      <c r="AG107" s="129">
        <f t="shared" si="110"/>
        <v>36820</v>
      </c>
      <c r="AH107" s="101">
        <f t="shared" si="85"/>
        <v>35242</v>
      </c>
      <c r="AI107" s="130">
        <f t="shared" si="111"/>
        <v>2161.6545103744547</v>
      </c>
      <c r="AJ107" s="159">
        <f t="shared" si="112"/>
        <v>5.8708704790180734E-2</v>
      </c>
      <c r="AK107" s="290" t="s">
        <v>1036</v>
      </c>
      <c r="AL107" s="291"/>
      <c r="AM107" s="292"/>
      <c r="AN107" s="160"/>
    </row>
    <row r="108" spans="1:40" ht="93.75" customHeight="1" thickBot="1" x14ac:dyDescent="0.3">
      <c r="A108" s="84">
        <f t="shared" si="90"/>
        <v>3</v>
      </c>
      <c r="B108" s="198">
        <v>103</v>
      </c>
      <c r="C108" s="204" t="s">
        <v>1059</v>
      </c>
      <c r="D108" s="203" t="s">
        <v>1044</v>
      </c>
      <c r="E108" s="60" t="s">
        <v>352</v>
      </c>
      <c r="F108" s="17">
        <v>1</v>
      </c>
      <c r="G108" s="17"/>
      <c r="H108" s="89" t="s">
        <v>28</v>
      </c>
      <c r="I108" s="131">
        <f>38000*1.052</f>
        <v>39976</v>
      </c>
      <c r="J108" s="121">
        <f t="shared" si="91"/>
        <v>7595.4400000000005</v>
      </c>
      <c r="K108" s="130">
        <f t="shared" si="92"/>
        <v>47571.44</v>
      </c>
      <c r="L108" s="121">
        <f t="shared" si="93"/>
        <v>39976</v>
      </c>
      <c r="M108" s="122">
        <f t="shared" si="94"/>
        <v>47571.44</v>
      </c>
      <c r="N108" s="132">
        <f>38200*1.052</f>
        <v>40186.400000000001</v>
      </c>
      <c r="O108" s="121">
        <f t="shared" si="95"/>
        <v>7635.4160000000002</v>
      </c>
      <c r="P108" s="110">
        <f t="shared" si="96"/>
        <v>47821.815999999999</v>
      </c>
      <c r="Q108" s="121">
        <f t="shared" si="97"/>
        <v>40186.400000000001</v>
      </c>
      <c r="R108" s="124">
        <f t="shared" si="98"/>
        <v>47821.815999999999</v>
      </c>
      <c r="S108" s="131">
        <f>37500*1.052</f>
        <v>39450</v>
      </c>
      <c r="T108" s="121">
        <f t="shared" si="99"/>
        <v>7495.5</v>
      </c>
      <c r="U108" s="110">
        <f t="shared" si="100"/>
        <v>46945.5</v>
      </c>
      <c r="V108" s="121">
        <f t="shared" si="101"/>
        <v>39450</v>
      </c>
      <c r="W108" s="122">
        <f t="shared" si="102"/>
        <v>46945.5</v>
      </c>
      <c r="X108" s="108"/>
      <c r="Y108" s="121">
        <f t="shared" si="103"/>
        <v>0</v>
      </c>
      <c r="Z108" s="121">
        <f t="shared" si="104"/>
        <v>0</v>
      </c>
      <c r="AA108" s="121">
        <f t="shared" si="105"/>
        <v>0</v>
      </c>
      <c r="AB108" s="124">
        <f t="shared" si="106"/>
        <v>0</v>
      </c>
      <c r="AC108" s="126">
        <f t="shared" si="107"/>
        <v>39871</v>
      </c>
      <c r="AD108" s="101">
        <f t="shared" si="81"/>
        <v>29903</v>
      </c>
      <c r="AE108" s="127">
        <f t="shared" si="108"/>
        <v>309.70041437923032</v>
      </c>
      <c r="AF108" s="128">
        <f t="shared" si="109"/>
        <v>7.7675607428765352E-3</v>
      </c>
      <c r="AG108" s="129">
        <f t="shared" si="110"/>
        <v>39976</v>
      </c>
      <c r="AH108" s="101">
        <f t="shared" si="85"/>
        <v>39713</v>
      </c>
      <c r="AI108" s="130">
        <f t="shared" si="111"/>
        <v>309.70041437923032</v>
      </c>
      <c r="AJ108" s="159">
        <f t="shared" si="112"/>
        <v>7.7471586546735624E-3</v>
      </c>
      <c r="AK108" s="290" t="s">
        <v>1036</v>
      </c>
      <c r="AL108" s="291"/>
      <c r="AM108" s="292"/>
      <c r="AN108" s="160"/>
    </row>
    <row r="109" spans="1:40" ht="108.75" customHeight="1" thickBot="1" x14ac:dyDescent="0.3">
      <c r="A109" s="84">
        <f t="shared" si="90"/>
        <v>3</v>
      </c>
      <c r="B109" s="198">
        <v>104</v>
      </c>
      <c r="C109" s="204" t="s">
        <v>1060</v>
      </c>
      <c r="D109" s="203" t="s">
        <v>1044</v>
      </c>
      <c r="E109" s="60" t="s">
        <v>353</v>
      </c>
      <c r="F109" s="17">
        <v>1</v>
      </c>
      <c r="G109" s="17"/>
      <c r="H109" s="89" t="s">
        <v>28</v>
      </c>
      <c r="I109" s="131">
        <f>39000*1.052</f>
        <v>41028</v>
      </c>
      <c r="J109" s="121">
        <f t="shared" si="91"/>
        <v>7795.32</v>
      </c>
      <c r="K109" s="130">
        <f t="shared" si="92"/>
        <v>48823.32</v>
      </c>
      <c r="L109" s="121">
        <f t="shared" si="93"/>
        <v>41028</v>
      </c>
      <c r="M109" s="122">
        <f t="shared" si="94"/>
        <v>48823.32</v>
      </c>
      <c r="N109" s="132">
        <f>41000*1.052</f>
        <v>43132</v>
      </c>
      <c r="O109" s="121">
        <f t="shared" si="95"/>
        <v>8195.08</v>
      </c>
      <c r="P109" s="110">
        <f t="shared" si="96"/>
        <v>51327.08</v>
      </c>
      <c r="Q109" s="121">
        <f t="shared" si="97"/>
        <v>43132</v>
      </c>
      <c r="R109" s="124">
        <f t="shared" si="98"/>
        <v>51327.08</v>
      </c>
      <c r="S109" s="131">
        <f>40000*1.052</f>
        <v>42080</v>
      </c>
      <c r="T109" s="121">
        <f t="shared" si="99"/>
        <v>7995.2</v>
      </c>
      <c r="U109" s="110">
        <f t="shared" si="100"/>
        <v>50075.199999999997</v>
      </c>
      <c r="V109" s="121">
        <f t="shared" si="101"/>
        <v>42080</v>
      </c>
      <c r="W109" s="122">
        <f t="shared" si="102"/>
        <v>50075.199999999997</v>
      </c>
      <c r="X109" s="108"/>
      <c r="Y109" s="121">
        <f t="shared" si="103"/>
        <v>0</v>
      </c>
      <c r="Z109" s="121">
        <f t="shared" si="104"/>
        <v>0</v>
      </c>
      <c r="AA109" s="121">
        <f t="shared" si="105"/>
        <v>0</v>
      </c>
      <c r="AB109" s="124">
        <f t="shared" si="106"/>
        <v>0</v>
      </c>
      <c r="AC109" s="126">
        <f t="shared" si="107"/>
        <v>42080</v>
      </c>
      <c r="AD109" s="101">
        <f t="shared" si="81"/>
        <v>31560</v>
      </c>
      <c r="AE109" s="127">
        <f t="shared" si="108"/>
        <v>858.95440313596771</v>
      </c>
      <c r="AF109" s="128">
        <f t="shared" si="109"/>
        <v>2.0412414523193149E-2</v>
      </c>
      <c r="AG109" s="129">
        <f t="shared" si="110"/>
        <v>42080</v>
      </c>
      <c r="AH109" s="101">
        <f t="shared" si="85"/>
        <v>41554</v>
      </c>
      <c r="AI109" s="130">
        <f t="shared" si="111"/>
        <v>858.95440313596771</v>
      </c>
      <c r="AJ109" s="159">
        <f t="shared" si="112"/>
        <v>2.0412414523193149E-2</v>
      </c>
      <c r="AK109" s="290" t="s">
        <v>1036</v>
      </c>
      <c r="AL109" s="291"/>
      <c r="AM109" s="292"/>
      <c r="AN109" s="160"/>
    </row>
    <row r="110" spans="1:40" ht="60.75" thickBot="1" x14ac:dyDescent="0.3">
      <c r="A110" s="84">
        <f t="shared" si="90"/>
        <v>3</v>
      </c>
      <c r="B110" s="198">
        <v>105</v>
      </c>
      <c r="C110" s="204" t="s">
        <v>1061</v>
      </c>
      <c r="D110" s="203" t="s">
        <v>1044</v>
      </c>
      <c r="E110" s="60" t="s">
        <v>354</v>
      </c>
      <c r="F110" s="17">
        <v>1</v>
      </c>
      <c r="G110" s="17"/>
      <c r="H110" s="89" t="s">
        <v>28</v>
      </c>
      <c r="I110" s="131">
        <f>45000*1.052</f>
        <v>47340</v>
      </c>
      <c r="J110" s="121">
        <f t="shared" si="91"/>
        <v>8994.6</v>
      </c>
      <c r="K110" s="130">
        <f t="shared" si="92"/>
        <v>56334.6</v>
      </c>
      <c r="L110" s="121">
        <f t="shared" si="93"/>
        <v>47340</v>
      </c>
      <c r="M110" s="122">
        <f t="shared" si="94"/>
        <v>56334.6</v>
      </c>
      <c r="N110" s="132">
        <f>45700*1.052</f>
        <v>48076.4</v>
      </c>
      <c r="O110" s="121">
        <f t="shared" si="95"/>
        <v>9134.5159999999996</v>
      </c>
      <c r="P110" s="110">
        <f t="shared" si="96"/>
        <v>57210.915999999997</v>
      </c>
      <c r="Q110" s="121">
        <f t="shared" si="97"/>
        <v>48076.4</v>
      </c>
      <c r="R110" s="124">
        <f t="shared" si="98"/>
        <v>57210.915999999997</v>
      </c>
      <c r="S110" s="131">
        <f>47000*1.052</f>
        <v>49444</v>
      </c>
      <c r="T110" s="121">
        <f t="shared" si="99"/>
        <v>9394.36</v>
      </c>
      <c r="U110" s="110">
        <f t="shared" si="100"/>
        <v>58838.36</v>
      </c>
      <c r="V110" s="121">
        <f t="shared" si="101"/>
        <v>49444</v>
      </c>
      <c r="W110" s="122">
        <f t="shared" si="102"/>
        <v>58838.36</v>
      </c>
      <c r="X110" s="108"/>
      <c r="Y110" s="121">
        <f t="shared" si="103"/>
        <v>0</v>
      </c>
      <c r="Z110" s="121">
        <f t="shared" si="104"/>
        <v>0</v>
      </c>
      <c r="AA110" s="121">
        <f t="shared" si="105"/>
        <v>0</v>
      </c>
      <c r="AB110" s="124">
        <f t="shared" si="106"/>
        <v>0</v>
      </c>
      <c r="AC110" s="126">
        <f t="shared" si="107"/>
        <v>48287</v>
      </c>
      <c r="AD110" s="101">
        <f t="shared" si="81"/>
        <v>36215</v>
      </c>
      <c r="AE110" s="127">
        <f t="shared" si="108"/>
        <v>871.74350967854446</v>
      </c>
      <c r="AF110" s="128">
        <f t="shared" si="109"/>
        <v>1.8053378956624858E-2</v>
      </c>
      <c r="AG110" s="129">
        <f t="shared" si="110"/>
        <v>48076</v>
      </c>
      <c r="AH110" s="101">
        <f t="shared" si="85"/>
        <v>47708</v>
      </c>
      <c r="AI110" s="130">
        <f t="shared" si="111"/>
        <v>871.74350967854446</v>
      </c>
      <c r="AJ110" s="159">
        <f t="shared" si="112"/>
        <v>1.8132613147486158E-2</v>
      </c>
      <c r="AK110" s="290" t="s">
        <v>1036</v>
      </c>
      <c r="AL110" s="291"/>
      <c r="AM110" s="292"/>
      <c r="AN110" s="160"/>
    </row>
    <row r="111" spans="1:40" ht="106.5" customHeight="1" thickBot="1" x14ac:dyDescent="0.3">
      <c r="A111" s="84">
        <f t="shared" si="90"/>
        <v>3</v>
      </c>
      <c r="B111" s="198">
        <v>106</v>
      </c>
      <c r="C111" s="204" t="s">
        <v>1062</v>
      </c>
      <c r="D111" s="203" t="s">
        <v>1044</v>
      </c>
      <c r="E111" s="60" t="s">
        <v>355</v>
      </c>
      <c r="F111" s="17">
        <v>1</v>
      </c>
      <c r="G111" s="17"/>
      <c r="H111" s="89" t="s">
        <v>28</v>
      </c>
      <c r="I111" s="115">
        <v>17500</v>
      </c>
      <c r="J111" s="121">
        <f t="shared" si="91"/>
        <v>3325</v>
      </c>
      <c r="K111" s="130">
        <f t="shared" si="92"/>
        <v>20825</v>
      </c>
      <c r="L111" s="121">
        <f t="shared" si="93"/>
        <v>17500</v>
      </c>
      <c r="M111" s="122">
        <f t="shared" si="94"/>
        <v>20825</v>
      </c>
      <c r="N111" s="116">
        <v>14800</v>
      </c>
      <c r="O111" s="121">
        <f t="shared" si="95"/>
        <v>2812</v>
      </c>
      <c r="P111" s="110">
        <f t="shared" si="96"/>
        <v>17612</v>
      </c>
      <c r="Q111" s="121">
        <f t="shared" si="97"/>
        <v>14800</v>
      </c>
      <c r="R111" s="124">
        <f t="shared" si="98"/>
        <v>17612</v>
      </c>
      <c r="S111" s="117">
        <v>14880</v>
      </c>
      <c r="T111" s="121">
        <f t="shared" si="99"/>
        <v>2827.2</v>
      </c>
      <c r="U111" s="110">
        <f t="shared" si="100"/>
        <v>17707.2</v>
      </c>
      <c r="V111" s="121">
        <f t="shared" si="101"/>
        <v>14880</v>
      </c>
      <c r="W111" s="122">
        <f t="shared" si="102"/>
        <v>17707.2</v>
      </c>
      <c r="X111" s="108"/>
      <c r="Y111" s="121">
        <f t="shared" si="103"/>
        <v>0</v>
      </c>
      <c r="Z111" s="121">
        <f t="shared" si="104"/>
        <v>0</v>
      </c>
      <c r="AA111" s="121">
        <f t="shared" si="105"/>
        <v>0</v>
      </c>
      <c r="AB111" s="124">
        <f t="shared" si="106"/>
        <v>0</v>
      </c>
      <c r="AC111" s="126">
        <f t="shared" si="107"/>
        <v>15727</v>
      </c>
      <c r="AD111" s="101">
        <f t="shared" si="81"/>
        <v>11795</v>
      </c>
      <c r="AE111" s="127">
        <f t="shared" si="108"/>
        <v>1254.3612805815644</v>
      </c>
      <c r="AF111" s="128">
        <f t="shared" si="109"/>
        <v>7.9758458738574706E-2</v>
      </c>
      <c r="AG111" s="129">
        <f t="shared" si="110"/>
        <v>14880</v>
      </c>
      <c r="AH111" s="101">
        <f t="shared" si="85"/>
        <v>14840</v>
      </c>
      <c r="AI111" s="130">
        <f t="shared" si="111"/>
        <v>1254.3612805815644</v>
      </c>
      <c r="AJ111" s="159">
        <f t="shared" si="112"/>
        <v>8.4298473157363205E-2</v>
      </c>
      <c r="AK111" s="175" t="s">
        <v>982</v>
      </c>
      <c r="AL111" s="161" t="s">
        <v>983</v>
      </c>
      <c r="AM111" s="176" t="s">
        <v>984</v>
      </c>
      <c r="AN111" s="160"/>
    </row>
    <row r="112" spans="1:40" ht="115.5" customHeight="1" thickBot="1" x14ac:dyDescent="0.3">
      <c r="A112" s="84">
        <f t="shared" si="90"/>
        <v>3</v>
      </c>
      <c r="B112" s="198">
        <v>107</v>
      </c>
      <c r="C112" s="204" t="s">
        <v>1063</v>
      </c>
      <c r="D112" s="203" t="s">
        <v>1044</v>
      </c>
      <c r="E112" s="60" t="s">
        <v>356</v>
      </c>
      <c r="F112" s="17">
        <v>1</v>
      </c>
      <c r="G112" s="17"/>
      <c r="H112" s="89" t="s">
        <v>28</v>
      </c>
      <c r="I112" s="131">
        <f>27500*1.052</f>
        <v>28930</v>
      </c>
      <c r="J112" s="121">
        <f t="shared" si="91"/>
        <v>5496.7</v>
      </c>
      <c r="K112" s="130">
        <f t="shared" si="92"/>
        <v>34426.699999999997</v>
      </c>
      <c r="L112" s="121">
        <f t="shared" si="93"/>
        <v>28930</v>
      </c>
      <c r="M112" s="122">
        <f t="shared" si="94"/>
        <v>34426.699999999997</v>
      </c>
      <c r="N112" s="132">
        <f>26700*1.052</f>
        <v>28088.400000000001</v>
      </c>
      <c r="O112" s="121">
        <f t="shared" si="95"/>
        <v>5336.7960000000003</v>
      </c>
      <c r="P112" s="110">
        <f t="shared" si="96"/>
        <v>33425.196000000004</v>
      </c>
      <c r="Q112" s="121">
        <f t="shared" si="97"/>
        <v>28088.400000000001</v>
      </c>
      <c r="R112" s="124">
        <f t="shared" si="98"/>
        <v>33425.196000000004</v>
      </c>
      <c r="S112" s="131">
        <f>25000*1.052</f>
        <v>26300</v>
      </c>
      <c r="T112" s="121">
        <f t="shared" si="99"/>
        <v>4997</v>
      </c>
      <c r="U112" s="110">
        <f t="shared" si="100"/>
        <v>31297</v>
      </c>
      <c r="V112" s="121">
        <f t="shared" si="101"/>
        <v>26300</v>
      </c>
      <c r="W112" s="122">
        <f t="shared" si="102"/>
        <v>31297</v>
      </c>
      <c r="X112" s="108"/>
      <c r="Y112" s="121">
        <f t="shared" si="103"/>
        <v>0</v>
      </c>
      <c r="Z112" s="121">
        <f t="shared" si="104"/>
        <v>0</v>
      </c>
      <c r="AA112" s="121">
        <f t="shared" si="105"/>
        <v>0</v>
      </c>
      <c r="AB112" s="124">
        <f t="shared" si="106"/>
        <v>0</v>
      </c>
      <c r="AC112" s="126">
        <f t="shared" si="107"/>
        <v>27773</v>
      </c>
      <c r="AD112" s="101">
        <f t="shared" si="81"/>
        <v>20830</v>
      </c>
      <c r="AE112" s="127">
        <f t="shared" si="108"/>
        <v>1096.6395700806472</v>
      </c>
      <c r="AF112" s="128">
        <f t="shared" si="109"/>
        <v>3.948581608326962E-2</v>
      </c>
      <c r="AG112" s="129">
        <f t="shared" si="110"/>
        <v>28088</v>
      </c>
      <c r="AH112" s="101">
        <f t="shared" si="85"/>
        <v>27194</v>
      </c>
      <c r="AI112" s="130">
        <f t="shared" si="111"/>
        <v>1096.6395700806472</v>
      </c>
      <c r="AJ112" s="159">
        <f t="shared" si="112"/>
        <v>3.9042992383959245E-2</v>
      </c>
      <c r="AK112" s="290" t="s">
        <v>1036</v>
      </c>
      <c r="AL112" s="291"/>
      <c r="AM112" s="292"/>
      <c r="AN112" s="160"/>
    </row>
    <row r="113" spans="1:40" ht="108" customHeight="1" thickBot="1" x14ac:dyDescent="0.3">
      <c r="A113" s="84">
        <f t="shared" si="90"/>
        <v>3</v>
      </c>
      <c r="B113" s="198">
        <v>108</v>
      </c>
      <c r="C113" s="204" t="s">
        <v>1064</v>
      </c>
      <c r="D113" s="203" t="s">
        <v>1044</v>
      </c>
      <c r="E113" s="60" t="s">
        <v>357</v>
      </c>
      <c r="F113" s="17">
        <v>1</v>
      </c>
      <c r="G113" s="17"/>
      <c r="H113" s="89" t="s">
        <v>28</v>
      </c>
      <c r="I113" s="131">
        <f>27500*1.052</f>
        <v>28930</v>
      </c>
      <c r="J113" s="121">
        <f t="shared" si="91"/>
        <v>5496.7</v>
      </c>
      <c r="K113" s="130">
        <f t="shared" si="92"/>
        <v>34426.699999999997</v>
      </c>
      <c r="L113" s="121">
        <f t="shared" si="93"/>
        <v>28930</v>
      </c>
      <c r="M113" s="122">
        <f t="shared" si="94"/>
        <v>34426.699999999997</v>
      </c>
      <c r="N113" s="132">
        <f>24500*1.052</f>
        <v>25774</v>
      </c>
      <c r="O113" s="121">
        <f t="shared" si="95"/>
        <v>4897.0600000000004</v>
      </c>
      <c r="P113" s="110">
        <f t="shared" si="96"/>
        <v>30671.06</v>
      </c>
      <c r="Q113" s="121">
        <f t="shared" si="97"/>
        <v>25774</v>
      </c>
      <c r="R113" s="124">
        <f t="shared" si="98"/>
        <v>30671.06</v>
      </c>
      <c r="S113" s="131">
        <f>26000*1.052</f>
        <v>27352</v>
      </c>
      <c r="T113" s="121">
        <f t="shared" si="99"/>
        <v>5196.88</v>
      </c>
      <c r="U113" s="110">
        <f t="shared" si="100"/>
        <v>32548.880000000001</v>
      </c>
      <c r="V113" s="121">
        <f t="shared" si="101"/>
        <v>27352</v>
      </c>
      <c r="W113" s="122">
        <f t="shared" si="102"/>
        <v>32548.880000000001</v>
      </c>
      <c r="X113" s="108"/>
      <c r="Y113" s="121">
        <f t="shared" si="103"/>
        <v>0</v>
      </c>
      <c r="Z113" s="121">
        <f t="shared" si="104"/>
        <v>0</v>
      </c>
      <c r="AA113" s="121">
        <f t="shared" si="105"/>
        <v>0</v>
      </c>
      <c r="AB113" s="124">
        <f t="shared" si="106"/>
        <v>0</v>
      </c>
      <c r="AC113" s="126">
        <f t="shared" si="107"/>
        <v>27352</v>
      </c>
      <c r="AD113" s="101">
        <f t="shared" si="81"/>
        <v>20514</v>
      </c>
      <c r="AE113" s="127">
        <f t="shared" si="108"/>
        <v>1288.4316047039517</v>
      </c>
      <c r="AF113" s="128">
        <f t="shared" si="109"/>
        <v>4.7105571976599578E-2</v>
      </c>
      <c r="AG113" s="129">
        <f t="shared" si="110"/>
        <v>27352</v>
      </c>
      <c r="AH113" s="101">
        <f t="shared" si="85"/>
        <v>26563</v>
      </c>
      <c r="AI113" s="130">
        <f t="shared" si="111"/>
        <v>1288.4316047039517</v>
      </c>
      <c r="AJ113" s="159">
        <f t="shared" si="112"/>
        <v>4.7105571976599578E-2</v>
      </c>
      <c r="AK113" s="290" t="s">
        <v>1036</v>
      </c>
      <c r="AL113" s="291"/>
      <c r="AM113" s="292"/>
      <c r="AN113" s="160"/>
    </row>
    <row r="114" spans="1:40" ht="75.75" thickBot="1" x14ac:dyDescent="0.3">
      <c r="A114" s="84">
        <f t="shared" si="90"/>
        <v>3</v>
      </c>
      <c r="B114" s="198">
        <v>109</v>
      </c>
      <c r="C114" s="204" t="s">
        <v>1065</v>
      </c>
      <c r="D114" s="203" t="s">
        <v>1044</v>
      </c>
      <c r="E114" s="60" t="s">
        <v>358</v>
      </c>
      <c r="F114" s="17">
        <v>1</v>
      </c>
      <c r="G114" s="17"/>
      <c r="H114" s="89" t="s">
        <v>28</v>
      </c>
      <c r="I114" s="131">
        <f>26000*1.052</f>
        <v>27352</v>
      </c>
      <c r="J114" s="121">
        <f t="shared" si="91"/>
        <v>5196.88</v>
      </c>
      <c r="K114" s="130">
        <f t="shared" si="92"/>
        <v>32548.880000000001</v>
      </c>
      <c r="L114" s="121">
        <f t="shared" si="93"/>
        <v>27352</v>
      </c>
      <c r="M114" s="122">
        <f t="shared" si="94"/>
        <v>32548.880000000001</v>
      </c>
      <c r="N114" s="132">
        <f>25200*1.052</f>
        <v>26510.400000000001</v>
      </c>
      <c r="O114" s="121">
        <f t="shared" si="95"/>
        <v>5036.9760000000006</v>
      </c>
      <c r="P114" s="110">
        <f t="shared" si="96"/>
        <v>31547.376000000004</v>
      </c>
      <c r="Q114" s="121">
        <f t="shared" si="97"/>
        <v>26510.400000000001</v>
      </c>
      <c r="R114" s="124">
        <f t="shared" si="98"/>
        <v>31547.376000000004</v>
      </c>
      <c r="S114" s="131">
        <f>24000*1.052</f>
        <v>25248</v>
      </c>
      <c r="T114" s="121">
        <f t="shared" si="99"/>
        <v>4797.12</v>
      </c>
      <c r="U114" s="110">
        <f t="shared" si="100"/>
        <v>30045.119999999999</v>
      </c>
      <c r="V114" s="121">
        <f t="shared" si="101"/>
        <v>25248</v>
      </c>
      <c r="W114" s="122">
        <f t="shared" si="102"/>
        <v>30045.119999999999</v>
      </c>
      <c r="X114" s="108"/>
      <c r="Y114" s="121">
        <f t="shared" si="103"/>
        <v>0</v>
      </c>
      <c r="Z114" s="121">
        <f t="shared" si="104"/>
        <v>0</v>
      </c>
      <c r="AA114" s="121">
        <f t="shared" si="105"/>
        <v>0</v>
      </c>
      <c r="AB114" s="124">
        <f t="shared" si="106"/>
        <v>0</v>
      </c>
      <c r="AC114" s="126">
        <f t="shared" si="107"/>
        <v>26370</v>
      </c>
      <c r="AD114" s="101">
        <f t="shared" si="81"/>
        <v>19778</v>
      </c>
      <c r="AE114" s="127">
        <f t="shared" si="108"/>
        <v>864.66180414978191</v>
      </c>
      <c r="AF114" s="128">
        <f t="shared" si="109"/>
        <v>3.2789601977617822E-2</v>
      </c>
      <c r="AG114" s="129">
        <f t="shared" si="110"/>
        <v>26510</v>
      </c>
      <c r="AH114" s="101">
        <f t="shared" si="85"/>
        <v>25879</v>
      </c>
      <c r="AI114" s="130">
        <f t="shared" si="111"/>
        <v>864.66180414978191</v>
      </c>
      <c r="AJ114" s="159">
        <f t="shared" si="112"/>
        <v>3.2616439236129079E-2</v>
      </c>
      <c r="AK114" s="290" t="s">
        <v>1036</v>
      </c>
      <c r="AL114" s="291"/>
      <c r="AM114" s="292"/>
      <c r="AN114" s="160"/>
    </row>
    <row r="115" spans="1:40" ht="126.75" customHeight="1" thickBot="1" x14ac:dyDescent="0.3">
      <c r="A115" s="84">
        <f t="shared" si="90"/>
        <v>3</v>
      </c>
      <c r="B115" s="198">
        <v>110</v>
      </c>
      <c r="C115" s="204" t="s">
        <v>1066</v>
      </c>
      <c r="D115" s="203" t="s">
        <v>1044</v>
      </c>
      <c r="E115" s="60" t="s">
        <v>359</v>
      </c>
      <c r="F115" s="17">
        <v>1</v>
      </c>
      <c r="G115" s="17"/>
      <c r="H115" s="89" t="s">
        <v>28</v>
      </c>
      <c r="I115" s="131">
        <f>18000*1.052</f>
        <v>18936</v>
      </c>
      <c r="J115" s="121">
        <f t="shared" si="91"/>
        <v>3597.84</v>
      </c>
      <c r="K115" s="130">
        <f t="shared" si="92"/>
        <v>22533.84</v>
      </c>
      <c r="L115" s="121">
        <f t="shared" si="93"/>
        <v>18936</v>
      </c>
      <c r="M115" s="122">
        <f t="shared" si="94"/>
        <v>22533.84</v>
      </c>
      <c r="N115" s="132">
        <f>21000*1.052</f>
        <v>22092</v>
      </c>
      <c r="O115" s="121">
        <f t="shared" si="95"/>
        <v>4197.4800000000005</v>
      </c>
      <c r="P115" s="110">
        <f t="shared" si="96"/>
        <v>26289.48</v>
      </c>
      <c r="Q115" s="121">
        <f t="shared" si="97"/>
        <v>22092</v>
      </c>
      <c r="R115" s="124">
        <f t="shared" si="98"/>
        <v>26289.48</v>
      </c>
      <c r="S115" s="131">
        <f>20000*1.052</f>
        <v>21040</v>
      </c>
      <c r="T115" s="121">
        <f t="shared" si="99"/>
        <v>3997.6</v>
      </c>
      <c r="U115" s="110">
        <f t="shared" si="100"/>
        <v>25037.599999999999</v>
      </c>
      <c r="V115" s="121">
        <f t="shared" si="101"/>
        <v>21040</v>
      </c>
      <c r="W115" s="122">
        <f t="shared" si="102"/>
        <v>25037.599999999999</v>
      </c>
      <c r="X115" s="108"/>
      <c r="Y115" s="121">
        <f t="shared" si="103"/>
        <v>0</v>
      </c>
      <c r="Z115" s="121">
        <f t="shared" si="104"/>
        <v>0</v>
      </c>
      <c r="AA115" s="121">
        <f t="shared" si="105"/>
        <v>0</v>
      </c>
      <c r="AB115" s="124">
        <f t="shared" si="106"/>
        <v>0</v>
      </c>
      <c r="AC115" s="126">
        <f t="shared" si="107"/>
        <v>20689</v>
      </c>
      <c r="AD115" s="101">
        <f t="shared" si="81"/>
        <v>15517</v>
      </c>
      <c r="AE115" s="127">
        <f t="shared" si="108"/>
        <v>1312.0745236287287</v>
      </c>
      <c r="AF115" s="128">
        <f t="shared" si="109"/>
        <v>6.3418943575268436E-2</v>
      </c>
      <c r="AG115" s="129">
        <f t="shared" si="110"/>
        <v>21040</v>
      </c>
      <c r="AH115" s="101">
        <f t="shared" si="85"/>
        <v>19988</v>
      </c>
      <c r="AI115" s="130">
        <f t="shared" si="111"/>
        <v>1312.0745236287287</v>
      </c>
      <c r="AJ115" s="159">
        <f t="shared" si="112"/>
        <v>6.2360956446232352E-2</v>
      </c>
      <c r="AK115" s="290" t="s">
        <v>1036</v>
      </c>
      <c r="AL115" s="291"/>
      <c r="AM115" s="292"/>
      <c r="AN115" s="160"/>
    </row>
    <row r="116" spans="1:40" ht="109.5" customHeight="1" thickBot="1" x14ac:dyDescent="0.3">
      <c r="A116" s="84">
        <f t="shared" si="90"/>
        <v>3</v>
      </c>
      <c r="B116" s="198">
        <v>111</v>
      </c>
      <c r="C116" s="204" t="s">
        <v>1067</v>
      </c>
      <c r="D116" s="203" t="s">
        <v>1044</v>
      </c>
      <c r="E116" s="60" t="s">
        <v>360</v>
      </c>
      <c r="F116" s="17">
        <v>1</v>
      </c>
      <c r="G116" s="17"/>
      <c r="H116" s="89" t="s">
        <v>28</v>
      </c>
      <c r="I116" s="131">
        <f>19000*1.052</f>
        <v>19988</v>
      </c>
      <c r="J116" s="121">
        <f t="shared" si="91"/>
        <v>3797.7200000000003</v>
      </c>
      <c r="K116" s="130">
        <f t="shared" si="92"/>
        <v>23785.72</v>
      </c>
      <c r="L116" s="121">
        <f t="shared" si="93"/>
        <v>19988</v>
      </c>
      <c r="M116" s="122">
        <f t="shared" si="94"/>
        <v>23785.72</v>
      </c>
      <c r="N116" s="132">
        <f>23000*1.052</f>
        <v>24196</v>
      </c>
      <c r="O116" s="121">
        <f t="shared" si="95"/>
        <v>4597.24</v>
      </c>
      <c r="P116" s="110">
        <f t="shared" si="96"/>
        <v>28793.239999999998</v>
      </c>
      <c r="Q116" s="121">
        <f t="shared" si="97"/>
        <v>24196</v>
      </c>
      <c r="R116" s="124">
        <f t="shared" si="98"/>
        <v>28793.239999999998</v>
      </c>
      <c r="S116" s="131">
        <f>22000*1.052</f>
        <v>23144</v>
      </c>
      <c r="T116" s="121">
        <f t="shared" si="99"/>
        <v>4397.3599999999997</v>
      </c>
      <c r="U116" s="110">
        <f t="shared" si="100"/>
        <v>27541.360000000001</v>
      </c>
      <c r="V116" s="121">
        <f t="shared" si="101"/>
        <v>23144</v>
      </c>
      <c r="W116" s="122">
        <f t="shared" si="102"/>
        <v>27541.360000000001</v>
      </c>
      <c r="X116" s="108"/>
      <c r="Y116" s="121">
        <f t="shared" si="103"/>
        <v>0</v>
      </c>
      <c r="Z116" s="121">
        <f t="shared" si="104"/>
        <v>0</v>
      </c>
      <c r="AA116" s="121">
        <f t="shared" si="105"/>
        <v>0</v>
      </c>
      <c r="AB116" s="124">
        <f t="shared" si="106"/>
        <v>0</v>
      </c>
      <c r="AC116" s="126">
        <f t="shared" si="107"/>
        <v>22443</v>
      </c>
      <c r="AD116" s="101">
        <f t="shared" si="81"/>
        <v>16832</v>
      </c>
      <c r="AE116" s="127">
        <f t="shared" si="108"/>
        <v>1788.0561760998698</v>
      </c>
      <c r="AF116" s="128">
        <f t="shared" si="109"/>
        <v>7.967099657353606E-2</v>
      </c>
      <c r="AG116" s="129">
        <f t="shared" si="110"/>
        <v>23144</v>
      </c>
      <c r="AH116" s="101">
        <f t="shared" si="85"/>
        <v>21566</v>
      </c>
      <c r="AI116" s="130">
        <f t="shared" si="111"/>
        <v>1788.0561760998698</v>
      </c>
      <c r="AJ116" s="159">
        <f t="shared" si="112"/>
        <v>7.7257871418072499E-2</v>
      </c>
      <c r="AK116" s="290" t="s">
        <v>1036</v>
      </c>
      <c r="AL116" s="291"/>
      <c r="AM116" s="292"/>
      <c r="AN116" s="160"/>
    </row>
    <row r="117" spans="1:40" ht="120.75" thickBot="1" x14ac:dyDescent="0.3">
      <c r="A117" s="84">
        <f t="shared" si="90"/>
        <v>3</v>
      </c>
      <c r="B117" s="198">
        <v>112</v>
      </c>
      <c r="C117" s="204" t="s">
        <v>1068</v>
      </c>
      <c r="D117" s="203" t="s">
        <v>1044</v>
      </c>
      <c r="E117" s="60" t="s">
        <v>361</v>
      </c>
      <c r="F117" s="17">
        <v>1</v>
      </c>
      <c r="G117" s="17"/>
      <c r="H117" s="89" t="s">
        <v>28</v>
      </c>
      <c r="I117" s="131">
        <f>27000*1.052</f>
        <v>28404</v>
      </c>
      <c r="J117" s="121">
        <f t="shared" si="91"/>
        <v>5396.76</v>
      </c>
      <c r="K117" s="130">
        <f t="shared" si="92"/>
        <v>33800.76</v>
      </c>
      <c r="L117" s="121">
        <f t="shared" si="93"/>
        <v>28404</v>
      </c>
      <c r="M117" s="122">
        <f t="shared" si="94"/>
        <v>33800.76</v>
      </c>
      <c r="N117" s="132">
        <f>23000*1.052</f>
        <v>24196</v>
      </c>
      <c r="O117" s="121">
        <f t="shared" si="95"/>
        <v>4597.24</v>
      </c>
      <c r="P117" s="110">
        <f t="shared" si="96"/>
        <v>28793.239999999998</v>
      </c>
      <c r="Q117" s="121">
        <f t="shared" si="97"/>
        <v>24196</v>
      </c>
      <c r="R117" s="124">
        <f t="shared" si="98"/>
        <v>28793.239999999998</v>
      </c>
      <c r="S117" s="131">
        <f>24000*1.052</f>
        <v>25248</v>
      </c>
      <c r="T117" s="121">
        <f t="shared" si="99"/>
        <v>4797.12</v>
      </c>
      <c r="U117" s="110">
        <f t="shared" si="100"/>
        <v>30045.119999999999</v>
      </c>
      <c r="V117" s="121">
        <f t="shared" si="101"/>
        <v>25248</v>
      </c>
      <c r="W117" s="122">
        <f t="shared" si="102"/>
        <v>30045.119999999999</v>
      </c>
      <c r="X117" s="108"/>
      <c r="Y117" s="121">
        <f t="shared" si="103"/>
        <v>0</v>
      </c>
      <c r="Z117" s="121">
        <f t="shared" si="104"/>
        <v>0</v>
      </c>
      <c r="AA117" s="121">
        <f t="shared" si="105"/>
        <v>0</v>
      </c>
      <c r="AB117" s="124">
        <f t="shared" si="106"/>
        <v>0</v>
      </c>
      <c r="AC117" s="126">
        <f t="shared" si="107"/>
        <v>25949</v>
      </c>
      <c r="AD117" s="101">
        <f t="shared" si="81"/>
        <v>19462</v>
      </c>
      <c r="AE117" s="127">
        <f t="shared" si="108"/>
        <v>1788.0561760998698</v>
      </c>
      <c r="AF117" s="128">
        <f t="shared" si="109"/>
        <v>6.8906554244859905E-2</v>
      </c>
      <c r="AG117" s="129">
        <f t="shared" si="110"/>
        <v>25248</v>
      </c>
      <c r="AH117" s="101">
        <f t="shared" si="85"/>
        <v>24722</v>
      </c>
      <c r="AI117" s="130">
        <f t="shared" si="111"/>
        <v>1788.0561760998698</v>
      </c>
      <c r="AJ117" s="159">
        <f t="shared" si="112"/>
        <v>7.0819715466566457E-2</v>
      </c>
      <c r="AK117" s="290" t="s">
        <v>1036</v>
      </c>
      <c r="AL117" s="291"/>
      <c r="AM117" s="292"/>
      <c r="AN117" s="160"/>
    </row>
    <row r="118" spans="1:40" ht="60.75" thickBot="1" x14ac:dyDescent="0.3">
      <c r="A118" s="84">
        <f t="shared" si="90"/>
        <v>3</v>
      </c>
      <c r="B118" s="198">
        <v>113</v>
      </c>
      <c r="C118" s="204" t="s">
        <v>1069</v>
      </c>
      <c r="D118" s="203" t="s">
        <v>1044</v>
      </c>
      <c r="E118" s="60" t="s">
        <v>362</v>
      </c>
      <c r="F118" s="17">
        <v>1</v>
      </c>
      <c r="G118" s="17"/>
      <c r="H118" s="89" t="s">
        <v>28</v>
      </c>
      <c r="I118" s="131">
        <f>22000*1.052</f>
        <v>23144</v>
      </c>
      <c r="J118" s="121">
        <f t="shared" si="91"/>
        <v>4397.3599999999997</v>
      </c>
      <c r="K118" s="130">
        <f t="shared" si="92"/>
        <v>27541.360000000001</v>
      </c>
      <c r="L118" s="121">
        <f t="shared" si="93"/>
        <v>23144</v>
      </c>
      <c r="M118" s="122">
        <f t="shared" si="94"/>
        <v>27541.360000000001</v>
      </c>
      <c r="N118" s="132">
        <f>20000*1.052</f>
        <v>21040</v>
      </c>
      <c r="O118" s="121">
        <f t="shared" si="95"/>
        <v>3997.6</v>
      </c>
      <c r="P118" s="110">
        <f t="shared" si="96"/>
        <v>25037.599999999999</v>
      </c>
      <c r="Q118" s="121">
        <f t="shared" si="97"/>
        <v>21040</v>
      </c>
      <c r="R118" s="124">
        <f t="shared" si="98"/>
        <v>25037.599999999999</v>
      </c>
      <c r="S118" s="131">
        <f>19000*1.052</f>
        <v>19988</v>
      </c>
      <c r="T118" s="121">
        <f t="shared" si="99"/>
        <v>3797.7200000000003</v>
      </c>
      <c r="U118" s="110">
        <f t="shared" si="100"/>
        <v>23785.72</v>
      </c>
      <c r="V118" s="121">
        <f t="shared" si="101"/>
        <v>19988</v>
      </c>
      <c r="W118" s="122">
        <f t="shared" si="102"/>
        <v>23785.72</v>
      </c>
      <c r="X118" s="108"/>
      <c r="Y118" s="121">
        <f t="shared" si="103"/>
        <v>0</v>
      </c>
      <c r="Z118" s="121">
        <f t="shared" si="104"/>
        <v>0</v>
      </c>
      <c r="AA118" s="121">
        <f t="shared" si="105"/>
        <v>0</v>
      </c>
      <c r="AB118" s="124">
        <f t="shared" si="106"/>
        <v>0</v>
      </c>
      <c r="AC118" s="126">
        <f t="shared" si="107"/>
        <v>21391</v>
      </c>
      <c r="AD118" s="101">
        <f t="shared" si="81"/>
        <v>16043</v>
      </c>
      <c r="AE118" s="127">
        <f t="shared" si="108"/>
        <v>1312.0745236287287</v>
      </c>
      <c r="AF118" s="128">
        <f t="shared" si="109"/>
        <v>6.133768985221489E-2</v>
      </c>
      <c r="AG118" s="129">
        <f t="shared" si="110"/>
        <v>21040</v>
      </c>
      <c r="AH118" s="101">
        <f t="shared" si="85"/>
        <v>20514</v>
      </c>
      <c r="AI118" s="130">
        <f t="shared" si="111"/>
        <v>1312.0745236287287</v>
      </c>
      <c r="AJ118" s="159">
        <f t="shared" si="112"/>
        <v>6.2360956446232352E-2</v>
      </c>
      <c r="AK118" s="290" t="s">
        <v>1036</v>
      </c>
      <c r="AL118" s="291"/>
      <c r="AM118" s="292"/>
      <c r="AN118" s="160"/>
    </row>
    <row r="119" spans="1:40" ht="45.75" thickBot="1" x14ac:dyDescent="0.3">
      <c r="A119" s="84">
        <f t="shared" si="90"/>
        <v>3</v>
      </c>
      <c r="B119" s="198">
        <v>114</v>
      </c>
      <c r="C119" s="204" t="s">
        <v>1070</v>
      </c>
      <c r="D119" s="203" t="s">
        <v>1044</v>
      </c>
      <c r="E119" s="60" t="s">
        <v>363</v>
      </c>
      <c r="F119" s="17">
        <v>1</v>
      </c>
      <c r="G119" s="17"/>
      <c r="H119" s="89" t="s">
        <v>28</v>
      </c>
      <c r="I119" s="131">
        <f>16000*1.052</f>
        <v>16832</v>
      </c>
      <c r="J119" s="121">
        <f t="shared" si="91"/>
        <v>3198.08</v>
      </c>
      <c r="K119" s="130">
        <f t="shared" si="92"/>
        <v>20030.080000000002</v>
      </c>
      <c r="L119" s="121">
        <f t="shared" si="93"/>
        <v>16832</v>
      </c>
      <c r="M119" s="122">
        <f t="shared" si="94"/>
        <v>20030.080000000002</v>
      </c>
      <c r="N119" s="132">
        <f>16500*1.052</f>
        <v>17358</v>
      </c>
      <c r="O119" s="121">
        <f t="shared" si="95"/>
        <v>3298.02</v>
      </c>
      <c r="P119" s="110">
        <f t="shared" si="96"/>
        <v>20656.02</v>
      </c>
      <c r="Q119" s="121">
        <f t="shared" si="97"/>
        <v>17358</v>
      </c>
      <c r="R119" s="124">
        <f t="shared" si="98"/>
        <v>20656.02</v>
      </c>
      <c r="S119" s="131">
        <f>15000*1.052</f>
        <v>15780</v>
      </c>
      <c r="T119" s="121">
        <f t="shared" si="99"/>
        <v>2998.2</v>
      </c>
      <c r="U119" s="110">
        <f t="shared" si="100"/>
        <v>18778.2</v>
      </c>
      <c r="V119" s="121">
        <f t="shared" si="101"/>
        <v>15780</v>
      </c>
      <c r="W119" s="122">
        <f t="shared" si="102"/>
        <v>18778.2</v>
      </c>
      <c r="X119" s="108"/>
      <c r="Y119" s="121">
        <f t="shared" si="103"/>
        <v>0</v>
      </c>
      <c r="Z119" s="121">
        <f t="shared" si="104"/>
        <v>0</v>
      </c>
      <c r="AA119" s="121">
        <f t="shared" si="105"/>
        <v>0</v>
      </c>
      <c r="AB119" s="124">
        <f t="shared" si="106"/>
        <v>0</v>
      </c>
      <c r="AC119" s="126">
        <f t="shared" si="107"/>
        <v>16657</v>
      </c>
      <c r="AD119" s="101">
        <f t="shared" si="81"/>
        <v>12493</v>
      </c>
      <c r="AE119" s="127">
        <f t="shared" si="108"/>
        <v>656.03726181436446</v>
      </c>
      <c r="AF119" s="128">
        <f t="shared" si="109"/>
        <v>3.9385079054713598E-2</v>
      </c>
      <c r="AG119" s="129">
        <f t="shared" si="110"/>
        <v>16832</v>
      </c>
      <c r="AH119" s="101">
        <f t="shared" si="85"/>
        <v>16306</v>
      </c>
      <c r="AI119" s="130">
        <f t="shared" si="111"/>
        <v>656.03726181436446</v>
      </c>
      <c r="AJ119" s="159">
        <f t="shared" si="112"/>
        <v>3.8975597778895227E-2</v>
      </c>
      <c r="AK119" s="290" t="s">
        <v>1036</v>
      </c>
      <c r="AL119" s="291"/>
      <c r="AM119" s="292"/>
      <c r="AN119" s="160"/>
    </row>
    <row r="120" spans="1:40" ht="106.5" customHeight="1" thickBot="1" x14ac:dyDescent="0.3">
      <c r="A120" s="84">
        <f t="shared" si="90"/>
        <v>3</v>
      </c>
      <c r="B120" s="198">
        <v>115</v>
      </c>
      <c r="C120" s="204" t="s">
        <v>364</v>
      </c>
      <c r="D120" s="203" t="s">
        <v>1044</v>
      </c>
      <c r="E120" s="60" t="s">
        <v>365</v>
      </c>
      <c r="F120" s="17">
        <v>1</v>
      </c>
      <c r="G120" s="17"/>
      <c r="H120" s="89" t="s">
        <v>1050</v>
      </c>
      <c r="I120" s="115">
        <v>1550000</v>
      </c>
      <c r="J120" s="121">
        <f t="shared" si="91"/>
        <v>294500</v>
      </c>
      <c r="K120" s="130">
        <f t="shared" si="92"/>
        <v>1844500</v>
      </c>
      <c r="L120" s="121">
        <f t="shared" si="93"/>
        <v>1550000</v>
      </c>
      <c r="M120" s="122">
        <f t="shared" si="94"/>
        <v>1844500</v>
      </c>
      <c r="N120" s="116">
        <v>1620000</v>
      </c>
      <c r="O120" s="121">
        <f t="shared" si="95"/>
        <v>307800</v>
      </c>
      <c r="P120" s="110">
        <f t="shared" si="96"/>
        <v>1927800</v>
      </c>
      <c r="Q120" s="121">
        <f t="shared" si="97"/>
        <v>1620000</v>
      </c>
      <c r="R120" s="124">
        <f t="shared" si="98"/>
        <v>1927800</v>
      </c>
      <c r="S120" s="117">
        <v>1750000</v>
      </c>
      <c r="T120" s="121">
        <f t="shared" si="99"/>
        <v>332500</v>
      </c>
      <c r="U120" s="110">
        <f t="shared" si="100"/>
        <v>2082500</v>
      </c>
      <c r="V120" s="121">
        <f t="shared" si="101"/>
        <v>1750000</v>
      </c>
      <c r="W120" s="122">
        <f t="shared" si="102"/>
        <v>2082500</v>
      </c>
      <c r="X120" s="108"/>
      <c r="Y120" s="121">
        <f t="shared" si="103"/>
        <v>0</v>
      </c>
      <c r="Z120" s="121">
        <f t="shared" si="104"/>
        <v>0</v>
      </c>
      <c r="AA120" s="121">
        <f t="shared" si="105"/>
        <v>0</v>
      </c>
      <c r="AB120" s="124">
        <f t="shared" si="106"/>
        <v>0</v>
      </c>
      <c r="AC120" s="126">
        <f t="shared" si="107"/>
        <v>1640000</v>
      </c>
      <c r="AD120" s="101">
        <f t="shared" si="81"/>
        <v>1230000</v>
      </c>
      <c r="AE120" s="127">
        <f t="shared" si="108"/>
        <v>82865.352631040354</v>
      </c>
      <c r="AF120" s="128">
        <f t="shared" si="109"/>
        <v>5.0527654043317292E-2</v>
      </c>
      <c r="AG120" s="129">
        <f t="shared" si="110"/>
        <v>1620000</v>
      </c>
      <c r="AH120" s="101">
        <f t="shared" si="85"/>
        <v>1585000</v>
      </c>
      <c r="AI120" s="130">
        <f t="shared" si="111"/>
        <v>82865.352631040354</v>
      </c>
      <c r="AJ120" s="159">
        <f t="shared" si="112"/>
        <v>5.1151452241382935E-2</v>
      </c>
      <c r="AK120" s="175" t="s">
        <v>985</v>
      </c>
      <c r="AL120" s="161" t="s">
        <v>986</v>
      </c>
      <c r="AM120" s="176" t="s">
        <v>987</v>
      </c>
      <c r="AN120" s="160"/>
    </row>
    <row r="121" spans="1:40" ht="75.75" thickBot="1" x14ac:dyDescent="0.3">
      <c r="A121" s="84">
        <f t="shared" si="90"/>
        <v>3</v>
      </c>
      <c r="B121" s="198">
        <v>116</v>
      </c>
      <c r="C121" s="51" t="s">
        <v>366</v>
      </c>
      <c r="D121" s="203" t="s">
        <v>1044</v>
      </c>
      <c r="E121" s="60" t="s">
        <v>367</v>
      </c>
      <c r="F121" s="17">
        <v>1</v>
      </c>
      <c r="G121" s="17"/>
      <c r="H121" s="89" t="s">
        <v>28</v>
      </c>
      <c r="I121" s="131">
        <f>4000*1.052</f>
        <v>4208</v>
      </c>
      <c r="J121" s="121">
        <f t="shared" si="91"/>
        <v>799.52</v>
      </c>
      <c r="K121" s="130">
        <f t="shared" si="92"/>
        <v>5007.5200000000004</v>
      </c>
      <c r="L121" s="121">
        <f t="shared" si="93"/>
        <v>4208</v>
      </c>
      <c r="M121" s="122">
        <f t="shared" si="94"/>
        <v>5007.5200000000004</v>
      </c>
      <c r="N121" s="132">
        <f>4200*1.052</f>
        <v>4418.4000000000005</v>
      </c>
      <c r="O121" s="121">
        <f t="shared" si="95"/>
        <v>839.49600000000009</v>
      </c>
      <c r="P121" s="110">
        <f t="shared" si="96"/>
        <v>5257.8960000000006</v>
      </c>
      <c r="Q121" s="121">
        <f t="shared" si="97"/>
        <v>4418.4000000000005</v>
      </c>
      <c r="R121" s="124">
        <f t="shared" si="98"/>
        <v>5257.8960000000006</v>
      </c>
      <c r="S121" s="131">
        <f>4500*1.052</f>
        <v>4734</v>
      </c>
      <c r="T121" s="121">
        <f t="shared" si="99"/>
        <v>899.46</v>
      </c>
      <c r="U121" s="110">
        <f t="shared" si="100"/>
        <v>5633.46</v>
      </c>
      <c r="V121" s="121">
        <f t="shared" si="101"/>
        <v>4734</v>
      </c>
      <c r="W121" s="122">
        <f t="shared" si="102"/>
        <v>5633.46</v>
      </c>
      <c r="X121" s="108"/>
      <c r="Y121" s="121">
        <f t="shared" si="103"/>
        <v>0</v>
      </c>
      <c r="Z121" s="121">
        <f t="shared" si="104"/>
        <v>0</v>
      </c>
      <c r="AA121" s="121">
        <f t="shared" si="105"/>
        <v>0</v>
      </c>
      <c r="AB121" s="124">
        <f t="shared" si="106"/>
        <v>0</v>
      </c>
      <c r="AC121" s="126">
        <f t="shared" si="107"/>
        <v>4453</v>
      </c>
      <c r="AD121" s="101">
        <f t="shared" si="81"/>
        <v>3340</v>
      </c>
      <c r="AE121" s="127">
        <f t="shared" si="108"/>
        <v>216.16545103744542</v>
      </c>
      <c r="AF121" s="128">
        <f t="shared" si="109"/>
        <v>4.8543779707488306E-2</v>
      </c>
      <c r="AG121" s="129">
        <f t="shared" si="110"/>
        <v>4418</v>
      </c>
      <c r="AH121" s="101">
        <f t="shared" si="85"/>
        <v>4313</v>
      </c>
      <c r="AI121" s="130">
        <f t="shared" si="111"/>
        <v>216.16545103744542</v>
      </c>
      <c r="AJ121" s="159">
        <f t="shared" si="112"/>
        <v>4.8928350166918384E-2</v>
      </c>
      <c r="AK121" s="290" t="s">
        <v>1036</v>
      </c>
      <c r="AL121" s="291"/>
      <c r="AM121" s="292"/>
      <c r="AN121" s="160"/>
    </row>
    <row r="122" spans="1:40" ht="75.75" thickBot="1" x14ac:dyDescent="0.3">
      <c r="A122" s="84">
        <f t="shared" si="90"/>
        <v>3</v>
      </c>
      <c r="B122" s="198">
        <v>117</v>
      </c>
      <c r="C122" s="51" t="s">
        <v>368</v>
      </c>
      <c r="D122" s="203" t="s">
        <v>1044</v>
      </c>
      <c r="E122" s="60" t="s">
        <v>369</v>
      </c>
      <c r="F122" s="17">
        <v>1</v>
      </c>
      <c r="G122" s="17"/>
      <c r="H122" s="89" t="s">
        <v>28</v>
      </c>
      <c r="I122" s="131">
        <f>1900*1.052</f>
        <v>1998.8000000000002</v>
      </c>
      <c r="J122" s="121">
        <f t="shared" si="91"/>
        <v>379.77200000000005</v>
      </c>
      <c r="K122" s="130">
        <f t="shared" si="92"/>
        <v>2378.5720000000001</v>
      </c>
      <c r="L122" s="121">
        <f t="shared" si="93"/>
        <v>1998.8000000000002</v>
      </c>
      <c r="M122" s="122">
        <f t="shared" si="94"/>
        <v>2378.5720000000001</v>
      </c>
      <c r="N122" s="132">
        <f>1900*1.052</f>
        <v>1998.8000000000002</v>
      </c>
      <c r="O122" s="121">
        <f t="shared" si="95"/>
        <v>379.77200000000005</v>
      </c>
      <c r="P122" s="110">
        <f t="shared" si="96"/>
        <v>2378.5720000000001</v>
      </c>
      <c r="Q122" s="121">
        <f t="shared" si="97"/>
        <v>1998.8000000000002</v>
      </c>
      <c r="R122" s="124">
        <f t="shared" si="98"/>
        <v>2378.5720000000001</v>
      </c>
      <c r="S122" s="131">
        <f>1600*1.052</f>
        <v>1683.2</v>
      </c>
      <c r="T122" s="121">
        <f t="shared" si="99"/>
        <v>319.80799999999999</v>
      </c>
      <c r="U122" s="110">
        <f t="shared" si="100"/>
        <v>2003.008</v>
      </c>
      <c r="V122" s="121">
        <f t="shared" si="101"/>
        <v>1683.2</v>
      </c>
      <c r="W122" s="122">
        <f t="shared" si="102"/>
        <v>2003.008</v>
      </c>
      <c r="X122" s="108"/>
      <c r="Y122" s="121">
        <f t="shared" si="103"/>
        <v>0</v>
      </c>
      <c r="Z122" s="121">
        <f t="shared" si="104"/>
        <v>0</v>
      </c>
      <c r="AA122" s="121">
        <f t="shared" si="105"/>
        <v>0</v>
      </c>
      <c r="AB122" s="124">
        <f t="shared" si="106"/>
        <v>0</v>
      </c>
      <c r="AC122" s="126">
        <f t="shared" si="107"/>
        <v>1894</v>
      </c>
      <c r="AD122" s="101">
        <f t="shared" si="81"/>
        <v>1420</v>
      </c>
      <c r="AE122" s="127">
        <f t="shared" si="108"/>
        <v>148.77526676164968</v>
      </c>
      <c r="AF122" s="128">
        <f t="shared" si="109"/>
        <v>7.855082722367987E-2</v>
      </c>
      <c r="AG122" s="129">
        <f t="shared" si="110"/>
        <v>1999</v>
      </c>
      <c r="AH122" s="101">
        <f t="shared" si="85"/>
        <v>1841</v>
      </c>
      <c r="AI122" s="130">
        <f t="shared" si="111"/>
        <v>148.77526676164968</v>
      </c>
      <c r="AJ122" s="159">
        <f t="shared" si="112"/>
        <v>7.44248458037267E-2</v>
      </c>
      <c r="AK122" s="290" t="s">
        <v>1036</v>
      </c>
      <c r="AL122" s="291"/>
      <c r="AM122" s="292"/>
      <c r="AN122" s="160"/>
    </row>
    <row r="123" spans="1:40" ht="75.75" thickBot="1" x14ac:dyDescent="0.3">
      <c r="A123" s="84">
        <f t="shared" si="90"/>
        <v>3</v>
      </c>
      <c r="B123" s="198">
        <v>118</v>
      </c>
      <c r="C123" s="51" t="s">
        <v>370</v>
      </c>
      <c r="D123" s="203" t="s">
        <v>1044</v>
      </c>
      <c r="E123" s="60" t="s">
        <v>371</v>
      </c>
      <c r="F123" s="17">
        <v>1</v>
      </c>
      <c r="G123" s="17"/>
      <c r="H123" s="89" t="s">
        <v>28</v>
      </c>
      <c r="I123" s="115">
        <v>1425</v>
      </c>
      <c r="J123" s="121">
        <f t="shared" si="91"/>
        <v>270.75</v>
      </c>
      <c r="K123" s="130">
        <f t="shared" si="92"/>
        <v>1695.75</v>
      </c>
      <c r="L123" s="121">
        <f t="shared" si="93"/>
        <v>1425</v>
      </c>
      <c r="M123" s="122">
        <f t="shared" si="94"/>
        <v>1695.75</v>
      </c>
      <c r="N123" s="116">
        <v>1455</v>
      </c>
      <c r="O123" s="121">
        <f t="shared" si="95"/>
        <v>276.45</v>
      </c>
      <c r="P123" s="110">
        <f t="shared" si="96"/>
        <v>1731.45</v>
      </c>
      <c r="Q123" s="121">
        <f t="shared" si="97"/>
        <v>1455</v>
      </c>
      <c r="R123" s="124">
        <f t="shared" si="98"/>
        <v>1731.45</v>
      </c>
      <c r="S123" s="117">
        <v>1620</v>
      </c>
      <c r="T123" s="121">
        <f t="shared" si="99"/>
        <v>307.8</v>
      </c>
      <c r="U123" s="110">
        <f t="shared" si="100"/>
        <v>1927.8</v>
      </c>
      <c r="V123" s="121">
        <f t="shared" si="101"/>
        <v>1620</v>
      </c>
      <c r="W123" s="122">
        <f t="shared" si="102"/>
        <v>1927.8</v>
      </c>
      <c r="X123" s="108"/>
      <c r="Y123" s="121">
        <f t="shared" si="103"/>
        <v>0</v>
      </c>
      <c r="Z123" s="121">
        <f t="shared" si="104"/>
        <v>0</v>
      </c>
      <c r="AA123" s="121">
        <f t="shared" si="105"/>
        <v>0</v>
      </c>
      <c r="AB123" s="124">
        <f t="shared" si="106"/>
        <v>0</v>
      </c>
      <c r="AC123" s="126">
        <f t="shared" si="107"/>
        <v>1500</v>
      </c>
      <c r="AD123" s="101">
        <f t="shared" si="81"/>
        <v>1125</v>
      </c>
      <c r="AE123" s="127">
        <f t="shared" si="108"/>
        <v>85.732140997411236</v>
      </c>
      <c r="AF123" s="128">
        <f t="shared" si="109"/>
        <v>5.7154760664940824E-2</v>
      </c>
      <c r="AG123" s="129">
        <f t="shared" si="110"/>
        <v>1455</v>
      </c>
      <c r="AH123" s="101">
        <f t="shared" si="85"/>
        <v>1440</v>
      </c>
      <c r="AI123" s="130">
        <f t="shared" si="111"/>
        <v>85.732140997411236</v>
      </c>
      <c r="AJ123" s="159">
        <f t="shared" si="112"/>
        <v>5.8922433675196728E-2</v>
      </c>
      <c r="AK123" s="175" t="s">
        <v>988</v>
      </c>
      <c r="AL123" s="161" t="s">
        <v>989</v>
      </c>
      <c r="AM123" s="176" t="s">
        <v>990</v>
      </c>
      <c r="AN123" s="160"/>
    </row>
    <row r="124" spans="1:40" ht="30.75" thickBot="1" x14ac:dyDescent="0.3">
      <c r="A124" s="84">
        <f t="shared" si="90"/>
        <v>3</v>
      </c>
      <c r="B124" s="198">
        <v>119</v>
      </c>
      <c r="C124" s="51" t="s">
        <v>372</v>
      </c>
      <c r="D124" s="203" t="s">
        <v>1044</v>
      </c>
      <c r="E124" s="60" t="s">
        <v>373</v>
      </c>
      <c r="F124" s="17">
        <v>1</v>
      </c>
      <c r="G124" s="17"/>
      <c r="H124" s="89" t="s">
        <v>28</v>
      </c>
      <c r="I124" s="115">
        <v>16300</v>
      </c>
      <c r="J124" s="121">
        <f t="shared" si="91"/>
        <v>3097</v>
      </c>
      <c r="K124" s="130">
        <f t="shared" si="92"/>
        <v>19397</v>
      </c>
      <c r="L124" s="121">
        <f t="shared" si="93"/>
        <v>16300</v>
      </c>
      <c r="M124" s="122">
        <f t="shared" si="94"/>
        <v>19397</v>
      </c>
      <c r="N124" s="116">
        <v>15500</v>
      </c>
      <c r="O124" s="121">
        <f t="shared" si="95"/>
        <v>2945</v>
      </c>
      <c r="P124" s="110">
        <f t="shared" si="96"/>
        <v>18445</v>
      </c>
      <c r="Q124" s="121">
        <f t="shared" si="97"/>
        <v>15500</v>
      </c>
      <c r="R124" s="124">
        <f t="shared" si="98"/>
        <v>18445</v>
      </c>
      <c r="S124" s="117">
        <v>14900</v>
      </c>
      <c r="T124" s="121">
        <f t="shared" si="99"/>
        <v>2831</v>
      </c>
      <c r="U124" s="110">
        <f t="shared" si="100"/>
        <v>17731</v>
      </c>
      <c r="V124" s="121">
        <f t="shared" si="101"/>
        <v>14900</v>
      </c>
      <c r="W124" s="122">
        <f t="shared" si="102"/>
        <v>17731</v>
      </c>
      <c r="X124" s="108"/>
      <c r="Y124" s="121">
        <f t="shared" si="103"/>
        <v>0</v>
      </c>
      <c r="Z124" s="121">
        <f t="shared" si="104"/>
        <v>0</v>
      </c>
      <c r="AA124" s="121">
        <f t="shared" si="105"/>
        <v>0</v>
      </c>
      <c r="AB124" s="124">
        <f t="shared" si="106"/>
        <v>0</v>
      </c>
      <c r="AC124" s="126">
        <f t="shared" si="107"/>
        <v>15567</v>
      </c>
      <c r="AD124" s="101">
        <f t="shared" si="81"/>
        <v>11675</v>
      </c>
      <c r="AE124" s="127">
        <f t="shared" si="108"/>
        <v>573.4883511361752</v>
      </c>
      <c r="AF124" s="128">
        <f t="shared" si="109"/>
        <v>3.6840004569677856E-2</v>
      </c>
      <c r="AG124" s="129">
        <f t="shared" si="110"/>
        <v>15500</v>
      </c>
      <c r="AH124" s="101">
        <f t="shared" si="85"/>
        <v>15200</v>
      </c>
      <c r="AI124" s="130">
        <f t="shared" si="111"/>
        <v>573.4883511361752</v>
      </c>
      <c r="AJ124" s="159">
        <f t="shared" si="112"/>
        <v>3.6999248460398398E-2</v>
      </c>
      <c r="AK124" s="175" t="s">
        <v>991</v>
      </c>
      <c r="AL124" s="161" t="s">
        <v>992</v>
      </c>
      <c r="AM124" s="180" t="s">
        <v>993</v>
      </c>
      <c r="AN124" s="160"/>
    </row>
    <row r="125" spans="1:40" ht="105.75" thickBot="1" x14ac:dyDescent="0.3">
      <c r="A125" s="84">
        <f t="shared" si="90"/>
        <v>3</v>
      </c>
      <c r="B125" s="198">
        <v>120</v>
      </c>
      <c r="C125" s="51" t="s">
        <v>374</v>
      </c>
      <c r="D125" s="203" t="s">
        <v>1044</v>
      </c>
      <c r="E125" s="60" t="s">
        <v>375</v>
      </c>
      <c r="F125" s="17">
        <v>1</v>
      </c>
      <c r="G125" s="17"/>
      <c r="H125" s="89" t="s">
        <v>28</v>
      </c>
      <c r="I125" s="115">
        <f>1000000*1.052</f>
        <v>1052000</v>
      </c>
      <c r="J125" s="121">
        <f t="shared" si="91"/>
        <v>199880</v>
      </c>
      <c r="K125" s="130">
        <f t="shared" si="92"/>
        <v>1251880</v>
      </c>
      <c r="L125" s="121">
        <f t="shared" si="93"/>
        <v>1052000</v>
      </c>
      <c r="M125" s="122">
        <f t="shared" si="94"/>
        <v>1251880</v>
      </c>
      <c r="N125" s="119">
        <f>1000000*1.052</f>
        <v>1052000</v>
      </c>
      <c r="O125" s="121">
        <f t="shared" si="95"/>
        <v>199880</v>
      </c>
      <c r="P125" s="110">
        <f t="shared" si="96"/>
        <v>1251880</v>
      </c>
      <c r="Q125" s="121">
        <f t="shared" si="97"/>
        <v>1052000</v>
      </c>
      <c r="R125" s="124">
        <f t="shared" si="98"/>
        <v>1251880</v>
      </c>
      <c r="S125" s="115">
        <f>1000000*1.052</f>
        <v>1052000</v>
      </c>
      <c r="T125" s="121">
        <f t="shared" si="99"/>
        <v>199880</v>
      </c>
      <c r="U125" s="110">
        <f t="shared" si="100"/>
        <v>1251880</v>
      </c>
      <c r="V125" s="121">
        <f t="shared" si="101"/>
        <v>1052000</v>
      </c>
      <c r="W125" s="122">
        <f t="shared" si="102"/>
        <v>1251880</v>
      </c>
      <c r="X125" s="108"/>
      <c r="Y125" s="121">
        <f t="shared" si="103"/>
        <v>0</v>
      </c>
      <c r="Z125" s="121">
        <f t="shared" si="104"/>
        <v>0</v>
      </c>
      <c r="AA125" s="121">
        <f t="shared" si="105"/>
        <v>0</v>
      </c>
      <c r="AB125" s="124">
        <f t="shared" si="106"/>
        <v>0</v>
      </c>
      <c r="AC125" s="126">
        <f t="shared" si="107"/>
        <v>1052000</v>
      </c>
      <c r="AD125" s="101">
        <f t="shared" si="81"/>
        <v>789000</v>
      </c>
      <c r="AE125" s="127">
        <f t="shared" si="108"/>
        <v>0</v>
      </c>
      <c r="AF125" s="128">
        <f t="shared" si="109"/>
        <v>0</v>
      </c>
      <c r="AG125" s="129">
        <f t="shared" si="110"/>
        <v>1052000</v>
      </c>
      <c r="AH125" s="101">
        <f t="shared" si="85"/>
        <v>1052000</v>
      </c>
      <c r="AI125" s="130">
        <f t="shared" si="111"/>
        <v>0</v>
      </c>
      <c r="AJ125" s="159">
        <f t="shared" si="112"/>
        <v>0</v>
      </c>
      <c r="AK125" s="290" t="s">
        <v>1036</v>
      </c>
      <c r="AL125" s="291"/>
      <c r="AM125" s="292"/>
      <c r="AN125" s="160"/>
    </row>
    <row r="126" spans="1:40" ht="30.75" thickBot="1" x14ac:dyDescent="0.3">
      <c r="A126" s="84">
        <f t="shared" si="90"/>
        <v>3</v>
      </c>
      <c r="B126" s="198">
        <v>121</v>
      </c>
      <c r="C126" s="51" t="s">
        <v>377</v>
      </c>
      <c r="D126" s="204" t="s">
        <v>1044</v>
      </c>
      <c r="E126" s="60" t="s">
        <v>378</v>
      </c>
      <c r="F126" s="17">
        <v>1</v>
      </c>
      <c r="G126" s="17"/>
      <c r="H126" s="89" t="s">
        <v>28</v>
      </c>
      <c r="I126" s="131">
        <f>65000*1.052</f>
        <v>68380</v>
      </c>
      <c r="J126" s="121">
        <f t="shared" si="91"/>
        <v>12992.2</v>
      </c>
      <c r="K126" s="130">
        <f t="shared" si="92"/>
        <v>81372.2</v>
      </c>
      <c r="L126" s="121">
        <f t="shared" si="93"/>
        <v>68380</v>
      </c>
      <c r="M126" s="122">
        <f t="shared" si="94"/>
        <v>81372.2</v>
      </c>
      <c r="N126" s="132">
        <f>60000*1.052</f>
        <v>63120</v>
      </c>
      <c r="O126" s="121">
        <f t="shared" si="95"/>
        <v>11992.8</v>
      </c>
      <c r="P126" s="110">
        <f t="shared" si="96"/>
        <v>75112.800000000003</v>
      </c>
      <c r="Q126" s="121">
        <f t="shared" si="97"/>
        <v>63120</v>
      </c>
      <c r="R126" s="124">
        <f t="shared" si="98"/>
        <v>75112.800000000003</v>
      </c>
      <c r="S126" s="131">
        <f>55000*1.052</f>
        <v>57860</v>
      </c>
      <c r="T126" s="121">
        <f t="shared" si="99"/>
        <v>10993.4</v>
      </c>
      <c r="U126" s="110">
        <f t="shared" si="100"/>
        <v>68853.399999999994</v>
      </c>
      <c r="V126" s="121">
        <f t="shared" si="101"/>
        <v>57860</v>
      </c>
      <c r="W126" s="122">
        <f t="shared" si="102"/>
        <v>68853.399999999994</v>
      </c>
      <c r="X126" s="108"/>
      <c r="Y126" s="121">
        <f t="shared" si="103"/>
        <v>0</v>
      </c>
      <c r="Z126" s="121">
        <f t="shared" si="104"/>
        <v>0</v>
      </c>
      <c r="AA126" s="121">
        <f t="shared" si="105"/>
        <v>0</v>
      </c>
      <c r="AB126" s="124">
        <f t="shared" si="106"/>
        <v>0</v>
      </c>
      <c r="AC126" s="126">
        <f t="shared" si="107"/>
        <v>63120</v>
      </c>
      <c r="AD126" s="101">
        <f t="shared" si="81"/>
        <v>47340</v>
      </c>
      <c r="AE126" s="127">
        <f t="shared" si="108"/>
        <v>4294.7720156798387</v>
      </c>
      <c r="AF126" s="128">
        <f t="shared" si="109"/>
        <v>6.804138174397717E-2</v>
      </c>
      <c r="AG126" s="129">
        <f t="shared" si="110"/>
        <v>63120</v>
      </c>
      <c r="AH126" s="101">
        <f t="shared" si="85"/>
        <v>60490</v>
      </c>
      <c r="AI126" s="130">
        <f t="shared" si="111"/>
        <v>4294.7720156798387</v>
      </c>
      <c r="AJ126" s="159">
        <f t="shared" si="112"/>
        <v>6.804138174397717E-2</v>
      </c>
      <c r="AK126" s="290" t="s">
        <v>1036</v>
      </c>
      <c r="AL126" s="291"/>
      <c r="AM126" s="292"/>
      <c r="AN126" s="160"/>
    </row>
    <row r="127" spans="1:40" ht="45.75" thickBot="1" x14ac:dyDescent="0.3">
      <c r="A127" s="84">
        <f t="shared" si="90"/>
        <v>3</v>
      </c>
      <c r="B127" s="198">
        <v>122</v>
      </c>
      <c r="C127" s="51" t="s">
        <v>379</v>
      </c>
      <c r="D127" s="204" t="s">
        <v>1049</v>
      </c>
      <c r="E127" s="60" t="s">
        <v>380</v>
      </c>
      <c r="F127" s="17">
        <v>1</v>
      </c>
      <c r="G127" s="17"/>
      <c r="H127" s="89" t="s">
        <v>376</v>
      </c>
      <c r="I127" s="131">
        <f>3500000*1.052</f>
        <v>3682000</v>
      </c>
      <c r="J127" s="121">
        <f t="shared" si="91"/>
        <v>699580</v>
      </c>
      <c r="K127" s="130">
        <f t="shared" si="92"/>
        <v>4381580</v>
      </c>
      <c r="L127" s="121">
        <f t="shared" si="93"/>
        <v>3682000</v>
      </c>
      <c r="M127" s="122">
        <f t="shared" si="94"/>
        <v>4381580</v>
      </c>
      <c r="N127" s="132">
        <f>3800000*1.052</f>
        <v>3997600</v>
      </c>
      <c r="O127" s="121">
        <f t="shared" si="95"/>
        <v>759544</v>
      </c>
      <c r="P127" s="110">
        <f t="shared" si="96"/>
        <v>4757144</v>
      </c>
      <c r="Q127" s="121">
        <f t="shared" si="97"/>
        <v>3997600</v>
      </c>
      <c r="R127" s="124">
        <f t="shared" si="98"/>
        <v>4757144</v>
      </c>
      <c r="S127" s="131">
        <f>3700000*1.052</f>
        <v>3892400</v>
      </c>
      <c r="T127" s="121">
        <f t="shared" si="99"/>
        <v>739556</v>
      </c>
      <c r="U127" s="110">
        <f t="shared" si="100"/>
        <v>4631956</v>
      </c>
      <c r="V127" s="121">
        <f t="shared" si="101"/>
        <v>3892400</v>
      </c>
      <c r="W127" s="122">
        <f t="shared" si="102"/>
        <v>4631956</v>
      </c>
      <c r="X127" s="108"/>
      <c r="Y127" s="121">
        <f t="shared" si="103"/>
        <v>0</v>
      </c>
      <c r="Z127" s="121">
        <f t="shared" si="104"/>
        <v>0</v>
      </c>
      <c r="AA127" s="121">
        <f t="shared" si="105"/>
        <v>0</v>
      </c>
      <c r="AB127" s="124">
        <f t="shared" si="106"/>
        <v>0</v>
      </c>
      <c r="AC127" s="126">
        <f t="shared" si="107"/>
        <v>3857333</v>
      </c>
      <c r="AD127" s="101">
        <f t="shared" si="81"/>
        <v>2893000</v>
      </c>
      <c r="AE127" s="127">
        <f t="shared" si="108"/>
        <v>131207.45236287286</v>
      </c>
      <c r="AF127" s="128">
        <f t="shared" si="109"/>
        <v>3.4015070091919175E-2</v>
      </c>
      <c r="AG127" s="129">
        <f t="shared" si="110"/>
        <v>3892400</v>
      </c>
      <c r="AH127" s="101">
        <f t="shared" si="85"/>
        <v>3787200</v>
      </c>
      <c r="AI127" s="130">
        <f t="shared" si="111"/>
        <v>131207.45236287286</v>
      </c>
      <c r="AJ127" s="159">
        <f t="shared" si="112"/>
        <v>3.3708625106071539E-2</v>
      </c>
      <c r="AK127" s="290" t="s">
        <v>1036</v>
      </c>
      <c r="AL127" s="291"/>
      <c r="AM127" s="292"/>
      <c r="AN127" s="160"/>
    </row>
    <row r="128" spans="1:40" ht="45.75" thickBot="1" x14ac:dyDescent="0.3">
      <c r="A128" s="84">
        <f t="shared" si="90"/>
        <v>3</v>
      </c>
      <c r="B128" s="198">
        <v>123</v>
      </c>
      <c r="C128" s="51" t="s">
        <v>381</v>
      </c>
      <c r="D128" s="204" t="s">
        <v>1049</v>
      </c>
      <c r="E128" s="60" t="s">
        <v>382</v>
      </c>
      <c r="F128" s="17">
        <v>1</v>
      </c>
      <c r="G128" s="17"/>
      <c r="H128" s="89" t="s">
        <v>376</v>
      </c>
      <c r="I128" s="131">
        <f>4100000*1.052</f>
        <v>4313200</v>
      </c>
      <c r="J128" s="121">
        <f t="shared" si="91"/>
        <v>819508</v>
      </c>
      <c r="K128" s="130">
        <f t="shared" si="92"/>
        <v>5132708</v>
      </c>
      <c r="L128" s="121">
        <f t="shared" si="93"/>
        <v>4313200</v>
      </c>
      <c r="M128" s="122">
        <f t="shared" si="94"/>
        <v>5132708</v>
      </c>
      <c r="N128" s="132">
        <f>4200000*1.052</f>
        <v>4418400</v>
      </c>
      <c r="O128" s="121">
        <f t="shared" si="95"/>
        <v>839496</v>
      </c>
      <c r="P128" s="110">
        <f t="shared" si="96"/>
        <v>5257896</v>
      </c>
      <c r="Q128" s="121">
        <f t="shared" si="97"/>
        <v>4418400</v>
      </c>
      <c r="R128" s="124">
        <f t="shared" si="98"/>
        <v>5257896</v>
      </c>
      <c r="S128" s="131">
        <f>3900000*1.052</f>
        <v>4102800</v>
      </c>
      <c r="T128" s="121">
        <f t="shared" si="99"/>
        <v>779532</v>
      </c>
      <c r="U128" s="110">
        <f t="shared" si="100"/>
        <v>4882332</v>
      </c>
      <c r="V128" s="121">
        <f t="shared" si="101"/>
        <v>4102800</v>
      </c>
      <c r="W128" s="122">
        <f t="shared" si="102"/>
        <v>4882332</v>
      </c>
      <c r="X128" s="108"/>
      <c r="Y128" s="121">
        <f t="shared" si="103"/>
        <v>0</v>
      </c>
      <c r="Z128" s="121">
        <f t="shared" si="104"/>
        <v>0</v>
      </c>
      <c r="AA128" s="121">
        <f t="shared" si="105"/>
        <v>0</v>
      </c>
      <c r="AB128" s="124">
        <f t="shared" si="106"/>
        <v>0</v>
      </c>
      <c r="AC128" s="126">
        <f t="shared" si="107"/>
        <v>4278133</v>
      </c>
      <c r="AD128" s="101">
        <f t="shared" si="81"/>
        <v>3208600</v>
      </c>
      <c r="AE128" s="127">
        <f t="shared" si="108"/>
        <v>131207.45236287289</v>
      </c>
      <c r="AF128" s="128">
        <f t="shared" si="109"/>
        <v>3.0669325232028293E-2</v>
      </c>
      <c r="AG128" s="129">
        <f t="shared" si="110"/>
        <v>4313200</v>
      </c>
      <c r="AH128" s="101">
        <f t="shared" si="85"/>
        <v>4208000</v>
      </c>
      <c r="AI128" s="130">
        <f t="shared" si="111"/>
        <v>131207.45236287289</v>
      </c>
      <c r="AJ128" s="159">
        <f t="shared" si="112"/>
        <v>3.041997875425969E-2</v>
      </c>
      <c r="AK128" s="290" t="s">
        <v>1036</v>
      </c>
      <c r="AL128" s="291"/>
      <c r="AM128" s="292"/>
      <c r="AN128" s="160"/>
    </row>
    <row r="129" spans="1:40" ht="45.75" thickBot="1" x14ac:dyDescent="0.3">
      <c r="A129" s="84">
        <f t="shared" si="90"/>
        <v>3</v>
      </c>
      <c r="B129" s="198">
        <v>124</v>
      </c>
      <c r="C129" s="51" t="s">
        <v>383</v>
      </c>
      <c r="D129" s="204" t="s">
        <v>1049</v>
      </c>
      <c r="E129" s="60" t="s">
        <v>384</v>
      </c>
      <c r="F129" s="17">
        <v>1</v>
      </c>
      <c r="G129" s="17"/>
      <c r="H129" s="89" t="s">
        <v>376</v>
      </c>
      <c r="I129" s="131">
        <f>5280000*1.052</f>
        <v>5554560</v>
      </c>
      <c r="J129" s="121">
        <f t="shared" si="91"/>
        <v>1055366.3999999999</v>
      </c>
      <c r="K129" s="130">
        <f t="shared" si="92"/>
        <v>6609926.4000000004</v>
      </c>
      <c r="L129" s="121">
        <f t="shared" si="93"/>
        <v>5554560</v>
      </c>
      <c r="M129" s="122">
        <f t="shared" si="94"/>
        <v>6609926.4000000004</v>
      </c>
      <c r="N129" s="132">
        <f>5000000*1.052</f>
        <v>5260000</v>
      </c>
      <c r="O129" s="121">
        <f t="shared" si="95"/>
        <v>999400</v>
      </c>
      <c r="P129" s="110">
        <f t="shared" si="96"/>
        <v>6259400</v>
      </c>
      <c r="Q129" s="121">
        <f t="shared" si="97"/>
        <v>5260000</v>
      </c>
      <c r="R129" s="124">
        <f t="shared" si="98"/>
        <v>6259400</v>
      </c>
      <c r="S129" s="131">
        <f>5100000*1.052</f>
        <v>5365200</v>
      </c>
      <c r="T129" s="121">
        <f t="shared" si="99"/>
        <v>1019388</v>
      </c>
      <c r="U129" s="110">
        <f t="shared" si="100"/>
        <v>6384588</v>
      </c>
      <c r="V129" s="121">
        <f t="shared" si="101"/>
        <v>5365200</v>
      </c>
      <c r="W129" s="122">
        <f t="shared" si="102"/>
        <v>6384588</v>
      </c>
      <c r="X129" s="108"/>
      <c r="Y129" s="121">
        <f t="shared" si="103"/>
        <v>0</v>
      </c>
      <c r="Z129" s="121">
        <f t="shared" si="104"/>
        <v>0</v>
      </c>
      <c r="AA129" s="121">
        <f t="shared" si="105"/>
        <v>0</v>
      </c>
      <c r="AB129" s="124">
        <f t="shared" si="106"/>
        <v>0</v>
      </c>
      <c r="AC129" s="126">
        <f t="shared" si="107"/>
        <v>5393253</v>
      </c>
      <c r="AD129" s="101">
        <f t="shared" si="81"/>
        <v>4044940</v>
      </c>
      <c r="AE129" s="127">
        <f t="shared" si="108"/>
        <v>121878.73900817247</v>
      </c>
      <c r="AF129" s="128">
        <f t="shared" si="109"/>
        <v>2.259837226404407E-2</v>
      </c>
      <c r="AG129" s="129">
        <f t="shared" si="110"/>
        <v>5365200</v>
      </c>
      <c r="AH129" s="101">
        <f t="shared" si="85"/>
        <v>5312600</v>
      </c>
      <c r="AI129" s="130">
        <f t="shared" si="111"/>
        <v>121878.73900817247</v>
      </c>
      <c r="AJ129" s="159">
        <f t="shared" si="112"/>
        <v>2.2716532283637604E-2</v>
      </c>
      <c r="AK129" s="290" t="s">
        <v>1036</v>
      </c>
      <c r="AL129" s="291"/>
      <c r="AM129" s="292"/>
      <c r="AN129" s="160"/>
    </row>
    <row r="130" spans="1:40" ht="60.75" thickBot="1" x14ac:dyDescent="0.3">
      <c r="A130" s="84">
        <f t="shared" si="90"/>
        <v>3</v>
      </c>
      <c r="B130" s="198">
        <v>125</v>
      </c>
      <c r="C130" s="51" t="s">
        <v>385</v>
      </c>
      <c r="D130" s="204" t="s">
        <v>1049</v>
      </c>
      <c r="E130" s="60" t="s">
        <v>386</v>
      </c>
      <c r="F130" s="17">
        <v>1</v>
      </c>
      <c r="G130" s="17"/>
      <c r="H130" s="89" t="s">
        <v>376</v>
      </c>
      <c r="I130" s="115">
        <f>3100000*1.052</f>
        <v>3261200</v>
      </c>
      <c r="J130" s="121">
        <f t="shared" si="91"/>
        <v>619628</v>
      </c>
      <c r="K130" s="130">
        <f t="shared" si="92"/>
        <v>3880828</v>
      </c>
      <c r="L130" s="121">
        <f t="shared" si="93"/>
        <v>3261200</v>
      </c>
      <c r="M130" s="122">
        <f t="shared" si="94"/>
        <v>3880828</v>
      </c>
      <c r="N130" s="119">
        <f>3400000*1.052</f>
        <v>3576800</v>
      </c>
      <c r="O130" s="121">
        <f t="shared" si="95"/>
        <v>679592</v>
      </c>
      <c r="P130" s="110">
        <f t="shared" si="96"/>
        <v>4256392</v>
      </c>
      <c r="Q130" s="121">
        <f t="shared" si="97"/>
        <v>3576800</v>
      </c>
      <c r="R130" s="124">
        <f t="shared" si="98"/>
        <v>4256392</v>
      </c>
      <c r="S130" s="115">
        <f>3300000*1.052</f>
        <v>3471600</v>
      </c>
      <c r="T130" s="121">
        <f t="shared" si="99"/>
        <v>659604</v>
      </c>
      <c r="U130" s="110">
        <f t="shared" si="100"/>
        <v>4131204</v>
      </c>
      <c r="V130" s="121">
        <f t="shared" si="101"/>
        <v>3471600</v>
      </c>
      <c r="W130" s="122">
        <f t="shared" si="102"/>
        <v>4131204</v>
      </c>
      <c r="X130" s="108"/>
      <c r="Y130" s="121">
        <f t="shared" si="103"/>
        <v>0</v>
      </c>
      <c r="Z130" s="121">
        <f t="shared" si="104"/>
        <v>0</v>
      </c>
      <c r="AA130" s="121">
        <f t="shared" si="105"/>
        <v>0</v>
      </c>
      <c r="AB130" s="124">
        <f t="shared" si="106"/>
        <v>0</v>
      </c>
      <c r="AC130" s="126">
        <f t="shared" si="107"/>
        <v>3436533</v>
      </c>
      <c r="AD130" s="101">
        <f t="shared" si="81"/>
        <v>2577400</v>
      </c>
      <c r="AE130" s="127">
        <f t="shared" si="108"/>
        <v>131207.45236287286</v>
      </c>
      <c r="AF130" s="128">
        <f t="shared" si="109"/>
        <v>3.8180181119422646E-2</v>
      </c>
      <c r="AG130" s="129">
        <f t="shared" si="110"/>
        <v>3471600</v>
      </c>
      <c r="AH130" s="101">
        <f t="shared" si="85"/>
        <v>3366400</v>
      </c>
      <c r="AI130" s="130">
        <f t="shared" si="111"/>
        <v>131207.45236287286</v>
      </c>
      <c r="AJ130" s="159">
        <f t="shared" si="112"/>
        <v>3.7794519058322637E-2</v>
      </c>
      <c r="AK130" s="290" t="s">
        <v>1036</v>
      </c>
      <c r="AL130" s="291"/>
      <c r="AM130" s="292"/>
      <c r="AN130" s="160"/>
    </row>
    <row r="131" spans="1:40" ht="45.75" thickBot="1" x14ac:dyDescent="0.3">
      <c r="A131" s="84">
        <f t="shared" si="90"/>
        <v>3</v>
      </c>
      <c r="B131" s="198">
        <v>126</v>
      </c>
      <c r="C131" s="51" t="s">
        <v>387</v>
      </c>
      <c r="D131" s="204" t="s">
        <v>1049</v>
      </c>
      <c r="E131" s="60" t="s">
        <v>388</v>
      </c>
      <c r="F131" s="17">
        <v>1</v>
      </c>
      <c r="G131" s="17"/>
      <c r="H131" s="89" t="s">
        <v>376</v>
      </c>
      <c r="I131" s="115">
        <f>3500000*1.052</f>
        <v>3682000</v>
      </c>
      <c r="J131" s="121">
        <f t="shared" si="91"/>
        <v>699580</v>
      </c>
      <c r="K131" s="130">
        <f t="shared" si="92"/>
        <v>4381580</v>
      </c>
      <c r="L131" s="121">
        <f t="shared" si="93"/>
        <v>3682000</v>
      </c>
      <c r="M131" s="122">
        <f t="shared" si="94"/>
        <v>4381580</v>
      </c>
      <c r="N131" s="119">
        <f>3350000*1.052</f>
        <v>3524200</v>
      </c>
      <c r="O131" s="121">
        <f t="shared" si="95"/>
        <v>669598</v>
      </c>
      <c r="P131" s="110">
        <f t="shared" si="96"/>
        <v>4193798</v>
      </c>
      <c r="Q131" s="121">
        <f t="shared" si="97"/>
        <v>3524200</v>
      </c>
      <c r="R131" s="124">
        <f t="shared" si="98"/>
        <v>4193798</v>
      </c>
      <c r="S131" s="115">
        <f>3300000*1.052</f>
        <v>3471600</v>
      </c>
      <c r="T131" s="121">
        <f t="shared" si="99"/>
        <v>659604</v>
      </c>
      <c r="U131" s="110">
        <f t="shared" si="100"/>
        <v>4131204</v>
      </c>
      <c r="V131" s="121">
        <f t="shared" si="101"/>
        <v>3471600</v>
      </c>
      <c r="W131" s="122">
        <f t="shared" si="102"/>
        <v>4131204</v>
      </c>
      <c r="X131" s="108"/>
      <c r="Y131" s="121">
        <f t="shared" si="103"/>
        <v>0</v>
      </c>
      <c r="Z131" s="121">
        <f t="shared" si="104"/>
        <v>0</v>
      </c>
      <c r="AA131" s="121">
        <f t="shared" si="105"/>
        <v>0</v>
      </c>
      <c r="AB131" s="124">
        <f t="shared" si="106"/>
        <v>0</v>
      </c>
      <c r="AC131" s="126">
        <f t="shared" si="107"/>
        <v>3559267</v>
      </c>
      <c r="AD131" s="101">
        <f t="shared" si="81"/>
        <v>2669450</v>
      </c>
      <c r="AE131" s="127">
        <f t="shared" si="108"/>
        <v>89402.808804993489</v>
      </c>
      <c r="AF131" s="128">
        <f t="shared" si="109"/>
        <v>2.5118320374670822E-2</v>
      </c>
      <c r="AG131" s="129">
        <f t="shared" si="110"/>
        <v>3524200</v>
      </c>
      <c r="AH131" s="101">
        <f t="shared" si="85"/>
        <v>3497900</v>
      </c>
      <c r="AI131" s="130">
        <f t="shared" si="111"/>
        <v>89402.808804993489</v>
      </c>
      <c r="AJ131" s="159">
        <f t="shared" si="112"/>
        <v>2.5368256286531266E-2</v>
      </c>
      <c r="AK131" s="290" t="s">
        <v>1036</v>
      </c>
      <c r="AL131" s="291"/>
      <c r="AM131" s="292"/>
      <c r="AN131" s="160"/>
    </row>
    <row r="132" spans="1:40" ht="75.75" thickBot="1" x14ac:dyDescent="0.3">
      <c r="A132" s="84">
        <f t="shared" si="90"/>
        <v>2</v>
      </c>
      <c r="B132" s="198">
        <v>127</v>
      </c>
      <c r="C132" s="51" t="s">
        <v>389</v>
      </c>
      <c r="D132" s="204" t="s">
        <v>1049</v>
      </c>
      <c r="E132" s="60" t="s">
        <v>390</v>
      </c>
      <c r="F132" s="17">
        <v>1</v>
      </c>
      <c r="G132" s="17"/>
      <c r="H132" s="89" t="s">
        <v>376</v>
      </c>
      <c r="I132" s="115">
        <v>1400000</v>
      </c>
      <c r="J132" s="121">
        <f t="shared" si="91"/>
        <v>266000</v>
      </c>
      <c r="K132" s="130">
        <f t="shared" si="92"/>
        <v>1666000</v>
      </c>
      <c r="L132" s="121">
        <f t="shared" si="93"/>
        <v>1400000</v>
      </c>
      <c r="M132" s="122">
        <f t="shared" si="94"/>
        <v>1666000</v>
      </c>
      <c r="N132" s="116">
        <v>1380000</v>
      </c>
      <c r="O132" s="121">
        <f t="shared" si="95"/>
        <v>262200</v>
      </c>
      <c r="P132" s="110">
        <f t="shared" si="96"/>
        <v>1642200</v>
      </c>
      <c r="Q132" s="121">
        <f t="shared" si="97"/>
        <v>1380000</v>
      </c>
      <c r="R132" s="124">
        <f t="shared" si="98"/>
        <v>1642200</v>
      </c>
      <c r="S132" s="117"/>
      <c r="T132" s="121">
        <f t="shared" si="99"/>
        <v>0</v>
      </c>
      <c r="U132" s="110">
        <f t="shared" si="100"/>
        <v>0</v>
      </c>
      <c r="V132" s="121">
        <f t="shared" si="101"/>
        <v>0</v>
      </c>
      <c r="W132" s="122">
        <f t="shared" si="102"/>
        <v>0</v>
      </c>
      <c r="X132" s="108"/>
      <c r="Y132" s="121">
        <f t="shared" si="103"/>
        <v>0</v>
      </c>
      <c r="Z132" s="121">
        <f t="shared" si="104"/>
        <v>0</v>
      </c>
      <c r="AA132" s="121">
        <f t="shared" si="105"/>
        <v>0</v>
      </c>
      <c r="AB132" s="124">
        <f t="shared" si="106"/>
        <v>0</v>
      </c>
      <c r="AC132" s="126">
        <f t="shared" si="107"/>
        <v>1390000</v>
      </c>
      <c r="AD132" s="101">
        <f t="shared" si="81"/>
        <v>695000</v>
      </c>
      <c r="AE132" s="127">
        <f t="shared" si="108"/>
        <v>10000</v>
      </c>
      <c r="AF132" s="128">
        <f t="shared" si="109"/>
        <v>7.1942446043165471E-3</v>
      </c>
      <c r="AG132" s="129">
        <f t="shared" si="110"/>
        <v>1390000</v>
      </c>
      <c r="AH132" s="101">
        <f t="shared" si="85"/>
        <v>690000</v>
      </c>
      <c r="AI132" s="130">
        <f t="shared" si="111"/>
        <v>10000</v>
      </c>
      <c r="AJ132" s="159">
        <f t="shared" si="112"/>
        <v>7.1942446043165471E-3</v>
      </c>
      <c r="AK132" s="175" t="s">
        <v>994</v>
      </c>
      <c r="AL132" s="161" t="s">
        <v>995</v>
      </c>
      <c r="AM132" s="176"/>
      <c r="AN132" s="160"/>
    </row>
    <row r="133" spans="1:40" ht="90.75" thickBot="1" x14ac:dyDescent="0.3">
      <c r="A133" s="84">
        <f t="shared" si="90"/>
        <v>3</v>
      </c>
      <c r="B133" s="198">
        <v>128</v>
      </c>
      <c r="C133" s="51" t="s">
        <v>391</v>
      </c>
      <c r="D133" s="204" t="s">
        <v>1049</v>
      </c>
      <c r="E133" s="60" t="s">
        <v>392</v>
      </c>
      <c r="F133" s="17">
        <v>1</v>
      </c>
      <c r="G133" s="17"/>
      <c r="H133" s="89" t="s">
        <v>376</v>
      </c>
      <c r="I133" s="131">
        <f>1740000*1.052</f>
        <v>1830480</v>
      </c>
      <c r="J133" s="121">
        <f t="shared" si="91"/>
        <v>347791.2</v>
      </c>
      <c r="K133" s="130">
        <f t="shared" si="92"/>
        <v>2178271.2000000002</v>
      </c>
      <c r="L133" s="121">
        <f t="shared" si="93"/>
        <v>1830480</v>
      </c>
      <c r="M133" s="122">
        <f t="shared" si="94"/>
        <v>2178271.2000000002</v>
      </c>
      <c r="N133" s="132">
        <f>1700000*1.052</f>
        <v>1788400</v>
      </c>
      <c r="O133" s="121">
        <f t="shared" si="95"/>
        <v>339796</v>
      </c>
      <c r="P133" s="110">
        <f t="shared" si="96"/>
        <v>2128196</v>
      </c>
      <c r="Q133" s="121">
        <f t="shared" si="97"/>
        <v>1788400</v>
      </c>
      <c r="R133" s="124">
        <f t="shared" si="98"/>
        <v>2128196</v>
      </c>
      <c r="S133" s="134">
        <f>1800000*1.052</f>
        <v>1893600</v>
      </c>
      <c r="T133" s="121">
        <f t="shared" si="99"/>
        <v>359784</v>
      </c>
      <c r="U133" s="110">
        <f t="shared" si="100"/>
        <v>2253384</v>
      </c>
      <c r="V133" s="121">
        <f t="shared" si="101"/>
        <v>1893600</v>
      </c>
      <c r="W133" s="122">
        <f t="shared" si="102"/>
        <v>2253384</v>
      </c>
      <c r="X133" s="108"/>
      <c r="Y133" s="121">
        <f t="shared" ref="Y133:Y164" si="113">X133*0.19</f>
        <v>0</v>
      </c>
      <c r="Z133" s="121">
        <f t="shared" ref="Z133:Z164" si="114">X133+Y133</f>
        <v>0</v>
      </c>
      <c r="AA133" s="121">
        <f t="shared" si="105"/>
        <v>0</v>
      </c>
      <c r="AB133" s="124">
        <f t="shared" ref="AB133:AB164" si="115">Z133*F133</f>
        <v>0</v>
      </c>
      <c r="AC133" s="126">
        <f t="shared" si="107"/>
        <v>1837493</v>
      </c>
      <c r="AD133" s="101">
        <f t="shared" si="81"/>
        <v>1378120</v>
      </c>
      <c r="AE133" s="127">
        <f t="shared" si="108"/>
        <v>43233.090207489084</v>
      </c>
      <c r="AF133" s="128">
        <f t="shared" ref="AF133:AF164" si="116">AE133/AC133</f>
        <v>2.3528301989443817E-2</v>
      </c>
      <c r="AG133" s="129">
        <f t="shared" si="110"/>
        <v>1830480</v>
      </c>
      <c r="AH133" s="101">
        <f t="shared" si="85"/>
        <v>1809440</v>
      </c>
      <c r="AI133" s="130">
        <f t="shared" ref="AI133:AI164" si="117">AE133</f>
        <v>43233.090207489084</v>
      </c>
      <c r="AJ133" s="159">
        <f t="shared" ref="AJ133:AJ164" si="118">AI133/AG133</f>
        <v>2.3618444455819832E-2</v>
      </c>
      <c r="AK133" s="290" t="s">
        <v>1036</v>
      </c>
      <c r="AL133" s="291"/>
      <c r="AM133" s="292"/>
      <c r="AN133" s="160"/>
    </row>
    <row r="134" spans="1:40" ht="90.75" thickBot="1" x14ac:dyDescent="0.3">
      <c r="A134" s="84">
        <f t="shared" si="90"/>
        <v>3</v>
      </c>
      <c r="B134" s="198">
        <v>129</v>
      </c>
      <c r="C134" s="51" t="s">
        <v>393</v>
      </c>
      <c r="D134" s="204" t="s">
        <v>1049</v>
      </c>
      <c r="E134" s="61" t="s">
        <v>394</v>
      </c>
      <c r="F134" s="17">
        <v>1</v>
      </c>
      <c r="G134" s="17"/>
      <c r="H134" s="89" t="s">
        <v>376</v>
      </c>
      <c r="I134" s="131">
        <f>2800000*1.052</f>
        <v>2945600</v>
      </c>
      <c r="J134" s="121">
        <f t="shared" si="91"/>
        <v>559664</v>
      </c>
      <c r="K134" s="130">
        <f t="shared" si="92"/>
        <v>3505264</v>
      </c>
      <c r="L134" s="121">
        <f t="shared" si="93"/>
        <v>2945600</v>
      </c>
      <c r="M134" s="122">
        <f t="shared" si="94"/>
        <v>3505264</v>
      </c>
      <c r="N134" s="132">
        <f>2800000*1.052</f>
        <v>2945600</v>
      </c>
      <c r="O134" s="121">
        <f t="shared" si="95"/>
        <v>559664</v>
      </c>
      <c r="P134" s="110">
        <f t="shared" si="96"/>
        <v>3505264</v>
      </c>
      <c r="Q134" s="121">
        <f t="shared" si="97"/>
        <v>2945600</v>
      </c>
      <c r="R134" s="124">
        <f t="shared" si="98"/>
        <v>3505264</v>
      </c>
      <c r="S134" s="117">
        <f>3000000*1.052</f>
        <v>3156000</v>
      </c>
      <c r="T134" s="121">
        <f t="shared" si="99"/>
        <v>599640</v>
      </c>
      <c r="U134" s="110">
        <f t="shared" si="100"/>
        <v>3755640</v>
      </c>
      <c r="V134" s="121">
        <f t="shared" si="101"/>
        <v>3156000</v>
      </c>
      <c r="W134" s="122">
        <f t="shared" si="102"/>
        <v>3755640</v>
      </c>
      <c r="X134" s="108"/>
      <c r="Y134" s="121">
        <f t="shared" si="113"/>
        <v>0</v>
      </c>
      <c r="Z134" s="121">
        <f t="shared" si="114"/>
        <v>0</v>
      </c>
      <c r="AA134" s="121">
        <f t="shared" si="105"/>
        <v>0</v>
      </c>
      <c r="AB134" s="124">
        <f t="shared" si="115"/>
        <v>0</v>
      </c>
      <c r="AC134" s="126">
        <f t="shared" si="107"/>
        <v>3015733</v>
      </c>
      <c r="AD134" s="101">
        <f t="shared" ref="AD134:AD197" si="119">+IFERROR(ROUND(AVERAGE(L134,Q134,V134,AA134),0),0)</f>
        <v>2261800</v>
      </c>
      <c r="AE134" s="127">
        <f t="shared" si="108"/>
        <v>99183.511174433064</v>
      </c>
      <c r="AF134" s="128">
        <f t="shared" si="116"/>
        <v>3.2888691132282953E-2</v>
      </c>
      <c r="AG134" s="129">
        <f t="shared" si="110"/>
        <v>2945600</v>
      </c>
      <c r="AH134" s="101">
        <f t="shared" ref="AH134:AH197" si="120">+IFERROR(ROUND(MEDIAN(L134,Q134,V134,AA134),0),0)</f>
        <v>2945600</v>
      </c>
      <c r="AI134" s="130">
        <f t="shared" si="117"/>
        <v>99183.511174433064</v>
      </c>
      <c r="AJ134" s="159">
        <f t="shared" si="118"/>
        <v>3.3671751485073689E-2</v>
      </c>
      <c r="AK134" s="290" t="s">
        <v>1036</v>
      </c>
      <c r="AL134" s="291"/>
      <c r="AM134" s="292"/>
      <c r="AN134" s="160"/>
    </row>
    <row r="135" spans="1:40" ht="153" customHeight="1" thickBot="1" x14ac:dyDescent="0.3">
      <c r="A135" s="84">
        <f t="shared" si="90"/>
        <v>3</v>
      </c>
      <c r="B135" s="198">
        <v>130</v>
      </c>
      <c r="C135" s="51" t="s">
        <v>395</v>
      </c>
      <c r="D135" s="204" t="s">
        <v>1049</v>
      </c>
      <c r="E135" s="60" t="s">
        <v>396</v>
      </c>
      <c r="F135" s="17">
        <v>1</v>
      </c>
      <c r="G135" s="17"/>
      <c r="H135" s="89" t="s">
        <v>376</v>
      </c>
      <c r="I135" s="131">
        <f>5500000*1.052</f>
        <v>5786000</v>
      </c>
      <c r="J135" s="121">
        <f t="shared" si="91"/>
        <v>1099340</v>
      </c>
      <c r="K135" s="130">
        <f t="shared" si="92"/>
        <v>6885340</v>
      </c>
      <c r="L135" s="121">
        <f t="shared" si="93"/>
        <v>5786000</v>
      </c>
      <c r="M135" s="122">
        <f t="shared" si="94"/>
        <v>6885340</v>
      </c>
      <c r="N135" s="132">
        <f>7000000*1.052</f>
        <v>7364000</v>
      </c>
      <c r="O135" s="121">
        <f t="shared" si="95"/>
        <v>1399160</v>
      </c>
      <c r="P135" s="110">
        <f t="shared" si="96"/>
        <v>8763160</v>
      </c>
      <c r="Q135" s="121">
        <f t="shared" si="97"/>
        <v>7364000</v>
      </c>
      <c r="R135" s="124">
        <f t="shared" si="98"/>
        <v>8763160</v>
      </c>
      <c r="S135" s="131">
        <f>6500000*1.052</f>
        <v>6838000</v>
      </c>
      <c r="T135" s="121">
        <f t="shared" si="99"/>
        <v>1299220</v>
      </c>
      <c r="U135" s="110">
        <f t="shared" si="100"/>
        <v>8137220</v>
      </c>
      <c r="V135" s="121">
        <f t="shared" si="101"/>
        <v>6838000</v>
      </c>
      <c r="W135" s="122">
        <f t="shared" si="102"/>
        <v>8137220</v>
      </c>
      <c r="X135" s="108"/>
      <c r="Y135" s="121">
        <f t="shared" si="113"/>
        <v>0</v>
      </c>
      <c r="Z135" s="121">
        <f t="shared" si="114"/>
        <v>0</v>
      </c>
      <c r="AA135" s="121">
        <f t="shared" si="105"/>
        <v>0</v>
      </c>
      <c r="AB135" s="124">
        <f t="shared" si="115"/>
        <v>0</v>
      </c>
      <c r="AC135" s="126">
        <f t="shared" si="107"/>
        <v>6662667</v>
      </c>
      <c r="AD135" s="101">
        <f t="shared" si="119"/>
        <v>4997000</v>
      </c>
      <c r="AE135" s="127">
        <f t="shared" si="108"/>
        <v>656037.26181436435</v>
      </c>
      <c r="AF135" s="128">
        <f t="shared" si="116"/>
        <v>9.8464663146809586E-2</v>
      </c>
      <c r="AG135" s="129">
        <f t="shared" si="110"/>
        <v>6838000</v>
      </c>
      <c r="AH135" s="101">
        <f t="shared" si="120"/>
        <v>6312000</v>
      </c>
      <c r="AI135" s="130">
        <f t="shared" si="117"/>
        <v>656037.26181436435</v>
      </c>
      <c r="AJ135" s="159">
        <f t="shared" si="118"/>
        <v>9.5939932994203614E-2</v>
      </c>
      <c r="AK135" s="290" t="s">
        <v>1036</v>
      </c>
      <c r="AL135" s="291"/>
      <c r="AM135" s="292"/>
      <c r="AN135" s="160"/>
    </row>
    <row r="136" spans="1:40" ht="120.75" thickBot="1" x14ac:dyDescent="0.3">
      <c r="A136" s="84">
        <f t="shared" si="90"/>
        <v>3</v>
      </c>
      <c r="B136" s="198">
        <v>131</v>
      </c>
      <c r="C136" s="51" t="s">
        <v>397</v>
      </c>
      <c r="D136" s="204" t="s">
        <v>1049</v>
      </c>
      <c r="E136" s="60" t="s">
        <v>398</v>
      </c>
      <c r="F136" s="17">
        <v>1</v>
      </c>
      <c r="G136" s="17"/>
      <c r="H136" s="89" t="s">
        <v>376</v>
      </c>
      <c r="I136" s="131">
        <f>8500000*1.052</f>
        <v>8942000</v>
      </c>
      <c r="J136" s="121">
        <f t="shared" si="91"/>
        <v>1698980</v>
      </c>
      <c r="K136" s="130">
        <f t="shared" si="92"/>
        <v>10640980</v>
      </c>
      <c r="L136" s="121">
        <f t="shared" si="93"/>
        <v>8942000</v>
      </c>
      <c r="M136" s="122">
        <f t="shared" si="94"/>
        <v>10640980</v>
      </c>
      <c r="N136" s="132">
        <f>8000000*1.052</f>
        <v>8416000</v>
      </c>
      <c r="O136" s="121">
        <f t="shared" si="95"/>
        <v>1599040</v>
      </c>
      <c r="P136" s="110">
        <f t="shared" si="96"/>
        <v>10015040</v>
      </c>
      <c r="Q136" s="121">
        <f t="shared" si="97"/>
        <v>8416000</v>
      </c>
      <c r="R136" s="124">
        <f t="shared" si="98"/>
        <v>10015040</v>
      </c>
      <c r="S136" s="131">
        <f>9500000*1.052</f>
        <v>9994000</v>
      </c>
      <c r="T136" s="121">
        <f t="shared" si="99"/>
        <v>1898860</v>
      </c>
      <c r="U136" s="110">
        <f t="shared" si="100"/>
        <v>11892860</v>
      </c>
      <c r="V136" s="121">
        <f t="shared" si="101"/>
        <v>9994000</v>
      </c>
      <c r="W136" s="122">
        <f t="shared" si="102"/>
        <v>11892860</v>
      </c>
      <c r="X136" s="108"/>
      <c r="Y136" s="121">
        <f t="shared" si="113"/>
        <v>0</v>
      </c>
      <c r="Z136" s="121">
        <f t="shared" si="114"/>
        <v>0</v>
      </c>
      <c r="AA136" s="121">
        <f t="shared" si="105"/>
        <v>0</v>
      </c>
      <c r="AB136" s="124">
        <f t="shared" si="115"/>
        <v>0</v>
      </c>
      <c r="AC136" s="126">
        <f t="shared" si="107"/>
        <v>9117333</v>
      </c>
      <c r="AD136" s="101">
        <f t="shared" si="119"/>
        <v>6838000</v>
      </c>
      <c r="AE136" s="127">
        <f t="shared" si="108"/>
        <v>656037.26181436446</v>
      </c>
      <c r="AF136" s="128">
        <f t="shared" si="116"/>
        <v>7.1954952376354409E-2</v>
      </c>
      <c r="AG136" s="129">
        <f t="shared" si="110"/>
        <v>8942000</v>
      </c>
      <c r="AH136" s="101">
        <f t="shared" si="120"/>
        <v>8679000</v>
      </c>
      <c r="AI136" s="130">
        <f t="shared" si="117"/>
        <v>656037.26181436446</v>
      </c>
      <c r="AJ136" s="159">
        <f t="shared" si="118"/>
        <v>7.3365831113214541E-2</v>
      </c>
      <c r="AK136" s="290" t="s">
        <v>1036</v>
      </c>
      <c r="AL136" s="291"/>
      <c r="AM136" s="292"/>
      <c r="AN136" s="160"/>
    </row>
    <row r="137" spans="1:40" ht="90.75" thickBot="1" x14ac:dyDescent="0.3">
      <c r="A137" s="84">
        <f t="shared" si="90"/>
        <v>3</v>
      </c>
      <c r="B137" s="198">
        <v>132</v>
      </c>
      <c r="C137" s="51" t="s">
        <v>399</v>
      </c>
      <c r="D137" s="204" t="s">
        <v>1049</v>
      </c>
      <c r="E137" s="60" t="s">
        <v>400</v>
      </c>
      <c r="F137" s="17">
        <v>1</v>
      </c>
      <c r="G137" s="17"/>
      <c r="H137" s="89" t="s">
        <v>376</v>
      </c>
      <c r="I137" s="131">
        <f>10500000*1.052</f>
        <v>11046000</v>
      </c>
      <c r="J137" s="121">
        <f t="shared" si="91"/>
        <v>2098740</v>
      </c>
      <c r="K137" s="130">
        <f t="shared" si="92"/>
        <v>13144740</v>
      </c>
      <c r="L137" s="121">
        <f t="shared" si="93"/>
        <v>11046000</v>
      </c>
      <c r="M137" s="122">
        <f t="shared" si="94"/>
        <v>13144740</v>
      </c>
      <c r="N137" s="132">
        <f>10200000*1.052</f>
        <v>10730400</v>
      </c>
      <c r="O137" s="121">
        <f t="shared" si="95"/>
        <v>2038776</v>
      </c>
      <c r="P137" s="110">
        <f t="shared" si="96"/>
        <v>12769176</v>
      </c>
      <c r="Q137" s="121">
        <f t="shared" si="97"/>
        <v>10730400</v>
      </c>
      <c r="R137" s="124">
        <f t="shared" si="98"/>
        <v>12769176</v>
      </c>
      <c r="S137" s="131">
        <f>11000000*1.052</f>
        <v>11572000</v>
      </c>
      <c r="T137" s="121">
        <f t="shared" si="99"/>
        <v>2198680</v>
      </c>
      <c r="U137" s="110">
        <f t="shared" si="100"/>
        <v>13770680</v>
      </c>
      <c r="V137" s="121">
        <f t="shared" si="101"/>
        <v>11572000</v>
      </c>
      <c r="W137" s="122">
        <f t="shared" si="102"/>
        <v>13770680</v>
      </c>
      <c r="X137" s="108"/>
      <c r="Y137" s="121">
        <f t="shared" si="113"/>
        <v>0</v>
      </c>
      <c r="Z137" s="121">
        <f t="shared" si="114"/>
        <v>0</v>
      </c>
      <c r="AA137" s="121">
        <f t="shared" si="105"/>
        <v>0</v>
      </c>
      <c r="AB137" s="124">
        <f t="shared" si="115"/>
        <v>0</v>
      </c>
      <c r="AC137" s="126">
        <f t="shared" si="107"/>
        <v>11116133</v>
      </c>
      <c r="AD137" s="101">
        <f t="shared" si="119"/>
        <v>8337100</v>
      </c>
      <c r="AE137" s="127">
        <f t="shared" si="108"/>
        <v>347142.28911051573</v>
      </c>
      <c r="AF137" s="128">
        <f t="shared" si="116"/>
        <v>3.1228691588209293E-2</v>
      </c>
      <c r="AG137" s="129">
        <f t="shared" si="110"/>
        <v>11046000</v>
      </c>
      <c r="AH137" s="101">
        <f t="shared" si="120"/>
        <v>10888200</v>
      </c>
      <c r="AI137" s="130">
        <f t="shared" si="117"/>
        <v>347142.28911051573</v>
      </c>
      <c r="AJ137" s="159">
        <f t="shared" si="118"/>
        <v>3.1426968052735448E-2</v>
      </c>
      <c r="AK137" s="290" t="s">
        <v>1036</v>
      </c>
      <c r="AL137" s="291"/>
      <c r="AM137" s="292"/>
      <c r="AN137" s="160"/>
    </row>
    <row r="138" spans="1:40" ht="75.75" thickBot="1" x14ac:dyDescent="0.3">
      <c r="A138" s="84">
        <f t="shared" si="90"/>
        <v>3</v>
      </c>
      <c r="B138" s="198">
        <v>133</v>
      </c>
      <c r="C138" s="51" t="s">
        <v>401</v>
      </c>
      <c r="D138" s="204" t="s">
        <v>1049</v>
      </c>
      <c r="E138" s="60" t="s">
        <v>402</v>
      </c>
      <c r="F138" s="17">
        <v>1</v>
      </c>
      <c r="G138" s="17"/>
      <c r="H138" s="89" t="s">
        <v>376</v>
      </c>
      <c r="I138" s="131">
        <f>13800000*1.052</f>
        <v>14517600</v>
      </c>
      <c r="J138" s="121">
        <f t="shared" si="91"/>
        <v>2758344</v>
      </c>
      <c r="K138" s="130">
        <f t="shared" si="92"/>
        <v>17275944</v>
      </c>
      <c r="L138" s="121">
        <f t="shared" si="93"/>
        <v>14517600</v>
      </c>
      <c r="M138" s="122">
        <f t="shared" si="94"/>
        <v>17275944</v>
      </c>
      <c r="N138" s="132">
        <f>14500000*1.052</f>
        <v>15254000</v>
      </c>
      <c r="O138" s="121">
        <f t="shared" si="95"/>
        <v>2898260</v>
      </c>
      <c r="P138" s="110">
        <f t="shared" si="96"/>
        <v>18152260</v>
      </c>
      <c r="Q138" s="121">
        <f t="shared" si="97"/>
        <v>15254000</v>
      </c>
      <c r="R138" s="124">
        <f t="shared" si="98"/>
        <v>18152260</v>
      </c>
      <c r="S138" s="133">
        <f>13900000*1.052</f>
        <v>14622800</v>
      </c>
      <c r="T138" s="121">
        <f t="shared" si="99"/>
        <v>2778332</v>
      </c>
      <c r="U138" s="110">
        <f t="shared" si="100"/>
        <v>17401132</v>
      </c>
      <c r="V138" s="121">
        <f t="shared" si="101"/>
        <v>14622800</v>
      </c>
      <c r="W138" s="122">
        <f t="shared" si="102"/>
        <v>17401132</v>
      </c>
      <c r="X138" s="108"/>
      <c r="Y138" s="121">
        <f t="shared" si="113"/>
        <v>0</v>
      </c>
      <c r="Z138" s="121">
        <f t="shared" si="114"/>
        <v>0</v>
      </c>
      <c r="AA138" s="121">
        <f t="shared" si="105"/>
        <v>0</v>
      </c>
      <c r="AB138" s="124">
        <f t="shared" si="115"/>
        <v>0</v>
      </c>
      <c r="AC138" s="126">
        <f t="shared" si="107"/>
        <v>14798133</v>
      </c>
      <c r="AD138" s="101">
        <f t="shared" si="119"/>
        <v>11098600</v>
      </c>
      <c r="AE138" s="127">
        <f t="shared" si="108"/>
        <v>325194.88857538271</v>
      </c>
      <c r="AF138" s="128">
        <f t="shared" si="116"/>
        <v>2.1975399773429709E-2</v>
      </c>
      <c r="AG138" s="129">
        <f t="shared" si="110"/>
        <v>14622800</v>
      </c>
      <c r="AH138" s="101">
        <f t="shared" si="120"/>
        <v>14570200</v>
      </c>
      <c r="AI138" s="130">
        <f t="shared" si="117"/>
        <v>325194.88857538271</v>
      </c>
      <c r="AJ138" s="159">
        <f t="shared" si="118"/>
        <v>2.2238893274570036E-2</v>
      </c>
      <c r="AK138" s="290" t="s">
        <v>1036</v>
      </c>
      <c r="AL138" s="291"/>
      <c r="AM138" s="292"/>
      <c r="AN138" s="160"/>
    </row>
    <row r="139" spans="1:40" ht="45.75" thickBot="1" x14ac:dyDescent="0.3">
      <c r="A139" s="84">
        <f t="shared" si="90"/>
        <v>3</v>
      </c>
      <c r="B139" s="198">
        <v>134</v>
      </c>
      <c r="C139" s="51" t="s">
        <v>403</v>
      </c>
      <c r="D139" s="204" t="s">
        <v>1049</v>
      </c>
      <c r="E139" s="60" t="s">
        <v>404</v>
      </c>
      <c r="F139" s="17">
        <v>1</v>
      </c>
      <c r="G139" s="17"/>
      <c r="H139" s="89" t="s">
        <v>376</v>
      </c>
      <c r="I139" s="115">
        <v>120000</v>
      </c>
      <c r="J139" s="121">
        <f t="shared" si="91"/>
        <v>22800</v>
      </c>
      <c r="K139" s="130">
        <f t="shared" si="92"/>
        <v>142800</v>
      </c>
      <c r="L139" s="121">
        <f t="shared" si="93"/>
        <v>120000</v>
      </c>
      <c r="M139" s="122">
        <f t="shared" si="94"/>
        <v>142800</v>
      </c>
      <c r="N139" s="116">
        <v>90000</v>
      </c>
      <c r="O139" s="121">
        <f t="shared" si="95"/>
        <v>17100</v>
      </c>
      <c r="P139" s="110">
        <f t="shared" si="96"/>
        <v>107100</v>
      </c>
      <c r="Q139" s="121">
        <f t="shared" si="97"/>
        <v>90000</v>
      </c>
      <c r="R139" s="124">
        <f t="shared" si="98"/>
        <v>107100</v>
      </c>
      <c r="S139" s="117">
        <v>135000</v>
      </c>
      <c r="T139" s="121">
        <f t="shared" si="99"/>
        <v>25650</v>
      </c>
      <c r="U139" s="110">
        <f t="shared" si="100"/>
        <v>160650</v>
      </c>
      <c r="V139" s="121">
        <f t="shared" si="101"/>
        <v>135000</v>
      </c>
      <c r="W139" s="122">
        <f t="shared" si="102"/>
        <v>160650</v>
      </c>
      <c r="X139" s="108"/>
      <c r="Y139" s="121">
        <f t="shared" si="113"/>
        <v>0</v>
      </c>
      <c r="Z139" s="121">
        <f t="shared" si="114"/>
        <v>0</v>
      </c>
      <c r="AA139" s="121">
        <f t="shared" si="105"/>
        <v>0</v>
      </c>
      <c r="AB139" s="124">
        <f t="shared" si="115"/>
        <v>0</v>
      </c>
      <c r="AC139" s="126">
        <f t="shared" si="107"/>
        <v>115000</v>
      </c>
      <c r="AD139" s="101">
        <f t="shared" si="119"/>
        <v>86250</v>
      </c>
      <c r="AE139" s="127">
        <f t="shared" si="108"/>
        <v>18708.286933869706</v>
      </c>
      <c r="AF139" s="128">
        <f t="shared" si="116"/>
        <v>0.1626807559466931</v>
      </c>
      <c r="AG139" s="129">
        <f t="shared" si="110"/>
        <v>120000</v>
      </c>
      <c r="AH139" s="101">
        <f t="shared" si="120"/>
        <v>105000</v>
      </c>
      <c r="AI139" s="130">
        <f t="shared" si="117"/>
        <v>18708.286933869706</v>
      </c>
      <c r="AJ139" s="159">
        <f t="shared" si="118"/>
        <v>0.15590239111558088</v>
      </c>
      <c r="AK139" s="175" t="s">
        <v>994</v>
      </c>
      <c r="AL139" s="161" t="s">
        <v>996</v>
      </c>
      <c r="AM139" s="176" t="s">
        <v>995</v>
      </c>
      <c r="AN139" s="160"/>
    </row>
    <row r="140" spans="1:40" ht="30.75" thickBot="1" x14ac:dyDescent="0.3">
      <c r="A140" s="84">
        <f t="shared" si="90"/>
        <v>3</v>
      </c>
      <c r="B140" s="198">
        <v>135</v>
      </c>
      <c r="C140" s="51" t="s">
        <v>405</v>
      </c>
      <c r="D140" s="204" t="s">
        <v>1049</v>
      </c>
      <c r="E140" s="60" t="s">
        <v>406</v>
      </c>
      <c r="F140" s="17">
        <v>1</v>
      </c>
      <c r="G140" s="17"/>
      <c r="H140" s="89" t="s">
        <v>376</v>
      </c>
      <c r="I140" s="115">
        <v>2350000</v>
      </c>
      <c r="J140" s="121">
        <f t="shared" si="91"/>
        <v>446500</v>
      </c>
      <c r="K140" s="130">
        <f t="shared" si="92"/>
        <v>2796500</v>
      </c>
      <c r="L140" s="121">
        <f t="shared" si="93"/>
        <v>2350000</v>
      </c>
      <c r="M140" s="122">
        <f t="shared" si="94"/>
        <v>2796500</v>
      </c>
      <c r="N140" s="116">
        <v>6840000</v>
      </c>
      <c r="O140" s="121">
        <f t="shared" si="95"/>
        <v>1299600</v>
      </c>
      <c r="P140" s="110">
        <f t="shared" si="96"/>
        <v>8139600</v>
      </c>
      <c r="Q140" s="121">
        <f t="shared" si="97"/>
        <v>6840000</v>
      </c>
      <c r="R140" s="124">
        <f t="shared" si="98"/>
        <v>8139600</v>
      </c>
      <c r="S140" s="117">
        <v>7700000</v>
      </c>
      <c r="T140" s="121">
        <f t="shared" si="99"/>
        <v>1463000</v>
      </c>
      <c r="U140" s="110">
        <f t="shared" si="100"/>
        <v>9163000</v>
      </c>
      <c r="V140" s="121">
        <f t="shared" si="101"/>
        <v>7700000</v>
      </c>
      <c r="W140" s="122">
        <f t="shared" si="102"/>
        <v>9163000</v>
      </c>
      <c r="X140" s="108"/>
      <c r="Y140" s="121">
        <f t="shared" si="113"/>
        <v>0</v>
      </c>
      <c r="Z140" s="121">
        <f t="shared" si="114"/>
        <v>0</v>
      </c>
      <c r="AA140" s="121">
        <f t="shared" si="105"/>
        <v>0</v>
      </c>
      <c r="AB140" s="124">
        <f t="shared" si="115"/>
        <v>0</v>
      </c>
      <c r="AC140" s="126">
        <f t="shared" si="107"/>
        <v>5630000</v>
      </c>
      <c r="AD140" s="101">
        <f t="shared" si="119"/>
        <v>4222500</v>
      </c>
      <c r="AE140" s="127">
        <f t="shared" si="108"/>
        <v>2345733.716061281</v>
      </c>
      <c r="AF140" s="128">
        <f t="shared" si="116"/>
        <v>0.41664897265742112</v>
      </c>
      <c r="AG140" s="129">
        <f t="shared" si="110"/>
        <v>6840000</v>
      </c>
      <c r="AH140" s="101">
        <f t="shared" si="120"/>
        <v>4595000</v>
      </c>
      <c r="AI140" s="130">
        <f t="shared" si="117"/>
        <v>2345733.716061281</v>
      </c>
      <c r="AJ140" s="159">
        <f t="shared" si="118"/>
        <v>0.34294352573995335</v>
      </c>
      <c r="AK140" s="175" t="s">
        <v>997</v>
      </c>
      <c r="AL140" s="161" t="s">
        <v>998</v>
      </c>
      <c r="AM140" s="176" t="s">
        <v>999</v>
      </c>
      <c r="AN140" s="160"/>
    </row>
    <row r="141" spans="1:40" ht="30.75" thickBot="1" x14ac:dyDescent="0.3">
      <c r="A141" s="84">
        <f t="shared" si="90"/>
        <v>3</v>
      </c>
      <c r="B141" s="198">
        <v>136</v>
      </c>
      <c r="C141" s="51" t="s">
        <v>407</v>
      </c>
      <c r="D141" s="204" t="s">
        <v>1049</v>
      </c>
      <c r="E141" s="60" t="s">
        <v>408</v>
      </c>
      <c r="F141" s="17">
        <v>1</v>
      </c>
      <c r="G141" s="17"/>
      <c r="H141" s="89" t="s">
        <v>376</v>
      </c>
      <c r="I141" s="131">
        <f>1300000*1.052</f>
        <v>1367600</v>
      </c>
      <c r="J141" s="121">
        <f t="shared" si="91"/>
        <v>259844</v>
      </c>
      <c r="K141" s="130">
        <f t="shared" si="92"/>
        <v>1627444</v>
      </c>
      <c r="L141" s="121">
        <f t="shared" si="93"/>
        <v>1367600</v>
      </c>
      <c r="M141" s="122">
        <f t="shared" si="94"/>
        <v>1627444</v>
      </c>
      <c r="N141" s="132">
        <f>950000*1.052</f>
        <v>999400</v>
      </c>
      <c r="O141" s="121">
        <f t="shared" si="95"/>
        <v>189886</v>
      </c>
      <c r="P141" s="110">
        <f t="shared" si="96"/>
        <v>1189286</v>
      </c>
      <c r="Q141" s="121">
        <f t="shared" si="97"/>
        <v>999400</v>
      </c>
      <c r="R141" s="124">
        <f t="shared" si="98"/>
        <v>1189286</v>
      </c>
      <c r="S141" s="131">
        <f>1400000*1.052</f>
        <v>1472800</v>
      </c>
      <c r="T141" s="121">
        <f t="shared" si="99"/>
        <v>279832</v>
      </c>
      <c r="U141" s="110">
        <f t="shared" si="100"/>
        <v>1752632</v>
      </c>
      <c r="V141" s="121">
        <f t="shared" si="101"/>
        <v>1472800</v>
      </c>
      <c r="W141" s="122">
        <f t="shared" si="102"/>
        <v>1752632</v>
      </c>
      <c r="X141" s="108"/>
      <c r="Y141" s="121">
        <f t="shared" si="113"/>
        <v>0</v>
      </c>
      <c r="Z141" s="121">
        <f t="shared" si="114"/>
        <v>0</v>
      </c>
      <c r="AA141" s="121">
        <f t="shared" si="105"/>
        <v>0</v>
      </c>
      <c r="AB141" s="124">
        <f t="shared" si="115"/>
        <v>0</v>
      </c>
      <c r="AC141" s="126">
        <f t="shared" si="107"/>
        <v>1279933</v>
      </c>
      <c r="AD141" s="101">
        <f t="shared" si="119"/>
        <v>959950</v>
      </c>
      <c r="AE141" s="127">
        <f t="shared" si="108"/>
        <v>202963.00702892194</v>
      </c>
      <c r="AF141" s="128">
        <f t="shared" si="116"/>
        <v>0.15857314955464227</v>
      </c>
      <c r="AG141" s="129">
        <f t="shared" si="110"/>
        <v>1367600</v>
      </c>
      <c r="AH141" s="101">
        <f t="shared" si="120"/>
        <v>1183500</v>
      </c>
      <c r="AI141" s="130">
        <f t="shared" si="117"/>
        <v>202963.00702892194</v>
      </c>
      <c r="AJ141" s="159">
        <f t="shared" si="118"/>
        <v>0.14840816542038751</v>
      </c>
      <c r="AK141" s="175" t="s">
        <v>1000</v>
      </c>
      <c r="AL141" s="161"/>
      <c r="AM141" s="176"/>
      <c r="AN141" s="160"/>
    </row>
    <row r="142" spans="1:40" ht="30.75" thickBot="1" x14ac:dyDescent="0.3">
      <c r="A142" s="84">
        <f t="shared" si="90"/>
        <v>3</v>
      </c>
      <c r="B142" s="198">
        <v>137</v>
      </c>
      <c r="C142" s="51" t="s">
        <v>409</v>
      </c>
      <c r="D142" s="204" t="s">
        <v>1049</v>
      </c>
      <c r="E142" s="60" t="s">
        <v>410</v>
      </c>
      <c r="F142" s="17">
        <v>1</v>
      </c>
      <c r="G142" s="17"/>
      <c r="H142" s="89" t="s">
        <v>376</v>
      </c>
      <c r="I142" s="131">
        <f>1450000*1.052</f>
        <v>1525400</v>
      </c>
      <c r="J142" s="121">
        <f t="shared" si="91"/>
        <v>289826</v>
      </c>
      <c r="K142" s="130">
        <f t="shared" si="92"/>
        <v>1815226</v>
      </c>
      <c r="L142" s="121">
        <f t="shared" si="93"/>
        <v>1525400</v>
      </c>
      <c r="M142" s="122">
        <f t="shared" si="94"/>
        <v>1815226</v>
      </c>
      <c r="N142" s="132">
        <f>1020000*1.052</f>
        <v>1073040</v>
      </c>
      <c r="O142" s="121">
        <f t="shared" si="95"/>
        <v>203877.6</v>
      </c>
      <c r="P142" s="110">
        <f t="shared" si="96"/>
        <v>1276917.6000000001</v>
      </c>
      <c r="Q142" s="121">
        <f t="shared" si="97"/>
        <v>1073040</v>
      </c>
      <c r="R142" s="124">
        <f t="shared" si="98"/>
        <v>1276917.6000000001</v>
      </c>
      <c r="S142" s="131">
        <f>1500000*1.052</f>
        <v>1578000</v>
      </c>
      <c r="T142" s="121">
        <f t="shared" si="99"/>
        <v>299820</v>
      </c>
      <c r="U142" s="110">
        <f t="shared" si="100"/>
        <v>1877820</v>
      </c>
      <c r="V142" s="121">
        <f t="shared" si="101"/>
        <v>1578000</v>
      </c>
      <c r="W142" s="122">
        <f t="shared" si="102"/>
        <v>1877820</v>
      </c>
      <c r="X142" s="108"/>
      <c r="Y142" s="121">
        <f t="shared" si="113"/>
        <v>0</v>
      </c>
      <c r="Z142" s="121">
        <f t="shared" si="114"/>
        <v>0</v>
      </c>
      <c r="AA142" s="121">
        <f t="shared" si="105"/>
        <v>0</v>
      </c>
      <c r="AB142" s="124">
        <f t="shared" si="115"/>
        <v>0</v>
      </c>
      <c r="AC142" s="126">
        <f t="shared" si="107"/>
        <v>1392147</v>
      </c>
      <c r="AD142" s="101">
        <f t="shared" si="119"/>
        <v>1044110</v>
      </c>
      <c r="AE142" s="127">
        <f t="shared" si="108"/>
        <v>226661.99289299082</v>
      </c>
      <c r="AF142" s="128">
        <f t="shared" si="116"/>
        <v>0.162814697652612</v>
      </c>
      <c r="AG142" s="129">
        <f t="shared" si="110"/>
        <v>1525400</v>
      </c>
      <c r="AH142" s="101">
        <f t="shared" si="120"/>
        <v>1299220</v>
      </c>
      <c r="AI142" s="130">
        <f t="shared" si="117"/>
        <v>226661.99289299082</v>
      </c>
      <c r="AJ142" s="159">
        <f t="shared" si="118"/>
        <v>0.14859184010291782</v>
      </c>
      <c r="AK142" s="290" t="s">
        <v>1036</v>
      </c>
      <c r="AL142" s="291"/>
      <c r="AM142" s="292"/>
      <c r="AN142" s="160"/>
    </row>
    <row r="143" spans="1:40" ht="30.75" thickBot="1" x14ac:dyDescent="0.3">
      <c r="A143" s="84">
        <f t="shared" si="90"/>
        <v>3</v>
      </c>
      <c r="B143" s="198">
        <v>138</v>
      </c>
      <c r="C143" s="51" t="s">
        <v>411</v>
      </c>
      <c r="D143" s="204" t="s">
        <v>1049</v>
      </c>
      <c r="E143" s="60" t="s">
        <v>412</v>
      </c>
      <c r="F143" s="17">
        <v>1</v>
      </c>
      <c r="G143" s="17"/>
      <c r="H143" s="89" t="s">
        <v>376</v>
      </c>
      <c r="I143" s="131">
        <f>1750000*1.052</f>
        <v>1841000</v>
      </c>
      <c r="J143" s="121">
        <f t="shared" si="91"/>
        <v>349790</v>
      </c>
      <c r="K143" s="130">
        <f t="shared" si="92"/>
        <v>2190790</v>
      </c>
      <c r="L143" s="121">
        <f t="shared" si="93"/>
        <v>1841000</v>
      </c>
      <c r="M143" s="122">
        <f t="shared" si="94"/>
        <v>2190790</v>
      </c>
      <c r="N143" s="132">
        <f>1300000*1.052</f>
        <v>1367600</v>
      </c>
      <c r="O143" s="121">
        <f t="shared" si="95"/>
        <v>259844</v>
      </c>
      <c r="P143" s="110">
        <f t="shared" si="96"/>
        <v>1627444</v>
      </c>
      <c r="Q143" s="121">
        <f t="shared" si="97"/>
        <v>1367600</v>
      </c>
      <c r="R143" s="124">
        <f t="shared" si="98"/>
        <v>1627444</v>
      </c>
      <c r="S143" s="131">
        <f>1600000*1.052</f>
        <v>1683200</v>
      </c>
      <c r="T143" s="121">
        <f t="shared" si="99"/>
        <v>319808</v>
      </c>
      <c r="U143" s="110">
        <f t="shared" si="100"/>
        <v>2003008</v>
      </c>
      <c r="V143" s="121">
        <f t="shared" si="101"/>
        <v>1683200</v>
      </c>
      <c r="W143" s="122">
        <f t="shared" si="102"/>
        <v>2003008</v>
      </c>
      <c r="X143" s="108"/>
      <c r="Y143" s="121">
        <f t="shared" si="113"/>
        <v>0</v>
      </c>
      <c r="Z143" s="121">
        <f t="shared" si="114"/>
        <v>0</v>
      </c>
      <c r="AA143" s="121">
        <f t="shared" si="105"/>
        <v>0</v>
      </c>
      <c r="AB143" s="124">
        <f t="shared" si="115"/>
        <v>0</v>
      </c>
      <c r="AC143" s="126">
        <f t="shared" si="107"/>
        <v>1630600</v>
      </c>
      <c r="AD143" s="101">
        <f t="shared" si="119"/>
        <v>1222950</v>
      </c>
      <c r="AE143" s="127">
        <f t="shared" si="108"/>
        <v>196811.17854430931</v>
      </c>
      <c r="AF143" s="128">
        <f t="shared" si="116"/>
        <v>0.12069862537980455</v>
      </c>
      <c r="AG143" s="129">
        <f t="shared" si="110"/>
        <v>1683200</v>
      </c>
      <c r="AH143" s="101">
        <f t="shared" si="120"/>
        <v>1525400</v>
      </c>
      <c r="AI143" s="130">
        <f t="shared" si="117"/>
        <v>196811.17854430931</v>
      </c>
      <c r="AJ143" s="159">
        <f t="shared" si="118"/>
        <v>0.11692679333668567</v>
      </c>
      <c r="AK143" s="290" t="s">
        <v>1036</v>
      </c>
      <c r="AL143" s="291"/>
      <c r="AM143" s="292"/>
      <c r="AN143" s="160"/>
    </row>
    <row r="144" spans="1:40" ht="30.75" thickBot="1" x14ac:dyDescent="0.3">
      <c r="A144" s="84">
        <f t="shared" si="90"/>
        <v>3</v>
      </c>
      <c r="B144" s="198">
        <v>139</v>
      </c>
      <c r="C144" s="51" t="s">
        <v>413</v>
      </c>
      <c r="D144" s="204" t="s">
        <v>1049</v>
      </c>
      <c r="E144" s="60" t="s">
        <v>414</v>
      </c>
      <c r="F144" s="17">
        <v>1</v>
      </c>
      <c r="G144" s="17"/>
      <c r="H144" s="89" t="s">
        <v>376</v>
      </c>
      <c r="I144" s="131">
        <f>1800000*1.052</f>
        <v>1893600</v>
      </c>
      <c r="J144" s="121">
        <f t="shared" si="91"/>
        <v>359784</v>
      </c>
      <c r="K144" s="130">
        <f t="shared" si="92"/>
        <v>2253384</v>
      </c>
      <c r="L144" s="121">
        <f t="shared" si="93"/>
        <v>1893600</v>
      </c>
      <c r="M144" s="122">
        <f t="shared" si="94"/>
        <v>2253384</v>
      </c>
      <c r="N144" s="132">
        <f>1600000*1.052</f>
        <v>1683200</v>
      </c>
      <c r="O144" s="121">
        <f t="shared" si="95"/>
        <v>319808</v>
      </c>
      <c r="P144" s="110">
        <f t="shared" si="96"/>
        <v>2003008</v>
      </c>
      <c r="Q144" s="121">
        <f t="shared" si="97"/>
        <v>1683200</v>
      </c>
      <c r="R144" s="124">
        <f t="shared" si="98"/>
        <v>2003008</v>
      </c>
      <c r="S144" s="131">
        <f>1800000*1.052</f>
        <v>1893600</v>
      </c>
      <c r="T144" s="121">
        <f t="shared" si="99"/>
        <v>359784</v>
      </c>
      <c r="U144" s="110">
        <f t="shared" si="100"/>
        <v>2253384</v>
      </c>
      <c r="V144" s="121">
        <f t="shared" si="101"/>
        <v>1893600</v>
      </c>
      <c r="W144" s="122">
        <f t="shared" si="102"/>
        <v>2253384</v>
      </c>
      <c r="X144" s="108"/>
      <c r="Y144" s="121">
        <f t="shared" si="113"/>
        <v>0</v>
      </c>
      <c r="Z144" s="121">
        <f t="shared" si="114"/>
        <v>0</v>
      </c>
      <c r="AA144" s="121">
        <f t="shared" si="105"/>
        <v>0</v>
      </c>
      <c r="AB144" s="124">
        <f t="shared" si="115"/>
        <v>0</v>
      </c>
      <c r="AC144" s="126">
        <f t="shared" si="107"/>
        <v>1823467</v>
      </c>
      <c r="AD144" s="101">
        <f t="shared" si="119"/>
        <v>1367600</v>
      </c>
      <c r="AE144" s="127">
        <f t="shared" si="108"/>
        <v>99183.511174433064</v>
      </c>
      <c r="AF144" s="128">
        <f t="shared" si="116"/>
        <v>5.4392819378926552E-2</v>
      </c>
      <c r="AG144" s="129">
        <f t="shared" si="110"/>
        <v>1893600</v>
      </c>
      <c r="AH144" s="101">
        <f t="shared" si="120"/>
        <v>1788400</v>
      </c>
      <c r="AI144" s="130">
        <f t="shared" si="117"/>
        <v>99183.511174433064</v>
      </c>
      <c r="AJ144" s="159">
        <f t="shared" si="118"/>
        <v>5.2378280087892408E-2</v>
      </c>
      <c r="AK144" s="290" t="s">
        <v>1036</v>
      </c>
      <c r="AL144" s="291"/>
      <c r="AM144" s="292"/>
      <c r="AN144" s="160"/>
    </row>
    <row r="145" spans="1:40" ht="30.75" thickBot="1" x14ac:dyDescent="0.3">
      <c r="A145" s="84">
        <f t="shared" si="90"/>
        <v>3</v>
      </c>
      <c r="B145" s="198">
        <v>140</v>
      </c>
      <c r="C145" s="51" t="s">
        <v>415</v>
      </c>
      <c r="D145" s="204" t="s">
        <v>1049</v>
      </c>
      <c r="E145" s="60" t="s">
        <v>416</v>
      </c>
      <c r="F145" s="17">
        <v>1</v>
      </c>
      <c r="G145" s="17"/>
      <c r="H145" s="89" t="s">
        <v>376</v>
      </c>
      <c r="I145" s="131">
        <f>2000000*1.052</f>
        <v>2104000</v>
      </c>
      <c r="J145" s="121">
        <f t="shared" si="91"/>
        <v>399760</v>
      </c>
      <c r="K145" s="130">
        <f t="shared" si="92"/>
        <v>2503760</v>
      </c>
      <c r="L145" s="121">
        <f t="shared" si="93"/>
        <v>2104000</v>
      </c>
      <c r="M145" s="122">
        <f t="shared" si="94"/>
        <v>2503760</v>
      </c>
      <c r="N145" s="132">
        <f>2000000*1.052</f>
        <v>2104000</v>
      </c>
      <c r="O145" s="121">
        <f t="shared" si="95"/>
        <v>399760</v>
      </c>
      <c r="P145" s="110">
        <f t="shared" si="96"/>
        <v>2503760</v>
      </c>
      <c r="Q145" s="121">
        <f t="shared" si="97"/>
        <v>2104000</v>
      </c>
      <c r="R145" s="124">
        <f t="shared" si="98"/>
        <v>2503760</v>
      </c>
      <c r="S145" s="117">
        <f>1900000*1.052</f>
        <v>1998800</v>
      </c>
      <c r="T145" s="121">
        <f t="shared" si="99"/>
        <v>379772</v>
      </c>
      <c r="U145" s="110">
        <f t="shared" si="100"/>
        <v>2378572</v>
      </c>
      <c r="V145" s="121">
        <f t="shared" si="101"/>
        <v>1998800</v>
      </c>
      <c r="W145" s="122">
        <f t="shared" si="102"/>
        <v>2378572</v>
      </c>
      <c r="X145" s="108"/>
      <c r="Y145" s="121">
        <f t="shared" si="113"/>
        <v>0</v>
      </c>
      <c r="Z145" s="121">
        <f t="shared" si="114"/>
        <v>0</v>
      </c>
      <c r="AA145" s="121">
        <f t="shared" si="105"/>
        <v>0</v>
      </c>
      <c r="AB145" s="124">
        <f t="shared" si="115"/>
        <v>0</v>
      </c>
      <c r="AC145" s="126">
        <f t="shared" si="107"/>
        <v>2068933</v>
      </c>
      <c r="AD145" s="101">
        <f t="shared" si="119"/>
        <v>1551700</v>
      </c>
      <c r="AE145" s="127">
        <f t="shared" si="108"/>
        <v>49591.755587216532</v>
      </c>
      <c r="AF145" s="128">
        <f t="shared" si="116"/>
        <v>2.3969725258003297E-2</v>
      </c>
      <c r="AG145" s="129">
        <f t="shared" si="110"/>
        <v>2104000</v>
      </c>
      <c r="AH145" s="101">
        <f t="shared" si="120"/>
        <v>2051400</v>
      </c>
      <c r="AI145" s="130">
        <f t="shared" si="117"/>
        <v>49591.755587216532</v>
      </c>
      <c r="AJ145" s="159">
        <f t="shared" si="118"/>
        <v>2.3570226039551584E-2</v>
      </c>
      <c r="AK145" s="290" t="s">
        <v>1036</v>
      </c>
      <c r="AL145" s="291"/>
      <c r="AM145" s="292"/>
      <c r="AN145" s="160"/>
    </row>
    <row r="146" spans="1:40" ht="30.75" thickBot="1" x14ac:dyDescent="0.3">
      <c r="A146" s="84">
        <f t="shared" si="90"/>
        <v>3</v>
      </c>
      <c r="B146" s="198">
        <v>141</v>
      </c>
      <c r="C146" s="51" t="s">
        <v>417</v>
      </c>
      <c r="D146" s="204" t="s">
        <v>1049</v>
      </c>
      <c r="E146" s="60" t="s">
        <v>418</v>
      </c>
      <c r="F146" s="17">
        <v>1</v>
      </c>
      <c r="G146" s="17"/>
      <c r="H146" s="89" t="s">
        <v>376</v>
      </c>
      <c r="I146" s="131">
        <f>2500000*1.052</f>
        <v>2630000</v>
      </c>
      <c r="J146" s="121">
        <f t="shared" si="91"/>
        <v>499700</v>
      </c>
      <c r="K146" s="130">
        <f t="shared" si="92"/>
        <v>3129700</v>
      </c>
      <c r="L146" s="121">
        <f t="shared" si="93"/>
        <v>2630000</v>
      </c>
      <c r="M146" s="122">
        <f t="shared" si="94"/>
        <v>3129700</v>
      </c>
      <c r="N146" s="132">
        <f>2100000*1.052</f>
        <v>2209200</v>
      </c>
      <c r="O146" s="121">
        <f t="shared" si="95"/>
        <v>419748</v>
      </c>
      <c r="P146" s="110">
        <f t="shared" si="96"/>
        <v>2628948</v>
      </c>
      <c r="Q146" s="121">
        <f t="shared" si="97"/>
        <v>2209200</v>
      </c>
      <c r="R146" s="124">
        <f t="shared" si="98"/>
        <v>2628948</v>
      </c>
      <c r="S146" s="131">
        <f>2000000*1.052</f>
        <v>2104000</v>
      </c>
      <c r="T146" s="121">
        <f t="shared" si="99"/>
        <v>399760</v>
      </c>
      <c r="U146" s="110">
        <f t="shared" si="100"/>
        <v>2503760</v>
      </c>
      <c r="V146" s="121">
        <f t="shared" si="101"/>
        <v>2104000</v>
      </c>
      <c r="W146" s="122">
        <f t="shared" si="102"/>
        <v>2503760</v>
      </c>
      <c r="X146" s="108"/>
      <c r="Y146" s="121">
        <f t="shared" si="113"/>
        <v>0</v>
      </c>
      <c r="Z146" s="121">
        <f t="shared" si="114"/>
        <v>0</v>
      </c>
      <c r="AA146" s="121">
        <f t="shared" si="105"/>
        <v>0</v>
      </c>
      <c r="AB146" s="124">
        <f t="shared" si="115"/>
        <v>0</v>
      </c>
      <c r="AC146" s="126">
        <f t="shared" si="107"/>
        <v>2314400</v>
      </c>
      <c r="AD146" s="101">
        <f t="shared" si="119"/>
        <v>1735800</v>
      </c>
      <c r="AE146" s="127">
        <f t="shared" si="108"/>
        <v>227257.97382416896</v>
      </c>
      <c r="AF146" s="128">
        <f t="shared" si="116"/>
        <v>9.8193040884967581E-2</v>
      </c>
      <c r="AG146" s="129">
        <f t="shared" si="110"/>
        <v>2209200</v>
      </c>
      <c r="AH146" s="101">
        <f t="shared" si="120"/>
        <v>2156600</v>
      </c>
      <c r="AI146" s="130">
        <f t="shared" si="117"/>
        <v>227257.97382416896</v>
      </c>
      <c r="AJ146" s="159">
        <f t="shared" si="118"/>
        <v>0.10286889997472794</v>
      </c>
      <c r="AK146" s="290" t="s">
        <v>1036</v>
      </c>
      <c r="AL146" s="291"/>
      <c r="AM146" s="292"/>
      <c r="AN146" s="160"/>
    </row>
    <row r="147" spans="1:40" ht="30.75" thickBot="1" x14ac:dyDescent="0.3">
      <c r="A147" s="84">
        <f t="shared" si="90"/>
        <v>3</v>
      </c>
      <c r="B147" s="198">
        <v>142</v>
      </c>
      <c r="C147" s="51" t="s">
        <v>419</v>
      </c>
      <c r="D147" s="204" t="s">
        <v>1049</v>
      </c>
      <c r="E147" s="60" t="s">
        <v>420</v>
      </c>
      <c r="F147" s="17">
        <v>1</v>
      </c>
      <c r="G147" s="17"/>
      <c r="H147" s="89" t="s">
        <v>376</v>
      </c>
      <c r="I147" s="131">
        <f>3000000*1.052</f>
        <v>3156000</v>
      </c>
      <c r="J147" s="121">
        <f t="shared" si="91"/>
        <v>599640</v>
      </c>
      <c r="K147" s="130">
        <f t="shared" si="92"/>
        <v>3755640</v>
      </c>
      <c r="L147" s="121">
        <f t="shared" si="93"/>
        <v>3156000</v>
      </c>
      <c r="M147" s="122">
        <f t="shared" si="94"/>
        <v>3755640</v>
      </c>
      <c r="N147" s="132">
        <f>2300000*1.052</f>
        <v>2419600</v>
      </c>
      <c r="O147" s="121">
        <f t="shared" si="95"/>
        <v>459724</v>
      </c>
      <c r="P147" s="110">
        <f t="shared" si="96"/>
        <v>2879324</v>
      </c>
      <c r="Q147" s="121">
        <f t="shared" si="97"/>
        <v>2419600</v>
      </c>
      <c r="R147" s="124">
        <f t="shared" si="98"/>
        <v>2879324</v>
      </c>
      <c r="S147" s="131">
        <f>2400000*1.052</f>
        <v>2524800</v>
      </c>
      <c r="T147" s="121">
        <f t="shared" si="99"/>
        <v>479712</v>
      </c>
      <c r="U147" s="110">
        <f t="shared" si="100"/>
        <v>3004512</v>
      </c>
      <c r="V147" s="121">
        <f t="shared" si="101"/>
        <v>2524800</v>
      </c>
      <c r="W147" s="122">
        <f t="shared" si="102"/>
        <v>3004512</v>
      </c>
      <c r="X147" s="108"/>
      <c r="Y147" s="121">
        <f t="shared" si="113"/>
        <v>0</v>
      </c>
      <c r="Z147" s="121">
        <f t="shared" si="114"/>
        <v>0</v>
      </c>
      <c r="AA147" s="121">
        <f t="shared" si="105"/>
        <v>0</v>
      </c>
      <c r="AB147" s="124">
        <f t="shared" si="115"/>
        <v>0</v>
      </c>
      <c r="AC147" s="126">
        <f t="shared" si="107"/>
        <v>2700133</v>
      </c>
      <c r="AD147" s="101">
        <f t="shared" si="119"/>
        <v>2025100</v>
      </c>
      <c r="AE147" s="127">
        <f t="shared" si="108"/>
        <v>325194.88857538271</v>
      </c>
      <c r="AF147" s="128">
        <f t="shared" si="116"/>
        <v>0.12043661870559069</v>
      </c>
      <c r="AG147" s="129">
        <f t="shared" si="110"/>
        <v>2524800</v>
      </c>
      <c r="AH147" s="101">
        <f t="shared" si="120"/>
        <v>2472200</v>
      </c>
      <c r="AI147" s="130">
        <f t="shared" si="117"/>
        <v>325194.88857538271</v>
      </c>
      <c r="AJ147" s="159">
        <f t="shared" si="118"/>
        <v>0.12880025688188479</v>
      </c>
      <c r="AK147" s="290" t="s">
        <v>1036</v>
      </c>
      <c r="AL147" s="291"/>
      <c r="AM147" s="292"/>
      <c r="AN147" s="160"/>
    </row>
    <row r="148" spans="1:40" ht="30.75" thickBot="1" x14ac:dyDescent="0.3">
      <c r="A148" s="84">
        <f t="shared" si="90"/>
        <v>3</v>
      </c>
      <c r="B148" s="198">
        <v>143</v>
      </c>
      <c r="C148" s="51" t="s">
        <v>421</v>
      </c>
      <c r="D148" s="204" t="s">
        <v>1049</v>
      </c>
      <c r="E148" s="60" t="s">
        <v>422</v>
      </c>
      <c r="F148" s="17">
        <v>1</v>
      </c>
      <c r="G148" s="17"/>
      <c r="H148" s="89" t="s">
        <v>376</v>
      </c>
      <c r="I148" s="131">
        <f>3400000*1.052</f>
        <v>3576800</v>
      </c>
      <c r="J148" s="121">
        <f t="shared" si="91"/>
        <v>679592</v>
      </c>
      <c r="K148" s="130">
        <f t="shared" si="92"/>
        <v>4256392</v>
      </c>
      <c r="L148" s="121">
        <f t="shared" si="93"/>
        <v>3576800</v>
      </c>
      <c r="M148" s="122">
        <f t="shared" si="94"/>
        <v>4256392</v>
      </c>
      <c r="N148" s="132">
        <f>2700000*1.052</f>
        <v>2840400</v>
      </c>
      <c r="O148" s="121">
        <f t="shared" si="95"/>
        <v>539676</v>
      </c>
      <c r="P148" s="110">
        <f t="shared" si="96"/>
        <v>3380076</v>
      </c>
      <c r="Q148" s="121">
        <f t="shared" si="97"/>
        <v>2840400</v>
      </c>
      <c r="R148" s="124">
        <f t="shared" si="98"/>
        <v>3380076</v>
      </c>
      <c r="S148" s="131">
        <f>2600000*1.052</f>
        <v>2735200</v>
      </c>
      <c r="T148" s="121">
        <f t="shared" si="99"/>
        <v>519688</v>
      </c>
      <c r="U148" s="110">
        <f t="shared" si="100"/>
        <v>3254888</v>
      </c>
      <c r="V148" s="121">
        <f t="shared" si="101"/>
        <v>2735200</v>
      </c>
      <c r="W148" s="122">
        <f t="shared" si="102"/>
        <v>3254888</v>
      </c>
      <c r="X148" s="108"/>
      <c r="Y148" s="121">
        <f t="shared" si="113"/>
        <v>0</v>
      </c>
      <c r="Z148" s="121">
        <f t="shared" si="114"/>
        <v>0</v>
      </c>
      <c r="AA148" s="121">
        <f t="shared" si="105"/>
        <v>0</v>
      </c>
      <c r="AB148" s="124">
        <f t="shared" si="115"/>
        <v>0</v>
      </c>
      <c r="AC148" s="126">
        <f t="shared" si="107"/>
        <v>3050800</v>
      </c>
      <c r="AD148" s="101">
        <f t="shared" si="119"/>
        <v>2288100</v>
      </c>
      <c r="AE148" s="127">
        <f t="shared" si="108"/>
        <v>374409.54403789795</v>
      </c>
      <c r="AF148" s="128">
        <f t="shared" si="116"/>
        <v>0.12272503737967023</v>
      </c>
      <c r="AG148" s="129">
        <f t="shared" si="110"/>
        <v>2840400</v>
      </c>
      <c r="AH148" s="101">
        <f t="shared" si="120"/>
        <v>2787800</v>
      </c>
      <c r="AI148" s="130">
        <f t="shared" si="117"/>
        <v>374409.54403789795</v>
      </c>
      <c r="AJ148" s="159">
        <f t="shared" si="118"/>
        <v>0.13181578088927542</v>
      </c>
      <c r="AK148" s="290" t="s">
        <v>1036</v>
      </c>
      <c r="AL148" s="291"/>
      <c r="AM148" s="292"/>
      <c r="AN148" s="160"/>
    </row>
    <row r="149" spans="1:40" ht="30.75" thickBot="1" x14ac:dyDescent="0.3">
      <c r="A149" s="84">
        <f t="shared" si="90"/>
        <v>3</v>
      </c>
      <c r="B149" s="198">
        <v>144</v>
      </c>
      <c r="C149" s="51" t="s">
        <v>423</v>
      </c>
      <c r="D149" s="204" t="s">
        <v>1049</v>
      </c>
      <c r="E149" s="60" t="s">
        <v>424</v>
      </c>
      <c r="F149" s="17">
        <v>1</v>
      </c>
      <c r="G149" s="17"/>
      <c r="H149" s="89" t="s">
        <v>376</v>
      </c>
      <c r="I149" s="131">
        <f>3750000*1.052</f>
        <v>3945000</v>
      </c>
      <c r="J149" s="121">
        <f t="shared" si="91"/>
        <v>749550</v>
      </c>
      <c r="K149" s="130">
        <f t="shared" si="92"/>
        <v>4694550</v>
      </c>
      <c r="L149" s="121">
        <f t="shared" si="93"/>
        <v>3945000</v>
      </c>
      <c r="M149" s="122">
        <f t="shared" si="94"/>
        <v>4694550</v>
      </c>
      <c r="N149" s="132">
        <f>2940000*1.052</f>
        <v>3092880</v>
      </c>
      <c r="O149" s="121">
        <f t="shared" si="95"/>
        <v>587647.19999999995</v>
      </c>
      <c r="P149" s="110">
        <f t="shared" si="96"/>
        <v>3680527.2</v>
      </c>
      <c r="Q149" s="121">
        <f t="shared" si="97"/>
        <v>3092880</v>
      </c>
      <c r="R149" s="124">
        <f t="shared" si="98"/>
        <v>3680527.2</v>
      </c>
      <c r="S149" s="131">
        <f>3000000*1.052</f>
        <v>3156000</v>
      </c>
      <c r="T149" s="121">
        <f t="shared" si="99"/>
        <v>599640</v>
      </c>
      <c r="U149" s="110">
        <f t="shared" si="100"/>
        <v>3755640</v>
      </c>
      <c r="V149" s="121">
        <f t="shared" si="101"/>
        <v>3156000</v>
      </c>
      <c r="W149" s="122">
        <f t="shared" si="102"/>
        <v>3755640</v>
      </c>
      <c r="X149" s="108"/>
      <c r="Y149" s="121">
        <f t="shared" si="113"/>
        <v>0</v>
      </c>
      <c r="Z149" s="121">
        <f t="shared" si="114"/>
        <v>0</v>
      </c>
      <c r="AA149" s="121">
        <f t="shared" si="105"/>
        <v>0</v>
      </c>
      <c r="AB149" s="124">
        <f t="shared" si="115"/>
        <v>0</v>
      </c>
      <c r="AC149" s="126">
        <f t="shared" si="107"/>
        <v>3397960</v>
      </c>
      <c r="AD149" s="101">
        <f t="shared" si="119"/>
        <v>2548470</v>
      </c>
      <c r="AE149" s="127">
        <f t="shared" si="108"/>
        <v>387673.06225736137</v>
      </c>
      <c r="AF149" s="128">
        <f t="shared" si="116"/>
        <v>0.11408994286494289</v>
      </c>
      <c r="AG149" s="129">
        <f t="shared" si="110"/>
        <v>3156000</v>
      </c>
      <c r="AH149" s="101">
        <f t="shared" si="120"/>
        <v>3124440</v>
      </c>
      <c r="AI149" s="130">
        <f t="shared" si="117"/>
        <v>387673.06225736137</v>
      </c>
      <c r="AJ149" s="159">
        <f t="shared" si="118"/>
        <v>0.12283683848458851</v>
      </c>
      <c r="AK149" s="290" t="s">
        <v>1036</v>
      </c>
      <c r="AL149" s="291"/>
      <c r="AM149" s="292"/>
      <c r="AN149" s="160"/>
    </row>
    <row r="150" spans="1:40" ht="30.75" thickBot="1" x14ac:dyDescent="0.3">
      <c r="A150" s="84">
        <f t="shared" si="90"/>
        <v>3</v>
      </c>
      <c r="B150" s="198">
        <v>145</v>
      </c>
      <c r="C150" s="51" t="s">
        <v>425</v>
      </c>
      <c r="D150" s="204" t="s">
        <v>1049</v>
      </c>
      <c r="E150" s="60" t="s">
        <v>426</v>
      </c>
      <c r="F150" s="17">
        <v>1</v>
      </c>
      <c r="G150" s="17"/>
      <c r="H150" s="89" t="s">
        <v>376</v>
      </c>
      <c r="I150" s="131">
        <f>4000000*1.052</f>
        <v>4208000</v>
      </c>
      <c r="J150" s="121">
        <f t="shared" si="91"/>
        <v>799520</v>
      </c>
      <c r="K150" s="130">
        <f t="shared" si="92"/>
        <v>5007520</v>
      </c>
      <c r="L150" s="121">
        <f t="shared" si="93"/>
        <v>4208000</v>
      </c>
      <c r="M150" s="122">
        <f t="shared" si="94"/>
        <v>5007520</v>
      </c>
      <c r="N150" s="132">
        <f>3000000*1.052</f>
        <v>3156000</v>
      </c>
      <c r="O150" s="121">
        <f t="shared" si="95"/>
        <v>599640</v>
      </c>
      <c r="P150" s="110">
        <f t="shared" si="96"/>
        <v>3755640</v>
      </c>
      <c r="Q150" s="121">
        <f t="shared" si="97"/>
        <v>3156000</v>
      </c>
      <c r="R150" s="124">
        <f t="shared" si="98"/>
        <v>3755640</v>
      </c>
      <c r="S150" s="131">
        <f>3300000*1.052</f>
        <v>3471600</v>
      </c>
      <c r="T150" s="121">
        <f t="shared" si="99"/>
        <v>659604</v>
      </c>
      <c r="U150" s="110">
        <f t="shared" si="100"/>
        <v>4131204</v>
      </c>
      <c r="V150" s="121">
        <f t="shared" si="101"/>
        <v>3471600</v>
      </c>
      <c r="W150" s="122">
        <f t="shared" si="102"/>
        <v>4131204</v>
      </c>
      <c r="X150" s="108"/>
      <c r="Y150" s="121">
        <f t="shared" si="113"/>
        <v>0</v>
      </c>
      <c r="Z150" s="121">
        <f t="shared" si="114"/>
        <v>0</v>
      </c>
      <c r="AA150" s="121">
        <f t="shared" si="105"/>
        <v>0</v>
      </c>
      <c r="AB150" s="124">
        <f t="shared" si="115"/>
        <v>0</v>
      </c>
      <c r="AC150" s="126">
        <f t="shared" si="107"/>
        <v>3611867</v>
      </c>
      <c r="AD150" s="101">
        <f t="shared" si="119"/>
        <v>2708900</v>
      </c>
      <c r="AE150" s="127">
        <f t="shared" si="108"/>
        <v>440781.16515517712</v>
      </c>
      <c r="AF150" s="128">
        <f t="shared" si="116"/>
        <v>0.12203693135854037</v>
      </c>
      <c r="AG150" s="129">
        <f t="shared" si="110"/>
        <v>3471600</v>
      </c>
      <c r="AH150" s="101">
        <f t="shared" si="120"/>
        <v>3313800</v>
      </c>
      <c r="AI150" s="130">
        <f t="shared" si="117"/>
        <v>440781.16515517712</v>
      </c>
      <c r="AJ150" s="159">
        <f t="shared" si="118"/>
        <v>0.12696772818158114</v>
      </c>
      <c r="AK150" s="290" t="s">
        <v>1036</v>
      </c>
      <c r="AL150" s="291"/>
      <c r="AM150" s="292"/>
      <c r="AN150" s="160"/>
    </row>
    <row r="151" spans="1:40" ht="30.75" thickBot="1" x14ac:dyDescent="0.3">
      <c r="A151" s="84">
        <f t="shared" si="90"/>
        <v>3</v>
      </c>
      <c r="B151" s="198">
        <v>146</v>
      </c>
      <c r="C151" s="51" t="s">
        <v>427</v>
      </c>
      <c r="D151" s="204" t="s">
        <v>1049</v>
      </c>
      <c r="E151" s="60" t="s">
        <v>428</v>
      </c>
      <c r="F151" s="17">
        <v>1</v>
      </c>
      <c r="G151" s="17"/>
      <c r="H151" s="89" t="s">
        <v>376</v>
      </c>
      <c r="I151" s="131">
        <f>4200000*1.052</f>
        <v>4418400</v>
      </c>
      <c r="J151" s="121">
        <f t="shared" si="91"/>
        <v>839496</v>
      </c>
      <c r="K151" s="130">
        <f t="shared" si="92"/>
        <v>5257896</v>
      </c>
      <c r="L151" s="121">
        <f t="shared" si="93"/>
        <v>4418400</v>
      </c>
      <c r="M151" s="122">
        <f t="shared" si="94"/>
        <v>5257896</v>
      </c>
      <c r="N151" s="132">
        <f>3026000*1.052</f>
        <v>3183352</v>
      </c>
      <c r="O151" s="121">
        <f t="shared" si="95"/>
        <v>604836.88</v>
      </c>
      <c r="P151" s="110">
        <f t="shared" si="96"/>
        <v>3788188.88</v>
      </c>
      <c r="Q151" s="121">
        <f t="shared" si="97"/>
        <v>3183352</v>
      </c>
      <c r="R151" s="124">
        <f t="shared" si="98"/>
        <v>3788188.88</v>
      </c>
      <c r="S151" s="131">
        <f>3500000*1.052</f>
        <v>3682000</v>
      </c>
      <c r="T151" s="121">
        <f t="shared" si="99"/>
        <v>699580</v>
      </c>
      <c r="U151" s="110">
        <f t="shared" si="100"/>
        <v>4381580</v>
      </c>
      <c r="V151" s="121">
        <f t="shared" si="101"/>
        <v>3682000</v>
      </c>
      <c r="W151" s="122">
        <f t="shared" si="102"/>
        <v>4381580</v>
      </c>
      <c r="X151" s="108"/>
      <c r="Y151" s="121">
        <f t="shared" si="113"/>
        <v>0</v>
      </c>
      <c r="Z151" s="121">
        <f t="shared" si="114"/>
        <v>0</v>
      </c>
      <c r="AA151" s="121">
        <f t="shared" si="105"/>
        <v>0</v>
      </c>
      <c r="AB151" s="124">
        <f t="shared" si="115"/>
        <v>0</v>
      </c>
      <c r="AC151" s="126">
        <f t="shared" si="107"/>
        <v>3761251</v>
      </c>
      <c r="AD151" s="101">
        <f t="shared" si="119"/>
        <v>2820938</v>
      </c>
      <c r="AE151" s="127">
        <f t="shared" si="108"/>
        <v>507310.81314537564</v>
      </c>
      <c r="AF151" s="128">
        <f t="shared" si="116"/>
        <v>0.13487821289921242</v>
      </c>
      <c r="AG151" s="129">
        <f t="shared" si="110"/>
        <v>3682000</v>
      </c>
      <c r="AH151" s="101">
        <f t="shared" si="120"/>
        <v>3432676</v>
      </c>
      <c r="AI151" s="130">
        <f t="shared" si="117"/>
        <v>507310.81314537564</v>
      </c>
      <c r="AJ151" s="159">
        <f t="shared" si="118"/>
        <v>0.13778131807316013</v>
      </c>
      <c r="AK151" s="290" t="s">
        <v>1036</v>
      </c>
      <c r="AL151" s="291"/>
      <c r="AM151" s="292"/>
      <c r="AN151" s="160"/>
    </row>
    <row r="152" spans="1:40" ht="30.75" thickBot="1" x14ac:dyDescent="0.3">
      <c r="A152" s="84">
        <f t="shared" si="90"/>
        <v>3</v>
      </c>
      <c r="B152" s="198">
        <v>147</v>
      </c>
      <c r="C152" s="51" t="s">
        <v>429</v>
      </c>
      <c r="D152" s="204" t="s">
        <v>1049</v>
      </c>
      <c r="E152" s="60" t="s">
        <v>430</v>
      </c>
      <c r="F152" s="17">
        <v>1</v>
      </c>
      <c r="G152" s="17"/>
      <c r="H152" s="89" t="s">
        <v>376</v>
      </c>
      <c r="I152" s="131">
        <f>450000*1.052</f>
        <v>473400</v>
      </c>
      <c r="J152" s="121">
        <f t="shared" si="91"/>
        <v>89946</v>
      </c>
      <c r="K152" s="130">
        <f t="shared" si="92"/>
        <v>563346</v>
      </c>
      <c r="L152" s="121">
        <f t="shared" si="93"/>
        <v>473400</v>
      </c>
      <c r="M152" s="122">
        <f t="shared" si="94"/>
        <v>563346</v>
      </c>
      <c r="N152" s="132">
        <f>420000*1.052</f>
        <v>441840</v>
      </c>
      <c r="O152" s="121">
        <f t="shared" si="95"/>
        <v>83949.6</v>
      </c>
      <c r="P152" s="110">
        <f t="shared" si="96"/>
        <v>525789.6</v>
      </c>
      <c r="Q152" s="121">
        <f t="shared" si="97"/>
        <v>441840</v>
      </c>
      <c r="R152" s="124">
        <f t="shared" si="98"/>
        <v>525789.6</v>
      </c>
      <c r="S152" s="131">
        <f>470000*1.052</f>
        <v>494440</v>
      </c>
      <c r="T152" s="121">
        <f t="shared" si="99"/>
        <v>93943.6</v>
      </c>
      <c r="U152" s="110">
        <f t="shared" si="100"/>
        <v>588383.6</v>
      </c>
      <c r="V152" s="121">
        <f t="shared" si="101"/>
        <v>494440</v>
      </c>
      <c r="W152" s="122">
        <f t="shared" si="102"/>
        <v>588383.6</v>
      </c>
      <c r="X152" s="108"/>
      <c r="Y152" s="121">
        <f t="shared" si="113"/>
        <v>0</v>
      </c>
      <c r="Z152" s="121">
        <f t="shared" si="114"/>
        <v>0</v>
      </c>
      <c r="AA152" s="121">
        <f t="shared" si="105"/>
        <v>0</v>
      </c>
      <c r="AB152" s="124">
        <f t="shared" si="115"/>
        <v>0</v>
      </c>
      <c r="AC152" s="126">
        <f t="shared" si="107"/>
        <v>469893</v>
      </c>
      <c r="AD152" s="101">
        <f t="shared" si="119"/>
        <v>352420</v>
      </c>
      <c r="AE152" s="127">
        <f t="shared" si="108"/>
        <v>21616.545103744542</v>
      </c>
      <c r="AF152" s="128">
        <f t="shared" si="116"/>
        <v>4.6003122208129389E-2</v>
      </c>
      <c r="AG152" s="129">
        <f t="shared" si="110"/>
        <v>473400</v>
      </c>
      <c r="AH152" s="101">
        <f t="shared" si="120"/>
        <v>457620</v>
      </c>
      <c r="AI152" s="130">
        <f t="shared" si="117"/>
        <v>21616.545103744542</v>
      </c>
      <c r="AJ152" s="159">
        <f t="shared" si="118"/>
        <v>4.5662325947918338E-2</v>
      </c>
      <c r="AK152" s="290" t="s">
        <v>1036</v>
      </c>
      <c r="AL152" s="291"/>
      <c r="AM152" s="292"/>
      <c r="AN152" s="160"/>
    </row>
    <row r="153" spans="1:40" ht="30.75" thickBot="1" x14ac:dyDescent="0.3">
      <c r="A153" s="84">
        <f t="shared" si="90"/>
        <v>3</v>
      </c>
      <c r="B153" s="198">
        <v>148</v>
      </c>
      <c r="C153" s="51" t="s">
        <v>431</v>
      </c>
      <c r="D153" s="204" t="s">
        <v>1049</v>
      </c>
      <c r="E153" s="60" t="s">
        <v>432</v>
      </c>
      <c r="F153" s="17">
        <v>1</v>
      </c>
      <c r="G153" s="17"/>
      <c r="H153" s="89" t="s">
        <v>376</v>
      </c>
      <c r="I153" s="115">
        <f>42000*1.052</f>
        <v>44184</v>
      </c>
      <c r="J153" s="121">
        <f t="shared" si="91"/>
        <v>8394.9600000000009</v>
      </c>
      <c r="K153" s="130">
        <f t="shared" si="92"/>
        <v>52578.96</v>
      </c>
      <c r="L153" s="121">
        <f t="shared" si="93"/>
        <v>44184</v>
      </c>
      <c r="M153" s="122">
        <f t="shared" si="94"/>
        <v>52578.96</v>
      </c>
      <c r="N153" s="119">
        <f>46000*1.052</f>
        <v>48392</v>
      </c>
      <c r="O153" s="121">
        <f t="shared" si="95"/>
        <v>9194.48</v>
      </c>
      <c r="P153" s="110">
        <f t="shared" si="96"/>
        <v>57586.479999999996</v>
      </c>
      <c r="Q153" s="121">
        <f t="shared" si="97"/>
        <v>48392</v>
      </c>
      <c r="R153" s="124">
        <f t="shared" si="98"/>
        <v>57586.479999999996</v>
      </c>
      <c r="S153" s="115">
        <f>54000*1.052</f>
        <v>56808</v>
      </c>
      <c r="T153" s="121">
        <f t="shared" si="99"/>
        <v>10793.52</v>
      </c>
      <c r="U153" s="110">
        <f t="shared" si="100"/>
        <v>67601.52</v>
      </c>
      <c r="V153" s="121">
        <f t="shared" si="101"/>
        <v>56808</v>
      </c>
      <c r="W153" s="122">
        <f t="shared" si="102"/>
        <v>67601.52</v>
      </c>
      <c r="X153" s="108"/>
      <c r="Y153" s="121">
        <f t="shared" si="113"/>
        <v>0</v>
      </c>
      <c r="Z153" s="121">
        <f t="shared" si="114"/>
        <v>0</v>
      </c>
      <c r="AA153" s="121">
        <f t="shared" si="105"/>
        <v>0</v>
      </c>
      <c r="AB153" s="124">
        <f t="shared" si="115"/>
        <v>0</v>
      </c>
      <c r="AC153" s="126">
        <f t="shared" si="107"/>
        <v>49795</v>
      </c>
      <c r="AD153" s="101">
        <f t="shared" si="119"/>
        <v>37346</v>
      </c>
      <c r="AE153" s="127">
        <f t="shared" si="108"/>
        <v>5248.2980945149147</v>
      </c>
      <c r="AF153" s="128">
        <f t="shared" si="116"/>
        <v>0.10539809407600993</v>
      </c>
      <c r="AG153" s="129">
        <f t="shared" si="110"/>
        <v>48392</v>
      </c>
      <c r="AH153" s="101">
        <f t="shared" si="120"/>
        <v>46288</v>
      </c>
      <c r="AI153" s="130">
        <f t="shared" si="117"/>
        <v>5248.2980945149147</v>
      </c>
      <c r="AJ153" s="159">
        <f t="shared" si="118"/>
        <v>0.1084538372977954</v>
      </c>
      <c r="AK153" s="290" t="s">
        <v>1034</v>
      </c>
      <c r="AL153" s="291"/>
      <c r="AM153" s="292"/>
      <c r="AN153" s="160"/>
    </row>
    <row r="154" spans="1:40" ht="45" customHeight="1" thickBot="1" x14ac:dyDescent="0.3">
      <c r="A154" s="84">
        <f t="shared" si="90"/>
        <v>3</v>
      </c>
      <c r="B154" s="198">
        <v>149</v>
      </c>
      <c r="C154" s="51" t="s">
        <v>433</v>
      </c>
      <c r="D154" s="204" t="s">
        <v>1049</v>
      </c>
      <c r="E154" s="60" t="s">
        <v>434</v>
      </c>
      <c r="F154" s="17">
        <v>1</v>
      </c>
      <c r="G154" s="17"/>
      <c r="H154" s="89" t="s">
        <v>376</v>
      </c>
      <c r="I154" s="126">
        <v>157800</v>
      </c>
      <c r="J154" s="121">
        <f t="shared" si="91"/>
        <v>29982</v>
      </c>
      <c r="K154" s="130">
        <f t="shared" si="92"/>
        <v>187782</v>
      </c>
      <c r="L154" s="121">
        <f t="shared" si="93"/>
        <v>157800</v>
      </c>
      <c r="M154" s="122">
        <f t="shared" si="94"/>
        <v>187782</v>
      </c>
      <c r="N154" s="123">
        <v>210400</v>
      </c>
      <c r="O154" s="121">
        <f t="shared" si="95"/>
        <v>39976</v>
      </c>
      <c r="P154" s="110">
        <f t="shared" si="96"/>
        <v>250376</v>
      </c>
      <c r="Q154" s="121">
        <f t="shared" si="97"/>
        <v>210400</v>
      </c>
      <c r="R154" s="124">
        <f t="shared" si="98"/>
        <v>250376</v>
      </c>
      <c r="S154" s="125">
        <v>189360</v>
      </c>
      <c r="T154" s="121">
        <f t="shared" si="99"/>
        <v>35978.400000000001</v>
      </c>
      <c r="U154" s="110">
        <f t="shared" si="100"/>
        <v>225338.4</v>
      </c>
      <c r="V154" s="121">
        <f t="shared" si="101"/>
        <v>189360</v>
      </c>
      <c r="W154" s="122">
        <f t="shared" si="102"/>
        <v>225338.4</v>
      </c>
      <c r="X154" s="108"/>
      <c r="Y154" s="121">
        <f t="shared" si="113"/>
        <v>0</v>
      </c>
      <c r="Z154" s="121">
        <f t="shared" si="114"/>
        <v>0</v>
      </c>
      <c r="AA154" s="121">
        <f t="shared" si="105"/>
        <v>0</v>
      </c>
      <c r="AB154" s="124">
        <f t="shared" si="115"/>
        <v>0</v>
      </c>
      <c r="AC154" s="126">
        <f t="shared" si="107"/>
        <v>185853</v>
      </c>
      <c r="AD154" s="101">
        <f t="shared" si="119"/>
        <v>139390</v>
      </c>
      <c r="AE154" s="127">
        <f t="shared" si="108"/>
        <v>21616.545103744545</v>
      </c>
      <c r="AF154" s="128">
        <f t="shared" si="116"/>
        <v>0.11630990677441067</v>
      </c>
      <c r="AG154" s="129">
        <f t="shared" si="110"/>
        <v>189360</v>
      </c>
      <c r="AH154" s="101">
        <f t="shared" si="120"/>
        <v>173580</v>
      </c>
      <c r="AI154" s="130">
        <f t="shared" si="117"/>
        <v>21616.545103744545</v>
      </c>
      <c r="AJ154" s="159">
        <f t="shared" si="118"/>
        <v>0.11415581486979587</v>
      </c>
      <c r="AK154" s="290" t="s">
        <v>1035</v>
      </c>
      <c r="AL154" s="291"/>
      <c r="AM154" s="292"/>
      <c r="AN154" s="160"/>
    </row>
    <row r="155" spans="1:40" ht="30.75" thickBot="1" x14ac:dyDescent="0.3">
      <c r="A155" s="84">
        <f t="shared" si="90"/>
        <v>3</v>
      </c>
      <c r="B155" s="198">
        <v>150</v>
      </c>
      <c r="C155" s="51" t="s">
        <v>435</v>
      </c>
      <c r="D155" s="204" t="s">
        <v>1049</v>
      </c>
      <c r="E155" s="60" t="s">
        <v>436</v>
      </c>
      <c r="F155" s="17">
        <v>1</v>
      </c>
      <c r="G155" s="17"/>
      <c r="H155" s="89" t="s">
        <v>376</v>
      </c>
      <c r="I155" s="126">
        <v>210400</v>
      </c>
      <c r="J155" s="121">
        <f t="shared" si="91"/>
        <v>39976</v>
      </c>
      <c r="K155" s="130">
        <f t="shared" si="92"/>
        <v>250376</v>
      </c>
      <c r="L155" s="121">
        <f t="shared" si="93"/>
        <v>210400</v>
      </c>
      <c r="M155" s="122">
        <f t="shared" si="94"/>
        <v>250376</v>
      </c>
      <c r="N155" s="123">
        <v>231440</v>
      </c>
      <c r="O155" s="121">
        <f t="shared" si="95"/>
        <v>43973.599999999999</v>
      </c>
      <c r="P155" s="110">
        <f t="shared" si="96"/>
        <v>275413.59999999998</v>
      </c>
      <c r="Q155" s="121">
        <f t="shared" si="97"/>
        <v>231440</v>
      </c>
      <c r="R155" s="124">
        <f t="shared" si="98"/>
        <v>275413.59999999998</v>
      </c>
      <c r="S155" s="125">
        <v>241960</v>
      </c>
      <c r="T155" s="121">
        <f t="shared" si="99"/>
        <v>45972.4</v>
      </c>
      <c r="U155" s="110">
        <f t="shared" si="100"/>
        <v>287932.40000000002</v>
      </c>
      <c r="V155" s="121">
        <f t="shared" si="101"/>
        <v>241960</v>
      </c>
      <c r="W155" s="122">
        <f t="shared" si="102"/>
        <v>287932.40000000002</v>
      </c>
      <c r="X155" s="108"/>
      <c r="Y155" s="121">
        <f t="shared" si="113"/>
        <v>0</v>
      </c>
      <c r="Z155" s="121">
        <f t="shared" si="114"/>
        <v>0</v>
      </c>
      <c r="AA155" s="121">
        <f t="shared" si="105"/>
        <v>0</v>
      </c>
      <c r="AB155" s="124">
        <f t="shared" si="115"/>
        <v>0</v>
      </c>
      <c r="AC155" s="126">
        <f t="shared" si="107"/>
        <v>227933</v>
      </c>
      <c r="AD155" s="101">
        <f t="shared" si="119"/>
        <v>170950</v>
      </c>
      <c r="AE155" s="127">
        <f t="shared" si="108"/>
        <v>13120.745236287288</v>
      </c>
      <c r="AF155" s="128">
        <f t="shared" si="116"/>
        <v>5.7564043979096001E-2</v>
      </c>
      <c r="AG155" s="129">
        <f t="shared" si="110"/>
        <v>231440</v>
      </c>
      <c r="AH155" s="101">
        <f t="shared" si="120"/>
        <v>220920</v>
      </c>
      <c r="AI155" s="130">
        <f t="shared" si="117"/>
        <v>13120.745236287288</v>
      </c>
      <c r="AJ155" s="159">
        <f t="shared" si="118"/>
        <v>5.6691778587483962E-2</v>
      </c>
      <c r="AK155" s="290" t="s">
        <v>1035</v>
      </c>
      <c r="AL155" s="291"/>
      <c r="AM155" s="292"/>
      <c r="AN155" s="160"/>
    </row>
    <row r="156" spans="1:40" ht="30.75" thickBot="1" x14ac:dyDescent="0.3">
      <c r="A156" s="84">
        <f t="shared" si="90"/>
        <v>3</v>
      </c>
      <c r="B156" s="198">
        <v>151</v>
      </c>
      <c r="C156" s="51" t="s">
        <v>437</v>
      </c>
      <c r="D156" s="204" t="s">
        <v>1049</v>
      </c>
      <c r="E156" s="60" t="s">
        <v>438</v>
      </c>
      <c r="F156" s="17">
        <v>1</v>
      </c>
      <c r="G156" s="17"/>
      <c r="H156" s="89" t="s">
        <v>376</v>
      </c>
      <c r="I156" s="126">
        <v>399760</v>
      </c>
      <c r="J156" s="121">
        <f t="shared" si="91"/>
        <v>75954.399999999994</v>
      </c>
      <c r="K156" s="130">
        <f t="shared" si="92"/>
        <v>475714.4</v>
      </c>
      <c r="L156" s="121">
        <f t="shared" si="93"/>
        <v>399760</v>
      </c>
      <c r="M156" s="122">
        <f t="shared" si="94"/>
        <v>475714.4</v>
      </c>
      <c r="N156" s="123">
        <v>410280</v>
      </c>
      <c r="O156" s="121">
        <f t="shared" si="95"/>
        <v>77953.2</v>
      </c>
      <c r="P156" s="110">
        <f t="shared" si="96"/>
        <v>488233.2</v>
      </c>
      <c r="Q156" s="121">
        <f t="shared" si="97"/>
        <v>410280</v>
      </c>
      <c r="R156" s="124">
        <f t="shared" si="98"/>
        <v>488233.2</v>
      </c>
      <c r="S156" s="125">
        <v>441840</v>
      </c>
      <c r="T156" s="121">
        <f t="shared" si="99"/>
        <v>83949.6</v>
      </c>
      <c r="U156" s="110">
        <f t="shared" si="100"/>
        <v>525789.6</v>
      </c>
      <c r="V156" s="121">
        <f t="shared" si="101"/>
        <v>441840</v>
      </c>
      <c r="W156" s="122">
        <f t="shared" si="102"/>
        <v>525789.6</v>
      </c>
      <c r="X156" s="108"/>
      <c r="Y156" s="121">
        <f t="shared" si="113"/>
        <v>0</v>
      </c>
      <c r="Z156" s="121">
        <f t="shared" si="114"/>
        <v>0</v>
      </c>
      <c r="AA156" s="121">
        <f t="shared" si="105"/>
        <v>0</v>
      </c>
      <c r="AB156" s="124">
        <f t="shared" si="115"/>
        <v>0</v>
      </c>
      <c r="AC156" s="126">
        <f t="shared" si="107"/>
        <v>417293</v>
      </c>
      <c r="AD156" s="101">
        <f t="shared" si="119"/>
        <v>312970</v>
      </c>
      <c r="AE156" s="127">
        <f t="shared" si="108"/>
        <v>17880.561760998698</v>
      </c>
      <c r="AF156" s="128">
        <f t="shared" si="116"/>
        <v>4.2848937703241365E-2</v>
      </c>
      <c r="AG156" s="129">
        <f t="shared" si="110"/>
        <v>410280</v>
      </c>
      <c r="AH156" s="101">
        <f t="shared" si="120"/>
        <v>405020</v>
      </c>
      <c r="AI156" s="130">
        <f t="shared" si="117"/>
        <v>17880.561760998698</v>
      </c>
      <c r="AJ156" s="159">
        <f t="shared" si="118"/>
        <v>4.3581363364040893E-2</v>
      </c>
      <c r="AK156" s="290" t="s">
        <v>1035</v>
      </c>
      <c r="AL156" s="291"/>
      <c r="AM156" s="292"/>
      <c r="AN156" s="160"/>
    </row>
    <row r="157" spans="1:40" ht="30.75" thickBot="1" x14ac:dyDescent="0.3">
      <c r="A157" s="84">
        <f t="shared" si="90"/>
        <v>3</v>
      </c>
      <c r="B157" s="198">
        <v>152</v>
      </c>
      <c r="C157" s="51" t="s">
        <v>439</v>
      </c>
      <c r="D157" s="204" t="s">
        <v>1049</v>
      </c>
      <c r="E157" s="60" t="s">
        <v>440</v>
      </c>
      <c r="F157" s="17">
        <v>1</v>
      </c>
      <c r="G157" s="17"/>
      <c r="H157" s="89" t="s">
        <v>376</v>
      </c>
      <c r="I157" s="126">
        <v>578600</v>
      </c>
      <c r="J157" s="121">
        <f t="shared" si="91"/>
        <v>109934</v>
      </c>
      <c r="K157" s="130">
        <f t="shared" si="92"/>
        <v>688534</v>
      </c>
      <c r="L157" s="121">
        <f t="shared" si="93"/>
        <v>578600</v>
      </c>
      <c r="M157" s="122">
        <f t="shared" si="94"/>
        <v>688534</v>
      </c>
      <c r="N157" s="123">
        <v>536520</v>
      </c>
      <c r="O157" s="121">
        <f t="shared" si="95"/>
        <v>101938.8</v>
      </c>
      <c r="P157" s="110">
        <f t="shared" si="96"/>
        <v>638458.80000000005</v>
      </c>
      <c r="Q157" s="121">
        <f t="shared" si="97"/>
        <v>536520</v>
      </c>
      <c r="R157" s="124">
        <f t="shared" si="98"/>
        <v>638458.80000000005</v>
      </c>
      <c r="S157" s="125">
        <v>557560</v>
      </c>
      <c r="T157" s="121">
        <f t="shared" si="99"/>
        <v>105936.4</v>
      </c>
      <c r="U157" s="110">
        <f t="shared" si="100"/>
        <v>663496.4</v>
      </c>
      <c r="V157" s="121">
        <f t="shared" si="101"/>
        <v>557560</v>
      </c>
      <c r="W157" s="122">
        <f t="shared" si="102"/>
        <v>663496.4</v>
      </c>
      <c r="X157" s="108"/>
      <c r="Y157" s="121">
        <f t="shared" si="113"/>
        <v>0</v>
      </c>
      <c r="Z157" s="121">
        <f t="shared" si="114"/>
        <v>0</v>
      </c>
      <c r="AA157" s="121">
        <f t="shared" si="105"/>
        <v>0</v>
      </c>
      <c r="AB157" s="124">
        <f t="shared" si="115"/>
        <v>0</v>
      </c>
      <c r="AC157" s="126">
        <f t="shared" si="107"/>
        <v>557560</v>
      </c>
      <c r="AD157" s="101">
        <f t="shared" si="119"/>
        <v>418170</v>
      </c>
      <c r="AE157" s="127">
        <f t="shared" si="108"/>
        <v>17179.088062719355</v>
      </c>
      <c r="AF157" s="128">
        <f t="shared" si="116"/>
        <v>3.0811191733121735E-2</v>
      </c>
      <c r="AG157" s="129">
        <f t="shared" si="110"/>
        <v>557560</v>
      </c>
      <c r="AH157" s="101">
        <f t="shared" si="120"/>
        <v>547040</v>
      </c>
      <c r="AI157" s="130">
        <f t="shared" si="117"/>
        <v>17179.088062719355</v>
      </c>
      <c r="AJ157" s="159">
        <f t="shared" si="118"/>
        <v>3.0811191733121735E-2</v>
      </c>
      <c r="AK157" s="290" t="s">
        <v>1035</v>
      </c>
      <c r="AL157" s="291"/>
      <c r="AM157" s="292"/>
      <c r="AN157" s="160"/>
    </row>
    <row r="158" spans="1:40" ht="30.75" thickBot="1" x14ac:dyDescent="0.3">
      <c r="A158" s="84">
        <f t="shared" si="90"/>
        <v>3</v>
      </c>
      <c r="B158" s="198">
        <v>153</v>
      </c>
      <c r="C158" s="51" t="s">
        <v>441</v>
      </c>
      <c r="D158" s="204" t="s">
        <v>1049</v>
      </c>
      <c r="E158" s="60" t="s">
        <v>442</v>
      </c>
      <c r="F158" s="17">
        <v>1</v>
      </c>
      <c r="G158" s="17"/>
      <c r="H158" s="89" t="s">
        <v>376</v>
      </c>
      <c r="I158" s="126">
        <v>946800</v>
      </c>
      <c r="J158" s="121">
        <f t="shared" si="91"/>
        <v>179892</v>
      </c>
      <c r="K158" s="130">
        <f t="shared" si="92"/>
        <v>1126692</v>
      </c>
      <c r="L158" s="121">
        <f t="shared" si="93"/>
        <v>946800</v>
      </c>
      <c r="M158" s="122">
        <f t="shared" si="94"/>
        <v>1126692</v>
      </c>
      <c r="N158" s="123">
        <v>810040</v>
      </c>
      <c r="O158" s="121">
        <f t="shared" si="95"/>
        <v>153907.6</v>
      </c>
      <c r="P158" s="110">
        <f t="shared" si="96"/>
        <v>963947.6</v>
      </c>
      <c r="Q158" s="121">
        <f t="shared" si="97"/>
        <v>810040</v>
      </c>
      <c r="R158" s="124">
        <f t="shared" si="98"/>
        <v>963947.6</v>
      </c>
      <c r="S158" s="125">
        <v>894200</v>
      </c>
      <c r="T158" s="121">
        <f t="shared" si="99"/>
        <v>169898</v>
      </c>
      <c r="U158" s="110">
        <f t="shared" si="100"/>
        <v>1064098</v>
      </c>
      <c r="V158" s="121">
        <f t="shared" si="101"/>
        <v>894200</v>
      </c>
      <c r="W158" s="122">
        <f t="shared" si="102"/>
        <v>1064098</v>
      </c>
      <c r="X158" s="108"/>
      <c r="Y158" s="121">
        <f t="shared" si="113"/>
        <v>0</v>
      </c>
      <c r="Z158" s="121">
        <f t="shared" si="114"/>
        <v>0</v>
      </c>
      <c r="AA158" s="121">
        <f t="shared" si="105"/>
        <v>0</v>
      </c>
      <c r="AB158" s="124">
        <f t="shared" si="115"/>
        <v>0</v>
      </c>
      <c r="AC158" s="126">
        <f t="shared" si="107"/>
        <v>883680</v>
      </c>
      <c r="AD158" s="101">
        <f t="shared" si="119"/>
        <v>662760</v>
      </c>
      <c r="AE158" s="127">
        <f t="shared" si="108"/>
        <v>56325.406937426262</v>
      </c>
      <c r="AF158" s="128">
        <f t="shared" si="116"/>
        <v>6.3739596842099247E-2</v>
      </c>
      <c r="AG158" s="129">
        <f t="shared" si="110"/>
        <v>894200</v>
      </c>
      <c r="AH158" s="101">
        <f t="shared" si="120"/>
        <v>852120</v>
      </c>
      <c r="AI158" s="130">
        <f t="shared" si="117"/>
        <v>56325.406937426262</v>
      </c>
      <c r="AJ158" s="159">
        <f t="shared" si="118"/>
        <v>6.2989719232192196E-2</v>
      </c>
      <c r="AK158" s="290" t="s">
        <v>1035</v>
      </c>
      <c r="AL158" s="291"/>
      <c r="AM158" s="292"/>
      <c r="AN158" s="160"/>
    </row>
    <row r="159" spans="1:40" ht="118.5" customHeight="1" thickBot="1" x14ac:dyDescent="0.3">
      <c r="A159" s="84">
        <f t="shared" si="90"/>
        <v>3</v>
      </c>
      <c r="B159" s="198">
        <v>154</v>
      </c>
      <c r="C159" s="51" t="s">
        <v>443</v>
      </c>
      <c r="D159" s="204" t="s">
        <v>1049</v>
      </c>
      <c r="E159" s="60" t="s">
        <v>444</v>
      </c>
      <c r="F159" s="17">
        <v>1</v>
      </c>
      <c r="G159" s="17"/>
      <c r="H159" s="89" t="s">
        <v>376</v>
      </c>
      <c r="I159" s="126">
        <v>4944400</v>
      </c>
      <c r="J159" s="121">
        <f t="shared" si="91"/>
        <v>939436</v>
      </c>
      <c r="K159" s="130">
        <f t="shared" si="92"/>
        <v>5883836</v>
      </c>
      <c r="L159" s="121">
        <f t="shared" si="93"/>
        <v>4944400</v>
      </c>
      <c r="M159" s="122">
        <f t="shared" si="94"/>
        <v>5883836</v>
      </c>
      <c r="N159" s="123">
        <v>4891800</v>
      </c>
      <c r="O159" s="121">
        <f t="shared" si="95"/>
        <v>929442</v>
      </c>
      <c r="P159" s="110">
        <f t="shared" si="96"/>
        <v>5821242</v>
      </c>
      <c r="Q159" s="121">
        <f t="shared" si="97"/>
        <v>4891800</v>
      </c>
      <c r="R159" s="124">
        <f t="shared" si="98"/>
        <v>5821242</v>
      </c>
      <c r="S159" s="125">
        <v>5049600</v>
      </c>
      <c r="T159" s="121">
        <f t="shared" si="99"/>
        <v>959424</v>
      </c>
      <c r="U159" s="110">
        <f t="shared" si="100"/>
        <v>6009024</v>
      </c>
      <c r="V159" s="121">
        <f t="shared" si="101"/>
        <v>5049600</v>
      </c>
      <c r="W159" s="122">
        <f t="shared" si="102"/>
        <v>6009024</v>
      </c>
      <c r="X159" s="108"/>
      <c r="Y159" s="121">
        <f t="shared" si="113"/>
        <v>0</v>
      </c>
      <c r="Z159" s="121">
        <f t="shared" si="114"/>
        <v>0</v>
      </c>
      <c r="AA159" s="121">
        <f t="shared" si="105"/>
        <v>0</v>
      </c>
      <c r="AB159" s="124">
        <f t="shared" si="115"/>
        <v>0</v>
      </c>
      <c r="AC159" s="126">
        <f t="shared" si="107"/>
        <v>4961933</v>
      </c>
      <c r="AD159" s="101">
        <f t="shared" si="119"/>
        <v>3721450</v>
      </c>
      <c r="AE159" s="127">
        <f t="shared" si="108"/>
        <v>65603.726181436446</v>
      </c>
      <c r="AF159" s="128">
        <f t="shared" si="116"/>
        <v>1.3221405081736583E-2</v>
      </c>
      <c r="AG159" s="129">
        <f t="shared" si="110"/>
        <v>4944400</v>
      </c>
      <c r="AH159" s="101">
        <f t="shared" si="120"/>
        <v>4918100</v>
      </c>
      <c r="AI159" s="130">
        <f t="shared" si="117"/>
        <v>65603.726181436446</v>
      </c>
      <c r="AJ159" s="159">
        <f t="shared" si="118"/>
        <v>1.3268288605581354E-2</v>
      </c>
      <c r="AK159" s="290" t="s">
        <v>1035</v>
      </c>
      <c r="AL159" s="291"/>
      <c r="AM159" s="292"/>
      <c r="AN159" s="160"/>
    </row>
    <row r="160" spans="1:40" ht="45.75" thickBot="1" x14ac:dyDescent="0.3">
      <c r="A160" s="84">
        <f t="shared" si="90"/>
        <v>3</v>
      </c>
      <c r="B160" s="198">
        <v>155</v>
      </c>
      <c r="C160" s="51" t="s">
        <v>445</v>
      </c>
      <c r="D160" s="204" t="s">
        <v>1049</v>
      </c>
      <c r="E160" s="60" t="s">
        <v>446</v>
      </c>
      <c r="F160" s="17">
        <v>1</v>
      </c>
      <c r="G160" s="17"/>
      <c r="H160" s="89" t="s">
        <v>376</v>
      </c>
      <c r="I160" s="126">
        <v>84160</v>
      </c>
      <c r="J160" s="121">
        <f t="shared" si="91"/>
        <v>15990.4</v>
      </c>
      <c r="K160" s="130">
        <f t="shared" si="92"/>
        <v>100150.39999999999</v>
      </c>
      <c r="L160" s="121">
        <f t="shared" si="93"/>
        <v>84160</v>
      </c>
      <c r="M160" s="122">
        <f t="shared" si="94"/>
        <v>100150.39999999999</v>
      </c>
      <c r="N160" s="123">
        <v>82056</v>
      </c>
      <c r="O160" s="121">
        <f t="shared" si="95"/>
        <v>15590.64</v>
      </c>
      <c r="P160" s="110">
        <f t="shared" si="96"/>
        <v>97646.64</v>
      </c>
      <c r="Q160" s="121">
        <f t="shared" si="97"/>
        <v>82056</v>
      </c>
      <c r="R160" s="124">
        <f t="shared" si="98"/>
        <v>97646.64</v>
      </c>
      <c r="S160" s="125">
        <v>78900</v>
      </c>
      <c r="T160" s="121">
        <f t="shared" si="99"/>
        <v>14991</v>
      </c>
      <c r="U160" s="110">
        <f t="shared" si="100"/>
        <v>93891</v>
      </c>
      <c r="V160" s="121">
        <f t="shared" si="101"/>
        <v>78900</v>
      </c>
      <c r="W160" s="122">
        <f t="shared" si="102"/>
        <v>93891</v>
      </c>
      <c r="X160" s="108"/>
      <c r="Y160" s="121">
        <f t="shared" si="113"/>
        <v>0</v>
      </c>
      <c r="Z160" s="121">
        <f t="shared" si="114"/>
        <v>0</v>
      </c>
      <c r="AA160" s="121">
        <f t="shared" si="105"/>
        <v>0</v>
      </c>
      <c r="AB160" s="124">
        <f t="shared" si="115"/>
        <v>0</v>
      </c>
      <c r="AC160" s="126">
        <f t="shared" si="107"/>
        <v>81705</v>
      </c>
      <c r="AD160" s="101">
        <f t="shared" si="119"/>
        <v>61279</v>
      </c>
      <c r="AE160" s="127">
        <f t="shared" si="108"/>
        <v>2161.6545103744547</v>
      </c>
      <c r="AF160" s="128">
        <f t="shared" si="116"/>
        <v>2.6456820395011991E-2</v>
      </c>
      <c r="AG160" s="129">
        <f t="shared" si="110"/>
        <v>82056</v>
      </c>
      <c r="AH160" s="101">
        <f t="shared" si="120"/>
        <v>80478</v>
      </c>
      <c r="AI160" s="130">
        <f t="shared" si="117"/>
        <v>2161.6545103744547</v>
      </c>
      <c r="AJ160" s="159">
        <f t="shared" si="118"/>
        <v>2.6343649585337511E-2</v>
      </c>
      <c r="AK160" s="290" t="s">
        <v>1035</v>
      </c>
      <c r="AL160" s="291"/>
      <c r="AM160" s="292"/>
      <c r="AN160" s="160"/>
    </row>
    <row r="161" spans="1:40" ht="30.75" thickBot="1" x14ac:dyDescent="0.3">
      <c r="A161" s="84">
        <f t="shared" si="90"/>
        <v>3</v>
      </c>
      <c r="B161" s="198">
        <v>156</v>
      </c>
      <c r="C161" s="51" t="s">
        <v>447</v>
      </c>
      <c r="D161" s="204" t="s">
        <v>1049</v>
      </c>
      <c r="E161" s="60" t="s">
        <v>448</v>
      </c>
      <c r="F161" s="17">
        <v>1</v>
      </c>
      <c r="G161" s="17"/>
      <c r="H161" s="89" t="s">
        <v>376</v>
      </c>
      <c r="I161" s="131">
        <f>30000*1.052</f>
        <v>31560</v>
      </c>
      <c r="J161" s="121">
        <f t="shared" si="91"/>
        <v>5996.4</v>
      </c>
      <c r="K161" s="130">
        <f t="shared" si="92"/>
        <v>37556.400000000001</v>
      </c>
      <c r="L161" s="121">
        <f t="shared" si="93"/>
        <v>31560</v>
      </c>
      <c r="M161" s="122">
        <f t="shared" si="94"/>
        <v>37556.400000000001</v>
      </c>
      <c r="N161" s="132">
        <f>25000*1.052</f>
        <v>26300</v>
      </c>
      <c r="O161" s="121">
        <f t="shared" si="95"/>
        <v>4997</v>
      </c>
      <c r="P161" s="110">
        <f t="shared" si="96"/>
        <v>31297</v>
      </c>
      <c r="Q161" s="121">
        <f t="shared" si="97"/>
        <v>26300</v>
      </c>
      <c r="R161" s="124">
        <f t="shared" si="98"/>
        <v>31297</v>
      </c>
      <c r="S161" s="131">
        <f>22000*1.052</f>
        <v>23144</v>
      </c>
      <c r="T161" s="121">
        <f t="shared" si="99"/>
        <v>4397.3599999999997</v>
      </c>
      <c r="U161" s="110">
        <f t="shared" si="100"/>
        <v>27541.360000000001</v>
      </c>
      <c r="V161" s="121">
        <f t="shared" si="101"/>
        <v>23144</v>
      </c>
      <c r="W161" s="122">
        <f t="shared" si="102"/>
        <v>27541.360000000001</v>
      </c>
      <c r="X161" s="108"/>
      <c r="Y161" s="121">
        <f t="shared" si="113"/>
        <v>0</v>
      </c>
      <c r="Z161" s="121">
        <f t="shared" si="114"/>
        <v>0</v>
      </c>
      <c r="AA161" s="121">
        <f t="shared" si="105"/>
        <v>0</v>
      </c>
      <c r="AB161" s="124">
        <f t="shared" si="115"/>
        <v>0</v>
      </c>
      <c r="AC161" s="126">
        <f t="shared" si="107"/>
        <v>27001</v>
      </c>
      <c r="AD161" s="101">
        <f t="shared" si="119"/>
        <v>20251</v>
      </c>
      <c r="AE161" s="127">
        <f t="shared" si="108"/>
        <v>3471.4228911051573</v>
      </c>
      <c r="AF161" s="128">
        <f t="shared" si="116"/>
        <v>0.12856645646846995</v>
      </c>
      <c r="AG161" s="129">
        <f t="shared" si="110"/>
        <v>26300</v>
      </c>
      <c r="AH161" s="101">
        <f t="shared" si="120"/>
        <v>24722</v>
      </c>
      <c r="AI161" s="130">
        <f t="shared" si="117"/>
        <v>3471.4228911051573</v>
      </c>
      <c r="AJ161" s="159">
        <f t="shared" si="118"/>
        <v>0.13199326582148888</v>
      </c>
      <c r="AK161" s="290" t="s">
        <v>1036</v>
      </c>
      <c r="AL161" s="291"/>
      <c r="AM161" s="292"/>
      <c r="AN161" s="160"/>
    </row>
    <row r="162" spans="1:40" ht="30.75" thickBot="1" x14ac:dyDescent="0.3">
      <c r="A162" s="84">
        <f t="shared" si="90"/>
        <v>3</v>
      </c>
      <c r="B162" s="198">
        <v>157</v>
      </c>
      <c r="C162" s="51" t="s">
        <v>449</v>
      </c>
      <c r="D162" s="204" t="s">
        <v>1049</v>
      </c>
      <c r="E162" s="60" t="s">
        <v>450</v>
      </c>
      <c r="F162" s="17">
        <v>1</v>
      </c>
      <c r="G162" s="17"/>
      <c r="H162" s="89" t="s">
        <v>376</v>
      </c>
      <c r="I162" s="131">
        <f>30000*1.052</f>
        <v>31560</v>
      </c>
      <c r="J162" s="121">
        <f t="shared" si="91"/>
        <v>5996.4</v>
      </c>
      <c r="K162" s="130">
        <f t="shared" si="92"/>
        <v>37556.400000000001</v>
      </c>
      <c r="L162" s="121">
        <f t="shared" si="93"/>
        <v>31560</v>
      </c>
      <c r="M162" s="122">
        <f t="shared" si="94"/>
        <v>37556.400000000001</v>
      </c>
      <c r="N162" s="132">
        <f>25000*1.052</f>
        <v>26300</v>
      </c>
      <c r="O162" s="121">
        <f t="shared" si="95"/>
        <v>4997</v>
      </c>
      <c r="P162" s="110">
        <f t="shared" si="96"/>
        <v>31297</v>
      </c>
      <c r="Q162" s="121">
        <f t="shared" si="97"/>
        <v>26300</v>
      </c>
      <c r="R162" s="124">
        <f t="shared" si="98"/>
        <v>31297</v>
      </c>
      <c r="S162" s="131">
        <f>20000*1.052</f>
        <v>21040</v>
      </c>
      <c r="T162" s="121">
        <f t="shared" si="99"/>
        <v>3997.6</v>
      </c>
      <c r="U162" s="110">
        <f t="shared" si="100"/>
        <v>25037.599999999999</v>
      </c>
      <c r="V162" s="121">
        <f t="shared" si="101"/>
        <v>21040</v>
      </c>
      <c r="W162" s="122">
        <f t="shared" si="102"/>
        <v>25037.599999999999</v>
      </c>
      <c r="X162" s="108"/>
      <c r="Y162" s="121">
        <f t="shared" si="113"/>
        <v>0</v>
      </c>
      <c r="Z162" s="121">
        <f t="shared" si="114"/>
        <v>0</v>
      </c>
      <c r="AA162" s="121">
        <f t="shared" si="105"/>
        <v>0</v>
      </c>
      <c r="AB162" s="124">
        <f t="shared" si="115"/>
        <v>0</v>
      </c>
      <c r="AC162" s="126">
        <f t="shared" si="107"/>
        <v>26300</v>
      </c>
      <c r="AD162" s="101">
        <f t="shared" si="119"/>
        <v>19725</v>
      </c>
      <c r="AE162" s="127">
        <f t="shared" si="108"/>
        <v>4294.7720156798387</v>
      </c>
      <c r="AF162" s="128">
        <f t="shared" si="116"/>
        <v>0.16329931618554519</v>
      </c>
      <c r="AG162" s="129">
        <f t="shared" si="110"/>
        <v>26300</v>
      </c>
      <c r="AH162" s="101">
        <f t="shared" si="120"/>
        <v>23670</v>
      </c>
      <c r="AI162" s="130">
        <f t="shared" si="117"/>
        <v>4294.7720156798387</v>
      </c>
      <c r="AJ162" s="159">
        <f t="shared" si="118"/>
        <v>0.16329931618554519</v>
      </c>
      <c r="AK162" s="290" t="s">
        <v>1036</v>
      </c>
      <c r="AL162" s="291"/>
      <c r="AM162" s="292"/>
      <c r="AN162" s="160"/>
    </row>
    <row r="163" spans="1:40" ht="45.75" thickBot="1" x14ac:dyDescent="0.3">
      <c r="A163" s="84">
        <f t="shared" si="90"/>
        <v>3</v>
      </c>
      <c r="B163" s="198">
        <v>158</v>
      </c>
      <c r="C163" s="51" t="s">
        <v>451</v>
      </c>
      <c r="D163" s="204" t="s">
        <v>1049</v>
      </c>
      <c r="E163" s="60" t="s">
        <v>452</v>
      </c>
      <c r="F163" s="17">
        <v>1</v>
      </c>
      <c r="G163" s="17"/>
      <c r="H163" s="89" t="s">
        <v>376</v>
      </c>
      <c r="I163" s="131">
        <f>245000*1.052</f>
        <v>257740</v>
      </c>
      <c r="J163" s="121">
        <f t="shared" si="91"/>
        <v>48970.6</v>
      </c>
      <c r="K163" s="130">
        <f t="shared" si="92"/>
        <v>306710.59999999998</v>
      </c>
      <c r="L163" s="121">
        <f t="shared" si="93"/>
        <v>257740</v>
      </c>
      <c r="M163" s="122">
        <f t="shared" si="94"/>
        <v>306710.59999999998</v>
      </c>
      <c r="N163" s="132">
        <f>240000*1.052</f>
        <v>252480</v>
      </c>
      <c r="O163" s="121">
        <f t="shared" si="95"/>
        <v>47971.199999999997</v>
      </c>
      <c r="P163" s="110">
        <f t="shared" si="96"/>
        <v>300451.20000000001</v>
      </c>
      <c r="Q163" s="121">
        <f t="shared" si="97"/>
        <v>252480</v>
      </c>
      <c r="R163" s="124">
        <f t="shared" si="98"/>
        <v>300451.20000000001</v>
      </c>
      <c r="S163" s="131">
        <f>260000*1.052</f>
        <v>273520</v>
      </c>
      <c r="T163" s="121">
        <f t="shared" si="99"/>
        <v>51968.800000000003</v>
      </c>
      <c r="U163" s="110">
        <f t="shared" si="100"/>
        <v>325488.8</v>
      </c>
      <c r="V163" s="121">
        <f t="shared" si="101"/>
        <v>273520</v>
      </c>
      <c r="W163" s="122">
        <f t="shared" si="102"/>
        <v>325488.8</v>
      </c>
      <c r="X163" s="108"/>
      <c r="Y163" s="121">
        <f t="shared" si="113"/>
        <v>0</v>
      </c>
      <c r="Z163" s="121">
        <f t="shared" si="114"/>
        <v>0</v>
      </c>
      <c r="AA163" s="121">
        <f t="shared" si="105"/>
        <v>0</v>
      </c>
      <c r="AB163" s="124">
        <f t="shared" si="115"/>
        <v>0</v>
      </c>
      <c r="AC163" s="126">
        <f t="shared" si="107"/>
        <v>261247</v>
      </c>
      <c r="AD163" s="101">
        <f t="shared" si="119"/>
        <v>195935</v>
      </c>
      <c r="AE163" s="127">
        <f t="shared" si="108"/>
        <v>8940.2808804993492</v>
      </c>
      <c r="AF163" s="128">
        <f t="shared" si="116"/>
        <v>3.4221563809342687E-2</v>
      </c>
      <c r="AG163" s="129">
        <f t="shared" si="110"/>
        <v>257740</v>
      </c>
      <c r="AH163" s="101">
        <f t="shared" si="120"/>
        <v>255110</v>
      </c>
      <c r="AI163" s="130">
        <f t="shared" si="117"/>
        <v>8940.2808804993492</v>
      </c>
      <c r="AJ163" s="159">
        <f t="shared" si="118"/>
        <v>3.4687207575461121E-2</v>
      </c>
      <c r="AK163" s="290" t="s">
        <v>1036</v>
      </c>
      <c r="AL163" s="291"/>
      <c r="AM163" s="292"/>
      <c r="AN163" s="160"/>
    </row>
    <row r="164" spans="1:40" ht="75.75" thickBot="1" x14ac:dyDescent="0.3">
      <c r="A164" s="84">
        <f t="shared" si="90"/>
        <v>3</v>
      </c>
      <c r="B164" s="198">
        <v>159</v>
      </c>
      <c r="C164" s="51" t="s">
        <v>453</v>
      </c>
      <c r="D164" s="204" t="s">
        <v>1044</v>
      </c>
      <c r="E164" s="60" t="s">
        <v>1042</v>
      </c>
      <c r="F164" s="17">
        <v>1</v>
      </c>
      <c r="G164" s="17"/>
      <c r="H164" s="89" t="s">
        <v>28</v>
      </c>
      <c r="I164" s="131">
        <f>850000*1.052</f>
        <v>894200</v>
      </c>
      <c r="J164" s="121">
        <f t="shared" si="91"/>
        <v>169898</v>
      </c>
      <c r="K164" s="130">
        <f t="shared" si="92"/>
        <v>1064098</v>
      </c>
      <c r="L164" s="121">
        <f t="shared" si="93"/>
        <v>894200</v>
      </c>
      <c r="M164" s="122">
        <f t="shared" si="94"/>
        <v>1064098</v>
      </c>
      <c r="N164" s="132">
        <f>900000*1.052</f>
        <v>946800</v>
      </c>
      <c r="O164" s="121">
        <f t="shared" si="95"/>
        <v>179892</v>
      </c>
      <c r="P164" s="110">
        <f t="shared" si="96"/>
        <v>1126692</v>
      </c>
      <c r="Q164" s="121">
        <f t="shared" si="97"/>
        <v>946800</v>
      </c>
      <c r="R164" s="124">
        <f t="shared" si="98"/>
        <v>1126692</v>
      </c>
      <c r="S164" s="137">
        <f>890000*1.052</f>
        <v>936280</v>
      </c>
      <c r="T164" s="121">
        <f t="shared" si="99"/>
        <v>177893.2</v>
      </c>
      <c r="U164" s="110">
        <f t="shared" si="100"/>
        <v>1114173.2</v>
      </c>
      <c r="V164" s="121">
        <f t="shared" si="101"/>
        <v>936280</v>
      </c>
      <c r="W164" s="122">
        <f t="shared" si="102"/>
        <v>1114173.2</v>
      </c>
      <c r="X164" s="108"/>
      <c r="Y164" s="121">
        <f t="shared" si="113"/>
        <v>0</v>
      </c>
      <c r="Z164" s="121">
        <f t="shared" si="114"/>
        <v>0</v>
      </c>
      <c r="AA164" s="121">
        <f t="shared" si="105"/>
        <v>0</v>
      </c>
      <c r="AB164" s="124">
        <f t="shared" si="115"/>
        <v>0</v>
      </c>
      <c r="AC164" s="126">
        <f t="shared" si="107"/>
        <v>925760</v>
      </c>
      <c r="AD164" s="101">
        <f t="shared" si="119"/>
        <v>694320</v>
      </c>
      <c r="AE164" s="127">
        <f t="shared" si="108"/>
        <v>22725.797382416898</v>
      </c>
      <c r="AF164" s="128">
        <f t="shared" si="116"/>
        <v>2.4548260221241899E-2</v>
      </c>
      <c r="AG164" s="129">
        <f t="shared" si="110"/>
        <v>936280</v>
      </c>
      <c r="AH164" s="101">
        <f t="shared" si="120"/>
        <v>915240</v>
      </c>
      <c r="AI164" s="130">
        <f t="shared" si="117"/>
        <v>22725.797382416898</v>
      </c>
      <c r="AJ164" s="159">
        <f t="shared" si="118"/>
        <v>2.4272437072688616E-2</v>
      </c>
      <c r="AK164" s="290" t="s">
        <v>1036</v>
      </c>
      <c r="AL164" s="291"/>
      <c r="AM164" s="292"/>
      <c r="AN164" s="160"/>
    </row>
    <row r="165" spans="1:40" ht="75.75" thickBot="1" x14ac:dyDescent="0.3">
      <c r="A165" s="84">
        <f t="shared" ref="A165:A228" si="121">COUNT(I165,N165,S165)</f>
        <v>3</v>
      </c>
      <c r="B165" s="198">
        <v>160</v>
      </c>
      <c r="C165" s="51" t="s">
        <v>454</v>
      </c>
      <c r="D165" s="204" t="s">
        <v>1048</v>
      </c>
      <c r="E165" s="60" t="s">
        <v>455</v>
      </c>
      <c r="F165" s="17">
        <v>1</v>
      </c>
      <c r="G165" s="17"/>
      <c r="H165" s="89" t="s">
        <v>376</v>
      </c>
      <c r="I165" s="115">
        <v>1605500</v>
      </c>
      <c r="J165" s="121">
        <f t="shared" ref="J165:J228" si="122">I165*19%</f>
        <v>305045</v>
      </c>
      <c r="K165" s="130">
        <f t="shared" ref="K165:K228" si="123">I165+J165</f>
        <v>1910545</v>
      </c>
      <c r="L165" s="121">
        <f t="shared" ref="L165:L228" si="124">I165*F165</f>
        <v>1605500</v>
      </c>
      <c r="M165" s="122">
        <f t="shared" ref="M165:M228" si="125">K165*F165</f>
        <v>1910545</v>
      </c>
      <c r="N165" s="116">
        <v>1639300</v>
      </c>
      <c r="O165" s="121">
        <f t="shared" ref="O165:O228" si="126">N165*0.19</f>
        <v>311467</v>
      </c>
      <c r="P165" s="110">
        <f t="shared" ref="P165:P228" si="127">N165+O165</f>
        <v>1950767</v>
      </c>
      <c r="Q165" s="121">
        <f t="shared" ref="Q165:Q228" si="128">N165*F165</f>
        <v>1639300</v>
      </c>
      <c r="R165" s="124">
        <f t="shared" ref="R165:R228" si="129">P165*F165</f>
        <v>1950767</v>
      </c>
      <c r="S165" s="117">
        <v>1825200</v>
      </c>
      <c r="T165" s="121">
        <f t="shared" ref="T165:T228" si="130">S165*0.19</f>
        <v>346788</v>
      </c>
      <c r="U165" s="110">
        <f t="shared" ref="U165:U228" si="131">S165+T165</f>
        <v>2171988</v>
      </c>
      <c r="V165" s="121">
        <f t="shared" ref="V165:V228" si="132">S165*F165</f>
        <v>1825200</v>
      </c>
      <c r="W165" s="122">
        <f t="shared" ref="W165:W228" si="133">U165*F165</f>
        <v>2171988</v>
      </c>
      <c r="X165" s="108"/>
      <c r="Y165" s="121">
        <f t="shared" ref="Y165:Y196" si="134">X165*0.19</f>
        <v>0</v>
      </c>
      <c r="Z165" s="121">
        <f t="shared" ref="Z165:Z196" si="135">X165+Y165</f>
        <v>0</v>
      </c>
      <c r="AA165" s="121">
        <f t="shared" ref="AA165:AA228" si="136">X165*F165</f>
        <v>0</v>
      </c>
      <c r="AB165" s="124">
        <f t="shared" ref="AB165:AB196" si="137">Z165*F165</f>
        <v>0</v>
      </c>
      <c r="AC165" s="126">
        <f t="shared" ref="AC165:AC228" si="138">+IFERROR(ROUND(AVERAGE(I165,N165,S165,X165),0),0)</f>
        <v>1690000</v>
      </c>
      <c r="AD165" s="101">
        <f t="shared" si="119"/>
        <v>1267500</v>
      </c>
      <c r="AE165" s="127">
        <f t="shared" ref="AE165:AE228" si="139">+IFERROR(_xlfn.STDEV.P(I165,N165,S165,X165),0)</f>
        <v>96591.545523749985</v>
      </c>
      <c r="AF165" s="128">
        <f t="shared" ref="AF165:AF196" si="140">AE165/AC165</f>
        <v>5.7154760664940817E-2</v>
      </c>
      <c r="AG165" s="129">
        <f t="shared" ref="AG165:AG228" si="141">IFERROR(ROUND(MEDIAN(I165,N165,S165,X165),0),0)</f>
        <v>1639300</v>
      </c>
      <c r="AH165" s="101">
        <f t="shared" si="120"/>
        <v>1622400</v>
      </c>
      <c r="AI165" s="130">
        <f t="shared" ref="AI165:AI196" si="142">AE165</f>
        <v>96591.545523749985</v>
      </c>
      <c r="AJ165" s="159">
        <f t="shared" ref="AJ165:AJ196" si="143">AI165/AG165</f>
        <v>5.8922433675196721E-2</v>
      </c>
      <c r="AK165" s="181" t="s">
        <v>1007</v>
      </c>
      <c r="AL165" s="163" t="s">
        <v>1008</v>
      </c>
      <c r="AM165" s="182" t="s">
        <v>1009</v>
      </c>
      <c r="AN165" s="160"/>
    </row>
    <row r="166" spans="1:40" ht="75.75" thickBot="1" x14ac:dyDescent="0.3">
      <c r="A166" s="84">
        <f t="shared" si="121"/>
        <v>3</v>
      </c>
      <c r="B166" s="198">
        <v>161</v>
      </c>
      <c r="C166" s="51" t="s">
        <v>456</v>
      </c>
      <c r="D166" s="204" t="s">
        <v>1048</v>
      </c>
      <c r="E166" s="60" t="s">
        <v>457</v>
      </c>
      <c r="F166" s="17">
        <v>1</v>
      </c>
      <c r="G166" s="17"/>
      <c r="H166" s="89" t="s">
        <v>376</v>
      </c>
      <c r="I166" s="115">
        <v>3752000</v>
      </c>
      <c r="J166" s="121">
        <f t="shared" si="122"/>
        <v>712880</v>
      </c>
      <c r="K166" s="130">
        <f t="shared" si="123"/>
        <v>4464880</v>
      </c>
      <c r="L166" s="121">
        <f t="shared" si="124"/>
        <v>3752000</v>
      </c>
      <c r="M166" s="122">
        <f t="shared" si="125"/>
        <v>4464880</v>
      </c>
      <c r="N166" s="116">
        <v>3831500</v>
      </c>
      <c r="O166" s="121">
        <f t="shared" si="126"/>
        <v>727985</v>
      </c>
      <c r="P166" s="110">
        <f t="shared" si="127"/>
        <v>4559485</v>
      </c>
      <c r="Q166" s="121">
        <f t="shared" si="128"/>
        <v>3831500</v>
      </c>
      <c r="R166" s="124">
        <f t="shared" si="129"/>
        <v>4559485</v>
      </c>
      <c r="S166" s="117">
        <v>4266000</v>
      </c>
      <c r="T166" s="121">
        <f t="shared" si="130"/>
        <v>810540</v>
      </c>
      <c r="U166" s="110">
        <f t="shared" si="131"/>
        <v>5076540</v>
      </c>
      <c r="V166" s="121">
        <f t="shared" si="132"/>
        <v>4266000</v>
      </c>
      <c r="W166" s="122">
        <f t="shared" si="133"/>
        <v>5076540</v>
      </c>
      <c r="X166" s="108"/>
      <c r="Y166" s="121">
        <f t="shared" si="134"/>
        <v>0</v>
      </c>
      <c r="Z166" s="121">
        <f t="shared" si="135"/>
        <v>0</v>
      </c>
      <c r="AA166" s="121">
        <f t="shared" si="136"/>
        <v>0</v>
      </c>
      <c r="AB166" s="124">
        <f t="shared" si="137"/>
        <v>0</v>
      </c>
      <c r="AC166" s="126">
        <f t="shared" si="138"/>
        <v>3949833</v>
      </c>
      <c r="AD166" s="101">
        <f t="shared" si="119"/>
        <v>2962375</v>
      </c>
      <c r="AE166" s="127">
        <f t="shared" si="139"/>
        <v>225907.18349701841</v>
      </c>
      <c r="AF166" s="128">
        <f t="shared" si="140"/>
        <v>5.7194110104659718E-2</v>
      </c>
      <c r="AG166" s="129">
        <f t="shared" si="141"/>
        <v>3831500</v>
      </c>
      <c r="AH166" s="101">
        <f t="shared" si="120"/>
        <v>3791750</v>
      </c>
      <c r="AI166" s="130">
        <f t="shared" si="142"/>
        <v>225907.18349701841</v>
      </c>
      <c r="AJ166" s="159">
        <f t="shared" si="143"/>
        <v>5.8960507241816104E-2</v>
      </c>
      <c r="AK166" s="181" t="s">
        <v>1007</v>
      </c>
      <c r="AL166" s="163" t="s">
        <v>1008</v>
      </c>
      <c r="AM166" s="182" t="s">
        <v>1009</v>
      </c>
      <c r="AN166" s="160"/>
    </row>
    <row r="167" spans="1:40" ht="60.75" thickBot="1" x14ac:dyDescent="0.3">
      <c r="A167" s="84">
        <f t="shared" si="121"/>
        <v>3</v>
      </c>
      <c r="B167" s="198">
        <v>162</v>
      </c>
      <c r="C167" s="51" t="s">
        <v>458</v>
      </c>
      <c r="D167" s="204" t="s">
        <v>1044</v>
      </c>
      <c r="E167" s="60" t="s">
        <v>459</v>
      </c>
      <c r="F167" s="17">
        <v>1</v>
      </c>
      <c r="G167" s="17"/>
      <c r="H167" s="89" t="s">
        <v>28</v>
      </c>
      <c r="I167" s="131">
        <f>850000*1.052</f>
        <v>894200</v>
      </c>
      <c r="J167" s="121">
        <f t="shared" si="122"/>
        <v>169898</v>
      </c>
      <c r="K167" s="130">
        <f t="shared" si="123"/>
        <v>1064098</v>
      </c>
      <c r="L167" s="121">
        <f t="shared" si="124"/>
        <v>894200</v>
      </c>
      <c r="M167" s="122">
        <f t="shared" si="125"/>
        <v>1064098</v>
      </c>
      <c r="N167" s="132">
        <f>1000000*1.052</f>
        <v>1052000</v>
      </c>
      <c r="O167" s="121">
        <f t="shared" si="126"/>
        <v>199880</v>
      </c>
      <c r="P167" s="110">
        <f t="shared" si="127"/>
        <v>1251880</v>
      </c>
      <c r="Q167" s="121">
        <f t="shared" si="128"/>
        <v>1052000</v>
      </c>
      <c r="R167" s="124">
        <f t="shared" si="129"/>
        <v>1251880</v>
      </c>
      <c r="S167" s="133">
        <f>959000*1.052</f>
        <v>1008868</v>
      </c>
      <c r="T167" s="121">
        <f t="shared" si="130"/>
        <v>191684.92</v>
      </c>
      <c r="U167" s="110">
        <f t="shared" si="131"/>
        <v>1200552.92</v>
      </c>
      <c r="V167" s="121">
        <f t="shared" si="132"/>
        <v>1008868</v>
      </c>
      <c r="W167" s="122">
        <f t="shared" si="133"/>
        <v>1200552.92</v>
      </c>
      <c r="X167" s="108"/>
      <c r="Y167" s="121">
        <f t="shared" si="134"/>
        <v>0</v>
      </c>
      <c r="Z167" s="121">
        <f t="shared" si="135"/>
        <v>0</v>
      </c>
      <c r="AA167" s="121">
        <f t="shared" si="136"/>
        <v>0</v>
      </c>
      <c r="AB167" s="124">
        <f t="shared" si="137"/>
        <v>0</v>
      </c>
      <c r="AC167" s="126">
        <f t="shared" si="138"/>
        <v>985023</v>
      </c>
      <c r="AD167" s="101">
        <f t="shared" si="119"/>
        <v>738767</v>
      </c>
      <c r="AE167" s="127">
        <f t="shared" si="139"/>
        <v>66591.590767069749</v>
      </c>
      <c r="AF167" s="128">
        <f t="shared" si="140"/>
        <v>6.7604097332823451E-2</v>
      </c>
      <c r="AG167" s="129">
        <f t="shared" si="141"/>
        <v>1008868</v>
      </c>
      <c r="AH167" s="101">
        <f t="shared" si="120"/>
        <v>951534</v>
      </c>
      <c r="AI167" s="130">
        <f t="shared" si="142"/>
        <v>66591.590767069749</v>
      </c>
      <c r="AJ167" s="159">
        <f t="shared" si="143"/>
        <v>6.6006247365433091E-2</v>
      </c>
      <c r="AK167" s="290" t="s">
        <v>1036</v>
      </c>
      <c r="AL167" s="291"/>
      <c r="AM167" s="292"/>
      <c r="AN167" s="160"/>
    </row>
    <row r="168" spans="1:40" ht="90.75" thickBot="1" x14ac:dyDescent="0.3">
      <c r="A168" s="84">
        <f t="shared" si="121"/>
        <v>3</v>
      </c>
      <c r="B168" s="198">
        <v>163</v>
      </c>
      <c r="C168" s="51" t="s">
        <v>460</v>
      </c>
      <c r="D168" s="204" t="s">
        <v>1048</v>
      </c>
      <c r="E168" s="60" t="s">
        <v>461</v>
      </c>
      <c r="F168" s="17">
        <v>1</v>
      </c>
      <c r="G168" s="17"/>
      <c r="H168" s="89" t="s">
        <v>376</v>
      </c>
      <c r="I168" s="131">
        <f>750000*1.052</f>
        <v>789000</v>
      </c>
      <c r="J168" s="121">
        <f t="shared" si="122"/>
        <v>149910</v>
      </c>
      <c r="K168" s="130">
        <f t="shared" si="123"/>
        <v>938910</v>
      </c>
      <c r="L168" s="121">
        <f t="shared" si="124"/>
        <v>789000</v>
      </c>
      <c r="M168" s="122">
        <f t="shared" si="125"/>
        <v>938910</v>
      </c>
      <c r="N168" s="132">
        <f>810000*1.052</f>
        <v>852120</v>
      </c>
      <c r="O168" s="121">
        <f t="shared" si="126"/>
        <v>161902.79999999999</v>
      </c>
      <c r="P168" s="110">
        <f t="shared" si="127"/>
        <v>1014022.8</v>
      </c>
      <c r="Q168" s="121">
        <f t="shared" si="128"/>
        <v>852120</v>
      </c>
      <c r="R168" s="124">
        <f t="shared" si="129"/>
        <v>1014022.8</v>
      </c>
      <c r="S168" s="133">
        <f>720000*1.052</f>
        <v>757440</v>
      </c>
      <c r="T168" s="121">
        <f t="shared" si="130"/>
        <v>143913.60000000001</v>
      </c>
      <c r="U168" s="110">
        <f t="shared" si="131"/>
        <v>901353.6</v>
      </c>
      <c r="V168" s="121">
        <f t="shared" si="132"/>
        <v>757440</v>
      </c>
      <c r="W168" s="122">
        <f t="shared" si="133"/>
        <v>901353.6</v>
      </c>
      <c r="X168" s="108"/>
      <c r="Y168" s="121">
        <f t="shared" si="134"/>
        <v>0</v>
      </c>
      <c r="Z168" s="121">
        <f t="shared" si="135"/>
        <v>0</v>
      </c>
      <c r="AA168" s="121">
        <f t="shared" si="136"/>
        <v>0</v>
      </c>
      <c r="AB168" s="124">
        <f t="shared" si="137"/>
        <v>0</v>
      </c>
      <c r="AC168" s="126">
        <f t="shared" si="138"/>
        <v>799520</v>
      </c>
      <c r="AD168" s="101">
        <f t="shared" si="119"/>
        <v>599640</v>
      </c>
      <c r="AE168" s="127">
        <f t="shared" si="139"/>
        <v>39362.235708861866</v>
      </c>
      <c r="AF168" s="128">
        <f t="shared" si="140"/>
        <v>4.923233403649923E-2</v>
      </c>
      <c r="AG168" s="129">
        <f t="shared" si="141"/>
        <v>789000</v>
      </c>
      <c r="AH168" s="101">
        <f t="shared" si="120"/>
        <v>773220</v>
      </c>
      <c r="AI168" s="130">
        <f t="shared" si="142"/>
        <v>39362.235708861866</v>
      </c>
      <c r="AJ168" s="159">
        <f t="shared" si="143"/>
        <v>4.9888765156985891E-2</v>
      </c>
      <c r="AK168" s="290" t="s">
        <v>1036</v>
      </c>
      <c r="AL168" s="291"/>
      <c r="AM168" s="292"/>
      <c r="AN168" s="160"/>
    </row>
    <row r="169" spans="1:40" ht="60.75" thickBot="1" x14ac:dyDescent="0.3">
      <c r="A169" s="84">
        <f t="shared" si="121"/>
        <v>3</v>
      </c>
      <c r="B169" s="198">
        <v>164</v>
      </c>
      <c r="C169" s="51" t="s">
        <v>462</v>
      </c>
      <c r="D169" s="204" t="s">
        <v>1044</v>
      </c>
      <c r="E169" s="60" t="s">
        <v>463</v>
      </c>
      <c r="F169" s="17">
        <v>1</v>
      </c>
      <c r="G169" s="17"/>
      <c r="H169" s="89" t="s">
        <v>167</v>
      </c>
      <c r="I169" s="115">
        <v>99229</v>
      </c>
      <c r="J169" s="121">
        <f t="shared" si="122"/>
        <v>18853.510000000002</v>
      </c>
      <c r="K169" s="130">
        <f t="shared" si="123"/>
        <v>118082.51000000001</v>
      </c>
      <c r="L169" s="121">
        <f t="shared" si="124"/>
        <v>99229</v>
      </c>
      <c r="M169" s="122">
        <f t="shared" si="125"/>
        <v>118082.51000000001</v>
      </c>
      <c r="N169" s="116">
        <v>100000</v>
      </c>
      <c r="O169" s="121">
        <f t="shared" si="126"/>
        <v>19000</v>
      </c>
      <c r="P169" s="110">
        <f t="shared" si="127"/>
        <v>119000</v>
      </c>
      <c r="Q169" s="121">
        <f t="shared" si="128"/>
        <v>100000</v>
      </c>
      <c r="R169" s="124">
        <f t="shared" si="129"/>
        <v>119000</v>
      </c>
      <c r="S169" s="117">
        <v>103000</v>
      </c>
      <c r="T169" s="121">
        <f t="shared" si="130"/>
        <v>19570</v>
      </c>
      <c r="U169" s="110">
        <f t="shared" si="131"/>
        <v>122570</v>
      </c>
      <c r="V169" s="121">
        <f t="shared" si="132"/>
        <v>103000</v>
      </c>
      <c r="W169" s="122">
        <f t="shared" si="133"/>
        <v>122570</v>
      </c>
      <c r="X169" s="108"/>
      <c r="Y169" s="121">
        <f t="shared" si="134"/>
        <v>0</v>
      </c>
      <c r="Z169" s="121">
        <f t="shared" si="135"/>
        <v>0</v>
      </c>
      <c r="AA169" s="121">
        <f t="shared" si="136"/>
        <v>0</v>
      </c>
      <c r="AB169" s="124">
        <f t="shared" si="137"/>
        <v>0</v>
      </c>
      <c r="AC169" s="126">
        <f t="shared" si="138"/>
        <v>100743</v>
      </c>
      <c r="AD169" s="101">
        <f t="shared" si="119"/>
        <v>75557</v>
      </c>
      <c r="AE169" s="127">
        <f t="shared" si="139"/>
        <v>1626.6831283320055</v>
      </c>
      <c r="AF169" s="128">
        <f t="shared" si="140"/>
        <v>1.614686011268282E-2</v>
      </c>
      <c r="AG169" s="129">
        <f t="shared" si="141"/>
        <v>100000</v>
      </c>
      <c r="AH169" s="101">
        <f t="shared" si="120"/>
        <v>99615</v>
      </c>
      <c r="AI169" s="130">
        <f t="shared" si="142"/>
        <v>1626.6831283320055</v>
      </c>
      <c r="AJ169" s="159">
        <f t="shared" si="143"/>
        <v>1.6266831283320054E-2</v>
      </c>
      <c r="AK169" s="175" t="s">
        <v>1010</v>
      </c>
      <c r="AL169" s="161" t="s">
        <v>1011</v>
      </c>
      <c r="AM169" s="180" t="s">
        <v>1012</v>
      </c>
      <c r="AN169" s="160"/>
    </row>
    <row r="170" spans="1:40" ht="60.75" thickBot="1" x14ac:dyDescent="0.3">
      <c r="A170" s="84">
        <f t="shared" si="121"/>
        <v>3</v>
      </c>
      <c r="B170" s="198">
        <v>165</v>
      </c>
      <c r="C170" s="51" t="s">
        <v>464</v>
      </c>
      <c r="D170" s="204" t="s">
        <v>1044</v>
      </c>
      <c r="E170" s="60" t="s">
        <v>465</v>
      </c>
      <c r="F170" s="17">
        <v>1</v>
      </c>
      <c r="G170" s="17"/>
      <c r="H170" s="89" t="s">
        <v>28</v>
      </c>
      <c r="I170" s="131">
        <f>320000*1.052</f>
        <v>336640</v>
      </c>
      <c r="J170" s="121">
        <f t="shared" si="122"/>
        <v>63961.599999999999</v>
      </c>
      <c r="K170" s="130">
        <f t="shared" si="123"/>
        <v>400601.59999999998</v>
      </c>
      <c r="L170" s="121">
        <f t="shared" si="124"/>
        <v>336640</v>
      </c>
      <c r="M170" s="122">
        <f t="shared" si="125"/>
        <v>400601.59999999998</v>
      </c>
      <c r="N170" s="132">
        <f>390000*1.052</f>
        <v>410280</v>
      </c>
      <c r="O170" s="121">
        <f t="shared" si="126"/>
        <v>77953.2</v>
      </c>
      <c r="P170" s="110">
        <f t="shared" si="127"/>
        <v>488233.2</v>
      </c>
      <c r="Q170" s="121">
        <f t="shared" si="128"/>
        <v>410280</v>
      </c>
      <c r="R170" s="124">
        <f t="shared" si="129"/>
        <v>488233.2</v>
      </c>
      <c r="S170" s="131">
        <f>350000*1.052</f>
        <v>368200</v>
      </c>
      <c r="T170" s="121">
        <f t="shared" si="130"/>
        <v>69958</v>
      </c>
      <c r="U170" s="110">
        <f t="shared" si="131"/>
        <v>438158</v>
      </c>
      <c r="V170" s="121">
        <f t="shared" si="132"/>
        <v>368200</v>
      </c>
      <c r="W170" s="122">
        <f t="shared" si="133"/>
        <v>438158</v>
      </c>
      <c r="X170" s="108"/>
      <c r="Y170" s="121">
        <f t="shared" si="134"/>
        <v>0</v>
      </c>
      <c r="Z170" s="121">
        <f t="shared" si="135"/>
        <v>0</v>
      </c>
      <c r="AA170" s="121">
        <f t="shared" si="136"/>
        <v>0</v>
      </c>
      <c r="AB170" s="124">
        <f t="shared" si="137"/>
        <v>0</v>
      </c>
      <c r="AC170" s="126">
        <f t="shared" si="138"/>
        <v>371707</v>
      </c>
      <c r="AD170" s="101">
        <f t="shared" si="119"/>
        <v>278780</v>
      </c>
      <c r="AE170" s="127">
        <f t="shared" si="139"/>
        <v>30165.487269762813</v>
      </c>
      <c r="AF170" s="128">
        <f t="shared" si="140"/>
        <v>8.1153939177262768E-2</v>
      </c>
      <c r="AG170" s="129">
        <f t="shared" si="141"/>
        <v>368200</v>
      </c>
      <c r="AH170" s="101">
        <f t="shared" si="120"/>
        <v>352420</v>
      </c>
      <c r="AI170" s="130">
        <f t="shared" si="142"/>
        <v>30165.487269762813</v>
      </c>
      <c r="AJ170" s="159">
        <f t="shared" si="143"/>
        <v>8.1926907305167884E-2</v>
      </c>
      <c r="AK170" s="290" t="s">
        <v>1036</v>
      </c>
      <c r="AL170" s="291"/>
      <c r="AM170" s="292"/>
      <c r="AN170" s="160"/>
    </row>
    <row r="171" spans="1:40" ht="45.75" thickBot="1" x14ac:dyDescent="0.3">
      <c r="A171" s="84">
        <f t="shared" si="121"/>
        <v>3</v>
      </c>
      <c r="B171" s="198">
        <v>166</v>
      </c>
      <c r="C171" s="51" t="s">
        <v>466</v>
      </c>
      <c r="D171" s="204" t="s">
        <v>1044</v>
      </c>
      <c r="E171" s="60" t="s">
        <v>467</v>
      </c>
      <c r="F171" s="17">
        <v>1</v>
      </c>
      <c r="G171" s="17"/>
      <c r="H171" s="89" t="s">
        <v>165</v>
      </c>
      <c r="I171" s="131">
        <f>149000*1.052</f>
        <v>156748</v>
      </c>
      <c r="J171" s="121">
        <f t="shared" si="122"/>
        <v>29782.12</v>
      </c>
      <c r="K171" s="130">
        <f t="shared" si="123"/>
        <v>186530.12</v>
      </c>
      <c r="L171" s="121">
        <f t="shared" si="124"/>
        <v>156748</v>
      </c>
      <c r="M171" s="122">
        <f t="shared" si="125"/>
        <v>186530.12</v>
      </c>
      <c r="N171" s="132">
        <f>139000*1.052</f>
        <v>146228</v>
      </c>
      <c r="O171" s="121">
        <f t="shared" si="126"/>
        <v>27783.32</v>
      </c>
      <c r="P171" s="110">
        <f t="shared" si="127"/>
        <v>174011.32</v>
      </c>
      <c r="Q171" s="121">
        <f t="shared" si="128"/>
        <v>146228</v>
      </c>
      <c r="R171" s="124">
        <f t="shared" si="129"/>
        <v>174011.32</v>
      </c>
      <c r="S171" s="131">
        <f>159000*1.052</f>
        <v>167268</v>
      </c>
      <c r="T171" s="121">
        <f t="shared" si="130"/>
        <v>31780.920000000002</v>
      </c>
      <c r="U171" s="110">
        <f t="shared" si="131"/>
        <v>199048.92</v>
      </c>
      <c r="V171" s="121">
        <f t="shared" si="132"/>
        <v>167268</v>
      </c>
      <c r="W171" s="122">
        <f t="shared" si="133"/>
        <v>199048.92</v>
      </c>
      <c r="X171" s="108"/>
      <c r="Y171" s="121">
        <f t="shared" si="134"/>
        <v>0</v>
      </c>
      <c r="Z171" s="121">
        <f t="shared" si="135"/>
        <v>0</v>
      </c>
      <c r="AA171" s="121">
        <f t="shared" si="136"/>
        <v>0</v>
      </c>
      <c r="AB171" s="124">
        <f t="shared" si="137"/>
        <v>0</v>
      </c>
      <c r="AC171" s="126">
        <f t="shared" si="138"/>
        <v>156748</v>
      </c>
      <c r="AD171" s="101">
        <f t="shared" si="119"/>
        <v>117561</v>
      </c>
      <c r="AE171" s="127">
        <f t="shared" si="139"/>
        <v>8589.5440313596773</v>
      </c>
      <c r="AF171" s="128">
        <f t="shared" si="140"/>
        <v>5.4798428250182954E-2</v>
      </c>
      <c r="AG171" s="129">
        <f t="shared" si="141"/>
        <v>156748</v>
      </c>
      <c r="AH171" s="101">
        <f t="shared" si="120"/>
        <v>151488</v>
      </c>
      <c r="AI171" s="130">
        <f t="shared" si="142"/>
        <v>8589.5440313596773</v>
      </c>
      <c r="AJ171" s="159">
        <f t="shared" si="143"/>
        <v>5.4798428250182954E-2</v>
      </c>
      <c r="AK171" s="290" t="s">
        <v>1036</v>
      </c>
      <c r="AL171" s="291"/>
      <c r="AM171" s="292"/>
      <c r="AN171" s="160"/>
    </row>
    <row r="172" spans="1:40" ht="45.75" thickBot="1" x14ac:dyDescent="0.3">
      <c r="A172" s="84">
        <f t="shared" si="121"/>
        <v>3</v>
      </c>
      <c r="B172" s="198">
        <v>167</v>
      </c>
      <c r="C172" s="51" t="s">
        <v>468</v>
      </c>
      <c r="D172" s="204" t="s">
        <v>1044</v>
      </c>
      <c r="E172" s="60" t="s">
        <v>469</v>
      </c>
      <c r="F172" s="17">
        <v>1</v>
      </c>
      <c r="G172" s="17"/>
      <c r="H172" s="89" t="s">
        <v>167</v>
      </c>
      <c r="I172" s="135">
        <f>46800*1.052</f>
        <v>49233.599999999999</v>
      </c>
      <c r="J172" s="121">
        <f t="shared" si="122"/>
        <v>9354.384</v>
      </c>
      <c r="K172" s="130">
        <f t="shared" si="123"/>
        <v>58587.983999999997</v>
      </c>
      <c r="L172" s="121">
        <f t="shared" si="124"/>
        <v>49233.599999999999</v>
      </c>
      <c r="M172" s="122">
        <f t="shared" si="125"/>
        <v>58587.983999999997</v>
      </c>
      <c r="N172" s="136">
        <f>47800*1.052</f>
        <v>50285.600000000006</v>
      </c>
      <c r="O172" s="121">
        <f t="shared" si="126"/>
        <v>9554.264000000001</v>
      </c>
      <c r="P172" s="110">
        <f t="shared" si="127"/>
        <v>59839.864000000009</v>
      </c>
      <c r="Q172" s="121">
        <f t="shared" si="128"/>
        <v>50285.600000000006</v>
      </c>
      <c r="R172" s="124">
        <f t="shared" si="129"/>
        <v>59839.864000000009</v>
      </c>
      <c r="S172" s="135">
        <f>54000*1.052</f>
        <v>56808</v>
      </c>
      <c r="T172" s="121">
        <f t="shared" si="130"/>
        <v>10793.52</v>
      </c>
      <c r="U172" s="110">
        <f t="shared" si="131"/>
        <v>67601.52</v>
      </c>
      <c r="V172" s="121">
        <f t="shared" si="132"/>
        <v>56808</v>
      </c>
      <c r="W172" s="122">
        <f t="shared" si="133"/>
        <v>67601.52</v>
      </c>
      <c r="X172" s="108"/>
      <c r="Y172" s="121">
        <f t="shared" si="134"/>
        <v>0</v>
      </c>
      <c r="Z172" s="121">
        <f t="shared" si="135"/>
        <v>0</v>
      </c>
      <c r="AA172" s="121">
        <f t="shared" si="136"/>
        <v>0</v>
      </c>
      <c r="AB172" s="124">
        <f t="shared" si="137"/>
        <v>0</v>
      </c>
      <c r="AC172" s="126">
        <f t="shared" si="138"/>
        <v>52109</v>
      </c>
      <c r="AD172" s="101">
        <f t="shared" si="119"/>
        <v>39082</v>
      </c>
      <c r="AE172" s="127">
        <f t="shared" si="139"/>
        <v>3350.2892266522631</v>
      </c>
      <c r="AF172" s="128">
        <f t="shared" si="140"/>
        <v>6.42938691330147E-2</v>
      </c>
      <c r="AG172" s="129">
        <f t="shared" si="141"/>
        <v>50286</v>
      </c>
      <c r="AH172" s="101">
        <f t="shared" si="120"/>
        <v>49760</v>
      </c>
      <c r="AI172" s="130">
        <f t="shared" si="142"/>
        <v>3350.2892266522631</v>
      </c>
      <c r="AJ172" s="159">
        <f t="shared" si="143"/>
        <v>6.6624691298816041E-2</v>
      </c>
      <c r="AK172" s="290" t="s">
        <v>1034</v>
      </c>
      <c r="AL172" s="291"/>
      <c r="AM172" s="292"/>
      <c r="AN172" s="160"/>
    </row>
    <row r="173" spans="1:40" ht="75.75" thickBot="1" x14ac:dyDescent="0.3">
      <c r="A173" s="84">
        <f t="shared" si="121"/>
        <v>3</v>
      </c>
      <c r="B173" s="198">
        <v>168</v>
      </c>
      <c r="C173" s="51" t="s">
        <v>470</v>
      </c>
      <c r="D173" s="204" t="s">
        <v>1048</v>
      </c>
      <c r="E173" s="60" t="s">
        <v>471</v>
      </c>
      <c r="F173" s="17">
        <v>1</v>
      </c>
      <c r="G173" s="17"/>
      <c r="H173" s="89" t="s">
        <v>376</v>
      </c>
      <c r="I173" s="131">
        <f>5200000*1.052</f>
        <v>5470400</v>
      </c>
      <c r="J173" s="121">
        <f t="shared" si="122"/>
        <v>1039376</v>
      </c>
      <c r="K173" s="130">
        <f t="shared" si="123"/>
        <v>6509776</v>
      </c>
      <c r="L173" s="121">
        <f t="shared" si="124"/>
        <v>5470400</v>
      </c>
      <c r="M173" s="122">
        <f t="shared" si="125"/>
        <v>6509776</v>
      </c>
      <c r="N173" s="132">
        <f>4500000*1.052</f>
        <v>4734000</v>
      </c>
      <c r="O173" s="121">
        <f t="shared" si="126"/>
        <v>899460</v>
      </c>
      <c r="P173" s="110">
        <f t="shared" si="127"/>
        <v>5633460</v>
      </c>
      <c r="Q173" s="121">
        <f t="shared" si="128"/>
        <v>4734000</v>
      </c>
      <c r="R173" s="124">
        <f t="shared" si="129"/>
        <v>5633460</v>
      </c>
      <c r="S173" s="138">
        <f>4800000*1.052</f>
        <v>5049600</v>
      </c>
      <c r="T173" s="121">
        <f t="shared" si="130"/>
        <v>959424</v>
      </c>
      <c r="U173" s="110">
        <f t="shared" si="131"/>
        <v>6009024</v>
      </c>
      <c r="V173" s="121">
        <f t="shared" si="132"/>
        <v>5049600</v>
      </c>
      <c r="W173" s="122">
        <f t="shared" si="133"/>
        <v>6009024</v>
      </c>
      <c r="X173" s="108"/>
      <c r="Y173" s="121">
        <f t="shared" si="134"/>
        <v>0</v>
      </c>
      <c r="Z173" s="121">
        <f t="shared" si="135"/>
        <v>0</v>
      </c>
      <c r="AA173" s="121">
        <f t="shared" si="136"/>
        <v>0</v>
      </c>
      <c r="AB173" s="124">
        <f t="shared" si="137"/>
        <v>0</v>
      </c>
      <c r="AC173" s="126">
        <f t="shared" si="138"/>
        <v>5084667</v>
      </c>
      <c r="AD173" s="101">
        <f t="shared" si="119"/>
        <v>3813500</v>
      </c>
      <c r="AE173" s="127">
        <f t="shared" si="139"/>
        <v>301654.8726976281</v>
      </c>
      <c r="AF173" s="128">
        <f t="shared" si="140"/>
        <v>5.9326377262783996E-2</v>
      </c>
      <c r="AG173" s="129">
        <f t="shared" si="141"/>
        <v>5049600</v>
      </c>
      <c r="AH173" s="101">
        <f t="shared" si="120"/>
        <v>4891800</v>
      </c>
      <c r="AI173" s="130">
        <f t="shared" si="142"/>
        <v>301654.8726976281</v>
      </c>
      <c r="AJ173" s="159">
        <f t="shared" si="143"/>
        <v>5.9738369910018241E-2</v>
      </c>
      <c r="AK173" s="290" t="s">
        <v>1036</v>
      </c>
      <c r="AL173" s="291"/>
      <c r="AM173" s="292"/>
      <c r="AN173" s="160"/>
    </row>
    <row r="174" spans="1:40" ht="147.75" customHeight="1" thickBot="1" x14ac:dyDescent="0.3">
      <c r="A174" s="84">
        <f t="shared" si="121"/>
        <v>3</v>
      </c>
      <c r="B174" s="198">
        <v>169</v>
      </c>
      <c r="C174" s="51" t="s">
        <v>472</v>
      </c>
      <c r="D174" s="204" t="s">
        <v>1044</v>
      </c>
      <c r="E174" s="60" t="s">
        <v>473</v>
      </c>
      <c r="F174" s="17">
        <v>1</v>
      </c>
      <c r="G174" s="17"/>
      <c r="H174" s="89" t="s">
        <v>167</v>
      </c>
      <c r="I174" s="131">
        <f>59000*1.052</f>
        <v>62068</v>
      </c>
      <c r="J174" s="121">
        <f t="shared" si="122"/>
        <v>11792.92</v>
      </c>
      <c r="K174" s="130">
        <f t="shared" si="123"/>
        <v>73860.92</v>
      </c>
      <c r="L174" s="121">
        <f t="shared" si="124"/>
        <v>62068</v>
      </c>
      <c r="M174" s="122">
        <f t="shared" si="125"/>
        <v>73860.92</v>
      </c>
      <c r="N174" s="132">
        <f>55000*1.052</f>
        <v>57860</v>
      </c>
      <c r="O174" s="121">
        <f t="shared" si="126"/>
        <v>10993.4</v>
      </c>
      <c r="P174" s="110">
        <f t="shared" si="127"/>
        <v>68853.399999999994</v>
      </c>
      <c r="Q174" s="121">
        <f t="shared" si="128"/>
        <v>57860</v>
      </c>
      <c r="R174" s="124">
        <f t="shared" si="129"/>
        <v>68853.399999999994</v>
      </c>
      <c r="S174" s="138">
        <f>65000*1.052</f>
        <v>68380</v>
      </c>
      <c r="T174" s="121">
        <f t="shared" si="130"/>
        <v>12992.2</v>
      </c>
      <c r="U174" s="110">
        <f t="shared" si="131"/>
        <v>81372.2</v>
      </c>
      <c r="V174" s="121">
        <f t="shared" si="132"/>
        <v>68380</v>
      </c>
      <c r="W174" s="122">
        <f t="shared" si="133"/>
        <v>81372.2</v>
      </c>
      <c r="X174" s="108"/>
      <c r="Y174" s="121">
        <f t="shared" si="134"/>
        <v>0</v>
      </c>
      <c r="Z174" s="121">
        <f t="shared" si="135"/>
        <v>0</v>
      </c>
      <c r="AA174" s="121">
        <f t="shared" si="136"/>
        <v>0</v>
      </c>
      <c r="AB174" s="124">
        <f t="shared" si="137"/>
        <v>0</v>
      </c>
      <c r="AC174" s="126">
        <f t="shared" si="138"/>
        <v>62769</v>
      </c>
      <c r="AD174" s="101">
        <f t="shared" si="119"/>
        <v>47077</v>
      </c>
      <c r="AE174" s="127">
        <f t="shared" si="139"/>
        <v>4323.3090207489095</v>
      </c>
      <c r="AF174" s="128">
        <f t="shared" si="140"/>
        <v>6.8876499876514036E-2</v>
      </c>
      <c r="AG174" s="129">
        <f t="shared" si="141"/>
        <v>62068</v>
      </c>
      <c r="AH174" s="101">
        <f t="shared" si="120"/>
        <v>59964</v>
      </c>
      <c r="AI174" s="130">
        <f t="shared" si="142"/>
        <v>4323.3090207489095</v>
      </c>
      <c r="AJ174" s="159">
        <f t="shared" si="143"/>
        <v>6.9654395513773754E-2</v>
      </c>
      <c r="AK174" s="290" t="s">
        <v>1036</v>
      </c>
      <c r="AL174" s="291"/>
      <c r="AM174" s="292"/>
      <c r="AN174" s="160"/>
    </row>
    <row r="175" spans="1:40" ht="45.75" thickBot="1" x14ac:dyDescent="0.3">
      <c r="A175" s="84">
        <f t="shared" si="121"/>
        <v>3</v>
      </c>
      <c r="B175" s="198">
        <v>170</v>
      </c>
      <c r="C175" s="51" t="s">
        <v>474</v>
      </c>
      <c r="D175" s="204" t="s">
        <v>1044</v>
      </c>
      <c r="E175" s="60" t="s">
        <v>475</v>
      </c>
      <c r="F175" s="17">
        <v>1</v>
      </c>
      <c r="G175" s="17"/>
      <c r="H175" s="89" t="s">
        <v>167</v>
      </c>
      <c r="I175" s="135">
        <f>25000*1.052</f>
        <v>26300</v>
      </c>
      <c r="J175" s="121">
        <f t="shared" si="122"/>
        <v>4997</v>
      </c>
      <c r="K175" s="130">
        <f t="shared" si="123"/>
        <v>31297</v>
      </c>
      <c r="L175" s="121">
        <f t="shared" si="124"/>
        <v>26300</v>
      </c>
      <c r="M175" s="122">
        <f t="shared" si="125"/>
        <v>31297</v>
      </c>
      <c r="N175" s="136">
        <f>27000*1.052</f>
        <v>28404</v>
      </c>
      <c r="O175" s="121">
        <f t="shared" si="126"/>
        <v>5396.76</v>
      </c>
      <c r="P175" s="110">
        <f t="shared" si="127"/>
        <v>33800.76</v>
      </c>
      <c r="Q175" s="121">
        <f t="shared" si="128"/>
        <v>28404</v>
      </c>
      <c r="R175" s="124">
        <f t="shared" si="129"/>
        <v>33800.76</v>
      </c>
      <c r="S175" s="135">
        <f>21000*1.052</f>
        <v>22092</v>
      </c>
      <c r="T175" s="121">
        <f t="shared" si="130"/>
        <v>4197.4800000000005</v>
      </c>
      <c r="U175" s="110">
        <f t="shared" si="131"/>
        <v>26289.48</v>
      </c>
      <c r="V175" s="121">
        <f t="shared" si="132"/>
        <v>22092</v>
      </c>
      <c r="W175" s="122">
        <f t="shared" si="133"/>
        <v>26289.48</v>
      </c>
      <c r="X175" s="108"/>
      <c r="Y175" s="121">
        <f t="shared" si="134"/>
        <v>0</v>
      </c>
      <c r="Z175" s="121">
        <f t="shared" si="135"/>
        <v>0</v>
      </c>
      <c r="AA175" s="121">
        <f t="shared" si="136"/>
        <v>0</v>
      </c>
      <c r="AB175" s="124">
        <f t="shared" si="137"/>
        <v>0</v>
      </c>
      <c r="AC175" s="126">
        <f t="shared" si="138"/>
        <v>25599</v>
      </c>
      <c r="AD175" s="101">
        <f t="shared" si="119"/>
        <v>19199</v>
      </c>
      <c r="AE175" s="127">
        <f t="shared" si="139"/>
        <v>2624.1490472574574</v>
      </c>
      <c r="AF175" s="128">
        <f t="shared" si="140"/>
        <v>0.10250982644859008</v>
      </c>
      <c r="AG175" s="129">
        <f t="shared" si="141"/>
        <v>26300</v>
      </c>
      <c r="AH175" s="101">
        <f t="shared" si="120"/>
        <v>24196</v>
      </c>
      <c r="AI175" s="130">
        <f t="shared" si="142"/>
        <v>2624.1490472574574</v>
      </c>
      <c r="AJ175" s="159">
        <f t="shared" si="143"/>
        <v>9.9777530313971768E-2</v>
      </c>
      <c r="AK175" s="290" t="s">
        <v>1034</v>
      </c>
      <c r="AL175" s="291"/>
      <c r="AM175" s="292"/>
      <c r="AN175" s="160"/>
    </row>
    <row r="176" spans="1:40" ht="45.75" thickBot="1" x14ac:dyDescent="0.3">
      <c r="A176" s="84">
        <f t="shared" si="121"/>
        <v>3</v>
      </c>
      <c r="B176" s="198">
        <v>171</v>
      </c>
      <c r="C176" s="51" t="s">
        <v>476</v>
      </c>
      <c r="D176" s="204" t="s">
        <v>1044</v>
      </c>
      <c r="E176" s="60" t="s">
        <v>477</v>
      </c>
      <c r="F176" s="17">
        <v>1</v>
      </c>
      <c r="G176" s="17"/>
      <c r="H176" s="89" t="s">
        <v>167</v>
      </c>
      <c r="I176" s="135">
        <f>25000*1.052</f>
        <v>26300</v>
      </c>
      <c r="J176" s="121">
        <f t="shared" si="122"/>
        <v>4997</v>
      </c>
      <c r="K176" s="130">
        <f t="shared" si="123"/>
        <v>31297</v>
      </c>
      <c r="L176" s="121">
        <f t="shared" si="124"/>
        <v>26300</v>
      </c>
      <c r="M176" s="122">
        <f t="shared" si="125"/>
        <v>31297</v>
      </c>
      <c r="N176" s="136">
        <f>27000*1.052</f>
        <v>28404</v>
      </c>
      <c r="O176" s="121">
        <f t="shared" si="126"/>
        <v>5396.76</v>
      </c>
      <c r="P176" s="110">
        <f t="shared" si="127"/>
        <v>33800.76</v>
      </c>
      <c r="Q176" s="121">
        <f t="shared" si="128"/>
        <v>28404</v>
      </c>
      <c r="R176" s="124">
        <f t="shared" si="129"/>
        <v>33800.76</v>
      </c>
      <c r="S176" s="135">
        <f>21000*1.052</f>
        <v>22092</v>
      </c>
      <c r="T176" s="121">
        <f t="shared" si="130"/>
        <v>4197.4800000000005</v>
      </c>
      <c r="U176" s="110">
        <f t="shared" si="131"/>
        <v>26289.48</v>
      </c>
      <c r="V176" s="121">
        <f t="shared" si="132"/>
        <v>22092</v>
      </c>
      <c r="W176" s="122">
        <f t="shared" si="133"/>
        <v>26289.48</v>
      </c>
      <c r="X176" s="108"/>
      <c r="Y176" s="121">
        <f t="shared" si="134"/>
        <v>0</v>
      </c>
      <c r="Z176" s="121">
        <f t="shared" si="135"/>
        <v>0</v>
      </c>
      <c r="AA176" s="121">
        <f t="shared" si="136"/>
        <v>0</v>
      </c>
      <c r="AB176" s="124">
        <f t="shared" si="137"/>
        <v>0</v>
      </c>
      <c r="AC176" s="126">
        <f t="shared" si="138"/>
        <v>25599</v>
      </c>
      <c r="AD176" s="101">
        <f t="shared" si="119"/>
        <v>19199</v>
      </c>
      <c r="AE176" s="127">
        <f t="shared" si="139"/>
        <v>2624.1490472574574</v>
      </c>
      <c r="AF176" s="128">
        <f t="shared" si="140"/>
        <v>0.10250982644859008</v>
      </c>
      <c r="AG176" s="129">
        <f t="shared" si="141"/>
        <v>26300</v>
      </c>
      <c r="AH176" s="101">
        <f t="shared" si="120"/>
        <v>24196</v>
      </c>
      <c r="AI176" s="130">
        <f t="shared" si="142"/>
        <v>2624.1490472574574</v>
      </c>
      <c r="AJ176" s="159">
        <f t="shared" si="143"/>
        <v>9.9777530313971768E-2</v>
      </c>
      <c r="AK176" s="290" t="s">
        <v>1034</v>
      </c>
      <c r="AL176" s="291"/>
      <c r="AM176" s="292"/>
      <c r="AN176" s="160"/>
    </row>
    <row r="177" spans="1:40" ht="30.75" thickBot="1" x14ac:dyDescent="0.3">
      <c r="A177" s="84">
        <f t="shared" si="121"/>
        <v>3</v>
      </c>
      <c r="B177" s="198">
        <v>172</v>
      </c>
      <c r="C177" s="51" t="s">
        <v>478</v>
      </c>
      <c r="D177" s="204" t="s">
        <v>1044</v>
      </c>
      <c r="E177" s="60" t="s">
        <v>479</v>
      </c>
      <c r="F177" s="17">
        <v>1</v>
      </c>
      <c r="G177" s="17"/>
      <c r="H177" s="89" t="s">
        <v>164</v>
      </c>
      <c r="I177" s="131">
        <f>350000*1.052</f>
        <v>368200</v>
      </c>
      <c r="J177" s="121">
        <f t="shared" si="122"/>
        <v>69958</v>
      </c>
      <c r="K177" s="130">
        <f t="shared" si="123"/>
        <v>438158</v>
      </c>
      <c r="L177" s="121">
        <f t="shared" si="124"/>
        <v>368200</v>
      </c>
      <c r="M177" s="122">
        <f t="shared" si="125"/>
        <v>438158</v>
      </c>
      <c r="N177" s="132">
        <f>330000*1.052</f>
        <v>347160</v>
      </c>
      <c r="O177" s="121">
        <f t="shared" si="126"/>
        <v>65960.399999999994</v>
      </c>
      <c r="P177" s="110">
        <f t="shared" si="127"/>
        <v>413120.4</v>
      </c>
      <c r="Q177" s="121">
        <f t="shared" si="128"/>
        <v>347160</v>
      </c>
      <c r="R177" s="124">
        <f t="shared" si="129"/>
        <v>413120.4</v>
      </c>
      <c r="S177" s="131">
        <f>290000*1.052</f>
        <v>305080</v>
      </c>
      <c r="T177" s="121">
        <f t="shared" si="130"/>
        <v>57965.2</v>
      </c>
      <c r="U177" s="110">
        <f t="shared" si="131"/>
        <v>363045.2</v>
      </c>
      <c r="V177" s="121">
        <f t="shared" si="132"/>
        <v>305080</v>
      </c>
      <c r="W177" s="122">
        <f t="shared" si="133"/>
        <v>363045.2</v>
      </c>
      <c r="X177" s="108"/>
      <c r="Y177" s="121">
        <f t="shared" si="134"/>
        <v>0</v>
      </c>
      <c r="Z177" s="121">
        <f t="shared" si="135"/>
        <v>0</v>
      </c>
      <c r="AA177" s="121">
        <f t="shared" si="136"/>
        <v>0</v>
      </c>
      <c r="AB177" s="124">
        <f t="shared" si="137"/>
        <v>0</v>
      </c>
      <c r="AC177" s="126">
        <f t="shared" si="138"/>
        <v>340147</v>
      </c>
      <c r="AD177" s="101">
        <f t="shared" si="119"/>
        <v>255110</v>
      </c>
      <c r="AE177" s="127">
        <f t="shared" si="139"/>
        <v>26241.490472574576</v>
      </c>
      <c r="AF177" s="128">
        <f t="shared" si="140"/>
        <v>7.7147499382839116E-2</v>
      </c>
      <c r="AG177" s="129">
        <f t="shared" si="141"/>
        <v>347160</v>
      </c>
      <c r="AH177" s="101">
        <f t="shared" si="120"/>
        <v>326120</v>
      </c>
      <c r="AI177" s="130">
        <f t="shared" si="142"/>
        <v>26241.490472574576</v>
      </c>
      <c r="AJ177" s="159">
        <f t="shared" si="143"/>
        <v>7.5589038116645288E-2</v>
      </c>
      <c r="AK177" s="290" t="s">
        <v>1036</v>
      </c>
      <c r="AL177" s="291"/>
      <c r="AM177" s="292"/>
      <c r="AN177" s="160"/>
    </row>
    <row r="178" spans="1:40" ht="30.75" thickBot="1" x14ac:dyDescent="0.3">
      <c r="A178" s="84">
        <f t="shared" si="121"/>
        <v>3</v>
      </c>
      <c r="B178" s="198">
        <v>173</v>
      </c>
      <c r="C178" s="51" t="s">
        <v>480</v>
      </c>
      <c r="D178" s="204" t="s">
        <v>1044</v>
      </c>
      <c r="E178" s="60" t="s">
        <v>481</v>
      </c>
      <c r="F178" s="17">
        <v>1</v>
      </c>
      <c r="G178" s="17"/>
      <c r="H178" s="89" t="s">
        <v>164</v>
      </c>
      <c r="I178" s="131">
        <f>490000*1.052</f>
        <v>515480</v>
      </c>
      <c r="J178" s="121">
        <f t="shared" si="122"/>
        <v>97941.2</v>
      </c>
      <c r="K178" s="130">
        <f t="shared" si="123"/>
        <v>613421.19999999995</v>
      </c>
      <c r="L178" s="121">
        <f t="shared" si="124"/>
        <v>515480</v>
      </c>
      <c r="M178" s="122">
        <f t="shared" si="125"/>
        <v>613421.19999999995</v>
      </c>
      <c r="N178" s="132">
        <f>420000*1.052</f>
        <v>441840</v>
      </c>
      <c r="O178" s="121">
        <f t="shared" si="126"/>
        <v>83949.6</v>
      </c>
      <c r="P178" s="110">
        <f t="shared" si="127"/>
        <v>525789.6</v>
      </c>
      <c r="Q178" s="121">
        <f t="shared" si="128"/>
        <v>441840</v>
      </c>
      <c r="R178" s="124">
        <f t="shared" si="129"/>
        <v>525789.6</v>
      </c>
      <c r="S178" s="131">
        <f>35000*1.052</f>
        <v>36820</v>
      </c>
      <c r="T178" s="121">
        <f t="shared" si="130"/>
        <v>6995.8</v>
      </c>
      <c r="U178" s="110">
        <f t="shared" si="131"/>
        <v>43815.8</v>
      </c>
      <c r="V178" s="121">
        <f t="shared" si="132"/>
        <v>36820</v>
      </c>
      <c r="W178" s="122">
        <f t="shared" si="133"/>
        <v>43815.8</v>
      </c>
      <c r="X178" s="108"/>
      <c r="Y178" s="121">
        <f t="shared" si="134"/>
        <v>0</v>
      </c>
      <c r="Z178" s="121">
        <f t="shared" si="135"/>
        <v>0</v>
      </c>
      <c r="AA178" s="121">
        <f t="shared" si="136"/>
        <v>0</v>
      </c>
      <c r="AB178" s="124">
        <f t="shared" si="137"/>
        <v>0</v>
      </c>
      <c r="AC178" s="126">
        <f t="shared" si="138"/>
        <v>331380</v>
      </c>
      <c r="AD178" s="101">
        <f t="shared" si="119"/>
        <v>248535</v>
      </c>
      <c r="AE178" s="127">
        <f t="shared" si="139"/>
        <v>210443.82876831212</v>
      </c>
      <c r="AF178" s="128">
        <f t="shared" si="140"/>
        <v>0.63505289627712025</v>
      </c>
      <c r="AG178" s="129">
        <f t="shared" si="141"/>
        <v>441840</v>
      </c>
      <c r="AH178" s="101">
        <f t="shared" si="120"/>
        <v>239330</v>
      </c>
      <c r="AI178" s="130">
        <f t="shared" si="142"/>
        <v>210443.82876831212</v>
      </c>
      <c r="AJ178" s="159">
        <f t="shared" si="143"/>
        <v>0.47628967220784019</v>
      </c>
      <c r="AK178" s="290" t="s">
        <v>1036</v>
      </c>
      <c r="AL178" s="291"/>
      <c r="AM178" s="292"/>
      <c r="AN178" s="160"/>
    </row>
    <row r="179" spans="1:40" ht="38.25" thickBot="1" x14ac:dyDescent="0.3">
      <c r="A179" s="84">
        <f t="shared" si="121"/>
        <v>3</v>
      </c>
      <c r="B179" s="198">
        <v>174</v>
      </c>
      <c r="C179" s="51" t="s">
        <v>482</v>
      </c>
      <c r="D179" s="204" t="s">
        <v>1044</v>
      </c>
      <c r="E179" s="60" t="s">
        <v>483</v>
      </c>
      <c r="F179" s="17">
        <v>1</v>
      </c>
      <c r="G179" s="17"/>
      <c r="H179" s="89" t="s">
        <v>484</v>
      </c>
      <c r="I179" s="131">
        <f>21000*1.052</f>
        <v>22092</v>
      </c>
      <c r="J179" s="121">
        <f t="shared" si="122"/>
        <v>4197.4800000000005</v>
      </c>
      <c r="K179" s="130">
        <f t="shared" si="123"/>
        <v>26289.48</v>
      </c>
      <c r="L179" s="121">
        <f t="shared" si="124"/>
        <v>22092</v>
      </c>
      <c r="M179" s="122">
        <f t="shared" si="125"/>
        <v>26289.48</v>
      </c>
      <c r="N179" s="132">
        <f>20800*1.052</f>
        <v>21881.600000000002</v>
      </c>
      <c r="O179" s="121">
        <f t="shared" si="126"/>
        <v>4157.5040000000008</v>
      </c>
      <c r="P179" s="110">
        <f t="shared" si="127"/>
        <v>26039.104000000003</v>
      </c>
      <c r="Q179" s="121">
        <f t="shared" si="128"/>
        <v>21881.600000000002</v>
      </c>
      <c r="R179" s="124">
        <f t="shared" si="129"/>
        <v>26039.104000000003</v>
      </c>
      <c r="S179" s="131">
        <f>22000*1.052</f>
        <v>23144</v>
      </c>
      <c r="T179" s="121">
        <f t="shared" si="130"/>
        <v>4397.3599999999997</v>
      </c>
      <c r="U179" s="110">
        <f t="shared" si="131"/>
        <v>27541.360000000001</v>
      </c>
      <c r="V179" s="121">
        <f t="shared" si="132"/>
        <v>23144</v>
      </c>
      <c r="W179" s="122">
        <f t="shared" si="133"/>
        <v>27541.360000000001</v>
      </c>
      <c r="X179" s="108"/>
      <c r="Y179" s="121">
        <f t="shared" si="134"/>
        <v>0</v>
      </c>
      <c r="Z179" s="121">
        <f t="shared" si="135"/>
        <v>0</v>
      </c>
      <c r="AA179" s="121">
        <f t="shared" si="136"/>
        <v>0</v>
      </c>
      <c r="AB179" s="124">
        <f t="shared" si="137"/>
        <v>0</v>
      </c>
      <c r="AC179" s="126">
        <f t="shared" si="138"/>
        <v>22373</v>
      </c>
      <c r="AD179" s="101">
        <f t="shared" si="119"/>
        <v>16779</v>
      </c>
      <c r="AE179" s="127">
        <f t="shared" si="139"/>
        <v>552.23041889736101</v>
      </c>
      <c r="AF179" s="128">
        <f t="shared" si="140"/>
        <v>2.4682895405057928E-2</v>
      </c>
      <c r="AG179" s="129">
        <f t="shared" si="141"/>
        <v>22092</v>
      </c>
      <c r="AH179" s="101">
        <f t="shared" si="120"/>
        <v>21987</v>
      </c>
      <c r="AI179" s="130">
        <f t="shared" si="142"/>
        <v>552.23041889736101</v>
      </c>
      <c r="AJ179" s="159">
        <f t="shared" si="143"/>
        <v>2.499685039368826E-2</v>
      </c>
      <c r="AK179" s="290" t="s">
        <v>1036</v>
      </c>
      <c r="AL179" s="291"/>
      <c r="AM179" s="292"/>
      <c r="AN179" s="160"/>
    </row>
    <row r="180" spans="1:40" ht="75.75" thickBot="1" x14ac:dyDescent="0.3">
      <c r="A180" s="84">
        <f t="shared" si="121"/>
        <v>2</v>
      </c>
      <c r="B180" s="198">
        <v>175</v>
      </c>
      <c r="C180" s="51" t="s">
        <v>485</v>
      </c>
      <c r="D180" s="204" t="s">
        <v>1044</v>
      </c>
      <c r="E180" s="60" t="s">
        <v>486</v>
      </c>
      <c r="F180" s="17">
        <v>1</v>
      </c>
      <c r="G180" s="17"/>
      <c r="H180" s="89" t="s">
        <v>28</v>
      </c>
      <c r="I180" s="131">
        <f>4000000*1.052</f>
        <v>4208000</v>
      </c>
      <c r="J180" s="121">
        <f t="shared" si="122"/>
        <v>799520</v>
      </c>
      <c r="K180" s="130">
        <f t="shared" si="123"/>
        <v>5007520</v>
      </c>
      <c r="L180" s="121">
        <f t="shared" si="124"/>
        <v>4208000</v>
      </c>
      <c r="M180" s="122">
        <f t="shared" si="125"/>
        <v>5007520</v>
      </c>
      <c r="N180" s="132">
        <f>3500000*1.052</f>
        <v>3682000</v>
      </c>
      <c r="O180" s="121">
        <f t="shared" si="126"/>
        <v>699580</v>
      </c>
      <c r="P180" s="110">
        <f t="shared" si="127"/>
        <v>4381580</v>
      </c>
      <c r="Q180" s="121">
        <f t="shared" si="128"/>
        <v>3682000</v>
      </c>
      <c r="R180" s="124">
        <f t="shared" si="129"/>
        <v>4381580</v>
      </c>
      <c r="S180" s="117"/>
      <c r="T180" s="121">
        <f t="shared" si="130"/>
        <v>0</v>
      </c>
      <c r="U180" s="110">
        <f t="shared" si="131"/>
        <v>0</v>
      </c>
      <c r="V180" s="121">
        <f t="shared" si="132"/>
        <v>0</v>
      </c>
      <c r="W180" s="122">
        <f t="shared" si="133"/>
        <v>0</v>
      </c>
      <c r="X180" s="108"/>
      <c r="Y180" s="121">
        <f t="shared" si="134"/>
        <v>0</v>
      </c>
      <c r="Z180" s="121">
        <f t="shared" si="135"/>
        <v>0</v>
      </c>
      <c r="AA180" s="121">
        <f t="shared" si="136"/>
        <v>0</v>
      </c>
      <c r="AB180" s="124">
        <f t="shared" si="137"/>
        <v>0</v>
      </c>
      <c r="AC180" s="126">
        <f t="shared" si="138"/>
        <v>3945000</v>
      </c>
      <c r="AD180" s="101">
        <f t="shared" si="119"/>
        <v>1972500</v>
      </c>
      <c r="AE180" s="127">
        <f t="shared" si="139"/>
        <v>263000</v>
      </c>
      <c r="AF180" s="128">
        <f t="shared" si="140"/>
        <v>6.6666666666666666E-2</v>
      </c>
      <c r="AG180" s="129">
        <f t="shared" si="141"/>
        <v>3945000</v>
      </c>
      <c r="AH180" s="101">
        <f t="shared" si="120"/>
        <v>1841000</v>
      </c>
      <c r="AI180" s="130">
        <f t="shared" si="142"/>
        <v>263000</v>
      </c>
      <c r="AJ180" s="159">
        <f t="shared" si="143"/>
        <v>6.6666666666666666E-2</v>
      </c>
      <c r="AK180" s="290" t="s">
        <v>1036</v>
      </c>
      <c r="AL180" s="291"/>
      <c r="AM180" s="292"/>
      <c r="AN180" s="160"/>
    </row>
    <row r="181" spans="1:40" ht="60.75" thickBot="1" x14ac:dyDescent="0.3">
      <c r="A181" s="84">
        <f t="shared" si="121"/>
        <v>3</v>
      </c>
      <c r="B181" s="198">
        <v>176</v>
      </c>
      <c r="C181" s="51" t="s">
        <v>487</v>
      </c>
      <c r="D181" s="204" t="s">
        <v>1044</v>
      </c>
      <c r="E181" s="60" t="s">
        <v>488</v>
      </c>
      <c r="F181" s="17">
        <v>1</v>
      </c>
      <c r="G181" s="17"/>
      <c r="H181" s="89" t="s">
        <v>28</v>
      </c>
      <c r="I181" s="135">
        <f>240000*1.052</f>
        <v>252480</v>
      </c>
      <c r="J181" s="121">
        <f t="shared" si="122"/>
        <v>47971.199999999997</v>
      </c>
      <c r="K181" s="130">
        <f t="shared" si="123"/>
        <v>300451.20000000001</v>
      </c>
      <c r="L181" s="121">
        <f t="shared" si="124"/>
        <v>252480</v>
      </c>
      <c r="M181" s="122">
        <f t="shared" si="125"/>
        <v>300451.20000000001</v>
      </c>
      <c r="N181" s="136">
        <f>280000*1.052</f>
        <v>294560</v>
      </c>
      <c r="O181" s="121">
        <f t="shared" si="126"/>
        <v>55966.400000000001</v>
      </c>
      <c r="P181" s="110">
        <f t="shared" si="127"/>
        <v>350526.4</v>
      </c>
      <c r="Q181" s="121">
        <f t="shared" si="128"/>
        <v>294560</v>
      </c>
      <c r="R181" s="124">
        <f t="shared" si="129"/>
        <v>350526.4</v>
      </c>
      <c r="S181" s="135">
        <f>220000*1.052</f>
        <v>231440</v>
      </c>
      <c r="T181" s="121">
        <f t="shared" si="130"/>
        <v>43973.599999999999</v>
      </c>
      <c r="U181" s="110">
        <f t="shared" si="131"/>
        <v>275413.59999999998</v>
      </c>
      <c r="V181" s="121">
        <f t="shared" si="132"/>
        <v>231440</v>
      </c>
      <c r="W181" s="122">
        <f t="shared" si="133"/>
        <v>275413.59999999998</v>
      </c>
      <c r="X181" s="108"/>
      <c r="Y181" s="121">
        <f t="shared" si="134"/>
        <v>0</v>
      </c>
      <c r="Z181" s="121">
        <f t="shared" si="135"/>
        <v>0</v>
      </c>
      <c r="AA181" s="121">
        <f t="shared" si="136"/>
        <v>0</v>
      </c>
      <c r="AB181" s="124">
        <f t="shared" si="137"/>
        <v>0</v>
      </c>
      <c r="AC181" s="126">
        <f t="shared" si="138"/>
        <v>259493</v>
      </c>
      <c r="AD181" s="101">
        <f t="shared" si="119"/>
        <v>194620</v>
      </c>
      <c r="AE181" s="127">
        <f t="shared" si="139"/>
        <v>26241.490472574576</v>
      </c>
      <c r="AF181" s="128">
        <f t="shared" si="140"/>
        <v>0.10112600522008137</v>
      </c>
      <c r="AG181" s="129">
        <f t="shared" si="141"/>
        <v>252480</v>
      </c>
      <c r="AH181" s="101">
        <f t="shared" si="120"/>
        <v>241960</v>
      </c>
      <c r="AI181" s="130">
        <f t="shared" si="142"/>
        <v>26241.490472574576</v>
      </c>
      <c r="AJ181" s="159">
        <f t="shared" si="143"/>
        <v>0.10393492741038726</v>
      </c>
      <c r="AK181" s="290" t="s">
        <v>1034</v>
      </c>
      <c r="AL181" s="291"/>
      <c r="AM181" s="292"/>
      <c r="AN181" s="160"/>
    </row>
    <row r="182" spans="1:40" ht="30" customHeight="1" thickBot="1" x14ac:dyDescent="0.3">
      <c r="A182" s="84">
        <f t="shared" si="121"/>
        <v>3</v>
      </c>
      <c r="B182" s="198">
        <v>177</v>
      </c>
      <c r="C182" s="51" t="s">
        <v>489</v>
      </c>
      <c r="D182" s="204" t="s">
        <v>1044</v>
      </c>
      <c r="E182" s="60" t="s">
        <v>490</v>
      </c>
      <c r="F182" s="17">
        <v>1</v>
      </c>
      <c r="G182" s="17"/>
      <c r="H182" s="89" t="s">
        <v>28</v>
      </c>
      <c r="I182" s="135">
        <f>220000*1.052</f>
        <v>231440</v>
      </c>
      <c r="J182" s="121">
        <f t="shared" si="122"/>
        <v>43973.599999999999</v>
      </c>
      <c r="K182" s="130">
        <f t="shared" si="123"/>
        <v>275413.59999999998</v>
      </c>
      <c r="L182" s="121">
        <f t="shared" si="124"/>
        <v>231440</v>
      </c>
      <c r="M182" s="122">
        <f t="shared" si="125"/>
        <v>275413.59999999998</v>
      </c>
      <c r="N182" s="136">
        <f>245191*1.052</f>
        <v>257940.932</v>
      </c>
      <c r="O182" s="121">
        <f t="shared" si="126"/>
        <v>49008.77708</v>
      </c>
      <c r="P182" s="110">
        <f t="shared" si="127"/>
        <v>306949.70908</v>
      </c>
      <c r="Q182" s="121">
        <f t="shared" si="128"/>
        <v>257940.932</v>
      </c>
      <c r="R182" s="124">
        <f t="shared" si="129"/>
        <v>306949.70908</v>
      </c>
      <c r="S182" s="135">
        <f>230000*1.052</f>
        <v>241960</v>
      </c>
      <c r="T182" s="121">
        <f t="shared" si="130"/>
        <v>45972.4</v>
      </c>
      <c r="U182" s="110">
        <f t="shared" si="131"/>
        <v>287932.40000000002</v>
      </c>
      <c r="V182" s="121">
        <f t="shared" si="132"/>
        <v>241960</v>
      </c>
      <c r="W182" s="122">
        <f t="shared" si="133"/>
        <v>287932.40000000002</v>
      </c>
      <c r="X182" s="108"/>
      <c r="Y182" s="121">
        <f t="shared" si="134"/>
        <v>0</v>
      </c>
      <c r="Z182" s="121">
        <f t="shared" si="135"/>
        <v>0</v>
      </c>
      <c r="AA182" s="121">
        <f t="shared" si="136"/>
        <v>0</v>
      </c>
      <c r="AB182" s="124">
        <f t="shared" si="137"/>
        <v>0</v>
      </c>
      <c r="AC182" s="126">
        <f t="shared" si="138"/>
        <v>243780</v>
      </c>
      <c r="AD182" s="101">
        <f t="shared" si="119"/>
        <v>182835</v>
      </c>
      <c r="AE182" s="127">
        <f t="shared" si="139"/>
        <v>10895.258828485637</v>
      </c>
      <c r="AF182" s="128">
        <f t="shared" si="140"/>
        <v>4.4692997081325937E-2</v>
      </c>
      <c r="AG182" s="129">
        <f t="shared" si="141"/>
        <v>241960</v>
      </c>
      <c r="AH182" s="101">
        <f t="shared" si="120"/>
        <v>236700</v>
      </c>
      <c r="AI182" s="130">
        <f t="shared" si="142"/>
        <v>10895.258828485637</v>
      </c>
      <c r="AJ182" s="159">
        <f t="shared" si="143"/>
        <v>4.5029173534822442E-2</v>
      </c>
      <c r="AK182" s="290" t="s">
        <v>1034</v>
      </c>
      <c r="AL182" s="291"/>
      <c r="AM182" s="292"/>
      <c r="AN182" s="160"/>
    </row>
    <row r="183" spans="1:40" ht="30.75" thickBot="1" x14ac:dyDescent="0.3">
      <c r="A183" s="84">
        <f t="shared" si="121"/>
        <v>3</v>
      </c>
      <c r="B183" s="198">
        <v>178</v>
      </c>
      <c r="C183" s="51" t="s">
        <v>491</v>
      </c>
      <c r="D183" s="204" t="s">
        <v>1044</v>
      </c>
      <c r="E183" s="60" t="s">
        <v>492</v>
      </c>
      <c r="F183" s="17">
        <v>1</v>
      </c>
      <c r="G183" s="17"/>
      <c r="H183" s="89" t="s">
        <v>28</v>
      </c>
      <c r="I183" s="131">
        <f>950000*1.052</f>
        <v>999400</v>
      </c>
      <c r="J183" s="121">
        <f t="shared" si="122"/>
        <v>189886</v>
      </c>
      <c r="K183" s="130">
        <f t="shared" si="123"/>
        <v>1189286</v>
      </c>
      <c r="L183" s="121">
        <f t="shared" si="124"/>
        <v>999400</v>
      </c>
      <c r="M183" s="122">
        <f t="shared" si="125"/>
        <v>1189286</v>
      </c>
      <c r="N183" s="132">
        <f>990000*1.052</f>
        <v>1041480</v>
      </c>
      <c r="O183" s="121">
        <f t="shared" si="126"/>
        <v>197881.2</v>
      </c>
      <c r="P183" s="110">
        <f t="shared" si="127"/>
        <v>1239361.2</v>
      </c>
      <c r="Q183" s="121">
        <f t="shared" si="128"/>
        <v>1041480</v>
      </c>
      <c r="R183" s="124">
        <f t="shared" si="129"/>
        <v>1239361.2</v>
      </c>
      <c r="S183" s="131">
        <f>1050000*1.052</f>
        <v>1104600</v>
      </c>
      <c r="T183" s="121">
        <f t="shared" si="130"/>
        <v>209874</v>
      </c>
      <c r="U183" s="110">
        <f t="shared" si="131"/>
        <v>1314474</v>
      </c>
      <c r="V183" s="121">
        <f t="shared" si="132"/>
        <v>1104600</v>
      </c>
      <c r="W183" s="122">
        <f t="shared" si="133"/>
        <v>1314474</v>
      </c>
      <c r="X183" s="108"/>
      <c r="Y183" s="121">
        <f t="shared" si="134"/>
        <v>0</v>
      </c>
      <c r="Z183" s="121">
        <f t="shared" si="135"/>
        <v>0</v>
      </c>
      <c r="AA183" s="121">
        <f t="shared" si="136"/>
        <v>0</v>
      </c>
      <c r="AB183" s="124">
        <f t="shared" si="137"/>
        <v>0</v>
      </c>
      <c r="AC183" s="126">
        <f t="shared" si="138"/>
        <v>1048493</v>
      </c>
      <c r="AD183" s="101">
        <f t="shared" si="119"/>
        <v>786370</v>
      </c>
      <c r="AE183" s="127">
        <f t="shared" si="139"/>
        <v>43233.090207489084</v>
      </c>
      <c r="AF183" s="128">
        <f t="shared" si="140"/>
        <v>4.1233551590224335E-2</v>
      </c>
      <c r="AG183" s="129">
        <f t="shared" si="141"/>
        <v>1041480</v>
      </c>
      <c r="AH183" s="101">
        <f t="shared" si="120"/>
        <v>1020440</v>
      </c>
      <c r="AI183" s="130">
        <f t="shared" si="142"/>
        <v>43233.090207489084</v>
      </c>
      <c r="AJ183" s="159">
        <f t="shared" si="143"/>
        <v>4.1511205407198493E-2</v>
      </c>
      <c r="AK183" s="290" t="s">
        <v>1036</v>
      </c>
      <c r="AL183" s="291"/>
      <c r="AM183" s="292"/>
      <c r="AN183" s="160"/>
    </row>
    <row r="184" spans="1:40" ht="30" customHeight="1" thickBot="1" x14ac:dyDescent="0.3">
      <c r="A184" s="84">
        <f t="shared" si="121"/>
        <v>3</v>
      </c>
      <c r="B184" s="198">
        <v>179</v>
      </c>
      <c r="C184" s="51" t="s">
        <v>493</v>
      </c>
      <c r="D184" s="204" t="s">
        <v>1044</v>
      </c>
      <c r="E184" s="60" t="s">
        <v>494</v>
      </c>
      <c r="F184" s="17">
        <v>1</v>
      </c>
      <c r="G184" s="17"/>
      <c r="H184" s="89" t="s">
        <v>28</v>
      </c>
      <c r="I184" s="135">
        <f>580000*1.052</f>
        <v>610160</v>
      </c>
      <c r="J184" s="121">
        <f t="shared" si="122"/>
        <v>115930.4</v>
      </c>
      <c r="K184" s="130">
        <f t="shared" si="123"/>
        <v>726090.4</v>
      </c>
      <c r="L184" s="121">
        <f t="shared" si="124"/>
        <v>610160</v>
      </c>
      <c r="M184" s="122">
        <f t="shared" si="125"/>
        <v>726090.4</v>
      </c>
      <c r="N184" s="136">
        <f>611400*1.052</f>
        <v>643192.80000000005</v>
      </c>
      <c r="O184" s="121">
        <f t="shared" si="126"/>
        <v>122206.63200000001</v>
      </c>
      <c r="P184" s="110">
        <f t="shared" si="127"/>
        <v>765399.43200000003</v>
      </c>
      <c r="Q184" s="121">
        <f t="shared" si="128"/>
        <v>643192.80000000005</v>
      </c>
      <c r="R184" s="124">
        <f t="shared" si="129"/>
        <v>765399.43200000003</v>
      </c>
      <c r="S184" s="135">
        <f>540000*1.052</f>
        <v>568080</v>
      </c>
      <c r="T184" s="121">
        <f t="shared" si="130"/>
        <v>107935.2</v>
      </c>
      <c r="U184" s="110">
        <f t="shared" si="131"/>
        <v>676015.2</v>
      </c>
      <c r="V184" s="121">
        <f t="shared" si="132"/>
        <v>568080</v>
      </c>
      <c r="W184" s="122">
        <f t="shared" si="133"/>
        <v>676015.2</v>
      </c>
      <c r="X184" s="108"/>
      <c r="Y184" s="121">
        <f t="shared" si="134"/>
        <v>0</v>
      </c>
      <c r="Z184" s="121">
        <f t="shared" si="135"/>
        <v>0</v>
      </c>
      <c r="AA184" s="121">
        <f t="shared" si="136"/>
        <v>0</v>
      </c>
      <c r="AB184" s="124">
        <f t="shared" si="137"/>
        <v>0</v>
      </c>
      <c r="AC184" s="126">
        <f t="shared" si="138"/>
        <v>607144</v>
      </c>
      <c r="AD184" s="101">
        <f t="shared" si="119"/>
        <v>455358</v>
      </c>
      <c r="AE184" s="127">
        <f t="shared" si="139"/>
        <v>30738.728737683512</v>
      </c>
      <c r="AF184" s="128">
        <f t="shared" si="140"/>
        <v>5.062839909096279E-2</v>
      </c>
      <c r="AG184" s="129">
        <f t="shared" si="141"/>
        <v>610160</v>
      </c>
      <c r="AH184" s="101">
        <f t="shared" si="120"/>
        <v>589120</v>
      </c>
      <c r="AI184" s="130">
        <f t="shared" si="142"/>
        <v>30738.728737683512</v>
      </c>
      <c r="AJ184" s="159">
        <f t="shared" si="143"/>
        <v>5.0378144646786929E-2</v>
      </c>
      <c r="AK184" s="290" t="s">
        <v>1034</v>
      </c>
      <c r="AL184" s="291"/>
      <c r="AM184" s="292"/>
      <c r="AN184" s="160"/>
    </row>
    <row r="185" spans="1:40" ht="30.75" thickBot="1" x14ac:dyDescent="0.3">
      <c r="A185" s="84">
        <f t="shared" si="121"/>
        <v>3</v>
      </c>
      <c r="B185" s="198">
        <v>180</v>
      </c>
      <c r="C185" s="51" t="s">
        <v>495</v>
      </c>
      <c r="D185" s="204" t="s">
        <v>1044</v>
      </c>
      <c r="E185" s="60" t="s">
        <v>496</v>
      </c>
      <c r="F185" s="17">
        <v>1</v>
      </c>
      <c r="G185" s="17"/>
      <c r="H185" s="89" t="s">
        <v>28</v>
      </c>
      <c r="I185" s="131">
        <f>650000*1.052</f>
        <v>683800</v>
      </c>
      <c r="J185" s="121">
        <f t="shared" si="122"/>
        <v>129922</v>
      </c>
      <c r="K185" s="130">
        <f t="shared" si="123"/>
        <v>813722</v>
      </c>
      <c r="L185" s="121">
        <f t="shared" si="124"/>
        <v>683800</v>
      </c>
      <c r="M185" s="122">
        <f t="shared" si="125"/>
        <v>813722</v>
      </c>
      <c r="N185" s="132">
        <f>700000*1.052</f>
        <v>736400</v>
      </c>
      <c r="O185" s="121">
        <f t="shared" si="126"/>
        <v>139916</v>
      </c>
      <c r="P185" s="110">
        <f t="shared" si="127"/>
        <v>876316</v>
      </c>
      <c r="Q185" s="121">
        <f t="shared" si="128"/>
        <v>736400</v>
      </c>
      <c r="R185" s="124">
        <f t="shared" si="129"/>
        <v>876316</v>
      </c>
      <c r="S185" s="131">
        <f>640000*1.052</f>
        <v>673280</v>
      </c>
      <c r="T185" s="121">
        <f t="shared" si="130"/>
        <v>127923.2</v>
      </c>
      <c r="U185" s="110">
        <f t="shared" si="131"/>
        <v>801203.19999999995</v>
      </c>
      <c r="V185" s="121">
        <f t="shared" si="132"/>
        <v>673280</v>
      </c>
      <c r="W185" s="122">
        <f t="shared" si="133"/>
        <v>801203.19999999995</v>
      </c>
      <c r="X185" s="108"/>
      <c r="Y185" s="121">
        <f t="shared" si="134"/>
        <v>0</v>
      </c>
      <c r="Z185" s="121">
        <f t="shared" si="135"/>
        <v>0</v>
      </c>
      <c r="AA185" s="121">
        <f t="shared" si="136"/>
        <v>0</v>
      </c>
      <c r="AB185" s="124">
        <f t="shared" si="137"/>
        <v>0</v>
      </c>
      <c r="AC185" s="126">
        <f t="shared" si="138"/>
        <v>697827</v>
      </c>
      <c r="AD185" s="101">
        <f t="shared" si="119"/>
        <v>523370</v>
      </c>
      <c r="AE185" s="127">
        <f t="shared" si="139"/>
        <v>27611.520944868083</v>
      </c>
      <c r="AF185" s="128">
        <f t="shared" si="140"/>
        <v>3.9567859863358805E-2</v>
      </c>
      <c r="AG185" s="129">
        <f t="shared" si="141"/>
        <v>683800</v>
      </c>
      <c r="AH185" s="101">
        <f t="shared" si="120"/>
        <v>678540</v>
      </c>
      <c r="AI185" s="130">
        <f t="shared" si="142"/>
        <v>27611.520944868083</v>
      </c>
      <c r="AJ185" s="159">
        <f t="shared" si="143"/>
        <v>4.0379527559034928E-2</v>
      </c>
      <c r="AK185" s="290" t="s">
        <v>1036</v>
      </c>
      <c r="AL185" s="291"/>
      <c r="AM185" s="292"/>
      <c r="AN185" s="160"/>
    </row>
    <row r="186" spans="1:40" ht="30" customHeight="1" thickBot="1" x14ac:dyDescent="0.3">
      <c r="A186" s="84">
        <f t="shared" si="121"/>
        <v>3</v>
      </c>
      <c r="B186" s="198">
        <v>181</v>
      </c>
      <c r="C186" s="51" t="s">
        <v>497</v>
      </c>
      <c r="D186" s="204" t="s">
        <v>1044</v>
      </c>
      <c r="E186" s="60" t="s">
        <v>498</v>
      </c>
      <c r="F186" s="17">
        <v>1</v>
      </c>
      <c r="G186" s="17"/>
      <c r="H186" s="89" t="s">
        <v>28</v>
      </c>
      <c r="I186" s="135">
        <f>13000*1.052</f>
        <v>13676</v>
      </c>
      <c r="J186" s="121">
        <f t="shared" si="122"/>
        <v>2598.44</v>
      </c>
      <c r="K186" s="130">
        <f t="shared" si="123"/>
        <v>16274.44</v>
      </c>
      <c r="L186" s="121">
        <f t="shared" si="124"/>
        <v>13676</v>
      </c>
      <c r="M186" s="122">
        <f t="shared" si="125"/>
        <v>16274.44</v>
      </c>
      <c r="N186" s="136">
        <f>14000*1.052</f>
        <v>14728</v>
      </c>
      <c r="O186" s="121">
        <f t="shared" si="126"/>
        <v>2798.32</v>
      </c>
      <c r="P186" s="110">
        <f t="shared" si="127"/>
        <v>17526.32</v>
      </c>
      <c r="Q186" s="121">
        <f t="shared" si="128"/>
        <v>14728</v>
      </c>
      <c r="R186" s="124">
        <f t="shared" si="129"/>
        <v>17526.32</v>
      </c>
      <c r="S186" s="135">
        <f>19000*1.052</f>
        <v>19988</v>
      </c>
      <c r="T186" s="121">
        <f t="shared" si="130"/>
        <v>3797.7200000000003</v>
      </c>
      <c r="U186" s="110">
        <f t="shared" si="131"/>
        <v>23785.72</v>
      </c>
      <c r="V186" s="121">
        <f t="shared" si="132"/>
        <v>19988</v>
      </c>
      <c r="W186" s="122">
        <f t="shared" si="133"/>
        <v>23785.72</v>
      </c>
      <c r="X186" s="108"/>
      <c r="Y186" s="121">
        <f t="shared" si="134"/>
        <v>0</v>
      </c>
      <c r="Z186" s="121">
        <f t="shared" si="135"/>
        <v>0</v>
      </c>
      <c r="AA186" s="121">
        <f t="shared" si="136"/>
        <v>0</v>
      </c>
      <c r="AB186" s="124">
        <f t="shared" si="137"/>
        <v>0</v>
      </c>
      <c r="AC186" s="126">
        <f t="shared" si="138"/>
        <v>16131</v>
      </c>
      <c r="AD186" s="101">
        <f t="shared" si="119"/>
        <v>12098</v>
      </c>
      <c r="AE186" s="127">
        <f t="shared" si="139"/>
        <v>2761.1520944868084</v>
      </c>
      <c r="AF186" s="128">
        <f t="shared" si="140"/>
        <v>0.17117054705144186</v>
      </c>
      <c r="AG186" s="129">
        <f t="shared" si="141"/>
        <v>14728</v>
      </c>
      <c r="AH186" s="101">
        <f t="shared" si="120"/>
        <v>14202</v>
      </c>
      <c r="AI186" s="130">
        <f t="shared" si="142"/>
        <v>2761.1520944868084</v>
      </c>
      <c r="AJ186" s="159">
        <f t="shared" si="143"/>
        <v>0.18747637795266217</v>
      </c>
      <c r="AK186" s="290" t="s">
        <v>1034</v>
      </c>
      <c r="AL186" s="291"/>
      <c r="AM186" s="292"/>
      <c r="AN186" s="160"/>
    </row>
    <row r="187" spans="1:40" ht="30.75" thickBot="1" x14ac:dyDescent="0.3">
      <c r="A187" s="84">
        <f t="shared" si="121"/>
        <v>3</v>
      </c>
      <c r="B187" s="198">
        <v>182</v>
      </c>
      <c r="C187" s="51" t="s">
        <v>499</v>
      </c>
      <c r="D187" s="204" t="s">
        <v>1044</v>
      </c>
      <c r="E187" s="60" t="s">
        <v>500</v>
      </c>
      <c r="F187" s="17">
        <v>1</v>
      </c>
      <c r="G187" s="17"/>
      <c r="H187" s="89" t="s">
        <v>164</v>
      </c>
      <c r="I187" s="131">
        <f>8500*1.052</f>
        <v>8942</v>
      </c>
      <c r="J187" s="121">
        <f t="shared" si="122"/>
        <v>1698.98</v>
      </c>
      <c r="K187" s="130">
        <f t="shared" si="123"/>
        <v>10640.98</v>
      </c>
      <c r="L187" s="121">
        <f t="shared" si="124"/>
        <v>8942</v>
      </c>
      <c r="M187" s="122">
        <f t="shared" si="125"/>
        <v>10640.98</v>
      </c>
      <c r="N187" s="132">
        <f>8000*1.052</f>
        <v>8416</v>
      </c>
      <c r="O187" s="121">
        <f t="shared" si="126"/>
        <v>1599.04</v>
      </c>
      <c r="P187" s="110">
        <f t="shared" si="127"/>
        <v>10015.040000000001</v>
      </c>
      <c r="Q187" s="121">
        <f t="shared" si="128"/>
        <v>8416</v>
      </c>
      <c r="R187" s="124">
        <f t="shared" si="129"/>
        <v>10015.040000000001</v>
      </c>
      <c r="S187" s="131">
        <f>7500*1.052</f>
        <v>7890</v>
      </c>
      <c r="T187" s="121">
        <f t="shared" si="130"/>
        <v>1499.1</v>
      </c>
      <c r="U187" s="110">
        <f t="shared" si="131"/>
        <v>9389.1</v>
      </c>
      <c r="V187" s="121">
        <f t="shared" si="132"/>
        <v>7890</v>
      </c>
      <c r="W187" s="122">
        <f t="shared" si="133"/>
        <v>9389.1</v>
      </c>
      <c r="X187" s="108"/>
      <c r="Y187" s="121">
        <f t="shared" si="134"/>
        <v>0</v>
      </c>
      <c r="Z187" s="121">
        <f t="shared" si="135"/>
        <v>0</v>
      </c>
      <c r="AA187" s="121">
        <f t="shared" si="136"/>
        <v>0</v>
      </c>
      <c r="AB187" s="124">
        <f t="shared" si="137"/>
        <v>0</v>
      </c>
      <c r="AC187" s="126">
        <f t="shared" si="138"/>
        <v>8416</v>
      </c>
      <c r="AD187" s="101">
        <f t="shared" si="119"/>
        <v>6312</v>
      </c>
      <c r="AE187" s="127">
        <f t="shared" si="139"/>
        <v>429.47720156798385</v>
      </c>
      <c r="AF187" s="128">
        <f t="shared" si="140"/>
        <v>5.103103630798287E-2</v>
      </c>
      <c r="AG187" s="129">
        <f t="shared" si="141"/>
        <v>8416</v>
      </c>
      <c r="AH187" s="101">
        <f t="shared" si="120"/>
        <v>8153</v>
      </c>
      <c r="AI187" s="130">
        <f t="shared" si="142"/>
        <v>429.47720156798385</v>
      </c>
      <c r="AJ187" s="159">
        <f t="shared" si="143"/>
        <v>5.103103630798287E-2</v>
      </c>
      <c r="AK187" s="290" t="s">
        <v>1036</v>
      </c>
      <c r="AL187" s="291"/>
      <c r="AM187" s="292"/>
      <c r="AN187" s="160"/>
    </row>
    <row r="188" spans="1:40" ht="45.75" thickBot="1" x14ac:dyDescent="0.3">
      <c r="A188" s="84">
        <f t="shared" si="121"/>
        <v>3</v>
      </c>
      <c r="B188" s="198">
        <v>183</v>
      </c>
      <c r="C188" s="51" t="s">
        <v>501</v>
      </c>
      <c r="D188" s="204" t="s">
        <v>1044</v>
      </c>
      <c r="E188" s="60" t="s">
        <v>502</v>
      </c>
      <c r="F188" s="17">
        <v>1</v>
      </c>
      <c r="G188" s="17"/>
      <c r="H188" s="89" t="s">
        <v>164</v>
      </c>
      <c r="I188" s="131">
        <f>820000*1.052</f>
        <v>862640</v>
      </c>
      <c r="J188" s="121">
        <f t="shared" si="122"/>
        <v>163901.6</v>
      </c>
      <c r="K188" s="130">
        <f t="shared" si="123"/>
        <v>1026541.6</v>
      </c>
      <c r="L188" s="121">
        <f t="shared" si="124"/>
        <v>862640</v>
      </c>
      <c r="M188" s="122">
        <f t="shared" si="125"/>
        <v>1026541.6</v>
      </c>
      <c r="N188" s="132">
        <f>920000*1.052</f>
        <v>967840</v>
      </c>
      <c r="O188" s="121">
        <f t="shared" si="126"/>
        <v>183889.6</v>
      </c>
      <c r="P188" s="110">
        <f t="shared" si="127"/>
        <v>1151729.6000000001</v>
      </c>
      <c r="Q188" s="121">
        <f t="shared" si="128"/>
        <v>967840</v>
      </c>
      <c r="R188" s="124">
        <f t="shared" si="129"/>
        <v>1151729.6000000001</v>
      </c>
      <c r="S188" s="131">
        <f>950000*1.052</f>
        <v>999400</v>
      </c>
      <c r="T188" s="121">
        <f t="shared" si="130"/>
        <v>189886</v>
      </c>
      <c r="U188" s="110">
        <f t="shared" si="131"/>
        <v>1189286</v>
      </c>
      <c r="V188" s="121">
        <f t="shared" si="132"/>
        <v>999400</v>
      </c>
      <c r="W188" s="122">
        <f t="shared" si="133"/>
        <v>1189286</v>
      </c>
      <c r="X188" s="108"/>
      <c r="Y188" s="121">
        <f t="shared" si="134"/>
        <v>0</v>
      </c>
      <c r="Z188" s="121">
        <f t="shared" si="135"/>
        <v>0</v>
      </c>
      <c r="AA188" s="121">
        <f t="shared" si="136"/>
        <v>0</v>
      </c>
      <c r="AB188" s="124">
        <f t="shared" si="137"/>
        <v>0</v>
      </c>
      <c r="AC188" s="126">
        <f t="shared" si="138"/>
        <v>943293</v>
      </c>
      <c r="AD188" s="101">
        <f t="shared" si="119"/>
        <v>707470</v>
      </c>
      <c r="AE188" s="127">
        <f t="shared" si="139"/>
        <v>58467.817548535961</v>
      </c>
      <c r="AF188" s="128">
        <f t="shared" si="140"/>
        <v>6.1982668745062204E-2</v>
      </c>
      <c r="AG188" s="129">
        <f t="shared" si="141"/>
        <v>967840</v>
      </c>
      <c r="AH188" s="101">
        <f t="shared" si="120"/>
        <v>915240</v>
      </c>
      <c r="AI188" s="130">
        <f t="shared" si="142"/>
        <v>58467.817548535961</v>
      </c>
      <c r="AJ188" s="159">
        <f t="shared" si="143"/>
        <v>6.0410623190337208E-2</v>
      </c>
      <c r="AK188" s="290" t="s">
        <v>1036</v>
      </c>
      <c r="AL188" s="291"/>
      <c r="AM188" s="292"/>
      <c r="AN188" s="160"/>
    </row>
    <row r="189" spans="1:40" ht="45.75" thickBot="1" x14ac:dyDescent="0.3">
      <c r="A189" s="84">
        <f t="shared" si="121"/>
        <v>3</v>
      </c>
      <c r="B189" s="198">
        <v>184</v>
      </c>
      <c r="C189" s="51" t="s">
        <v>503</v>
      </c>
      <c r="D189" s="204" t="s">
        <v>1044</v>
      </c>
      <c r="E189" s="60" t="s">
        <v>504</v>
      </c>
      <c r="F189" s="17">
        <v>1</v>
      </c>
      <c r="G189" s="17"/>
      <c r="H189" s="89" t="s">
        <v>164</v>
      </c>
      <c r="I189" s="131">
        <f>8500*1.052</f>
        <v>8942</v>
      </c>
      <c r="J189" s="121">
        <f t="shared" si="122"/>
        <v>1698.98</v>
      </c>
      <c r="K189" s="130">
        <f t="shared" si="123"/>
        <v>10640.98</v>
      </c>
      <c r="L189" s="121">
        <f t="shared" si="124"/>
        <v>8942</v>
      </c>
      <c r="M189" s="122">
        <f t="shared" si="125"/>
        <v>10640.98</v>
      </c>
      <c r="N189" s="132">
        <f>10900*1.052</f>
        <v>11466.800000000001</v>
      </c>
      <c r="O189" s="121">
        <f t="shared" si="126"/>
        <v>2178.692</v>
      </c>
      <c r="P189" s="110">
        <f t="shared" si="127"/>
        <v>13645.492000000002</v>
      </c>
      <c r="Q189" s="121">
        <f t="shared" si="128"/>
        <v>11466.800000000001</v>
      </c>
      <c r="R189" s="124">
        <f t="shared" si="129"/>
        <v>13645.492000000002</v>
      </c>
      <c r="S189" s="131">
        <f>12000*1.052</f>
        <v>12624</v>
      </c>
      <c r="T189" s="121">
        <f t="shared" si="130"/>
        <v>2398.56</v>
      </c>
      <c r="U189" s="110">
        <f t="shared" si="131"/>
        <v>15022.56</v>
      </c>
      <c r="V189" s="121">
        <f t="shared" si="132"/>
        <v>12624</v>
      </c>
      <c r="W189" s="122">
        <f t="shared" si="133"/>
        <v>15022.56</v>
      </c>
      <c r="X189" s="108"/>
      <c r="Y189" s="121">
        <f t="shared" si="134"/>
        <v>0</v>
      </c>
      <c r="Z189" s="121">
        <f t="shared" si="135"/>
        <v>0</v>
      </c>
      <c r="AA189" s="121">
        <f t="shared" si="136"/>
        <v>0</v>
      </c>
      <c r="AB189" s="124">
        <f t="shared" si="137"/>
        <v>0</v>
      </c>
      <c r="AC189" s="126">
        <f t="shared" si="138"/>
        <v>11011</v>
      </c>
      <c r="AD189" s="101">
        <f t="shared" si="119"/>
        <v>8258</v>
      </c>
      <c r="AE189" s="127">
        <f t="shared" si="139"/>
        <v>1537.3444232037082</v>
      </c>
      <c r="AF189" s="128">
        <f t="shared" si="140"/>
        <v>0.1396189649626472</v>
      </c>
      <c r="AG189" s="129">
        <f t="shared" si="141"/>
        <v>11467</v>
      </c>
      <c r="AH189" s="101">
        <f t="shared" si="120"/>
        <v>10204</v>
      </c>
      <c r="AI189" s="130">
        <f t="shared" si="142"/>
        <v>1537.3444232037082</v>
      </c>
      <c r="AJ189" s="159">
        <f t="shared" si="143"/>
        <v>0.13406683728993704</v>
      </c>
      <c r="AK189" s="290" t="s">
        <v>1036</v>
      </c>
      <c r="AL189" s="291"/>
      <c r="AM189" s="292"/>
      <c r="AN189" s="160"/>
    </row>
    <row r="190" spans="1:40" ht="30.75" thickBot="1" x14ac:dyDescent="0.3">
      <c r="A190" s="84">
        <f t="shared" si="121"/>
        <v>3</v>
      </c>
      <c r="B190" s="198">
        <v>185</v>
      </c>
      <c r="C190" s="51" t="s">
        <v>505</v>
      </c>
      <c r="D190" s="204" t="s">
        <v>1044</v>
      </c>
      <c r="E190" s="60" t="s">
        <v>506</v>
      </c>
      <c r="F190" s="17">
        <v>1</v>
      </c>
      <c r="G190" s="17"/>
      <c r="H190" s="89" t="s">
        <v>164</v>
      </c>
      <c r="I190" s="131">
        <f>750000*1.052</f>
        <v>789000</v>
      </c>
      <c r="J190" s="121">
        <f t="shared" si="122"/>
        <v>149910</v>
      </c>
      <c r="K190" s="130">
        <f t="shared" si="123"/>
        <v>938910</v>
      </c>
      <c r="L190" s="121">
        <f t="shared" si="124"/>
        <v>789000</v>
      </c>
      <c r="M190" s="122">
        <f t="shared" si="125"/>
        <v>938910</v>
      </c>
      <c r="N190" s="132">
        <f>790000*1.052</f>
        <v>831080</v>
      </c>
      <c r="O190" s="121">
        <f t="shared" si="126"/>
        <v>157905.20000000001</v>
      </c>
      <c r="P190" s="110">
        <f t="shared" si="127"/>
        <v>988985.2</v>
      </c>
      <c r="Q190" s="121">
        <f t="shared" si="128"/>
        <v>831080</v>
      </c>
      <c r="R190" s="124">
        <f t="shared" si="129"/>
        <v>988985.2</v>
      </c>
      <c r="S190" s="131">
        <f>820000*1.052</f>
        <v>862640</v>
      </c>
      <c r="T190" s="121">
        <f t="shared" si="130"/>
        <v>163901.6</v>
      </c>
      <c r="U190" s="110">
        <f t="shared" si="131"/>
        <v>1026541.6</v>
      </c>
      <c r="V190" s="121">
        <f t="shared" si="132"/>
        <v>862640</v>
      </c>
      <c r="W190" s="122">
        <f t="shared" si="133"/>
        <v>1026541.6</v>
      </c>
      <c r="X190" s="108"/>
      <c r="Y190" s="121">
        <f t="shared" si="134"/>
        <v>0</v>
      </c>
      <c r="Z190" s="121">
        <f t="shared" si="135"/>
        <v>0</v>
      </c>
      <c r="AA190" s="121">
        <f t="shared" si="136"/>
        <v>0</v>
      </c>
      <c r="AB190" s="124">
        <f t="shared" si="137"/>
        <v>0</v>
      </c>
      <c r="AC190" s="126">
        <f t="shared" si="138"/>
        <v>827573</v>
      </c>
      <c r="AD190" s="101">
        <f t="shared" si="119"/>
        <v>620680</v>
      </c>
      <c r="AE190" s="127">
        <f t="shared" si="139"/>
        <v>30165.487269762813</v>
      </c>
      <c r="AF190" s="128">
        <f t="shared" si="140"/>
        <v>3.645054547425159E-2</v>
      </c>
      <c r="AG190" s="129">
        <f t="shared" si="141"/>
        <v>831080</v>
      </c>
      <c r="AH190" s="101">
        <f t="shared" si="120"/>
        <v>810040</v>
      </c>
      <c r="AI190" s="130">
        <f t="shared" si="142"/>
        <v>30165.487269762813</v>
      </c>
      <c r="AJ190" s="159">
        <f t="shared" si="143"/>
        <v>3.6296731084568046E-2</v>
      </c>
      <c r="AK190" s="290" t="s">
        <v>1036</v>
      </c>
      <c r="AL190" s="291"/>
      <c r="AM190" s="292"/>
      <c r="AN190" s="160"/>
    </row>
    <row r="191" spans="1:40" ht="30.75" thickBot="1" x14ac:dyDescent="0.3">
      <c r="A191" s="84">
        <f t="shared" si="121"/>
        <v>3</v>
      </c>
      <c r="B191" s="198">
        <v>186</v>
      </c>
      <c r="C191" s="51" t="s">
        <v>507</v>
      </c>
      <c r="D191" s="204" t="s">
        <v>1044</v>
      </c>
      <c r="E191" s="60" t="s">
        <v>508</v>
      </c>
      <c r="F191" s="17">
        <v>1</v>
      </c>
      <c r="G191" s="17"/>
      <c r="H191" s="89" t="s">
        <v>164</v>
      </c>
      <c r="I191" s="131">
        <f>700000*1.052</f>
        <v>736400</v>
      </c>
      <c r="J191" s="121">
        <f t="shared" si="122"/>
        <v>139916</v>
      </c>
      <c r="K191" s="130">
        <f t="shared" si="123"/>
        <v>876316</v>
      </c>
      <c r="L191" s="121">
        <f t="shared" si="124"/>
        <v>736400</v>
      </c>
      <c r="M191" s="122">
        <f t="shared" si="125"/>
        <v>876316</v>
      </c>
      <c r="N191" s="132">
        <f>862000*1.052</f>
        <v>906824</v>
      </c>
      <c r="O191" s="121">
        <f t="shared" si="126"/>
        <v>172296.56</v>
      </c>
      <c r="P191" s="110">
        <f t="shared" si="127"/>
        <v>1079120.56</v>
      </c>
      <c r="Q191" s="121">
        <f t="shared" si="128"/>
        <v>906824</v>
      </c>
      <c r="R191" s="124">
        <f t="shared" si="129"/>
        <v>1079120.56</v>
      </c>
      <c r="S191" s="131">
        <f>900000*1.052</f>
        <v>946800</v>
      </c>
      <c r="T191" s="121">
        <f t="shared" si="130"/>
        <v>179892</v>
      </c>
      <c r="U191" s="110">
        <f t="shared" si="131"/>
        <v>1126692</v>
      </c>
      <c r="V191" s="121">
        <f t="shared" si="132"/>
        <v>946800</v>
      </c>
      <c r="W191" s="122">
        <f t="shared" si="133"/>
        <v>1126692</v>
      </c>
      <c r="X191" s="108"/>
      <c r="Y191" s="121">
        <f t="shared" si="134"/>
        <v>0</v>
      </c>
      <c r="Z191" s="121">
        <f t="shared" si="135"/>
        <v>0</v>
      </c>
      <c r="AA191" s="121">
        <f t="shared" si="136"/>
        <v>0</v>
      </c>
      <c r="AB191" s="124">
        <f t="shared" si="137"/>
        <v>0</v>
      </c>
      <c r="AC191" s="126">
        <f t="shared" si="138"/>
        <v>863341</v>
      </c>
      <c r="AD191" s="101">
        <f t="shared" si="119"/>
        <v>647506</v>
      </c>
      <c r="AE191" s="127">
        <f t="shared" si="139"/>
        <v>91232.657622634724</v>
      </c>
      <c r="AF191" s="128">
        <f t="shared" si="140"/>
        <v>0.10567395458183351</v>
      </c>
      <c r="AG191" s="129">
        <f t="shared" si="141"/>
        <v>906824</v>
      </c>
      <c r="AH191" s="101">
        <f t="shared" si="120"/>
        <v>821612</v>
      </c>
      <c r="AI191" s="130">
        <f t="shared" si="142"/>
        <v>91232.657622634724</v>
      </c>
      <c r="AJ191" s="159">
        <f t="shared" si="143"/>
        <v>0.10060679649263223</v>
      </c>
      <c r="AK191" s="290" t="s">
        <v>1036</v>
      </c>
      <c r="AL191" s="291"/>
      <c r="AM191" s="292"/>
      <c r="AN191" s="160"/>
    </row>
    <row r="192" spans="1:40" ht="30.75" thickBot="1" x14ac:dyDescent="0.3">
      <c r="A192" s="84">
        <f t="shared" si="121"/>
        <v>3</v>
      </c>
      <c r="B192" s="198">
        <v>187</v>
      </c>
      <c r="C192" s="51" t="s">
        <v>509</v>
      </c>
      <c r="D192" s="204" t="s">
        <v>1044</v>
      </c>
      <c r="E192" s="60" t="s">
        <v>510</v>
      </c>
      <c r="F192" s="17">
        <v>1</v>
      </c>
      <c r="G192" s="17"/>
      <c r="H192" s="89" t="s">
        <v>164</v>
      </c>
      <c r="I192" s="131">
        <f>850000*1.052</f>
        <v>894200</v>
      </c>
      <c r="J192" s="121">
        <f t="shared" si="122"/>
        <v>169898</v>
      </c>
      <c r="K192" s="130">
        <f t="shared" si="123"/>
        <v>1064098</v>
      </c>
      <c r="L192" s="121">
        <f t="shared" si="124"/>
        <v>894200</v>
      </c>
      <c r="M192" s="122">
        <f t="shared" si="125"/>
        <v>1064098</v>
      </c>
      <c r="N192" s="132">
        <f>867000*1.052</f>
        <v>912084</v>
      </c>
      <c r="O192" s="121">
        <f t="shared" si="126"/>
        <v>173295.96</v>
      </c>
      <c r="P192" s="110">
        <f t="shared" si="127"/>
        <v>1085379.96</v>
      </c>
      <c r="Q192" s="121">
        <f t="shared" si="128"/>
        <v>912084</v>
      </c>
      <c r="R192" s="124">
        <f t="shared" si="129"/>
        <v>1085379.96</v>
      </c>
      <c r="S192" s="131">
        <f>900000*1.052</f>
        <v>946800</v>
      </c>
      <c r="T192" s="121">
        <f t="shared" si="130"/>
        <v>179892</v>
      </c>
      <c r="U192" s="110">
        <f t="shared" si="131"/>
        <v>1126692</v>
      </c>
      <c r="V192" s="121">
        <f t="shared" si="132"/>
        <v>946800</v>
      </c>
      <c r="W192" s="122">
        <f t="shared" si="133"/>
        <v>1126692</v>
      </c>
      <c r="X192" s="108"/>
      <c r="Y192" s="121">
        <f t="shared" si="134"/>
        <v>0</v>
      </c>
      <c r="Z192" s="121">
        <f t="shared" si="135"/>
        <v>0</v>
      </c>
      <c r="AA192" s="121">
        <f t="shared" si="136"/>
        <v>0</v>
      </c>
      <c r="AB192" s="124">
        <f t="shared" si="137"/>
        <v>0</v>
      </c>
      <c r="AC192" s="126">
        <f t="shared" si="138"/>
        <v>917695</v>
      </c>
      <c r="AD192" s="101">
        <f t="shared" si="119"/>
        <v>688271</v>
      </c>
      <c r="AE192" s="127">
        <f t="shared" si="139"/>
        <v>21837.272194321544</v>
      </c>
      <c r="AF192" s="128">
        <f t="shared" si="140"/>
        <v>2.3795784214059729E-2</v>
      </c>
      <c r="AG192" s="129">
        <f t="shared" si="141"/>
        <v>912084</v>
      </c>
      <c r="AH192" s="101">
        <f t="shared" si="120"/>
        <v>903142</v>
      </c>
      <c r="AI192" s="130">
        <f t="shared" si="142"/>
        <v>21837.272194321544</v>
      </c>
      <c r="AJ192" s="159">
        <f t="shared" si="143"/>
        <v>2.3942172205982722E-2</v>
      </c>
      <c r="AK192" s="290" t="s">
        <v>1036</v>
      </c>
      <c r="AL192" s="291"/>
      <c r="AM192" s="292"/>
      <c r="AN192" s="160"/>
    </row>
    <row r="193" spans="1:40" ht="30.75" thickBot="1" x14ac:dyDescent="0.3">
      <c r="A193" s="84">
        <f t="shared" si="121"/>
        <v>3</v>
      </c>
      <c r="B193" s="198">
        <v>188</v>
      </c>
      <c r="C193" s="51" t="s">
        <v>511</v>
      </c>
      <c r="D193" s="204" t="s">
        <v>1044</v>
      </c>
      <c r="E193" s="60" t="s">
        <v>512</v>
      </c>
      <c r="F193" s="17">
        <v>1</v>
      </c>
      <c r="G193" s="17"/>
      <c r="H193" s="89" t="s">
        <v>164</v>
      </c>
      <c r="I193" s="131">
        <f>820000*1.052</f>
        <v>862640</v>
      </c>
      <c r="J193" s="121">
        <f t="shared" si="122"/>
        <v>163901.6</v>
      </c>
      <c r="K193" s="130">
        <f t="shared" si="123"/>
        <v>1026541.6</v>
      </c>
      <c r="L193" s="121">
        <f t="shared" si="124"/>
        <v>862640</v>
      </c>
      <c r="M193" s="122">
        <f t="shared" si="125"/>
        <v>1026541.6</v>
      </c>
      <c r="N193" s="132">
        <f>857000*1.052</f>
        <v>901564</v>
      </c>
      <c r="O193" s="121">
        <f t="shared" si="126"/>
        <v>171297.16</v>
      </c>
      <c r="P193" s="110">
        <f t="shared" si="127"/>
        <v>1072861.1599999999</v>
      </c>
      <c r="Q193" s="121">
        <f t="shared" si="128"/>
        <v>901564</v>
      </c>
      <c r="R193" s="124">
        <f t="shared" si="129"/>
        <v>1072861.1599999999</v>
      </c>
      <c r="S193" s="131">
        <f>890000*1.052</f>
        <v>936280</v>
      </c>
      <c r="T193" s="121">
        <f t="shared" si="130"/>
        <v>177893.2</v>
      </c>
      <c r="U193" s="110">
        <f t="shared" si="131"/>
        <v>1114173.2</v>
      </c>
      <c r="V193" s="121">
        <f t="shared" si="132"/>
        <v>936280</v>
      </c>
      <c r="W193" s="122">
        <f t="shared" si="133"/>
        <v>1114173.2</v>
      </c>
      <c r="X193" s="108"/>
      <c r="Y193" s="121">
        <f t="shared" si="134"/>
        <v>0</v>
      </c>
      <c r="Z193" s="121">
        <f t="shared" si="135"/>
        <v>0</v>
      </c>
      <c r="AA193" s="121">
        <f t="shared" si="136"/>
        <v>0</v>
      </c>
      <c r="AB193" s="124">
        <f t="shared" si="137"/>
        <v>0</v>
      </c>
      <c r="AC193" s="126">
        <f t="shared" si="138"/>
        <v>900161</v>
      </c>
      <c r="AD193" s="101">
        <f t="shared" si="119"/>
        <v>675121</v>
      </c>
      <c r="AE193" s="127">
        <f t="shared" si="139"/>
        <v>30079.760696447633</v>
      </c>
      <c r="AF193" s="128">
        <f t="shared" si="140"/>
        <v>3.341597858210657E-2</v>
      </c>
      <c r="AG193" s="129">
        <f t="shared" si="141"/>
        <v>901564</v>
      </c>
      <c r="AH193" s="101">
        <f t="shared" si="120"/>
        <v>882102</v>
      </c>
      <c r="AI193" s="130">
        <f t="shared" si="142"/>
        <v>30079.760696447633</v>
      </c>
      <c r="AJ193" s="159">
        <f t="shared" si="143"/>
        <v>3.3363977151314415E-2</v>
      </c>
      <c r="AK193" s="290" t="s">
        <v>1036</v>
      </c>
      <c r="AL193" s="291"/>
      <c r="AM193" s="292"/>
      <c r="AN193" s="160"/>
    </row>
    <row r="194" spans="1:40" ht="45.75" thickBot="1" x14ac:dyDescent="0.3">
      <c r="A194" s="84">
        <f t="shared" si="121"/>
        <v>3</v>
      </c>
      <c r="B194" s="198">
        <v>189</v>
      </c>
      <c r="C194" s="51" t="s">
        <v>513</v>
      </c>
      <c r="D194" s="204" t="s">
        <v>1044</v>
      </c>
      <c r="E194" s="60" t="s">
        <v>514</v>
      </c>
      <c r="F194" s="17">
        <v>1</v>
      </c>
      <c r="G194" s="17"/>
      <c r="H194" s="89" t="s">
        <v>28</v>
      </c>
      <c r="I194" s="135">
        <f>(26000*1.052)</f>
        <v>27352</v>
      </c>
      <c r="J194" s="121">
        <f t="shared" si="122"/>
        <v>5196.88</v>
      </c>
      <c r="K194" s="130">
        <f t="shared" si="123"/>
        <v>32548.880000000001</v>
      </c>
      <c r="L194" s="121">
        <f t="shared" si="124"/>
        <v>27352</v>
      </c>
      <c r="M194" s="122">
        <f t="shared" si="125"/>
        <v>32548.880000000001</v>
      </c>
      <c r="N194" s="136">
        <f>(28000*1.052)</f>
        <v>29456</v>
      </c>
      <c r="O194" s="121">
        <f t="shared" si="126"/>
        <v>5596.64</v>
      </c>
      <c r="P194" s="110">
        <f t="shared" si="127"/>
        <v>35052.639999999999</v>
      </c>
      <c r="Q194" s="121">
        <f t="shared" si="128"/>
        <v>29456</v>
      </c>
      <c r="R194" s="124">
        <f t="shared" si="129"/>
        <v>35052.639999999999</v>
      </c>
      <c r="S194" s="135">
        <f>(28000*1.052)</f>
        <v>29456</v>
      </c>
      <c r="T194" s="121">
        <f t="shared" si="130"/>
        <v>5596.64</v>
      </c>
      <c r="U194" s="110">
        <f t="shared" si="131"/>
        <v>35052.639999999999</v>
      </c>
      <c r="V194" s="121">
        <f t="shared" si="132"/>
        <v>29456</v>
      </c>
      <c r="W194" s="122">
        <f t="shared" si="133"/>
        <v>35052.639999999999</v>
      </c>
      <c r="X194" s="108"/>
      <c r="Y194" s="121">
        <f t="shared" si="134"/>
        <v>0</v>
      </c>
      <c r="Z194" s="121">
        <f t="shared" si="135"/>
        <v>0</v>
      </c>
      <c r="AA194" s="121">
        <f t="shared" si="136"/>
        <v>0</v>
      </c>
      <c r="AB194" s="124">
        <f t="shared" si="137"/>
        <v>0</v>
      </c>
      <c r="AC194" s="126">
        <f t="shared" si="138"/>
        <v>28755</v>
      </c>
      <c r="AD194" s="101">
        <f t="shared" si="119"/>
        <v>21566</v>
      </c>
      <c r="AE194" s="127">
        <f t="shared" si="139"/>
        <v>991.83511174433067</v>
      </c>
      <c r="AF194" s="128">
        <f t="shared" si="140"/>
        <v>3.449261386695638E-2</v>
      </c>
      <c r="AG194" s="129">
        <f t="shared" si="141"/>
        <v>29456</v>
      </c>
      <c r="AH194" s="101">
        <f t="shared" si="120"/>
        <v>28404</v>
      </c>
      <c r="AI194" s="130">
        <f t="shared" si="142"/>
        <v>991.83511174433067</v>
      </c>
      <c r="AJ194" s="159">
        <f t="shared" si="143"/>
        <v>3.3671751485073689E-2</v>
      </c>
      <c r="AK194" s="290" t="s">
        <v>1034</v>
      </c>
      <c r="AL194" s="291"/>
      <c r="AM194" s="292"/>
      <c r="AN194" s="160"/>
    </row>
    <row r="195" spans="1:40" ht="90.75" thickBot="1" x14ac:dyDescent="0.3">
      <c r="A195" s="84">
        <f t="shared" si="121"/>
        <v>3</v>
      </c>
      <c r="B195" s="198">
        <v>190</v>
      </c>
      <c r="C195" s="51" t="s">
        <v>515</v>
      </c>
      <c r="D195" s="204" t="s">
        <v>1044</v>
      </c>
      <c r="E195" s="60" t="s">
        <v>516</v>
      </c>
      <c r="F195" s="17">
        <v>1</v>
      </c>
      <c r="G195" s="17"/>
      <c r="H195" s="89" t="s">
        <v>164</v>
      </c>
      <c r="I195" s="131">
        <f>650000*1.052</f>
        <v>683800</v>
      </c>
      <c r="J195" s="121">
        <f t="shared" si="122"/>
        <v>129922</v>
      </c>
      <c r="K195" s="130">
        <f t="shared" si="123"/>
        <v>813722</v>
      </c>
      <c r="L195" s="121">
        <f t="shared" si="124"/>
        <v>683800</v>
      </c>
      <c r="M195" s="122">
        <f t="shared" si="125"/>
        <v>813722</v>
      </c>
      <c r="N195" s="132">
        <f>810000*1.052</f>
        <v>852120</v>
      </c>
      <c r="O195" s="121">
        <f t="shared" si="126"/>
        <v>161902.79999999999</v>
      </c>
      <c r="P195" s="110">
        <f t="shared" si="127"/>
        <v>1014022.8</v>
      </c>
      <c r="Q195" s="121">
        <f t="shared" si="128"/>
        <v>852120</v>
      </c>
      <c r="R195" s="124">
        <f t="shared" si="129"/>
        <v>1014022.8</v>
      </c>
      <c r="S195" s="131">
        <f>720000*1.052</f>
        <v>757440</v>
      </c>
      <c r="T195" s="121">
        <f t="shared" si="130"/>
        <v>143913.60000000001</v>
      </c>
      <c r="U195" s="110">
        <f t="shared" si="131"/>
        <v>901353.6</v>
      </c>
      <c r="V195" s="121">
        <f t="shared" si="132"/>
        <v>757440</v>
      </c>
      <c r="W195" s="122">
        <f t="shared" si="133"/>
        <v>901353.6</v>
      </c>
      <c r="X195" s="108"/>
      <c r="Y195" s="121">
        <f t="shared" si="134"/>
        <v>0</v>
      </c>
      <c r="Z195" s="121">
        <f t="shared" si="135"/>
        <v>0</v>
      </c>
      <c r="AA195" s="121">
        <f t="shared" si="136"/>
        <v>0</v>
      </c>
      <c r="AB195" s="124">
        <f t="shared" si="137"/>
        <v>0</v>
      </c>
      <c r="AC195" s="126">
        <f t="shared" si="138"/>
        <v>764453</v>
      </c>
      <c r="AD195" s="101">
        <f t="shared" si="119"/>
        <v>573340</v>
      </c>
      <c r="AE195" s="127">
        <f t="shared" si="139"/>
        <v>68895.068683389007</v>
      </c>
      <c r="AF195" s="128">
        <f t="shared" si="140"/>
        <v>9.0123354455262789E-2</v>
      </c>
      <c r="AG195" s="129">
        <f t="shared" si="141"/>
        <v>757440</v>
      </c>
      <c r="AH195" s="101">
        <f t="shared" si="120"/>
        <v>720620</v>
      </c>
      <c r="AI195" s="130">
        <f t="shared" si="142"/>
        <v>68895.068683389007</v>
      </c>
      <c r="AJ195" s="159">
        <f t="shared" si="143"/>
        <v>9.0957790298094907E-2</v>
      </c>
      <c r="AK195" s="290" t="s">
        <v>1036</v>
      </c>
      <c r="AL195" s="291"/>
      <c r="AM195" s="292"/>
      <c r="AN195" s="160"/>
    </row>
    <row r="196" spans="1:40" ht="30" customHeight="1" thickBot="1" x14ac:dyDescent="0.3">
      <c r="A196" s="84">
        <f t="shared" si="121"/>
        <v>3</v>
      </c>
      <c r="B196" s="198">
        <v>191</v>
      </c>
      <c r="C196" s="51" t="s">
        <v>517</v>
      </c>
      <c r="D196" s="204" t="s">
        <v>1044</v>
      </c>
      <c r="E196" s="60" t="s">
        <v>518</v>
      </c>
      <c r="F196" s="17">
        <v>1</v>
      </c>
      <c r="G196" s="17"/>
      <c r="H196" s="89" t="s">
        <v>28</v>
      </c>
      <c r="I196" s="135">
        <f>7800*1.052</f>
        <v>8205.6</v>
      </c>
      <c r="J196" s="121">
        <f t="shared" si="122"/>
        <v>1559.0640000000001</v>
      </c>
      <c r="K196" s="130">
        <f t="shared" si="123"/>
        <v>9764.6640000000007</v>
      </c>
      <c r="L196" s="121">
        <f t="shared" si="124"/>
        <v>8205.6</v>
      </c>
      <c r="M196" s="122">
        <f t="shared" si="125"/>
        <v>9764.6640000000007</v>
      </c>
      <c r="N196" s="136">
        <f>6400*1.052</f>
        <v>6732.8</v>
      </c>
      <c r="O196" s="121">
        <f t="shared" si="126"/>
        <v>1279.232</v>
      </c>
      <c r="P196" s="110">
        <f t="shared" si="127"/>
        <v>8012.0320000000002</v>
      </c>
      <c r="Q196" s="121">
        <f t="shared" si="128"/>
        <v>6732.8</v>
      </c>
      <c r="R196" s="124">
        <f t="shared" si="129"/>
        <v>8012.0320000000002</v>
      </c>
      <c r="S196" s="135">
        <f>8400*1.052</f>
        <v>8836.8000000000011</v>
      </c>
      <c r="T196" s="121">
        <f t="shared" si="130"/>
        <v>1678.9920000000002</v>
      </c>
      <c r="U196" s="110">
        <f t="shared" si="131"/>
        <v>10515.792000000001</v>
      </c>
      <c r="V196" s="121">
        <f t="shared" si="132"/>
        <v>8836.8000000000011</v>
      </c>
      <c r="W196" s="122">
        <f t="shared" si="133"/>
        <v>10515.792000000001</v>
      </c>
      <c r="X196" s="108"/>
      <c r="Y196" s="121">
        <f t="shared" si="134"/>
        <v>0</v>
      </c>
      <c r="Z196" s="121">
        <f t="shared" si="135"/>
        <v>0</v>
      </c>
      <c r="AA196" s="121">
        <f t="shared" si="136"/>
        <v>0</v>
      </c>
      <c r="AB196" s="124">
        <f t="shared" si="137"/>
        <v>0</v>
      </c>
      <c r="AC196" s="126">
        <f t="shared" si="138"/>
        <v>7925</v>
      </c>
      <c r="AD196" s="101">
        <f t="shared" si="119"/>
        <v>5944</v>
      </c>
      <c r="AE196" s="127">
        <f t="shared" si="139"/>
        <v>881.56233031034492</v>
      </c>
      <c r="AF196" s="128">
        <f t="shared" si="140"/>
        <v>0.11123814893505929</v>
      </c>
      <c r="AG196" s="129">
        <f t="shared" si="141"/>
        <v>8206</v>
      </c>
      <c r="AH196" s="101">
        <f t="shared" si="120"/>
        <v>7469</v>
      </c>
      <c r="AI196" s="130">
        <f t="shared" si="142"/>
        <v>881.56233031034492</v>
      </c>
      <c r="AJ196" s="159">
        <f t="shared" si="143"/>
        <v>0.10742899467588897</v>
      </c>
      <c r="AK196" s="290" t="s">
        <v>1034</v>
      </c>
      <c r="AL196" s="291"/>
      <c r="AM196" s="292"/>
      <c r="AN196" s="160"/>
    </row>
    <row r="197" spans="1:40" ht="45.75" thickBot="1" x14ac:dyDescent="0.3">
      <c r="A197" s="84">
        <f t="shared" si="121"/>
        <v>3</v>
      </c>
      <c r="B197" s="198">
        <v>192</v>
      </c>
      <c r="C197" s="51" t="s">
        <v>519</v>
      </c>
      <c r="D197" s="204" t="s">
        <v>1044</v>
      </c>
      <c r="E197" s="60" t="s">
        <v>520</v>
      </c>
      <c r="F197" s="17">
        <v>1</v>
      </c>
      <c r="G197" s="17"/>
      <c r="H197" s="89" t="s">
        <v>28</v>
      </c>
      <c r="I197" s="139">
        <f>9500*1.052</f>
        <v>9994</v>
      </c>
      <c r="J197" s="121">
        <f t="shared" si="122"/>
        <v>1898.8600000000001</v>
      </c>
      <c r="K197" s="130">
        <f t="shared" si="123"/>
        <v>11892.86</v>
      </c>
      <c r="L197" s="121">
        <f t="shared" si="124"/>
        <v>9994</v>
      </c>
      <c r="M197" s="122">
        <f t="shared" si="125"/>
        <v>11892.86</v>
      </c>
      <c r="N197" s="132">
        <f>8700*1.052</f>
        <v>9152.4</v>
      </c>
      <c r="O197" s="121">
        <f t="shared" si="126"/>
        <v>1738.9559999999999</v>
      </c>
      <c r="P197" s="110">
        <f t="shared" si="127"/>
        <v>10891.356</v>
      </c>
      <c r="Q197" s="121">
        <f t="shared" si="128"/>
        <v>9152.4</v>
      </c>
      <c r="R197" s="124">
        <f t="shared" si="129"/>
        <v>10891.356</v>
      </c>
      <c r="S197" s="131">
        <f>9200*1.052</f>
        <v>9678.4</v>
      </c>
      <c r="T197" s="121">
        <f t="shared" si="130"/>
        <v>1838.896</v>
      </c>
      <c r="U197" s="110">
        <f t="shared" si="131"/>
        <v>11517.296</v>
      </c>
      <c r="V197" s="121">
        <f t="shared" si="132"/>
        <v>9678.4</v>
      </c>
      <c r="W197" s="122">
        <f t="shared" si="133"/>
        <v>11517.296</v>
      </c>
      <c r="X197" s="108"/>
      <c r="Y197" s="121">
        <f t="shared" ref="Y197:Y228" si="144">X197*0.19</f>
        <v>0</v>
      </c>
      <c r="Z197" s="121">
        <f t="shared" ref="Z197:Z228" si="145">X197+Y197</f>
        <v>0</v>
      </c>
      <c r="AA197" s="121">
        <f t="shared" si="136"/>
        <v>0</v>
      </c>
      <c r="AB197" s="124">
        <f t="shared" ref="AB197:AB231" si="146">Z197*F197</f>
        <v>0</v>
      </c>
      <c r="AC197" s="126">
        <f t="shared" si="138"/>
        <v>9608</v>
      </c>
      <c r="AD197" s="101">
        <f t="shared" si="119"/>
        <v>7206</v>
      </c>
      <c r="AE197" s="127">
        <f t="shared" si="139"/>
        <v>347.14228911051589</v>
      </c>
      <c r="AF197" s="128">
        <f t="shared" ref="AF197:AF228" si="147">AE197/AC197</f>
        <v>3.6130546327072847E-2</v>
      </c>
      <c r="AG197" s="129">
        <f t="shared" si="141"/>
        <v>9678</v>
      </c>
      <c r="AH197" s="101">
        <f t="shared" si="120"/>
        <v>9415</v>
      </c>
      <c r="AI197" s="130">
        <f t="shared" ref="AI197:AI231" si="148">AE197</f>
        <v>347.14228911051589</v>
      </c>
      <c r="AJ197" s="159">
        <f t="shared" ref="AJ197:AJ228" si="149">AI197/AG197</f>
        <v>3.5869217721690008E-2</v>
      </c>
      <c r="AK197" s="290" t="s">
        <v>1036</v>
      </c>
      <c r="AL197" s="291"/>
      <c r="AM197" s="292"/>
      <c r="AN197" s="160"/>
    </row>
    <row r="198" spans="1:40" ht="90.75" thickBot="1" x14ac:dyDescent="0.3">
      <c r="A198" s="84">
        <f t="shared" si="121"/>
        <v>3</v>
      </c>
      <c r="B198" s="198">
        <v>193</v>
      </c>
      <c r="C198" s="51" t="s">
        <v>521</v>
      </c>
      <c r="D198" s="204" t="s">
        <v>1044</v>
      </c>
      <c r="E198" s="60" t="s">
        <v>522</v>
      </c>
      <c r="F198" s="17">
        <v>1</v>
      </c>
      <c r="G198" s="17"/>
      <c r="H198" s="89" t="s">
        <v>484</v>
      </c>
      <c r="I198" s="115">
        <v>1400</v>
      </c>
      <c r="J198" s="121">
        <f t="shared" si="122"/>
        <v>266</v>
      </c>
      <c r="K198" s="130">
        <f t="shared" si="123"/>
        <v>1666</v>
      </c>
      <c r="L198" s="121">
        <f t="shared" si="124"/>
        <v>1400</v>
      </c>
      <c r="M198" s="122">
        <f t="shared" si="125"/>
        <v>1666</v>
      </c>
      <c r="N198" s="116">
        <v>1435</v>
      </c>
      <c r="O198" s="121">
        <f t="shared" si="126"/>
        <v>272.64999999999998</v>
      </c>
      <c r="P198" s="110">
        <f t="shared" si="127"/>
        <v>1707.65</v>
      </c>
      <c r="Q198" s="121">
        <f t="shared" si="128"/>
        <v>1435</v>
      </c>
      <c r="R198" s="124">
        <f t="shared" si="129"/>
        <v>1707.65</v>
      </c>
      <c r="S198" s="117">
        <v>1484</v>
      </c>
      <c r="T198" s="121">
        <f t="shared" si="130"/>
        <v>281.95999999999998</v>
      </c>
      <c r="U198" s="110">
        <f t="shared" si="131"/>
        <v>1765.96</v>
      </c>
      <c r="V198" s="121">
        <f t="shared" si="132"/>
        <v>1484</v>
      </c>
      <c r="W198" s="122">
        <f t="shared" si="133"/>
        <v>1765.96</v>
      </c>
      <c r="X198" s="108"/>
      <c r="Y198" s="121">
        <f t="shared" si="144"/>
        <v>0</v>
      </c>
      <c r="Z198" s="121">
        <f t="shared" si="145"/>
        <v>0</v>
      </c>
      <c r="AA198" s="121">
        <f t="shared" si="136"/>
        <v>0</v>
      </c>
      <c r="AB198" s="124">
        <f t="shared" si="146"/>
        <v>0</v>
      </c>
      <c r="AC198" s="126">
        <f t="shared" si="138"/>
        <v>1440</v>
      </c>
      <c r="AD198" s="101">
        <f t="shared" ref="AD198:AD264" si="150">+IFERROR(ROUND(AVERAGE(L198,Q198,V198,AA198),0),0)</f>
        <v>1080</v>
      </c>
      <c r="AE198" s="127">
        <f t="shared" si="139"/>
        <v>34.451253807211266</v>
      </c>
      <c r="AF198" s="128">
        <f t="shared" si="147"/>
        <v>2.3924481810563378E-2</v>
      </c>
      <c r="AG198" s="129">
        <f t="shared" si="141"/>
        <v>1435</v>
      </c>
      <c r="AH198" s="101">
        <f t="shared" ref="AH198:AH262" si="151">+IFERROR(ROUND(MEDIAN(L198,Q198,V198,AA198),0),0)</f>
        <v>1418</v>
      </c>
      <c r="AI198" s="130">
        <f t="shared" si="148"/>
        <v>34.451253807211266</v>
      </c>
      <c r="AJ198" s="159">
        <f t="shared" si="149"/>
        <v>2.400784237436325E-2</v>
      </c>
      <c r="AK198" s="175" t="s">
        <v>1013</v>
      </c>
      <c r="AL198" s="161" t="s">
        <v>1014</v>
      </c>
      <c r="AM198" s="180" t="s">
        <v>1015</v>
      </c>
      <c r="AN198" s="160"/>
    </row>
    <row r="199" spans="1:40" ht="45.75" thickBot="1" x14ac:dyDescent="0.3">
      <c r="A199" s="84">
        <f t="shared" si="121"/>
        <v>3</v>
      </c>
      <c r="B199" s="198">
        <v>194</v>
      </c>
      <c r="C199" s="51" t="s">
        <v>523</v>
      </c>
      <c r="D199" s="204" t="s">
        <v>1044</v>
      </c>
      <c r="E199" s="60" t="s">
        <v>524</v>
      </c>
      <c r="F199" s="17">
        <v>1</v>
      </c>
      <c r="G199" s="17"/>
      <c r="H199" s="89" t="s">
        <v>165</v>
      </c>
      <c r="I199" s="115">
        <v>1400</v>
      </c>
      <c r="J199" s="121">
        <f t="shared" si="122"/>
        <v>266</v>
      </c>
      <c r="K199" s="130">
        <f t="shared" si="123"/>
        <v>1666</v>
      </c>
      <c r="L199" s="121">
        <f t="shared" si="124"/>
        <v>1400</v>
      </c>
      <c r="M199" s="122">
        <f t="shared" si="125"/>
        <v>1666</v>
      </c>
      <c r="N199" s="116">
        <v>1435</v>
      </c>
      <c r="O199" s="121">
        <f t="shared" si="126"/>
        <v>272.64999999999998</v>
      </c>
      <c r="P199" s="110">
        <f t="shared" si="127"/>
        <v>1707.65</v>
      </c>
      <c r="Q199" s="121">
        <f t="shared" si="128"/>
        <v>1435</v>
      </c>
      <c r="R199" s="124">
        <f t="shared" si="129"/>
        <v>1707.65</v>
      </c>
      <c r="S199" s="117">
        <v>1484</v>
      </c>
      <c r="T199" s="121">
        <f t="shared" si="130"/>
        <v>281.95999999999998</v>
      </c>
      <c r="U199" s="110">
        <f t="shared" si="131"/>
        <v>1765.96</v>
      </c>
      <c r="V199" s="121">
        <f t="shared" si="132"/>
        <v>1484</v>
      </c>
      <c r="W199" s="122">
        <f t="shared" si="133"/>
        <v>1765.96</v>
      </c>
      <c r="X199" s="108"/>
      <c r="Y199" s="121">
        <f t="shared" si="144"/>
        <v>0</v>
      </c>
      <c r="Z199" s="121">
        <f t="shared" si="145"/>
        <v>0</v>
      </c>
      <c r="AA199" s="121">
        <f t="shared" si="136"/>
        <v>0</v>
      </c>
      <c r="AB199" s="124">
        <f t="shared" si="146"/>
        <v>0</v>
      </c>
      <c r="AC199" s="126">
        <f t="shared" si="138"/>
        <v>1440</v>
      </c>
      <c r="AD199" s="101">
        <f t="shared" si="150"/>
        <v>1080</v>
      </c>
      <c r="AE199" s="127">
        <f t="shared" si="139"/>
        <v>34.451253807211266</v>
      </c>
      <c r="AF199" s="128">
        <f t="shared" si="147"/>
        <v>2.3924481810563378E-2</v>
      </c>
      <c r="AG199" s="129">
        <f t="shared" si="141"/>
        <v>1435</v>
      </c>
      <c r="AH199" s="101">
        <f t="shared" si="151"/>
        <v>1418</v>
      </c>
      <c r="AI199" s="130">
        <f t="shared" si="148"/>
        <v>34.451253807211266</v>
      </c>
      <c r="AJ199" s="159">
        <f t="shared" si="149"/>
        <v>2.400784237436325E-2</v>
      </c>
      <c r="AK199" s="175" t="s">
        <v>1013</v>
      </c>
      <c r="AL199" s="161" t="s">
        <v>1014</v>
      </c>
      <c r="AM199" s="180" t="s">
        <v>1015</v>
      </c>
      <c r="AN199" s="160"/>
    </row>
    <row r="200" spans="1:40" ht="60.75" thickBot="1" x14ac:dyDescent="0.3">
      <c r="A200" s="84">
        <f t="shared" si="121"/>
        <v>3</v>
      </c>
      <c r="B200" s="198">
        <v>195</v>
      </c>
      <c r="C200" s="51" t="s">
        <v>525</v>
      </c>
      <c r="D200" s="204" t="s">
        <v>1044</v>
      </c>
      <c r="E200" s="61" t="s">
        <v>526</v>
      </c>
      <c r="F200" s="17">
        <v>1</v>
      </c>
      <c r="G200" s="17"/>
      <c r="H200" s="89" t="s">
        <v>28</v>
      </c>
      <c r="I200" s="135">
        <f>6000*1.052</f>
        <v>6312</v>
      </c>
      <c r="J200" s="121">
        <f t="shared" si="122"/>
        <v>1199.28</v>
      </c>
      <c r="K200" s="130">
        <f t="shared" si="123"/>
        <v>7511.28</v>
      </c>
      <c r="L200" s="121">
        <f t="shared" si="124"/>
        <v>6312</v>
      </c>
      <c r="M200" s="122">
        <f t="shared" si="125"/>
        <v>7511.28</v>
      </c>
      <c r="N200" s="136">
        <f>8000*1.052</f>
        <v>8416</v>
      </c>
      <c r="O200" s="121">
        <f t="shared" si="126"/>
        <v>1599.04</v>
      </c>
      <c r="P200" s="110">
        <f t="shared" si="127"/>
        <v>10015.040000000001</v>
      </c>
      <c r="Q200" s="121">
        <f t="shared" si="128"/>
        <v>8416</v>
      </c>
      <c r="R200" s="124">
        <f t="shared" si="129"/>
        <v>10015.040000000001</v>
      </c>
      <c r="S200" s="135">
        <f>5000*1.052</f>
        <v>5260</v>
      </c>
      <c r="T200" s="121">
        <f t="shared" si="130"/>
        <v>999.4</v>
      </c>
      <c r="U200" s="110">
        <f t="shared" si="131"/>
        <v>6259.4</v>
      </c>
      <c r="V200" s="121">
        <f t="shared" si="132"/>
        <v>5260</v>
      </c>
      <c r="W200" s="122">
        <f t="shared" si="133"/>
        <v>6259.4</v>
      </c>
      <c r="X200" s="108"/>
      <c r="Y200" s="121">
        <f t="shared" si="144"/>
        <v>0</v>
      </c>
      <c r="Z200" s="121">
        <f t="shared" si="145"/>
        <v>0</v>
      </c>
      <c r="AA200" s="121">
        <f t="shared" si="136"/>
        <v>0</v>
      </c>
      <c r="AB200" s="124">
        <f t="shared" si="146"/>
        <v>0</v>
      </c>
      <c r="AC200" s="126">
        <f t="shared" si="138"/>
        <v>6663</v>
      </c>
      <c r="AD200" s="101">
        <f t="shared" si="150"/>
        <v>4997</v>
      </c>
      <c r="AE200" s="127">
        <f t="shared" si="139"/>
        <v>1312.0745236287287</v>
      </c>
      <c r="AF200" s="128">
        <f t="shared" si="147"/>
        <v>0.19691948426065267</v>
      </c>
      <c r="AG200" s="129">
        <f t="shared" si="141"/>
        <v>6312</v>
      </c>
      <c r="AH200" s="101">
        <f t="shared" si="151"/>
        <v>5786</v>
      </c>
      <c r="AI200" s="130">
        <f t="shared" si="148"/>
        <v>1312.0745236287287</v>
      </c>
      <c r="AJ200" s="159">
        <f t="shared" si="149"/>
        <v>0.2078698548207745</v>
      </c>
      <c r="AK200" s="290" t="s">
        <v>1034</v>
      </c>
      <c r="AL200" s="291"/>
      <c r="AM200" s="292"/>
      <c r="AN200" s="160"/>
    </row>
    <row r="201" spans="1:40" ht="60.75" thickBot="1" x14ac:dyDescent="0.3">
      <c r="A201" s="84">
        <f t="shared" si="121"/>
        <v>3</v>
      </c>
      <c r="B201" s="198">
        <v>196</v>
      </c>
      <c r="C201" s="51" t="s">
        <v>527</v>
      </c>
      <c r="D201" s="204" t="s">
        <v>1044</v>
      </c>
      <c r="E201" s="60" t="s">
        <v>528</v>
      </c>
      <c r="F201" s="17">
        <v>1</v>
      </c>
      <c r="G201" s="17"/>
      <c r="H201" s="89" t="s">
        <v>28</v>
      </c>
      <c r="I201" s="131">
        <f>9000*1.052</f>
        <v>9468</v>
      </c>
      <c r="J201" s="121">
        <f t="shared" si="122"/>
        <v>1798.92</v>
      </c>
      <c r="K201" s="130">
        <f t="shared" si="123"/>
        <v>11266.92</v>
      </c>
      <c r="L201" s="121">
        <f t="shared" si="124"/>
        <v>9468</v>
      </c>
      <c r="M201" s="122">
        <f t="shared" si="125"/>
        <v>11266.92</v>
      </c>
      <c r="N201" s="132">
        <f>9500*1.052</f>
        <v>9994</v>
      </c>
      <c r="O201" s="121">
        <f t="shared" si="126"/>
        <v>1898.8600000000001</v>
      </c>
      <c r="P201" s="110">
        <f t="shared" si="127"/>
        <v>11892.86</v>
      </c>
      <c r="Q201" s="121">
        <f t="shared" si="128"/>
        <v>9994</v>
      </c>
      <c r="R201" s="124">
        <f t="shared" si="129"/>
        <v>11892.86</v>
      </c>
      <c r="S201" s="131">
        <f>8000*1.052</f>
        <v>8416</v>
      </c>
      <c r="T201" s="121">
        <f t="shared" si="130"/>
        <v>1599.04</v>
      </c>
      <c r="U201" s="110">
        <f t="shared" si="131"/>
        <v>10015.040000000001</v>
      </c>
      <c r="V201" s="121">
        <f t="shared" si="132"/>
        <v>8416</v>
      </c>
      <c r="W201" s="122">
        <f t="shared" si="133"/>
        <v>10015.040000000001</v>
      </c>
      <c r="X201" s="108"/>
      <c r="Y201" s="121">
        <f t="shared" si="144"/>
        <v>0</v>
      </c>
      <c r="Z201" s="121">
        <f t="shared" si="145"/>
        <v>0</v>
      </c>
      <c r="AA201" s="121">
        <f t="shared" si="136"/>
        <v>0</v>
      </c>
      <c r="AB201" s="124">
        <f t="shared" si="146"/>
        <v>0</v>
      </c>
      <c r="AC201" s="126">
        <f t="shared" si="138"/>
        <v>9293</v>
      </c>
      <c r="AD201" s="101">
        <f t="shared" si="150"/>
        <v>6970</v>
      </c>
      <c r="AE201" s="127">
        <f t="shared" si="139"/>
        <v>656.03726181436434</v>
      </c>
      <c r="AF201" s="128">
        <f t="shared" si="147"/>
        <v>7.0594776908895332E-2</v>
      </c>
      <c r="AG201" s="129">
        <f t="shared" si="141"/>
        <v>9468</v>
      </c>
      <c r="AH201" s="101">
        <f t="shared" si="151"/>
        <v>8942</v>
      </c>
      <c r="AI201" s="130">
        <f t="shared" si="148"/>
        <v>656.03726181436434</v>
      </c>
      <c r="AJ201" s="159">
        <f t="shared" si="149"/>
        <v>6.9289951606924832E-2</v>
      </c>
      <c r="AK201" s="290" t="s">
        <v>1036</v>
      </c>
      <c r="AL201" s="291"/>
      <c r="AM201" s="292"/>
      <c r="AN201" s="160"/>
    </row>
    <row r="202" spans="1:40" ht="75.75" thickBot="1" x14ac:dyDescent="0.3">
      <c r="A202" s="84">
        <f t="shared" si="121"/>
        <v>3</v>
      </c>
      <c r="B202" s="198">
        <v>197</v>
      </c>
      <c r="C202" s="51" t="s">
        <v>529</v>
      </c>
      <c r="D202" s="204" t="s">
        <v>1044</v>
      </c>
      <c r="E202" s="60" t="s">
        <v>530</v>
      </c>
      <c r="F202" s="17">
        <v>1</v>
      </c>
      <c r="G202" s="17"/>
      <c r="H202" s="89" t="s">
        <v>164</v>
      </c>
      <c r="I202" s="131">
        <f>275000*1.052</f>
        <v>289300</v>
      </c>
      <c r="J202" s="121">
        <f t="shared" si="122"/>
        <v>54967</v>
      </c>
      <c r="K202" s="130">
        <f t="shared" si="123"/>
        <v>344267</v>
      </c>
      <c r="L202" s="121">
        <f t="shared" si="124"/>
        <v>289300</v>
      </c>
      <c r="M202" s="122">
        <f t="shared" si="125"/>
        <v>344267</v>
      </c>
      <c r="N202" s="132">
        <f>310000*1.052</f>
        <v>326120</v>
      </c>
      <c r="O202" s="121">
        <f t="shared" si="126"/>
        <v>61962.8</v>
      </c>
      <c r="P202" s="110">
        <f t="shared" si="127"/>
        <v>388082.8</v>
      </c>
      <c r="Q202" s="121">
        <f t="shared" si="128"/>
        <v>326120</v>
      </c>
      <c r="R202" s="124">
        <f t="shared" si="129"/>
        <v>388082.8</v>
      </c>
      <c r="S202" s="131">
        <f>290000*1.052</f>
        <v>305080</v>
      </c>
      <c r="T202" s="121">
        <f t="shared" si="130"/>
        <v>57965.2</v>
      </c>
      <c r="U202" s="110">
        <f t="shared" si="131"/>
        <v>363045.2</v>
      </c>
      <c r="V202" s="121">
        <f t="shared" si="132"/>
        <v>305080</v>
      </c>
      <c r="W202" s="122">
        <f t="shared" si="133"/>
        <v>363045.2</v>
      </c>
      <c r="X202" s="108"/>
      <c r="Y202" s="121">
        <f t="shared" si="144"/>
        <v>0</v>
      </c>
      <c r="Z202" s="121">
        <f t="shared" si="145"/>
        <v>0</v>
      </c>
      <c r="AA202" s="121">
        <f t="shared" si="136"/>
        <v>0</v>
      </c>
      <c r="AB202" s="124">
        <f t="shared" si="146"/>
        <v>0</v>
      </c>
      <c r="AC202" s="126">
        <f t="shared" si="138"/>
        <v>306833</v>
      </c>
      <c r="AD202" s="101">
        <f t="shared" si="150"/>
        <v>230125</v>
      </c>
      <c r="AE202" s="127">
        <f t="shared" si="139"/>
        <v>15082.743634881406</v>
      </c>
      <c r="AF202" s="128">
        <f t="shared" si="147"/>
        <v>4.9156197784727872E-2</v>
      </c>
      <c r="AG202" s="129">
        <f t="shared" si="141"/>
        <v>305080</v>
      </c>
      <c r="AH202" s="101">
        <f t="shared" si="151"/>
        <v>297190</v>
      </c>
      <c r="AI202" s="130">
        <f t="shared" si="148"/>
        <v>15082.743634881406</v>
      </c>
      <c r="AJ202" s="159">
        <f t="shared" si="149"/>
        <v>4.9438650960015096E-2</v>
      </c>
      <c r="AK202" s="290" t="s">
        <v>1036</v>
      </c>
      <c r="AL202" s="291"/>
      <c r="AM202" s="292"/>
      <c r="AN202" s="160"/>
    </row>
    <row r="203" spans="1:40" ht="60.75" thickBot="1" x14ac:dyDescent="0.3">
      <c r="A203" s="84">
        <f t="shared" si="121"/>
        <v>3</v>
      </c>
      <c r="B203" s="198">
        <v>198</v>
      </c>
      <c r="C203" s="51" t="s">
        <v>531</v>
      </c>
      <c r="D203" s="204" t="s">
        <v>1044</v>
      </c>
      <c r="E203" s="60" t="s">
        <v>532</v>
      </c>
      <c r="F203" s="17">
        <v>1</v>
      </c>
      <c r="G203" s="17"/>
      <c r="H203" s="89" t="s">
        <v>164</v>
      </c>
      <c r="I203" s="131">
        <f>2650000*1.052</f>
        <v>2787800</v>
      </c>
      <c r="J203" s="121">
        <f t="shared" si="122"/>
        <v>529682</v>
      </c>
      <c r="K203" s="130">
        <f t="shared" si="123"/>
        <v>3317482</v>
      </c>
      <c r="L203" s="121">
        <f t="shared" si="124"/>
        <v>2787800</v>
      </c>
      <c r="M203" s="122">
        <f t="shared" si="125"/>
        <v>3317482</v>
      </c>
      <c r="N203" s="132">
        <f>2350000*1.052</f>
        <v>2472200</v>
      </c>
      <c r="O203" s="121">
        <f t="shared" si="126"/>
        <v>469718</v>
      </c>
      <c r="P203" s="110">
        <f t="shared" si="127"/>
        <v>2941918</v>
      </c>
      <c r="Q203" s="121">
        <f t="shared" si="128"/>
        <v>2472200</v>
      </c>
      <c r="R203" s="124">
        <f t="shared" si="129"/>
        <v>2941918</v>
      </c>
      <c r="S203" s="131">
        <f>2200000*1.052</f>
        <v>2314400</v>
      </c>
      <c r="T203" s="121">
        <f t="shared" si="130"/>
        <v>439736</v>
      </c>
      <c r="U203" s="110">
        <f t="shared" si="131"/>
        <v>2754136</v>
      </c>
      <c r="V203" s="121">
        <f t="shared" si="132"/>
        <v>2314400</v>
      </c>
      <c r="W203" s="122">
        <f t="shared" si="133"/>
        <v>2754136</v>
      </c>
      <c r="X203" s="108"/>
      <c r="Y203" s="121">
        <f t="shared" si="144"/>
        <v>0</v>
      </c>
      <c r="Z203" s="121">
        <f t="shared" si="145"/>
        <v>0</v>
      </c>
      <c r="AA203" s="121">
        <f t="shared" si="136"/>
        <v>0</v>
      </c>
      <c r="AB203" s="124">
        <f t="shared" si="146"/>
        <v>0</v>
      </c>
      <c r="AC203" s="126">
        <f t="shared" si="138"/>
        <v>2524800</v>
      </c>
      <c r="AD203" s="101">
        <f t="shared" si="150"/>
        <v>1893600</v>
      </c>
      <c r="AE203" s="127">
        <f t="shared" si="139"/>
        <v>196811.17854430931</v>
      </c>
      <c r="AF203" s="128">
        <f t="shared" si="147"/>
        <v>7.795119555779044E-2</v>
      </c>
      <c r="AG203" s="129">
        <f t="shared" si="141"/>
        <v>2472200</v>
      </c>
      <c r="AH203" s="101">
        <f t="shared" si="151"/>
        <v>2393300</v>
      </c>
      <c r="AI203" s="130">
        <f t="shared" si="148"/>
        <v>196811.17854430931</v>
      </c>
      <c r="AJ203" s="159">
        <f t="shared" si="149"/>
        <v>7.9609731633488112E-2</v>
      </c>
      <c r="AK203" s="290" t="s">
        <v>1036</v>
      </c>
      <c r="AL203" s="291"/>
      <c r="AM203" s="292"/>
      <c r="AN203" s="160"/>
    </row>
    <row r="204" spans="1:40" ht="90.75" thickBot="1" x14ac:dyDescent="0.3">
      <c r="A204" s="84">
        <f t="shared" si="121"/>
        <v>3</v>
      </c>
      <c r="B204" s="198">
        <v>199</v>
      </c>
      <c r="C204" s="51" t="s">
        <v>533</v>
      </c>
      <c r="D204" s="204" t="s">
        <v>1044</v>
      </c>
      <c r="E204" s="60" t="s">
        <v>534</v>
      </c>
      <c r="F204" s="17">
        <v>1</v>
      </c>
      <c r="G204" s="17"/>
      <c r="H204" s="89" t="s">
        <v>28</v>
      </c>
      <c r="I204" s="131">
        <f>250000*1.052</f>
        <v>263000</v>
      </c>
      <c r="J204" s="121">
        <f t="shared" si="122"/>
        <v>49970</v>
      </c>
      <c r="K204" s="130">
        <f t="shared" si="123"/>
        <v>312970</v>
      </c>
      <c r="L204" s="121">
        <f t="shared" si="124"/>
        <v>263000</v>
      </c>
      <c r="M204" s="122">
        <f t="shared" si="125"/>
        <v>312970</v>
      </c>
      <c r="N204" s="132">
        <f>210000*1.052</f>
        <v>220920</v>
      </c>
      <c r="O204" s="121">
        <f t="shared" si="126"/>
        <v>41974.8</v>
      </c>
      <c r="P204" s="110">
        <f t="shared" si="127"/>
        <v>262894.8</v>
      </c>
      <c r="Q204" s="121">
        <f t="shared" si="128"/>
        <v>220920</v>
      </c>
      <c r="R204" s="124">
        <f t="shared" si="129"/>
        <v>262894.8</v>
      </c>
      <c r="S204" s="131">
        <f>150000*1.052</f>
        <v>157800</v>
      </c>
      <c r="T204" s="121">
        <f t="shared" si="130"/>
        <v>29982</v>
      </c>
      <c r="U204" s="110">
        <f t="shared" si="131"/>
        <v>187782</v>
      </c>
      <c r="V204" s="121">
        <f t="shared" si="132"/>
        <v>157800</v>
      </c>
      <c r="W204" s="122">
        <f t="shared" si="133"/>
        <v>187782</v>
      </c>
      <c r="X204" s="108"/>
      <c r="Y204" s="121">
        <f t="shared" si="144"/>
        <v>0</v>
      </c>
      <c r="Z204" s="121">
        <f t="shared" si="145"/>
        <v>0</v>
      </c>
      <c r="AA204" s="121">
        <f t="shared" si="136"/>
        <v>0</v>
      </c>
      <c r="AB204" s="124">
        <f t="shared" si="146"/>
        <v>0</v>
      </c>
      <c r="AC204" s="126">
        <f t="shared" si="138"/>
        <v>213907</v>
      </c>
      <c r="AD204" s="101">
        <f t="shared" si="150"/>
        <v>160430</v>
      </c>
      <c r="AE204" s="127">
        <f t="shared" si="139"/>
        <v>43233.090207489091</v>
      </c>
      <c r="AF204" s="128">
        <f t="shared" si="147"/>
        <v>0.20211161957060353</v>
      </c>
      <c r="AG204" s="129">
        <f t="shared" si="141"/>
        <v>220920</v>
      </c>
      <c r="AH204" s="101">
        <f t="shared" si="151"/>
        <v>189360</v>
      </c>
      <c r="AI204" s="130">
        <f t="shared" si="148"/>
        <v>43233.090207489091</v>
      </c>
      <c r="AJ204" s="159">
        <f t="shared" si="149"/>
        <v>0.19569568263393577</v>
      </c>
      <c r="AK204" s="290" t="s">
        <v>1036</v>
      </c>
      <c r="AL204" s="291"/>
      <c r="AM204" s="292"/>
      <c r="AN204" s="160"/>
    </row>
    <row r="205" spans="1:40" ht="60.75" thickBot="1" x14ac:dyDescent="0.3">
      <c r="A205" s="84">
        <f t="shared" si="121"/>
        <v>3</v>
      </c>
      <c r="B205" s="198">
        <v>200</v>
      </c>
      <c r="C205" s="51" t="s">
        <v>535</v>
      </c>
      <c r="D205" s="204" t="s">
        <v>1044</v>
      </c>
      <c r="E205" s="60" t="s">
        <v>536</v>
      </c>
      <c r="F205" s="17">
        <v>1</v>
      </c>
      <c r="G205" s="17"/>
      <c r="H205" s="89" t="s">
        <v>28</v>
      </c>
      <c r="I205" s="131">
        <f>5200000*1.052</f>
        <v>5470400</v>
      </c>
      <c r="J205" s="121">
        <f t="shared" si="122"/>
        <v>1039376</v>
      </c>
      <c r="K205" s="130">
        <f t="shared" si="123"/>
        <v>6509776</v>
      </c>
      <c r="L205" s="121">
        <f t="shared" si="124"/>
        <v>5470400</v>
      </c>
      <c r="M205" s="122">
        <f t="shared" si="125"/>
        <v>6509776</v>
      </c>
      <c r="N205" s="132">
        <f>4790000*1.052</f>
        <v>5039080</v>
      </c>
      <c r="O205" s="121">
        <f t="shared" si="126"/>
        <v>957425.2</v>
      </c>
      <c r="P205" s="110">
        <f t="shared" si="127"/>
        <v>5996505.2000000002</v>
      </c>
      <c r="Q205" s="121">
        <f t="shared" si="128"/>
        <v>5039080</v>
      </c>
      <c r="R205" s="124">
        <f t="shared" si="129"/>
        <v>5996505.2000000002</v>
      </c>
      <c r="S205" s="131">
        <f>4000000*1.052</f>
        <v>4208000</v>
      </c>
      <c r="T205" s="121">
        <f t="shared" si="130"/>
        <v>799520</v>
      </c>
      <c r="U205" s="110">
        <f t="shared" si="131"/>
        <v>5007520</v>
      </c>
      <c r="V205" s="121">
        <f t="shared" si="132"/>
        <v>4208000</v>
      </c>
      <c r="W205" s="122">
        <f t="shared" si="133"/>
        <v>5007520</v>
      </c>
      <c r="X205" s="108"/>
      <c r="Y205" s="121">
        <f t="shared" si="144"/>
        <v>0</v>
      </c>
      <c r="Z205" s="121">
        <f t="shared" si="145"/>
        <v>0</v>
      </c>
      <c r="AA205" s="121">
        <f t="shared" si="136"/>
        <v>0</v>
      </c>
      <c r="AB205" s="124">
        <f t="shared" si="146"/>
        <v>0</v>
      </c>
      <c r="AC205" s="126">
        <f t="shared" si="138"/>
        <v>4905827</v>
      </c>
      <c r="AD205" s="101">
        <f t="shared" si="150"/>
        <v>3679370</v>
      </c>
      <c r="AE205" s="127">
        <f t="shared" si="139"/>
        <v>523915.24641130865</v>
      </c>
      <c r="AF205" s="128">
        <f t="shared" si="147"/>
        <v>0.10679448060669662</v>
      </c>
      <c r="AG205" s="129">
        <f t="shared" si="141"/>
        <v>5039080</v>
      </c>
      <c r="AH205" s="101">
        <f t="shared" si="151"/>
        <v>4623540</v>
      </c>
      <c r="AI205" s="130">
        <f t="shared" si="148"/>
        <v>523915.24641130865</v>
      </c>
      <c r="AJ205" s="159">
        <f t="shared" si="149"/>
        <v>0.10397041650684423</v>
      </c>
      <c r="AK205" s="290" t="s">
        <v>1036</v>
      </c>
      <c r="AL205" s="291"/>
      <c r="AM205" s="292"/>
      <c r="AN205" s="160"/>
    </row>
    <row r="206" spans="1:40" ht="60.75" thickBot="1" x14ac:dyDescent="0.3">
      <c r="A206" s="84">
        <f t="shared" si="121"/>
        <v>3</v>
      </c>
      <c r="B206" s="198">
        <v>201</v>
      </c>
      <c r="C206" s="51" t="s">
        <v>537</v>
      </c>
      <c r="D206" s="204" t="s">
        <v>1044</v>
      </c>
      <c r="E206" s="60" t="s">
        <v>538</v>
      </c>
      <c r="F206" s="17">
        <v>1</v>
      </c>
      <c r="G206" s="17"/>
      <c r="H206" s="89" t="s">
        <v>28</v>
      </c>
      <c r="I206" s="131">
        <f>1600000*1.052</f>
        <v>1683200</v>
      </c>
      <c r="J206" s="121">
        <f t="shared" si="122"/>
        <v>319808</v>
      </c>
      <c r="K206" s="130">
        <f t="shared" si="123"/>
        <v>2003008</v>
      </c>
      <c r="L206" s="121">
        <f t="shared" si="124"/>
        <v>1683200</v>
      </c>
      <c r="M206" s="122">
        <f t="shared" si="125"/>
        <v>2003008</v>
      </c>
      <c r="N206" s="132">
        <f>1800000*1.052</f>
        <v>1893600</v>
      </c>
      <c r="O206" s="121">
        <f t="shared" si="126"/>
        <v>359784</v>
      </c>
      <c r="P206" s="110">
        <f t="shared" si="127"/>
        <v>2253384</v>
      </c>
      <c r="Q206" s="121">
        <f t="shared" si="128"/>
        <v>1893600</v>
      </c>
      <c r="R206" s="124">
        <f t="shared" si="129"/>
        <v>2253384</v>
      </c>
      <c r="S206" s="131">
        <f>1600000*1.052</f>
        <v>1683200</v>
      </c>
      <c r="T206" s="121">
        <f t="shared" si="130"/>
        <v>319808</v>
      </c>
      <c r="U206" s="110">
        <f t="shared" si="131"/>
        <v>2003008</v>
      </c>
      <c r="V206" s="121">
        <f t="shared" si="132"/>
        <v>1683200</v>
      </c>
      <c r="W206" s="122">
        <f t="shared" si="133"/>
        <v>2003008</v>
      </c>
      <c r="X206" s="108"/>
      <c r="Y206" s="121">
        <f t="shared" si="144"/>
        <v>0</v>
      </c>
      <c r="Z206" s="121">
        <f t="shared" si="145"/>
        <v>0</v>
      </c>
      <c r="AA206" s="121">
        <f t="shared" si="136"/>
        <v>0</v>
      </c>
      <c r="AB206" s="124">
        <f t="shared" si="146"/>
        <v>0</v>
      </c>
      <c r="AC206" s="126">
        <f t="shared" si="138"/>
        <v>1753333</v>
      </c>
      <c r="AD206" s="101">
        <f t="shared" si="150"/>
        <v>1315000</v>
      </c>
      <c r="AE206" s="127">
        <f t="shared" si="139"/>
        <v>99183.511174433064</v>
      </c>
      <c r="AF206" s="128">
        <f t="shared" si="147"/>
        <v>5.6568553249401604E-2</v>
      </c>
      <c r="AG206" s="129">
        <f t="shared" si="141"/>
        <v>1683200</v>
      </c>
      <c r="AH206" s="101">
        <f t="shared" si="151"/>
        <v>1683200</v>
      </c>
      <c r="AI206" s="130">
        <f t="shared" si="148"/>
        <v>99183.511174433064</v>
      </c>
      <c r="AJ206" s="159">
        <f t="shared" si="149"/>
        <v>5.892556509887896E-2</v>
      </c>
      <c r="AK206" s="290" t="s">
        <v>1036</v>
      </c>
      <c r="AL206" s="291"/>
      <c r="AM206" s="292"/>
      <c r="AN206" s="160"/>
    </row>
    <row r="207" spans="1:40" ht="75.75" thickBot="1" x14ac:dyDescent="0.3">
      <c r="A207" s="84">
        <f t="shared" si="121"/>
        <v>3</v>
      </c>
      <c r="B207" s="198">
        <v>202</v>
      </c>
      <c r="C207" s="51" t="s">
        <v>539</v>
      </c>
      <c r="D207" s="204" t="s">
        <v>1044</v>
      </c>
      <c r="E207" s="60" t="s">
        <v>540</v>
      </c>
      <c r="F207" s="17">
        <v>1</v>
      </c>
      <c r="G207" s="17"/>
      <c r="H207" s="89" t="s">
        <v>28</v>
      </c>
      <c r="I207" s="131">
        <f>3900000*1.052</f>
        <v>4102800</v>
      </c>
      <c r="J207" s="121">
        <f t="shared" si="122"/>
        <v>779532</v>
      </c>
      <c r="K207" s="130">
        <f t="shared" si="123"/>
        <v>4882332</v>
      </c>
      <c r="L207" s="121">
        <f t="shared" si="124"/>
        <v>4102800</v>
      </c>
      <c r="M207" s="122">
        <f t="shared" si="125"/>
        <v>4882332</v>
      </c>
      <c r="N207" s="132">
        <f>4400000*1.052</f>
        <v>4628800</v>
      </c>
      <c r="O207" s="121">
        <f t="shared" si="126"/>
        <v>879472</v>
      </c>
      <c r="P207" s="110">
        <f t="shared" si="127"/>
        <v>5508272</v>
      </c>
      <c r="Q207" s="121">
        <f t="shared" si="128"/>
        <v>4628800</v>
      </c>
      <c r="R207" s="124">
        <f t="shared" si="129"/>
        <v>5508272</v>
      </c>
      <c r="S207" s="131">
        <f>3950000*1.052</f>
        <v>4155400</v>
      </c>
      <c r="T207" s="121">
        <f t="shared" si="130"/>
        <v>789526</v>
      </c>
      <c r="U207" s="110">
        <f t="shared" si="131"/>
        <v>4944926</v>
      </c>
      <c r="V207" s="121">
        <f t="shared" si="132"/>
        <v>4155400</v>
      </c>
      <c r="W207" s="122">
        <f t="shared" si="133"/>
        <v>4944926</v>
      </c>
      <c r="X207" s="108"/>
      <c r="Y207" s="121">
        <f t="shared" si="144"/>
        <v>0</v>
      </c>
      <c r="Z207" s="121">
        <f t="shared" si="145"/>
        <v>0</v>
      </c>
      <c r="AA207" s="121">
        <f t="shared" si="136"/>
        <v>0</v>
      </c>
      <c r="AB207" s="124">
        <f t="shared" si="146"/>
        <v>0</v>
      </c>
      <c r="AC207" s="126">
        <f t="shared" si="138"/>
        <v>4295667</v>
      </c>
      <c r="AD207" s="101">
        <f t="shared" si="150"/>
        <v>3221750</v>
      </c>
      <c r="AE207" s="127">
        <f t="shared" si="139"/>
        <v>236537.59860866846</v>
      </c>
      <c r="AF207" s="128">
        <f t="shared" si="147"/>
        <v>5.5064230679116526E-2</v>
      </c>
      <c r="AG207" s="129">
        <f t="shared" si="141"/>
        <v>4155400</v>
      </c>
      <c r="AH207" s="101">
        <f t="shared" si="151"/>
        <v>4129100</v>
      </c>
      <c r="AI207" s="130">
        <f t="shared" si="148"/>
        <v>236537.59860866846</v>
      </c>
      <c r="AJ207" s="159">
        <f t="shared" si="149"/>
        <v>5.6922943304776548E-2</v>
      </c>
      <c r="AK207" s="290" t="s">
        <v>1036</v>
      </c>
      <c r="AL207" s="291"/>
      <c r="AM207" s="292"/>
      <c r="AN207" s="160"/>
    </row>
    <row r="208" spans="1:40" ht="165.75" thickBot="1" x14ac:dyDescent="0.3">
      <c r="A208" s="84">
        <f t="shared" si="121"/>
        <v>3</v>
      </c>
      <c r="B208" s="198">
        <v>203</v>
      </c>
      <c r="C208" s="51" t="s">
        <v>541</v>
      </c>
      <c r="D208" s="204" t="s">
        <v>1044</v>
      </c>
      <c r="E208" s="60" t="s">
        <v>542</v>
      </c>
      <c r="F208" s="17">
        <v>1</v>
      </c>
      <c r="G208" s="17"/>
      <c r="H208" s="89" t="s">
        <v>28</v>
      </c>
      <c r="I208" s="131">
        <f>14500000*1.052</f>
        <v>15254000</v>
      </c>
      <c r="J208" s="121">
        <f t="shared" si="122"/>
        <v>2898260</v>
      </c>
      <c r="K208" s="130">
        <f t="shared" si="123"/>
        <v>18152260</v>
      </c>
      <c r="L208" s="121">
        <f t="shared" si="124"/>
        <v>15254000</v>
      </c>
      <c r="M208" s="122">
        <f t="shared" si="125"/>
        <v>18152260</v>
      </c>
      <c r="N208" s="132">
        <f>13400000*1.052</f>
        <v>14096800</v>
      </c>
      <c r="O208" s="121">
        <f t="shared" si="126"/>
        <v>2678392</v>
      </c>
      <c r="P208" s="110">
        <f t="shared" si="127"/>
        <v>16775192</v>
      </c>
      <c r="Q208" s="121">
        <f t="shared" si="128"/>
        <v>14096800</v>
      </c>
      <c r="R208" s="124">
        <f t="shared" si="129"/>
        <v>16775192</v>
      </c>
      <c r="S208" s="131">
        <f>13900000*1.052</f>
        <v>14622800</v>
      </c>
      <c r="T208" s="121">
        <f t="shared" si="130"/>
        <v>2778332</v>
      </c>
      <c r="U208" s="110">
        <f t="shared" si="131"/>
        <v>17401132</v>
      </c>
      <c r="V208" s="121">
        <f t="shared" si="132"/>
        <v>14622800</v>
      </c>
      <c r="W208" s="122">
        <f t="shared" si="133"/>
        <v>17401132</v>
      </c>
      <c r="X208" s="108"/>
      <c r="Y208" s="121">
        <f t="shared" si="144"/>
        <v>0</v>
      </c>
      <c r="Z208" s="121">
        <f t="shared" si="145"/>
        <v>0</v>
      </c>
      <c r="AA208" s="121">
        <f t="shared" si="136"/>
        <v>0</v>
      </c>
      <c r="AB208" s="124">
        <f t="shared" si="146"/>
        <v>0</v>
      </c>
      <c r="AC208" s="126">
        <f t="shared" si="138"/>
        <v>14657867</v>
      </c>
      <c r="AD208" s="101">
        <f t="shared" si="150"/>
        <v>10993400</v>
      </c>
      <c r="AE208" s="127">
        <f t="shared" si="139"/>
        <v>473075.19721733697</v>
      </c>
      <c r="AF208" s="128">
        <f t="shared" si="147"/>
        <v>3.2274491044115561E-2</v>
      </c>
      <c r="AG208" s="129">
        <f t="shared" si="141"/>
        <v>14622800</v>
      </c>
      <c r="AH208" s="101">
        <f t="shared" si="151"/>
        <v>14359800</v>
      </c>
      <c r="AI208" s="130">
        <f t="shared" si="148"/>
        <v>473075.19721733697</v>
      </c>
      <c r="AJ208" s="159">
        <f t="shared" si="149"/>
        <v>3.2351888640844227E-2</v>
      </c>
      <c r="AK208" s="290" t="s">
        <v>1036</v>
      </c>
      <c r="AL208" s="291"/>
      <c r="AM208" s="292"/>
      <c r="AN208" s="160"/>
    </row>
    <row r="209" spans="1:40" ht="75.75" thickBot="1" x14ac:dyDescent="0.3">
      <c r="A209" s="84">
        <f t="shared" si="121"/>
        <v>3</v>
      </c>
      <c r="B209" s="198">
        <v>204</v>
      </c>
      <c r="C209" s="51" t="s">
        <v>543</v>
      </c>
      <c r="D209" s="204" t="s">
        <v>1044</v>
      </c>
      <c r="E209" s="60" t="s">
        <v>544</v>
      </c>
      <c r="F209" s="17">
        <v>1</v>
      </c>
      <c r="G209" s="17"/>
      <c r="H209" s="89" t="s">
        <v>28</v>
      </c>
      <c r="I209" s="131">
        <f>3500000*1.052</f>
        <v>3682000</v>
      </c>
      <c r="J209" s="121">
        <f t="shared" si="122"/>
        <v>699580</v>
      </c>
      <c r="K209" s="130">
        <f t="shared" si="123"/>
        <v>4381580</v>
      </c>
      <c r="L209" s="121">
        <f t="shared" si="124"/>
        <v>3682000</v>
      </c>
      <c r="M209" s="122">
        <f t="shared" si="125"/>
        <v>4381580</v>
      </c>
      <c r="N209" s="132">
        <f>4100000*1.052</f>
        <v>4313200</v>
      </c>
      <c r="O209" s="121">
        <f t="shared" si="126"/>
        <v>819508</v>
      </c>
      <c r="P209" s="110">
        <f t="shared" si="127"/>
        <v>5132708</v>
      </c>
      <c r="Q209" s="121">
        <f t="shared" si="128"/>
        <v>4313200</v>
      </c>
      <c r="R209" s="124">
        <f t="shared" si="129"/>
        <v>5132708</v>
      </c>
      <c r="S209" s="131">
        <f>3900000*1.052</f>
        <v>4102800</v>
      </c>
      <c r="T209" s="121">
        <f t="shared" si="130"/>
        <v>779532</v>
      </c>
      <c r="U209" s="110">
        <f t="shared" si="131"/>
        <v>4882332</v>
      </c>
      <c r="V209" s="121">
        <f t="shared" si="132"/>
        <v>4102800</v>
      </c>
      <c r="W209" s="122">
        <f t="shared" si="133"/>
        <v>4882332</v>
      </c>
      <c r="X209" s="108"/>
      <c r="Y209" s="121">
        <f t="shared" si="144"/>
        <v>0</v>
      </c>
      <c r="Z209" s="121">
        <f t="shared" si="145"/>
        <v>0</v>
      </c>
      <c r="AA209" s="121">
        <f t="shared" si="136"/>
        <v>0</v>
      </c>
      <c r="AB209" s="124">
        <f t="shared" si="146"/>
        <v>0</v>
      </c>
      <c r="AC209" s="126">
        <f t="shared" si="138"/>
        <v>4032667</v>
      </c>
      <c r="AD209" s="101">
        <f t="shared" si="150"/>
        <v>3024500</v>
      </c>
      <c r="AE209" s="127">
        <f t="shared" si="139"/>
        <v>262414.90472574573</v>
      </c>
      <c r="AF209" s="128">
        <f t="shared" si="147"/>
        <v>6.5072296999912391E-2</v>
      </c>
      <c r="AG209" s="129">
        <f t="shared" si="141"/>
        <v>4102800</v>
      </c>
      <c r="AH209" s="101">
        <f t="shared" si="151"/>
        <v>3892400</v>
      </c>
      <c r="AI209" s="130">
        <f t="shared" si="148"/>
        <v>262414.90472574573</v>
      </c>
      <c r="AJ209" s="159">
        <f t="shared" si="149"/>
        <v>6.3959955329469076E-2</v>
      </c>
      <c r="AK209" s="290" t="s">
        <v>1036</v>
      </c>
      <c r="AL209" s="291"/>
      <c r="AM209" s="292"/>
      <c r="AN209" s="160"/>
    </row>
    <row r="210" spans="1:40" ht="45.75" thickBot="1" x14ac:dyDescent="0.3">
      <c r="A210" s="84">
        <f t="shared" si="121"/>
        <v>3</v>
      </c>
      <c r="B210" s="198">
        <v>205</v>
      </c>
      <c r="C210" s="51" t="s">
        <v>545</v>
      </c>
      <c r="D210" s="204" t="s">
        <v>1044</v>
      </c>
      <c r="E210" s="60" t="s">
        <v>546</v>
      </c>
      <c r="F210" s="17">
        <v>1</v>
      </c>
      <c r="G210" s="17"/>
      <c r="H210" s="89" t="s">
        <v>28</v>
      </c>
      <c r="I210" s="115">
        <v>400000</v>
      </c>
      <c r="J210" s="121">
        <f t="shared" si="122"/>
        <v>76000</v>
      </c>
      <c r="K210" s="130">
        <f t="shared" si="123"/>
        <v>476000</v>
      </c>
      <c r="L210" s="121">
        <f t="shared" si="124"/>
        <v>400000</v>
      </c>
      <c r="M210" s="122">
        <f t="shared" si="125"/>
        <v>476000</v>
      </c>
      <c r="N210" s="116">
        <v>1000000</v>
      </c>
      <c r="O210" s="121">
        <f t="shared" si="126"/>
        <v>190000</v>
      </c>
      <c r="P210" s="110">
        <f t="shared" si="127"/>
        <v>1190000</v>
      </c>
      <c r="Q210" s="121">
        <f t="shared" si="128"/>
        <v>1000000</v>
      </c>
      <c r="R210" s="124">
        <f t="shared" si="129"/>
        <v>1190000</v>
      </c>
      <c r="S210" s="117">
        <v>1200000</v>
      </c>
      <c r="T210" s="121">
        <f t="shared" si="130"/>
        <v>228000</v>
      </c>
      <c r="U210" s="110">
        <f t="shared" si="131"/>
        <v>1428000</v>
      </c>
      <c r="V210" s="121">
        <f t="shared" si="132"/>
        <v>1200000</v>
      </c>
      <c r="W210" s="122">
        <f t="shared" si="133"/>
        <v>1428000</v>
      </c>
      <c r="X210" s="108"/>
      <c r="Y210" s="121">
        <f t="shared" si="144"/>
        <v>0</v>
      </c>
      <c r="Z210" s="121">
        <f t="shared" si="145"/>
        <v>0</v>
      </c>
      <c r="AA210" s="121">
        <f t="shared" si="136"/>
        <v>0</v>
      </c>
      <c r="AB210" s="124">
        <f t="shared" si="146"/>
        <v>0</v>
      </c>
      <c r="AC210" s="126">
        <f t="shared" si="138"/>
        <v>866667</v>
      </c>
      <c r="AD210" s="101">
        <f t="shared" si="150"/>
        <v>650000</v>
      </c>
      <c r="AE210" s="127">
        <f t="shared" si="139"/>
        <v>339934.63423951901</v>
      </c>
      <c r="AF210" s="128">
        <f t="shared" si="147"/>
        <v>0.39223211941786063</v>
      </c>
      <c r="AG210" s="129">
        <f t="shared" si="141"/>
        <v>1000000</v>
      </c>
      <c r="AH210" s="101">
        <f t="shared" si="151"/>
        <v>700000</v>
      </c>
      <c r="AI210" s="130">
        <f t="shared" si="148"/>
        <v>339934.63423951901</v>
      </c>
      <c r="AJ210" s="159">
        <f t="shared" si="149"/>
        <v>0.33993463423951903</v>
      </c>
      <c r="AK210" s="175" t="s">
        <v>1016</v>
      </c>
      <c r="AL210" s="161" t="s">
        <v>1017</v>
      </c>
      <c r="AM210" s="176" t="s">
        <v>1018</v>
      </c>
      <c r="AN210" s="160"/>
    </row>
    <row r="211" spans="1:40" ht="75.75" thickBot="1" x14ac:dyDescent="0.3">
      <c r="A211" s="84">
        <f t="shared" si="121"/>
        <v>3</v>
      </c>
      <c r="B211" s="198">
        <v>206</v>
      </c>
      <c r="C211" s="51" t="s">
        <v>547</v>
      </c>
      <c r="D211" s="204" t="s">
        <v>1044</v>
      </c>
      <c r="E211" s="60" t="s">
        <v>548</v>
      </c>
      <c r="F211" s="17">
        <v>1</v>
      </c>
      <c r="G211" s="17"/>
      <c r="H211" s="89" t="s">
        <v>28</v>
      </c>
      <c r="I211" s="115">
        <v>1512000</v>
      </c>
      <c r="J211" s="121">
        <f t="shared" si="122"/>
        <v>287280</v>
      </c>
      <c r="K211" s="130">
        <f t="shared" si="123"/>
        <v>1799280</v>
      </c>
      <c r="L211" s="121">
        <f t="shared" si="124"/>
        <v>1512000</v>
      </c>
      <c r="M211" s="122">
        <f t="shared" si="125"/>
        <v>1799280</v>
      </c>
      <c r="N211" s="116">
        <v>1680672</v>
      </c>
      <c r="O211" s="121">
        <f t="shared" si="126"/>
        <v>319327.68</v>
      </c>
      <c r="P211" s="110">
        <f t="shared" si="127"/>
        <v>1999999.68</v>
      </c>
      <c r="Q211" s="121">
        <f t="shared" si="128"/>
        <v>1680672</v>
      </c>
      <c r="R211" s="124">
        <f t="shared" si="129"/>
        <v>1999999.68</v>
      </c>
      <c r="S211" s="117">
        <v>1680672</v>
      </c>
      <c r="T211" s="121">
        <f t="shared" si="130"/>
        <v>319327.68</v>
      </c>
      <c r="U211" s="110">
        <f t="shared" si="131"/>
        <v>1999999.68</v>
      </c>
      <c r="V211" s="121">
        <f t="shared" si="132"/>
        <v>1680672</v>
      </c>
      <c r="W211" s="122">
        <f t="shared" si="133"/>
        <v>1999999.68</v>
      </c>
      <c r="X211" s="108"/>
      <c r="Y211" s="121">
        <f t="shared" si="144"/>
        <v>0</v>
      </c>
      <c r="Z211" s="121">
        <f t="shared" si="145"/>
        <v>0</v>
      </c>
      <c r="AA211" s="121">
        <f t="shared" si="136"/>
        <v>0</v>
      </c>
      <c r="AB211" s="124">
        <f t="shared" si="146"/>
        <v>0</v>
      </c>
      <c r="AC211" s="126">
        <f t="shared" si="138"/>
        <v>1624448</v>
      </c>
      <c r="AD211" s="101">
        <f t="shared" si="150"/>
        <v>1218336</v>
      </c>
      <c r="AE211" s="127">
        <f t="shared" si="139"/>
        <v>79512.743330864891</v>
      </c>
      <c r="AF211" s="128">
        <f t="shared" si="147"/>
        <v>4.8947546077722948E-2</v>
      </c>
      <c r="AG211" s="129">
        <f t="shared" si="141"/>
        <v>1680672</v>
      </c>
      <c r="AH211" s="101">
        <f t="shared" si="151"/>
        <v>1596336</v>
      </c>
      <c r="AI211" s="130">
        <f t="shared" si="148"/>
        <v>79512.743330864891</v>
      </c>
      <c r="AJ211" s="159">
        <f t="shared" si="149"/>
        <v>4.7310089851478984E-2</v>
      </c>
      <c r="AK211" s="183" t="s">
        <v>1019</v>
      </c>
      <c r="AL211" s="173" t="s">
        <v>1020</v>
      </c>
      <c r="AM211" s="184" t="s">
        <v>1021</v>
      </c>
      <c r="AN211" s="160"/>
    </row>
    <row r="212" spans="1:40" ht="120.75" thickBot="1" x14ac:dyDescent="0.3">
      <c r="A212" s="84">
        <f t="shared" si="121"/>
        <v>3</v>
      </c>
      <c r="B212" s="198">
        <v>207</v>
      </c>
      <c r="C212" s="51" t="s">
        <v>549</v>
      </c>
      <c r="D212" s="204" t="s">
        <v>1044</v>
      </c>
      <c r="E212" s="60" t="s">
        <v>550</v>
      </c>
      <c r="F212" s="17">
        <v>1</v>
      </c>
      <c r="G212" s="17"/>
      <c r="H212" s="89" t="s">
        <v>28</v>
      </c>
      <c r="I212" s="131">
        <f>37000000*1.052</f>
        <v>38924000</v>
      </c>
      <c r="J212" s="121">
        <f t="shared" si="122"/>
        <v>7395560</v>
      </c>
      <c r="K212" s="130">
        <f t="shared" si="123"/>
        <v>46319560</v>
      </c>
      <c r="L212" s="121">
        <f t="shared" si="124"/>
        <v>38924000</v>
      </c>
      <c r="M212" s="122">
        <f t="shared" si="125"/>
        <v>46319560</v>
      </c>
      <c r="N212" s="132">
        <f>34500000*1.052</f>
        <v>36294000</v>
      </c>
      <c r="O212" s="121">
        <f t="shared" si="126"/>
        <v>6895860</v>
      </c>
      <c r="P212" s="110">
        <f t="shared" si="127"/>
        <v>43189860</v>
      </c>
      <c r="Q212" s="121">
        <f t="shared" si="128"/>
        <v>36294000</v>
      </c>
      <c r="R212" s="124">
        <f t="shared" si="129"/>
        <v>43189860</v>
      </c>
      <c r="S212" s="131">
        <f>36000000*1.052</f>
        <v>37872000</v>
      </c>
      <c r="T212" s="121">
        <f t="shared" si="130"/>
        <v>7195680</v>
      </c>
      <c r="U212" s="110">
        <f t="shared" si="131"/>
        <v>45067680</v>
      </c>
      <c r="V212" s="121">
        <f t="shared" si="132"/>
        <v>37872000</v>
      </c>
      <c r="W212" s="122">
        <f t="shared" si="133"/>
        <v>45067680</v>
      </c>
      <c r="X212" s="108"/>
      <c r="Y212" s="121">
        <f t="shared" si="144"/>
        <v>0</v>
      </c>
      <c r="Z212" s="121">
        <f t="shared" si="145"/>
        <v>0</v>
      </c>
      <c r="AA212" s="121">
        <f t="shared" si="136"/>
        <v>0</v>
      </c>
      <c r="AB212" s="124">
        <f t="shared" si="146"/>
        <v>0</v>
      </c>
      <c r="AC212" s="126">
        <f t="shared" si="138"/>
        <v>37696667</v>
      </c>
      <c r="AD212" s="101">
        <f t="shared" si="150"/>
        <v>28272500</v>
      </c>
      <c r="AE212" s="127">
        <f t="shared" si="139"/>
        <v>1080827.2551872272</v>
      </c>
      <c r="AF212" s="128">
        <f t="shared" si="147"/>
        <v>2.8671692783535138E-2</v>
      </c>
      <c r="AG212" s="129">
        <f t="shared" si="141"/>
        <v>37872000</v>
      </c>
      <c r="AH212" s="101">
        <f t="shared" si="151"/>
        <v>37083000</v>
      </c>
      <c r="AI212" s="130">
        <f t="shared" si="148"/>
        <v>1080827.2551872272</v>
      </c>
      <c r="AJ212" s="159">
        <f t="shared" si="149"/>
        <v>2.8538953717448964E-2</v>
      </c>
      <c r="AK212" s="290" t="s">
        <v>1036</v>
      </c>
      <c r="AL212" s="291"/>
      <c r="AM212" s="292"/>
      <c r="AN212" s="160"/>
    </row>
    <row r="213" spans="1:40" ht="60.75" thickBot="1" x14ac:dyDescent="0.3">
      <c r="A213" s="84">
        <f t="shared" si="121"/>
        <v>3</v>
      </c>
      <c r="B213" s="198">
        <v>208</v>
      </c>
      <c r="C213" s="51" t="s">
        <v>551</v>
      </c>
      <c r="D213" s="204" t="s">
        <v>1044</v>
      </c>
      <c r="E213" s="60" t="s">
        <v>552</v>
      </c>
      <c r="F213" s="17">
        <v>1</v>
      </c>
      <c r="G213" s="17"/>
      <c r="H213" s="89" t="s">
        <v>28</v>
      </c>
      <c r="I213" s="131">
        <f>27000000*1.052</f>
        <v>28404000</v>
      </c>
      <c r="J213" s="121">
        <f t="shared" si="122"/>
        <v>5396760</v>
      </c>
      <c r="K213" s="130">
        <f t="shared" si="123"/>
        <v>33800760</v>
      </c>
      <c r="L213" s="121">
        <f t="shared" si="124"/>
        <v>28404000</v>
      </c>
      <c r="M213" s="122">
        <f t="shared" si="125"/>
        <v>33800760</v>
      </c>
      <c r="N213" s="132">
        <f>26500000*1.052</f>
        <v>27878000</v>
      </c>
      <c r="O213" s="121">
        <f t="shared" si="126"/>
        <v>5296820</v>
      </c>
      <c r="P213" s="110">
        <f t="shared" si="127"/>
        <v>33174820</v>
      </c>
      <c r="Q213" s="121">
        <f t="shared" si="128"/>
        <v>27878000</v>
      </c>
      <c r="R213" s="124">
        <f t="shared" si="129"/>
        <v>33174820</v>
      </c>
      <c r="S213" s="131">
        <f>24000000*1.052</f>
        <v>25248000</v>
      </c>
      <c r="T213" s="121">
        <f t="shared" si="130"/>
        <v>4797120</v>
      </c>
      <c r="U213" s="110">
        <f t="shared" si="131"/>
        <v>30045120</v>
      </c>
      <c r="V213" s="121">
        <f t="shared" si="132"/>
        <v>25248000</v>
      </c>
      <c r="W213" s="122">
        <f t="shared" si="133"/>
        <v>30045120</v>
      </c>
      <c r="X213" s="108"/>
      <c r="Y213" s="121">
        <f t="shared" si="144"/>
        <v>0</v>
      </c>
      <c r="Z213" s="121">
        <f t="shared" si="145"/>
        <v>0</v>
      </c>
      <c r="AA213" s="121">
        <f t="shared" si="136"/>
        <v>0</v>
      </c>
      <c r="AB213" s="124">
        <f t="shared" si="146"/>
        <v>0</v>
      </c>
      <c r="AC213" s="126">
        <f t="shared" si="138"/>
        <v>27176667</v>
      </c>
      <c r="AD213" s="101">
        <f t="shared" si="150"/>
        <v>20382500</v>
      </c>
      <c r="AE213" s="127">
        <f t="shared" si="139"/>
        <v>1380576.0472434042</v>
      </c>
      <c r="AF213" s="128">
        <f t="shared" si="147"/>
        <v>5.0800050176992059E-2</v>
      </c>
      <c r="AG213" s="129">
        <f t="shared" si="141"/>
        <v>27878000</v>
      </c>
      <c r="AH213" s="101">
        <f t="shared" si="151"/>
        <v>26563000</v>
      </c>
      <c r="AI213" s="130">
        <f t="shared" si="148"/>
        <v>1380576.0472434042</v>
      </c>
      <c r="AJ213" s="159">
        <f t="shared" si="149"/>
        <v>4.9522062100703215E-2</v>
      </c>
      <c r="AK213" s="290" t="s">
        <v>1036</v>
      </c>
      <c r="AL213" s="291"/>
      <c r="AM213" s="292"/>
      <c r="AN213" s="160"/>
    </row>
    <row r="214" spans="1:40" ht="75.75" thickBot="1" x14ac:dyDescent="0.3">
      <c r="A214" s="84">
        <f t="shared" si="121"/>
        <v>3</v>
      </c>
      <c r="B214" s="198">
        <v>209</v>
      </c>
      <c r="C214" s="51" t="s">
        <v>553</v>
      </c>
      <c r="D214" s="204" t="s">
        <v>1044</v>
      </c>
      <c r="E214" s="60" t="s">
        <v>554</v>
      </c>
      <c r="F214" s="17">
        <v>1</v>
      </c>
      <c r="G214" s="17"/>
      <c r="H214" s="89" t="s">
        <v>28</v>
      </c>
      <c r="I214" s="131">
        <f>30500000*1.052</f>
        <v>32086000</v>
      </c>
      <c r="J214" s="121">
        <f t="shared" si="122"/>
        <v>6096340</v>
      </c>
      <c r="K214" s="130">
        <f t="shared" si="123"/>
        <v>38182340</v>
      </c>
      <c r="L214" s="121">
        <f t="shared" si="124"/>
        <v>32086000</v>
      </c>
      <c r="M214" s="122">
        <f t="shared" si="125"/>
        <v>38182340</v>
      </c>
      <c r="N214" s="132">
        <f>32000000*1.052</f>
        <v>33664000</v>
      </c>
      <c r="O214" s="121">
        <f t="shared" si="126"/>
        <v>6396160</v>
      </c>
      <c r="P214" s="110">
        <f t="shared" si="127"/>
        <v>40060160</v>
      </c>
      <c r="Q214" s="121">
        <f t="shared" si="128"/>
        <v>33664000</v>
      </c>
      <c r="R214" s="124">
        <f t="shared" si="129"/>
        <v>40060160</v>
      </c>
      <c r="S214" s="131">
        <f>28400000*1.052</f>
        <v>29876800</v>
      </c>
      <c r="T214" s="121">
        <f t="shared" si="130"/>
        <v>5676592</v>
      </c>
      <c r="U214" s="110">
        <f t="shared" si="131"/>
        <v>35553392</v>
      </c>
      <c r="V214" s="121">
        <f t="shared" si="132"/>
        <v>29876800</v>
      </c>
      <c r="W214" s="122">
        <f t="shared" si="133"/>
        <v>35553392</v>
      </c>
      <c r="X214" s="108"/>
      <c r="Y214" s="121">
        <f t="shared" si="144"/>
        <v>0</v>
      </c>
      <c r="Z214" s="121">
        <f t="shared" si="145"/>
        <v>0</v>
      </c>
      <c r="AA214" s="121">
        <f t="shared" si="136"/>
        <v>0</v>
      </c>
      <c r="AB214" s="124">
        <f t="shared" si="146"/>
        <v>0</v>
      </c>
      <c r="AC214" s="126">
        <f t="shared" si="138"/>
        <v>31875600</v>
      </c>
      <c r="AD214" s="101">
        <f t="shared" si="150"/>
        <v>23906700</v>
      </c>
      <c r="AE214" s="127">
        <f t="shared" si="139"/>
        <v>1553259.3859365538</v>
      </c>
      <c r="AF214" s="128">
        <f t="shared" si="147"/>
        <v>4.872878897766799E-2</v>
      </c>
      <c r="AG214" s="129">
        <f t="shared" si="141"/>
        <v>32086000</v>
      </c>
      <c r="AH214" s="101">
        <f t="shared" si="151"/>
        <v>30981400</v>
      </c>
      <c r="AI214" s="130">
        <f t="shared" si="148"/>
        <v>1553259.3859365538</v>
      </c>
      <c r="AJ214" s="159">
        <f t="shared" si="149"/>
        <v>4.8409255935191478E-2</v>
      </c>
      <c r="AK214" s="290" t="s">
        <v>1036</v>
      </c>
      <c r="AL214" s="291"/>
      <c r="AM214" s="292"/>
      <c r="AN214" s="160"/>
    </row>
    <row r="215" spans="1:40" ht="60.75" thickBot="1" x14ac:dyDescent="0.3">
      <c r="A215" s="84">
        <f t="shared" si="121"/>
        <v>3</v>
      </c>
      <c r="B215" s="198">
        <v>210</v>
      </c>
      <c r="C215" s="51" t="s">
        <v>555</v>
      </c>
      <c r="D215" s="204" t="s">
        <v>1044</v>
      </c>
      <c r="E215" s="60" t="s">
        <v>556</v>
      </c>
      <c r="F215" s="17">
        <v>1</v>
      </c>
      <c r="G215" s="17"/>
      <c r="H215" s="89" t="s">
        <v>28</v>
      </c>
      <c r="I215" s="131">
        <f>18000000*1.052</f>
        <v>18936000</v>
      </c>
      <c r="J215" s="121">
        <f t="shared" si="122"/>
        <v>3597840</v>
      </c>
      <c r="K215" s="130">
        <f t="shared" si="123"/>
        <v>22533840</v>
      </c>
      <c r="L215" s="121">
        <f t="shared" si="124"/>
        <v>18936000</v>
      </c>
      <c r="M215" s="122">
        <f t="shared" si="125"/>
        <v>22533840</v>
      </c>
      <c r="N215" s="132">
        <f>19500000*1.052</f>
        <v>20514000</v>
      </c>
      <c r="O215" s="121">
        <f t="shared" si="126"/>
        <v>3897660</v>
      </c>
      <c r="P215" s="110">
        <f t="shared" si="127"/>
        <v>24411660</v>
      </c>
      <c r="Q215" s="121">
        <f t="shared" si="128"/>
        <v>20514000</v>
      </c>
      <c r="R215" s="124">
        <f t="shared" si="129"/>
        <v>24411660</v>
      </c>
      <c r="S215" s="131">
        <f>23000000*1.052</f>
        <v>24196000</v>
      </c>
      <c r="T215" s="121">
        <f t="shared" si="130"/>
        <v>4597240</v>
      </c>
      <c r="U215" s="110">
        <f t="shared" si="131"/>
        <v>28793240</v>
      </c>
      <c r="V215" s="121">
        <f t="shared" si="132"/>
        <v>24196000</v>
      </c>
      <c r="W215" s="122">
        <f t="shared" si="133"/>
        <v>28793240</v>
      </c>
      <c r="X215" s="108"/>
      <c r="Y215" s="121">
        <f t="shared" si="144"/>
        <v>0</v>
      </c>
      <c r="Z215" s="121">
        <f t="shared" si="145"/>
        <v>0</v>
      </c>
      <c r="AA215" s="121">
        <f t="shared" si="136"/>
        <v>0</v>
      </c>
      <c r="AB215" s="124">
        <f t="shared" si="146"/>
        <v>0</v>
      </c>
      <c r="AC215" s="126">
        <f t="shared" si="138"/>
        <v>21215333</v>
      </c>
      <c r="AD215" s="101">
        <f t="shared" si="150"/>
        <v>15911500</v>
      </c>
      <c r="AE215" s="127">
        <f t="shared" si="139"/>
        <v>2203905.8257758855</v>
      </c>
      <c r="AF215" s="128">
        <f t="shared" si="147"/>
        <v>0.10388268832621601</v>
      </c>
      <c r="AG215" s="129">
        <f t="shared" si="141"/>
        <v>20514000</v>
      </c>
      <c r="AH215" s="101">
        <f t="shared" si="151"/>
        <v>19725000</v>
      </c>
      <c r="AI215" s="130">
        <f t="shared" si="148"/>
        <v>2203905.8257758855</v>
      </c>
      <c r="AJ215" s="159">
        <f t="shared" si="149"/>
        <v>0.10743423153826097</v>
      </c>
      <c r="AK215" s="290" t="s">
        <v>1036</v>
      </c>
      <c r="AL215" s="291"/>
      <c r="AM215" s="292"/>
      <c r="AN215" s="160"/>
    </row>
    <row r="216" spans="1:40" ht="75.75" thickBot="1" x14ac:dyDescent="0.3">
      <c r="A216" s="84">
        <f t="shared" si="121"/>
        <v>3</v>
      </c>
      <c r="B216" s="198">
        <v>211</v>
      </c>
      <c r="C216" s="51" t="s">
        <v>557</v>
      </c>
      <c r="D216" s="204" t="s">
        <v>1044</v>
      </c>
      <c r="E216" s="60" t="s">
        <v>558</v>
      </c>
      <c r="F216" s="17">
        <v>1</v>
      </c>
      <c r="G216" s="17"/>
      <c r="H216" s="89" t="s">
        <v>28</v>
      </c>
      <c r="I216" s="131">
        <f>24500000*1.052</f>
        <v>25774000</v>
      </c>
      <c r="J216" s="121">
        <f t="shared" si="122"/>
        <v>4897060</v>
      </c>
      <c r="K216" s="130">
        <f t="shared" si="123"/>
        <v>30671060</v>
      </c>
      <c r="L216" s="121">
        <f t="shared" si="124"/>
        <v>25774000</v>
      </c>
      <c r="M216" s="122">
        <f t="shared" si="125"/>
        <v>30671060</v>
      </c>
      <c r="N216" s="132">
        <f>29000000*1.052</f>
        <v>30508000</v>
      </c>
      <c r="O216" s="121">
        <f t="shared" si="126"/>
        <v>5796520</v>
      </c>
      <c r="P216" s="110">
        <f t="shared" si="127"/>
        <v>36304520</v>
      </c>
      <c r="Q216" s="121">
        <f t="shared" si="128"/>
        <v>30508000</v>
      </c>
      <c r="R216" s="124">
        <f t="shared" si="129"/>
        <v>36304520</v>
      </c>
      <c r="S216" s="131">
        <f>23000000*1.052</f>
        <v>24196000</v>
      </c>
      <c r="T216" s="121">
        <f t="shared" si="130"/>
        <v>4597240</v>
      </c>
      <c r="U216" s="110">
        <f t="shared" si="131"/>
        <v>28793240</v>
      </c>
      <c r="V216" s="121">
        <f t="shared" si="132"/>
        <v>24196000</v>
      </c>
      <c r="W216" s="122">
        <f t="shared" si="133"/>
        <v>28793240</v>
      </c>
      <c r="X216" s="108"/>
      <c r="Y216" s="121">
        <f t="shared" si="144"/>
        <v>0</v>
      </c>
      <c r="Z216" s="121">
        <f t="shared" si="145"/>
        <v>0</v>
      </c>
      <c r="AA216" s="121">
        <f t="shared" si="136"/>
        <v>0</v>
      </c>
      <c r="AB216" s="124">
        <f t="shared" si="146"/>
        <v>0</v>
      </c>
      <c r="AC216" s="126">
        <f t="shared" si="138"/>
        <v>26826000</v>
      </c>
      <c r="AD216" s="101">
        <f t="shared" si="150"/>
        <v>20119500</v>
      </c>
      <c r="AE216" s="127">
        <f t="shared" si="139"/>
        <v>2682084.2641498046</v>
      </c>
      <c r="AF216" s="128">
        <f t="shared" si="147"/>
        <v>9.9980774776329107E-2</v>
      </c>
      <c r="AG216" s="129">
        <f t="shared" si="141"/>
        <v>25774000</v>
      </c>
      <c r="AH216" s="101">
        <f t="shared" si="151"/>
        <v>24985000</v>
      </c>
      <c r="AI216" s="130">
        <f t="shared" si="148"/>
        <v>2682084.2641498046</v>
      </c>
      <c r="AJ216" s="159">
        <f t="shared" si="149"/>
        <v>0.10406162272638335</v>
      </c>
      <c r="AK216" s="290" t="s">
        <v>1036</v>
      </c>
      <c r="AL216" s="291"/>
      <c r="AM216" s="292"/>
      <c r="AN216" s="160"/>
    </row>
    <row r="217" spans="1:40" ht="30.75" thickBot="1" x14ac:dyDescent="0.3">
      <c r="A217" s="84">
        <f t="shared" si="121"/>
        <v>3</v>
      </c>
      <c r="B217" s="198">
        <v>212</v>
      </c>
      <c r="C217" s="51" t="s">
        <v>559</v>
      </c>
      <c r="D217" s="204" t="s">
        <v>1044</v>
      </c>
      <c r="E217" s="60" t="s">
        <v>560</v>
      </c>
      <c r="F217" s="17">
        <v>1</v>
      </c>
      <c r="G217" s="17"/>
      <c r="H217" s="89" t="s">
        <v>28</v>
      </c>
      <c r="I217" s="131">
        <f>3000000*1.052</f>
        <v>3156000</v>
      </c>
      <c r="J217" s="121">
        <f t="shared" si="122"/>
        <v>599640</v>
      </c>
      <c r="K217" s="130">
        <f t="shared" si="123"/>
        <v>3755640</v>
      </c>
      <c r="L217" s="121">
        <f t="shared" si="124"/>
        <v>3156000</v>
      </c>
      <c r="M217" s="122">
        <f t="shared" si="125"/>
        <v>3755640</v>
      </c>
      <c r="N217" s="132">
        <f>3200000*1.052</f>
        <v>3366400</v>
      </c>
      <c r="O217" s="121">
        <f t="shared" si="126"/>
        <v>639616</v>
      </c>
      <c r="P217" s="110">
        <f t="shared" si="127"/>
        <v>4006016</v>
      </c>
      <c r="Q217" s="121">
        <f t="shared" si="128"/>
        <v>3366400</v>
      </c>
      <c r="R217" s="124">
        <f t="shared" si="129"/>
        <v>4006016</v>
      </c>
      <c r="S217" s="131">
        <f>3500000*1.052</f>
        <v>3682000</v>
      </c>
      <c r="T217" s="121">
        <f t="shared" si="130"/>
        <v>699580</v>
      </c>
      <c r="U217" s="110">
        <f t="shared" si="131"/>
        <v>4381580</v>
      </c>
      <c r="V217" s="121">
        <f t="shared" si="132"/>
        <v>3682000</v>
      </c>
      <c r="W217" s="122">
        <f t="shared" si="133"/>
        <v>4381580</v>
      </c>
      <c r="X217" s="108"/>
      <c r="Y217" s="121">
        <f t="shared" si="144"/>
        <v>0</v>
      </c>
      <c r="Z217" s="121">
        <f t="shared" si="145"/>
        <v>0</v>
      </c>
      <c r="AA217" s="121">
        <f t="shared" si="136"/>
        <v>0</v>
      </c>
      <c r="AB217" s="124">
        <f t="shared" si="146"/>
        <v>0</v>
      </c>
      <c r="AC217" s="126">
        <f t="shared" si="138"/>
        <v>3401467</v>
      </c>
      <c r="AD217" s="101">
        <f t="shared" si="150"/>
        <v>2551100</v>
      </c>
      <c r="AE217" s="127">
        <f t="shared" si="139"/>
        <v>216165.45103744543</v>
      </c>
      <c r="AF217" s="128">
        <f t="shared" si="147"/>
        <v>6.3550653596652684E-2</v>
      </c>
      <c r="AG217" s="129">
        <f t="shared" si="141"/>
        <v>3366400</v>
      </c>
      <c r="AH217" s="101">
        <f t="shared" si="151"/>
        <v>3261200</v>
      </c>
      <c r="AI217" s="130">
        <f t="shared" si="148"/>
        <v>216165.45103744543</v>
      </c>
      <c r="AJ217" s="159">
        <f t="shared" si="149"/>
        <v>6.4212645864260162E-2</v>
      </c>
      <c r="AK217" s="290" t="s">
        <v>1036</v>
      </c>
      <c r="AL217" s="291"/>
      <c r="AM217" s="292"/>
      <c r="AN217" s="160"/>
    </row>
    <row r="218" spans="1:40" ht="45.75" thickBot="1" x14ac:dyDescent="0.3">
      <c r="A218" s="84">
        <f t="shared" si="121"/>
        <v>3</v>
      </c>
      <c r="B218" s="198">
        <v>213</v>
      </c>
      <c r="C218" s="51" t="s">
        <v>561</v>
      </c>
      <c r="D218" s="204" t="s">
        <v>1044</v>
      </c>
      <c r="E218" s="60" t="s">
        <v>562</v>
      </c>
      <c r="F218" s="17">
        <v>1</v>
      </c>
      <c r="G218" s="17"/>
      <c r="H218" s="89" t="s">
        <v>28</v>
      </c>
      <c r="I218" s="131">
        <f>2600000*1.052</f>
        <v>2735200</v>
      </c>
      <c r="J218" s="121">
        <f t="shared" si="122"/>
        <v>519688</v>
      </c>
      <c r="K218" s="130">
        <f t="shared" si="123"/>
        <v>3254888</v>
      </c>
      <c r="L218" s="121">
        <f t="shared" si="124"/>
        <v>2735200</v>
      </c>
      <c r="M218" s="122">
        <f t="shared" si="125"/>
        <v>3254888</v>
      </c>
      <c r="N218" s="132">
        <f>2200000*1.052</f>
        <v>2314400</v>
      </c>
      <c r="O218" s="121">
        <f t="shared" si="126"/>
        <v>439736</v>
      </c>
      <c r="P218" s="110">
        <f t="shared" si="127"/>
        <v>2754136</v>
      </c>
      <c r="Q218" s="121">
        <f t="shared" si="128"/>
        <v>2314400</v>
      </c>
      <c r="R218" s="124">
        <f t="shared" si="129"/>
        <v>2754136</v>
      </c>
      <c r="S218" s="131">
        <f>2500000*1.052</f>
        <v>2630000</v>
      </c>
      <c r="T218" s="121">
        <f t="shared" si="130"/>
        <v>499700</v>
      </c>
      <c r="U218" s="110">
        <f t="shared" si="131"/>
        <v>3129700</v>
      </c>
      <c r="V218" s="121">
        <f t="shared" si="132"/>
        <v>2630000</v>
      </c>
      <c r="W218" s="122">
        <f t="shared" si="133"/>
        <v>3129700</v>
      </c>
      <c r="X218" s="108"/>
      <c r="Y218" s="121">
        <f t="shared" si="144"/>
        <v>0</v>
      </c>
      <c r="Z218" s="121">
        <f t="shared" si="145"/>
        <v>0</v>
      </c>
      <c r="AA218" s="121">
        <f t="shared" si="136"/>
        <v>0</v>
      </c>
      <c r="AB218" s="124">
        <f t="shared" si="146"/>
        <v>0</v>
      </c>
      <c r="AC218" s="126">
        <f t="shared" si="138"/>
        <v>2559867</v>
      </c>
      <c r="AD218" s="101">
        <f t="shared" si="150"/>
        <v>1919900</v>
      </c>
      <c r="AE218" s="127">
        <f t="shared" si="139"/>
        <v>178805.61760998698</v>
      </c>
      <c r="AF218" s="128">
        <f t="shared" si="147"/>
        <v>6.9849573282513108E-2</v>
      </c>
      <c r="AG218" s="129">
        <f t="shared" si="141"/>
        <v>2630000</v>
      </c>
      <c r="AH218" s="101">
        <f t="shared" si="151"/>
        <v>2472200</v>
      </c>
      <c r="AI218" s="130">
        <f t="shared" si="148"/>
        <v>178805.61760998698</v>
      </c>
      <c r="AJ218" s="159">
        <f t="shared" si="149"/>
        <v>6.7986926847903792E-2</v>
      </c>
      <c r="AK218" s="290" t="s">
        <v>1036</v>
      </c>
      <c r="AL218" s="291"/>
      <c r="AM218" s="292"/>
      <c r="AN218" s="160"/>
    </row>
    <row r="219" spans="1:40" ht="45.75" thickBot="1" x14ac:dyDescent="0.3">
      <c r="A219" s="84">
        <f t="shared" si="121"/>
        <v>3</v>
      </c>
      <c r="B219" s="198">
        <v>214</v>
      </c>
      <c r="C219" s="51" t="s">
        <v>563</v>
      </c>
      <c r="D219" s="204" t="s">
        <v>1044</v>
      </c>
      <c r="E219" s="60" t="s">
        <v>564</v>
      </c>
      <c r="F219" s="17">
        <v>1</v>
      </c>
      <c r="G219" s="17"/>
      <c r="H219" s="89" t="s">
        <v>28</v>
      </c>
      <c r="I219" s="131">
        <f>1450000*1.052</f>
        <v>1525400</v>
      </c>
      <c r="J219" s="121">
        <f t="shared" si="122"/>
        <v>289826</v>
      </c>
      <c r="K219" s="130">
        <f t="shared" si="123"/>
        <v>1815226</v>
      </c>
      <c r="L219" s="121">
        <f t="shared" si="124"/>
        <v>1525400</v>
      </c>
      <c r="M219" s="122">
        <f t="shared" si="125"/>
        <v>1815226</v>
      </c>
      <c r="N219" s="132">
        <f>1690000*1.052</f>
        <v>1777880</v>
      </c>
      <c r="O219" s="121">
        <f t="shared" si="126"/>
        <v>337797.2</v>
      </c>
      <c r="P219" s="110">
        <f t="shared" si="127"/>
        <v>2115677.2000000002</v>
      </c>
      <c r="Q219" s="121">
        <f t="shared" si="128"/>
        <v>1777880</v>
      </c>
      <c r="R219" s="124">
        <f t="shared" si="129"/>
        <v>2115677.2000000002</v>
      </c>
      <c r="S219" s="131">
        <f>1590000*1.052</f>
        <v>1672680</v>
      </c>
      <c r="T219" s="121">
        <f t="shared" si="130"/>
        <v>317809.2</v>
      </c>
      <c r="U219" s="110">
        <f t="shared" si="131"/>
        <v>1990489.2</v>
      </c>
      <c r="V219" s="121">
        <f t="shared" si="132"/>
        <v>1672680</v>
      </c>
      <c r="W219" s="122">
        <f t="shared" si="133"/>
        <v>1990489.2</v>
      </c>
      <c r="X219" s="108"/>
      <c r="Y219" s="121">
        <f t="shared" si="144"/>
        <v>0</v>
      </c>
      <c r="Z219" s="121">
        <f t="shared" si="145"/>
        <v>0</v>
      </c>
      <c r="AA219" s="121">
        <f t="shared" si="136"/>
        <v>0</v>
      </c>
      <c r="AB219" s="124">
        <f t="shared" si="146"/>
        <v>0</v>
      </c>
      <c r="AC219" s="126">
        <f t="shared" si="138"/>
        <v>1658653</v>
      </c>
      <c r="AD219" s="101">
        <f t="shared" si="150"/>
        <v>1243990</v>
      </c>
      <c r="AE219" s="127">
        <f t="shared" si="139"/>
        <v>103550.62572910357</v>
      </c>
      <c r="AF219" s="128">
        <f t="shared" si="147"/>
        <v>6.2430554027336382E-2</v>
      </c>
      <c r="AG219" s="129">
        <f t="shared" si="141"/>
        <v>1672680</v>
      </c>
      <c r="AH219" s="101">
        <f t="shared" si="151"/>
        <v>1599040</v>
      </c>
      <c r="AI219" s="130">
        <f t="shared" si="148"/>
        <v>103550.62572910357</v>
      </c>
      <c r="AJ219" s="159">
        <f t="shared" si="149"/>
        <v>6.1907014927603352E-2</v>
      </c>
      <c r="AK219" s="290" t="s">
        <v>1036</v>
      </c>
      <c r="AL219" s="291"/>
      <c r="AM219" s="292"/>
      <c r="AN219" s="160"/>
    </row>
    <row r="220" spans="1:40" ht="45.75" thickBot="1" x14ac:dyDescent="0.3">
      <c r="A220" s="84">
        <f t="shared" si="121"/>
        <v>3</v>
      </c>
      <c r="B220" s="198">
        <v>215</v>
      </c>
      <c r="C220" s="51" t="s">
        <v>565</v>
      </c>
      <c r="D220" s="204" t="s">
        <v>1044</v>
      </c>
      <c r="E220" s="60" t="s">
        <v>566</v>
      </c>
      <c r="F220" s="17">
        <v>1</v>
      </c>
      <c r="G220" s="17"/>
      <c r="H220" s="89" t="s">
        <v>28</v>
      </c>
      <c r="I220" s="131">
        <f>2000000*1.052</f>
        <v>2104000</v>
      </c>
      <c r="J220" s="121">
        <f t="shared" si="122"/>
        <v>399760</v>
      </c>
      <c r="K220" s="130">
        <f t="shared" si="123"/>
        <v>2503760</v>
      </c>
      <c r="L220" s="121">
        <f t="shared" si="124"/>
        <v>2104000</v>
      </c>
      <c r="M220" s="122">
        <f t="shared" si="125"/>
        <v>2503760</v>
      </c>
      <c r="N220" s="132">
        <f>2300000*1.052</f>
        <v>2419600</v>
      </c>
      <c r="O220" s="121">
        <f t="shared" si="126"/>
        <v>459724</v>
      </c>
      <c r="P220" s="110">
        <f t="shared" si="127"/>
        <v>2879324</v>
      </c>
      <c r="Q220" s="121">
        <f t="shared" si="128"/>
        <v>2419600</v>
      </c>
      <c r="R220" s="124">
        <f t="shared" si="129"/>
        <v>2879324</v>
      </c>
      <c r="S220" s="131">
        <f>2800000*1.052</f>
        <v>2945600</v>
      </c>
      <c r="T220" s="121">
        <f t="shared" si="130"/>
        <v>559664</v>
      </c>
      <c r="U220" s="110">
        <f t="shared" si="131"/>
        <v>3505264</v>
      </c>
      <c r="V220" s="121">
        <f t="shared" si="132"/>
        <v>2945600</v>
      </c>
      <c r="W220" s="122">
        <f t="shared" si="133"/>
        <v>3505264</v>
      </c>
      <c r="X220" s="108"/>
      <c r="Y220" s="121">
        <f t="shared" si="144"/>
        <v>0</v>
      </c>
      <c r="Z220" s="121">
        <f t="shared" si="145"/>
        <v>0</v>
      </c>
      <c r="AA220" s="121">
        <f t="shared" si="136"/>
        <v>0</v>
      </c>
      <c r="AB220" s="124">
        <f t="shared" si="146"/>
        <v>0</v>
      </c>
      <c r="AC220" s="126">
        <f t="shared" si="138"/>
        <v>2489733</v>
      </c>
      <c r="AD220" s="101">
        <f t="shared" si="150"/>
        <v>1867300</v>
      </c>
      <c r="AE220" s="127">
        <f t="shared" si="139"/>
        <v>347142.28911051573</v>
      </c>
      <c r="AF220" s="128">
        <f t="shared" si="147"/>
        <v>0.1394295248167236</v>
      </c>
      <c r="AG220" s="129">
        <f t="shared" si="141"/>
        <v>2419600</v>
      </c>
      <c r="AH220" s="101">
        <f t="shared" si="151"/>
        <v>2261800</v>
      </c>
      <c r="AI220" s="130">
        <f t="shared" si="148"/>
        <v>347142.28911051573</v>
      </c>
      <c r="AJ220" s="159">
        <f t="shared" si="149"/>
        <v>0.143470941110314</v>
      </c>
      <c r="AK220" s="290" t="s">
        <v>1036</v>
      </c>
      <c r="AL220" s="291"/>
      <c r="AM220" s="292"/>
      <c r="AN220" s="160"/>
    </row>
    <row r="221" spans="1:40" ht="45.75" thickBot="1" x14ac:dyDescent="0.3">
      <c r="A221" s="84">
        <f t="shared" si="121"/>
        <v>3</v>
      </c>
      <c r="B221" s="198">
        <v>216</v>
      </c>
      <c r="C221" s="51" t="s">
        <v>567</v>
      </c>
      <c r="D221" s="204" t="s">
        <v>1044</v>
      </c>
      <c r="E221" s="60" t="s">
        <v>568</v>
      </c>
      <c r="F221" s="17">
        <v>1</v>
      </c>
      <c r="G221" s="17"/>
      <c r="H221" s="89" t="s">
        <v>28</v>
      </c>
      <c r="I221" s="131">
        <f>4500000*1.052</f>
        <v>4734000</v>
      </c>
      <c r="J221" s="121">
        <f t="shared" si="122"/>
        <v>899460</v>
      </c>
      <c r="K221" s="130">
        <f t="shared" si="123"/>
        <v>5633460</v>
      </c>
      <c r="L221" s="121">
        <f t="shared" si="124"/>
        <v>4734000</v>
      </c>
      <c r="M221" s="122">
        <f t="shared" si="125"/>
        <v>5633460</v>
      </c>
      <c r="N221" s="132">
        <f>3700000*1.052</f>
        <v>3892400</v>
      </c>
      <c r="O221" s="121">
        <f t="shared" si="126"/>
        <v>739556</v>
      </c>
      <c r="P221" s="110">
        <f t="shared" si="127"/>
        <v>4631956</v>
      </c>
      <c r="Q221" s="121">
        <f t="shared" si="128"/>
        <v>3892400</v>
      </c>
      <c r="R221" s="124">
        <f t="shared" si="129"/>
        <v>4631956</v>
      </c>
      <c r="S221" s="131">
        <f>4580000*1.052</f>
        <v>4818160</v>
      </c>
      <c r="T221" s="121">
        <f t="shared" si="130"/>
        <v>915450.4</v>
      </c>
      <c r="U221" s="110">
        <f t="shared" si="131"/>
        <v>5733610.4000000004</v>
      </c>
      <c r="V221" s="121">
        <f t="shared" si="132"/>
        <v>4818160</v>
      </c>
      <c r="W221" s="122">
        <f t="shared" si="133"/>
        <v>5733610.4000000004</v>
      </c>
      <c r="X221" s="108"/>
      <c r="Y221" s="121">
        <f t="shared" si="144"/>
        <v>0</v>
      </c>
      <c r="Z221" s="121">
        <f t="shared" si="145"/>
        <v>0</v>
      </c>
      <c r="AA221" s="121">
        <f t="shared" si="136"/>
        <v>0</v>
      </c>
      <c r="AB221" s="124">
        <f t="shared" si="146"/>
        <v>0</v>
      </c>
      <c r="AC221" s="126">
        <f t="shared" si="138"/>
        <v>4481520</v>
      </c>
      <c r="AD221" s="101">
        <f t="shared" si="150"/>
        <v>3361140</v>
      </c>
      <c r="AE221" s="127">
        <f t="shared" si="139"/>
        <v>417985.25269041088</v>
      </c>
      <c r="AF221" s="128">
        <f t="shared" si="147"/>
        <v>9.3268634902981776E-2</v>
      </c>
      <c r="AG221" s="129">
        <f t="shared" si="141"/>
        <v>4734000</v>
      </c>
      <c r="AH221" s="101">
        <f t="shared" si="151"/>
        <v>4313200</v>
      </c>
      <c r="AI221" s="130">
        <f t="shared" si="148"/>
        <v>417985.25269041088</v>
      </c>
      <c r="AJ221" s="159">
        <f t="shared" si="149"/>
        <v>8.8294307708156078E-2</v>
      </c>
      <c r="AK221" s="290" t="s">
        <v>1036</v>
      </c>
      <c r="AL221" s="291"/>
      <c r="AM221" s="292"/>
      <c r="AN221" s="160"/>
    </row>
    <row r="222" spans="1:40" ht="45.75" thickBot="1" x14ac:dyDescent="0.3">
      <c r="A222" s="84">
        <f t="shared" si="121"/>
        <v>3</v>
      </c>
      <c r="B222" s="198">
        <v>217</v>
      </c>
      <c r="C222" s="51" t="s">
        <v>569</v>
      </c>
      <c r="D222" s="204" t="s">
        <v>1044</v>
      </c>
      <c r="E222" s="60" t="s">
        <v>570</v>
      </c>
      <c r="F222" s="17">
        <v>1</v>
      </c>
      <c r="G222" s="17"/>
      <c r="H222" s="89" t="s">
        <v>28</v>
      </c>
      <c r="I222" s="131">
        <f>2000000*1.052</f>
        <v>2104000</v>
      </c>
      <c r="J222" s="121">
        <f t="shared" si="122"/>
        <v>399760</v>
      </c>
      <c r="K222" s="130">
        <f t="shared" si="123"/>
        <v>2503760</v>
      </c>
      <c r="L222" s="121">
        <f t="shared" si="124"/>
        <v>2104000</v>
      </c>
      <c r="M222" s="122">
        <f t="shared" si="125"/>
        <v>2503760</v>
      </c>
      <c r="N222" s="132">
        <f>2700000*1.052</f>
        <v>2840400</v>
      </c>
      <c r="O222" s="121">
        <f t="shared" si="126"/>
        <v>539676</v>
      </c>
      <c r="P222" s="110">
        <f t="shared" si="127"/>
        <v>3380076</v>
      </c>
      <c r="Q222" s="121">
        <f t="shared" si="128"/>
        <v>2840400</v>
      </c>
      <c r="R222" s="124">
        <f t="shared" si="129"/>
        <v>3380076</v>
      </c>
      <c r="S222" s="131">
        <f>1800000*1.052</f>
        <v>1893600</v>
      </c>
      <c r="T222" s="121">
        <f t="shared" si="130"/>
        <v>359784</v>
      </c>
      <c r="U222" s="110">
        <f t="shared" si="131"/>
        <v>2253384</v>
      </c>
      <c r="V222" s="121">
        <f t="shared" si="132"/>
        <v>1893600</v>
      </c>
      <c r="W222" s="122">
        <f t="shared" si="133"/>
        <v>2253384</v>
      </c>
      <c r="X222" s="108"/>
      <c r="Y222" s="121">
        <f t="shared" si="144"/>
        <v>0</v>
      </c>
      <c r="Z222" s="121">
        <f t="shared" si="145"/>
        <v>0</v>
      </c>
      <c r="AA222" s="121">
        <f t="shared" si="136"/>
        <v>0</v>
      </c>
      <c r="AB222" s="124">
        <f t="shared" si="146"/>
        <v>0</v>
      </c>
      <c r="AC222" s="126">
        <f t="shared" si="138"/>
        <v>2279333</v>
      </c>
      <c r="AD222" s="101">
        <f t="shared" si="150"/>
        <v>1709500</v>
      </c>
      <c r="AE222" s="127">
        <f t="shared" si="139"/>
        <v>405926.01405784389</v>
      </c>
      <c r="AF222" s="128">
        <f t="shared" si="147"/>
        <v>0.17808982454860431</v>
      </c>
      <c r="AG222" s="129">
        <f t="shared" si="141"/>
        <v>2104000</v>
      </c>
      <c r="AH222" s="101">
        <f t="shared" si="151"/>
        <v>1998800</v>
      </c>
      <c r="AI222" s="130">
        <f t="shared" si="148"/>
        <v>405926.01405784389</v>
      </c>
      <c r="AJ222" s="159">
        <f t="shared" si="149"/>
        <v>0.19293061504650375</v>
      </c>
      <c r="AK222" s="290" t="s">
        <v>1036</v>
      </c>
      <c r="AL222" s="291"/>
      <c r="AM222" s="292"/>
      <c r="AN222" s="160"/>
    </row>
    <row r="223" spans="1:40" ht="45" x14ac:dyDescent="0.25">
      <c r="A223" s="84">
        <f t="shared" si="121"/>
        <v>3</v>
      </c>
      <c r="B223" s="198">
        <v>218</v>
      </c>
      <c r="C223" s="51" t="s">
        <v>571</v>
      </c>
      <c r="D223" s="204" t="s">
        <v>1044</v>
      </c>
      <c r="E223" s="60" t="s">
        <v>572</v>
      </c>
      <c r="F223" s="17">
        <v>1</v>
      </c>
      <c r="G223" s="17"/>
      <c r="H223" s="89" t="s">
        <v>165</v>
      </c>
      <c r="I223" s="131">
        <f>2000000*1.052</f>
        <v>2104000</v>
      </c>
      <c r="J223" s="121">
        <f t="shared" si="122"/>
        <v>399760</v>
      </c>
      <c r="K223" s="130">
        <f t="shared" si="123"/>
        <v>2503760</v>
      </c>
      <c r="L223" s="121">
        <f t="shared" si="124"/>
        <v>2104000</v>
      </c>
      <c r="M223" s="122">
        <f t="shared" si="125"/>
        <v>2503760</v>
      </c>
      <c r="N223" s="132">
        <f>1800000*1.052</f>
        <v>1893600</v>
      </c>
      <c r="O223" s="121">
        <f t="shared" si="126"/>
        <v>359784</v>
      </c>
      <c r="P223" s="110">
        <f t="shared" si="127"/>
        <v>2253384</v>
      </c>
      <c r="Q223" s="121">
        <f t="shared" si="128"/>
        <v>1893600</v>
      </c>
      <c r="R223" s="124">
        <f t="shared" si="129"/>
        <v>2253384</v>
      </c>
      <c r="S223" s="131">
        <f>1400000*1.052</f>
        <v>1472800</v>
      </c>
      <c r="T223" s="121">
        <f t="shared" si="130"/>
        <v>279832</v>
      </c>
      <c r="U223" s="110">
        <f t="shared" si="131"/>
        <v>1752632</v>
      </c>
      <c r="V223" s="121">
        <f t="shared" si="132"/>
        <v>1472800</v>
      </c>
      <c r="W223" s="122">
        <f t="shared" si="133"/>
        <v>1752632</v>
      </c>
      <c r="X223" s="108"/>
      <c r="Y223" s="121">
        <f t="shared" si="144"/>
        <v>0</v>
      </c>
      <c r="Z223" s="121">
        <f t="shared" si="145"/>
        <v>0</v>
      </c>
      <c r="AA223" s="121">
        <f t="shared" si="136"/>
        <v>0</v>
      </c>
      <c r="AB223" s="124">
        <f t="shared" si="146"/>
        <v>0</v>
      </c>
      <c r="AC223" s="126">
        <f t="shared" si="138"/>
        <v>1823467</v>
      </c>
      <c r="AD223" s="101">
        <f t="shared" si="150"/>
        <v>1367600</v>
      </c>
      <c r="AE223" s="127">
        <f t="shared" si="139"/>
        <v>262414.90472574579</v>
      </c>
      <c r="AF223" s="128">
        <f t="shared" si="147"/>
        <v>0.14390987318429441</v>
      </c>
      <c r="AG223" s="129">
        <f t="shared" si="141"/>
        <v>1893600</v>
      </c>
      <c r="AH223" s="101">
        <f t="shared" si="151"/>
        <v>1683200</v>
      </c>
      <c r="AI223" s="130">
        <f t="shared" si="148"/>
        <v>262414.90472574579</v>
      </c>
      <c r="AJ223" s="159">
        <f t="shared" si="149"/>
        <v>0.13857990321384969</v>
      </c>
      <c r="AK223" s="290" t="s">
        <v>1036</v>
      </c>
      <c r="AL223" s="291"/>
      <c r="AM223" s="292"/>
      <c r="AN223" s="160"/>
    </row>
    <row r="224" spans="1:40" ht="75.75" thickBot="1" x14ac:dyDescent="0.3">
      <c r="A224" s="84">
        <f t="shared" si="121"/>
        <v>3</v>
      </c>
      <c r="B224" s="198">
        <v>219</v>
      </c>
      <c r="C224" s="51" t="s">
        <v>573</v>
      </c>
      <c r="D224" s="204" t="s">
        <v>1044</v>
      </c>
      <c r="E224" s="60" t="s">
        <v>574</v>
      </c>
      <c r="F224" s="17">
        <v>1</v>
      </c>
      <c r="G224" s="17"/>
      <c r="H224" s="89" t="s">
        <v>28</v>
      </c>
      <c r="I224" s="131">
        <f>19500000*1.052</f>
        <v>20514000</v>
      </c>
      <c r="J224" s="121">
        <f t="shared" si="122"/>
        <v>3897660</v>
      </c>
      <c r="K224" s="130">
        <f t="shared" si="123"/>
        <v>24411660</v>
      </c>
      <c r="L224" s="121">
        <f t="shared" si="124"/>
        <v>20514000</v>
      </c>
      <c r="M224" s="122">
        <f t="shared" si="125"/>
        <v>24411660</v>
      </c>
      <c r="N224" s="132">
        <f>21000000*1.052</f>
        <v>22092000</v>
      </c>
      <c r="O224" s="121">
        <f t="shared" si="126"/>
        <v>4197480</v>
      </c>
      <c r="P224" s="110">
        <f t="shared" si="127"/>
        <v>26289480</v>
      </c>
      <c r="Q224" s="121">
        <f t="shared" si="128"/>
        <v>22092000</v>
      </c>
      <c r="R224" s="124">
        <f t="shared" si="129"/>
        <v>26289480</v>
      </c>
      <c r="S224" s="131">
        <f>25*800000*1.052</f>
        <v>21040000</v>
      </c>
      <c r="T224" s="121">
        <f t="shared" si="130"/>
        <v>3997600</v>
      </c>
      <c r="U224" s="110">
        <f t="shared" si="131"/>
        <v>25037600</v>
      </c>
      <c r="V224" s="121">
        <f t="shared" si="132"/>
        <v>21040000</v>
      </c>
      <c r="W224" s="122">
        <f t="shared" si="133"/>
        <v>25037600</v>
      </c>
      <c r="X224" s="108"/>
      <c r="Y224" s="121">
        <f t="shared" si="144"/>
        <v>0</v>
      </c>
      <c r="Z224" s="121">
        <f t="shared" si="145"/>
        <v>0</v>
      </c>
      <c r="AA224" s="121">
        <f t="shared" si="136"/>
        <v>0</v>
      </c>
      <c r="AB224" s="124">
        <f t="shared" si="146"/>
        <v>0</v>
      </c>
      <c r="AC224" s="126">
        <f t="shared" si="138"/>
        <v>21215333</v>
      </c>
      <c r="AD224" s="110">
        <f>AC224*F224</f>
        <v>21215333</v>
      </c>
      <c r="AE224" s="127">
        <f t="shared" si="139"/>
        <v>656037.26181436446</v>
      </c>
      <c r="AF224" s="128">
        <f t="shared" si="147"/>
        <v>3.0922788806301765E-2</v>
      </c>
      <c r="AG224" s="129">
        <f t="shared" si="141"/>
        <v>21040000</v>
      </c>
      <c r="AH224" s="130">
        <f>AG224*F224</f>
        <v>21040000</v>
      </c>
      <c r="AI224" s="130">
        <f t="shared" si="148"/>
        <v>656037.26181436446</v>
      </c>
      <c r="AJ224" s="159">
        <f t="shared" si="149"/>
        <v>3.1180478223116183E-2</v>
      </c>
      <c r="AK224" s="290" t="s">
        <v>1036</v>
      </c>
      <c r="AL224" s="291"/>
      <c r="AM224" s="292"/>
      <c r="AN224" s="160"/>
    </row>
    <row r="225" spans="1:40" ht="60.75" thickBot="1" x14ac:dyDescent="0.3">
      <c r="A225" s="84">
        <f t="shared" si="121"/>
        <v>3</v>
      </c>
      <c r="B225" s="198">
        <v>220</v>
      </c>
      <c r="C225" s="51" t="s">
        <v>575</v>
      </c>
      <c r="D225" s="204" t="s">
        <v>1044</v>
      </c>
      <c r="E225" s="60" t="s">
        <v>576</v>
      </c>
      <c r="F225" s="17">
        <v>1</v>
      </c>
      <c r="G225" s="17"/>
      <c r="H225" s="89" t="s">
        <v>28</v>
      </c>
      <c r="I225" s="131">
        <f>2300000*1.052</f>
        <v>2419600</v>
      </c>
      <c r="J225" s="121">
        <f t="shared" si="122"/>
        <v>459724</v>
      </c>
      <c r="K225" s="130">
        <f t="shared" si="123"/>
        <v>2879324</v>
      </c>
      <c r="L225" s="121">
        <f t="shared" si="124"/>
        <v>2419600</v>
      </c>
      <c r="M225" s="122">
        <f t="shared" si="125"/>
        <v>2879324</v>
      </c>
      <c r="N225" s="132">
        <f>1900000*1.052</f>
        <v>1998800</v>
      </c>
      <c r="O225" s="121">
        <f t="shared" si="126"/>
        <v>379772</v>
      </c>
      <c r="P225" s="110">
        <f t="shared" si="127"/>
        <v>2378572</v>
      </c>
      <c r="Q225" s="121">
        <f t="shared" si="128"/>
        <v>1998800</v>
      </c>
      <c r="R225" s="124">
        <f t="shared" si="129"/>
        <v>2378572</v>
      </c>
      <c r="S225" s="131">
        <f>2400000*1.052</f>
        <v>2524800</v>
      </c>
      <c r="T225" s="121">
        <f t="shared" si="130"/>
        <v>479712</v>
      </c>
      <c r="U225" s="110">
        <f t="shared" si="131"/>
        <v>3004512</v>
      </c>
      <c r="V225" s="121">
        <f t="shared" si="132"/>
        <v>2524800</v>
      </c>
      <c r="W225" s="122">
        <f t="shared" si="133"/>
        <v>3004512</v>
      </c>
      <c r="X225" s="108"/>
      <c r="Y225" s="121">
        <f t="shared" si="144"/>
        <v>0</v>
      </c>
      <c r="Z225" s="121">
        <f t="shared" si="145"/>
        <v>0</v>
      </c>
      <c r="AA225" s="121">
        <f t="shared" si="136"/>
        <v>0</v>
      </c>
      <c r="AB225" s="124">
        <f t="shared" si="146"/>
        <v>0</v>
      </c>
      <c r="AC225" s="126">
        <f t="shared" si="138"/>
        <v>2314400</v>
      </c>
      <c r="AD225" s="101">
        <f t="shared" si="150"/>
        <v>1735800</v>
      </c>
      <c r="AE225" s="127">
        <f t="shared" si="139"/>
        <v>227257.97382416896</v>
      </c>
      <c r="AF225" s="128">
        <f t="shared" si="147"/>
        <v>9.8193040884967581E-2</v>
      </c>
      <c r="AG225" s="129">
        <f t="shared" si="141"/>
        <v>2419600</v>
      </c>
      <c r="AH225" s="101">
        <f t="shared" si="151"/>
        <v>2209200</v>
      </c>
      <c r="AI225" s="130">
        <f t="shared" si="148"/>
        <v>227257.97382416896</v>
      </c>
      <c r="AJ225" s="159">
        <f t="shared" si="149"/>
        <v>9.3923778237795075E-2</v>
      </c>
      <c r="AK225" s="290" t="s">
        <v>1036</v>
      </c>
      <c r="AL225" s="291"/>
      <c r="AM225" s="292"/>
      <c r="AN225" s="160"/>
    </row>
    <row r="226" spans="1:40" ht="60.75" thickBot="1" x14ac:dyDescent="0.3">
      <c r="A226" s="84">
        <f t="shared" si="121"/>
        <v>3</v>
      </c>
      <c r="B226" s="198">
        <v>221</v>
      </c>
      <c r="C226" s="51" t="s">
        <v>577</v>
      </c>
      <c r="D226" s="204" t="s">
        <v>1044</v>
      </c>
      <c r="E226" s="60" t="s">
        <v>578</v>
      </c>
      <c r="F226" s="17">
        <v>1</v>
      </c>
      <c r="G226" s="17"/>
      <c r="H226" s="89" t="s">
        <v>28</v>
      </c>
      <c r="I226" s="131">
        <f>5000000*1.052</f>
        <v>5260000</v>
      </c>
      <c r="J226" s="121">
        <f t="shared" si="122"/>
        <v>999400</v>
      </c>
      <c r="K226" s="130">
        <f t="shared" si="123"/>
        <v>6259400</v>
      </c>
      <c r="L226" s="121">
        <f t="shared" si="124"/>
        <v>5260000</v>
      </c>
      <c r="M226" s="122">
        <f t="shared" si="125"/>
        <v>6259400</v>
      </c>
      <c r="N226" s="132">
        <f>5300000*1.052</f>
        <v>5575600</v>
      </c>
      <c r="O226" s="121">
        <f t="shared" si="126"/>
        <v>1059364</v>
      </c>
      <c r="P226" s="110">
        <f t="shared" si="127"/>
        <v>6634964</v>
      </c>
      <c r="Q226" s="121">
        <f t="shared" si="128"/>
        <v>5575600</v>
      </c>
      <c r="R226" s="124">
        <f t="shared" si="129"/>
        <v>6634964</v>
      </c>
      <c r="S226" s="131">
        <f>6000000*1.052</f>
        <v>6312000</v>
      </c>
      <c r="T226" s="121">
        <f t="shared" si="130"/>
        <v>1199280</v>
      </c>
      <c r="U226" s="110">
        <f t="shared" si="131"/>
        <v>7511280</v>
      </c>
      <c r="V226" s="121">
        <f t="shared" si="132"/>
        <v>6312000</v>
      </c>
      <c r="W226" s="122">
        <f t="shared" si="133"/>
        <v>7511280</v>
      </c>
      <c r="X226" s="108"/>
      <c r="Y226" s="121">
        <f t="shared" si="144"/>
        <v>0</v>
      </c>
      <c r="Z226" s="121">
        <f t="shared" si="145"/>
        <v>0</v>
      </c>
      <c r="AA226" s="121">
        <f t="shared" si="136"/>
        <v>0</v>
      </c>
      <c r="AB226" s="124">
        <f t="shared" si="146"/>
        <v>0</v>
      </c>
      <c r="AC226" s="126">
        <f t="shared" si="138"/>
        <v>5715867</v>
      </c>
      <c r="AD226" s="110">
        <f>AC226*F226</f>
        <v>5715867</v>
      </c>
      <c r="AE226" s="127">
        <f t="shared" si="139"/>
        <v>440781.16515517712</v>
      </c>
      <c r="AF226" s="128">
        <f t="shared" si="147"/>
        <v>7.7115364153010749E-2</v>
      </c>
      <c r="AG226" s="129">
        <f t="shared" si="141"/>
        <v>5575600</v>
      </c>
      <c r="AH226" s="101">
        <f t="shared" si="151"/>
        <v>5417800</v>
      </c>
      <c r="AI226" s="130">
        <f t="shared" si="148"/>
        <v>440781.16515517712</v>
      </c>
      <c r="AJ226" s="159">
        <f t="shared" si="149"/>
        <v>7.9055377924380721E-2</v>
      </c>
      <c r="AK226" s="290" t="s">
        <v>1036</v>
      </c>
      <c r="AL226" s="291"/>
      <c r="AM226" s="292"/>
      <c r="AN226" s="160"/>
    </row>
    <row r="227" spans="1:40" ht="90.75" thickBot="1" x14ac:dyDescent="0.3">
      <c r="A227" s="84">
        <f t="shared" si="121"/>
        <v>3</v>
      </c>
      <c r="B227" s="198">
        <v>222</v>
      </c>
      <c r="C227" s="51" t="s">
        <v>579</v>
      </c>
      <c r="D227" s="204" t="s">
        <v>1044</v>
      </c>
      <c r="E227" s="60" t="s">
        <v>580</v>
      </c>
      <c r="F227" s="17">
        <v>1</v>
      </c>
      <c r="G227" s="17"/>
      <c r="H227" s="89" t="s">
        <v>28</v>
      </c>
      <c r="I227" s="131">
        <f>4900000*1.052</f>
        <v>5154800</v>
      </c>
      <c r="J227" s="121">
        <f t="shared" si="122"/>
        <v>979412</v>
      </c>
      <c r="K227" s="130">
        <f t="shared" si="123"/>
        <v>6134212</v>
      </c>
      <c r="L227" s="121">
        <f t="shared" si="124"/>
        <v>5154800</v>
      </c>
      <c r="M227" s="122">
        <f t="shared" si="125"/>
        <v>6134212</v>
      </c>
      <c r="N227" s="132">
        <f>3850000*1.052</f>
        <v>4050200</v>
      </c>
      <c r="O227" s="121">
        <f t="shared" si="126"/>
        <v>769538</v>
      </c>
      <c r="P227" s="110">
        <f t="shared" si="127"/>
        <v>4819738</v>
      </c>
      <c r="Q227" s="121">
        <f t="shared" si="128"/>
        <v>4050200</v>
      </c>
      <c r="R227" s="124">
        <f t="shared" si="129"/>
        <v>4819738</v>
      </c>
      <c r="S227" s="131">
        <f>3900000*1.052</f>
        <v>4102800</v>
      </c>
      <c r="T227" s="121">
        <f t="shared" si="130"/>
        <v>779532</v>
      </c>
      <c r="U227" s="110">
        <f t="shared" si="131"/>
        <v>4882332</v>
      </c>
      <c r="V227" s="121">
        <f t="shared" si="132"/>
        <v>4102800</v>
      </c>
      <c r="W227" s="122">
        <f t="shared" si="133"/>
        <v>4882332</v>
      </c>
      <c r="X227" s="108"/>
      <c r="Y227" s="121">
        <f t="shared" si="144"/>
        <v>0</v>
      </c>
      <c r="Z227" s="121">
        <f t="shared" si="145"/>
        <v>0</v>
      </c>
      <c r="AA227" s="121">
        <f t="shared" si="136"/>
        <v>0</v>
      </c>
      <c r="AB227" s="124">
        <f t="shared" si="146"/>
        <v>0</v>
      </c>
      <c r="AC227" s="126">
        <f t="shared" si="138"/>
        <v>4435933</v>
      </c>
      <c r="AD227" s="110">
        <f>AC227*F227</f>
        <v>4435933</v>
      </c>
      <c r="AE227" s="127">
        <f t="shared" si="139"/>
        <v>508768.87570771162</v>
      </c>
      <c r="AF227" s="128">
        <f t="shared" si="147"/>
        <v>0.11469264204570079</v>
      </c>
      <c r="AG227" s="129">
        <f t="shared" si="141"/>
        <v>4102800</v>
      </c>
      <c r="AH227" s="101">
        <f t="shared" si="151"/>
        <v>4076500</v>
      </c>
      <c r="AI227" s="130">
        <f t="shared" si="148"/>
        <v>508768.87570771162</v>
      </c>
      <c r="AJ227" s="159">
        <f t="shared" si="149"/>
        <v>0.12400528314997358</v>
      </c>
      <c r="AK227" s="290" t="s">
        <v>1036</v>
      </c>
      <c r="AL227" s="291"/>
      <c r="AM227" s="292"/>
      <c r="AN227" s="160"/>
    </row>
    <row r="228" spans="1:40" ht="45.75" thickBot="1" x14ac:dyDescent="0.3">
      <c r="A228" s="84">
        <f t="shared" si="121"/>
        <v>3</v>
      </c>
      <c r="B228" s="198">
        <v>223</v>
      </c>
      <c r="C228" s="51" t="s">
        <v>581</v>
      </c>
      <c r="D228" s="204" t="s">
        <v>1044</v>
      </c>
      <c r="E228" s="60" t="s">
        <v>582</v>
      </c>
      <c r="F228" s="17">
        <v>1</v>
      </c>
      <c r="G228" s="17"/>
      <c r="H228" s="89" t="s">
        <v>28</v>
      </c>
      <c r="I228" s="135">
        <f>140000*1.052</f>
        <v>147280</v>
      </c>
      <c r="J228" s="121">
        <f t="shared" si="122"/>
        <v>27983.200000000001</v>
      </c>
      <c r="K228" s="130">
        <f t="shared" si="123"/>
        <v>175263.2</v>
      </c>
      <c r="L228" s="121">
        <f t="shared" si="124"/>
        <v>147280</v>
      </c>
      <c r="M228" s="122">
        <f t="shared" si="125"/>
        <v>175263.2</v>
      </c>
      <c r="N228" s="136">
        <f>120000*1.052</f>
        <v>126240</v>
      </c>
      <c r="O228" s="121">
        <f t="shared" si="126"/>
        <v>23985.599999999999</v>
      </c>
      <c r="P228" s="110">
        <f t="shared" si="127"/>
        <v>150225.60000000001</v>
      </c>
      <c r="Q228" s="121">
        <f t="shared" si="128"/>
        <v>126240</v>
      </c>
      <c r="R228" s="124">
        <f t="shared" si="129"/>
        <v>150225.60000000001</v>
      </c>
      <c r="S228" s="135">
        <f>150000*1.052</f>
        <v>157800</v>
      </c>
      <c r="T228" s="121">
        <f t="shared" si="130"/>
        <v>29982</v>
      </c>
      <c r="U228" s="110">
        <f t="shared" si="131"/>
        <v>187782</v>
      </c>
      <c r="V228" s="121">
        <f t="shared" si="132"/>
        <v>157800</v>
      </c>
      <c r="W228" s="122">
        <f t="shared" si="133"/>
        <v>187782</v>
      </c>
      <c r="X228" s="108"/>
      <c r="Y228" s="121">
        <f t="shared" si="144"/>
        <v>0</v>
      </c>
      <c r="Z228" s="121">
        <f t="shared" si="145"/>
        <v>0</v>
      </c>
      <c r="AA228" s="121">
        <f t="shared" si="136"/>
        <v>0</v>
      </c>
      <c r="AB228" s="124">
        <f t="shared" si="146"/>
        <v>0</v>
      </c>
      <c r="AC228" s="126">
        <f t="shared" si="138"/>
        <v>143773</v>
      </c>
      <c r="AD228" s="101">
        <f t="shared" si="150"/>
        <v>107830</v>
      </c>
      <c r="AE228" s="127">
        <f t="shared" si="139"/>
        <v>13120.745236287288</v>
      </c>
      <c r="AF228" s="128">
        <f t="shared" si="147"/>
        <v>9.1260147846169232E-2</v>
      </c>
      <c r="AG228" s="129">
        <f t="shared" si="141"/>
        <v>147280</v>
      </c>
      <c r="AH228" s="101">
        <f t="shared" si="151"/>
        <v>136760</v>
      </c>
      <c r="AI228" s="130">
        <f t="shared" si="148"/>
        <v>13120.745236287288</v>
      </c>
      <c r="AJ228" s="159">
        <f t="shared" si="149"/>
        <v>8.9087080637474794E-2</v>
      </c>
      <c r="AK228" s="290" t="s">
        <v>1036</v>
      </c>
      <c r="AL228" s="291"/>
      <c r="AM228" s="292"/>
      <c r="AN228" s="160"/>
    </row>
    <row r="229" spans="1:40" ht="60.75" thickBot="1" x14ac:dyDescent="0.3">
      <c r="A229" s="84">
        <f t="shared" ref="A229:A292" si="152">COUNT(I229,N229,S229)</f>
        <v>3</v>
      </c>
      <c r="B229" s="198">
        <v>224</v>
      </c>
      <c r="C229" s="51" t="s">
        <v>583</v>
      </c>
      <c r="D229" s="204" t="s">
        <v>1044</v>
      </c>
      <c r="E229" s="60" t="s">
        <v>584</v>
      </c>
      <c r="F229" s="17">
        <v>1</v>
      </c>
      <c r="G229" s="17"/>
      <c r="H229" s="89" t="s">
        <v>28</v>
      </c>
      <c r="I229" s="115">
        <v>193277</v>
      </c>
      <c r="J229" s="121">
        <f t="shared" ref="J229:J292" si="153">I229*19%</f>
        <v>36722.629999999997</v>
      </c>
      <c r="K229" s="130">
        <f t="shared" ref="K229:K292" si="154">I229+J229</f>
        <v>229999.63</v>
      </c>
      <c r="L229" s="121">
        <f t="shared" ref="L229:L292" si="155">I229*F229</f>
        <v>193277</v>
      </c>
      <c r="M229" s="122">
        <f t="shared" ref="M229:M292" si="156">K229*F229</f>
        <v>229999.63</v>
      </c>
      <c r="N229" s="116">
        <v>45500</v>
      </c>
      <c r="O229" s="121">
        <f t="shared" ref="O229:O292" si="157">N229*0.19</f>
        <v>8645</v>
      </c>
      <c r="P229" s="110">
        <f t="shared" ref="P229:P292" si="158">N229+O229</f>
        <v>54145</v>
      </c>
      <c r="Q229" s="121">
        <f t="shared" ref="Q229:Q292" si="159">N229*F229</f>
        <v>45500</v>
      </c>
      <c r="R229" s="124">
        <f t="shared" ref="R229:R292" si="160">P229*F229</f>
        <v>54145</v>
      </c>
      <c r="S229" s="117">
        <v>178000</v>
      </c>
      <c r="T229" s="121">
        <f t="shared" ref="T229:T292" si="161">S229*0.19</f>
        <v>33820</v>
      </c>
      <c r="U229" s="110">
        <f t="shared" ref="U229:U292" si="162">S229+T229</f>
        <v>211820</v>
      </c>
      <c r="V229" s="121">
        <f t="shared" ref="V229:V292" si="163">S229*F229</f>
        <v>178000</v>
      </c>
      <c r="W229" s="122">
        <f t="shared" ref="W229:W292" si="164">U229*F229</f>
        <v>211820</v>
      </c>
      <c r="X229" s="108"/>
      <c r="Y229" s="121">
        <f t="shared" ref="Y229:Y231" si="165">X229*0.19</f>
        <v>0</v>
      </c>
      <c r="Z229" s="121">
        <f t="shared" ref="Z229:Z231" si="166">X229+Y229</f>
        <v>0</v>
      </c>
      <c r="AA229" s="121">
        <f t="shared" ref="AA229:AA292" si="167">X229*F229</f>
        <v>0</v>
      </c>
      <c r="AB229" s="124">
        <f t="shared" si="146"/>
        <v>0</v>
      </c>
      <c r="AC229" s="126">
        <f t="shared" ref="AC229:AC292" si="168">+IFERROR(ROUND(AVERAGE(I229,N229,S229,X229),0),0)</f>
        <v>138926</v>
      </c>
      <c r="AD229" s="101">
        <f t="shared" si="150"/>
        <v>104194</v>
      </c>
      <c r="AE229" s="127">
        <f t="shared" ref="AE229:AE292" si="169">+IFERROR(_xlfn.STDEV.P(I229,N229,S229,X229),0)</f>
        <v>66355.673338624343</v>
      </c>
      <c r="AF229" s="128">
        <f t="shared" ref="AF229:AF231" si="170">AE229/AC229</f>
        <v>0.47763322444052475</v>
      </c>
      <c r="AG229" s="129">
        <f t="shared" ref="AG229:AG292" si="171">IFERROR(ROUND(MEDIAN(I229,N229,S229,X229),0),0)</f>
        <v>178000</v>
      </c>
      <c r="AH229" s="101">
        <f t="shared" si="151"/>
        <v>111750</v>
      </c>
      <c r="AI229" s="130">
        <f t="shared" si="148"/>
        <v>66355.673338624343</v>
      </c>
      <c r="AJ229" s="159">
        <f t="shared" ref="AJ229:AJ231" si="172">AI229/AG229</f>
        <v>0.37278468167766488</v>
      </c>
      <c r="AK229" s="175" t="s">
        <v>1024</v>
      </c>
      <c r="AL229" s="161" t="s">
        <v>1025</v>
      </c>
      <c r="AM229" s="180" t="s">
        <v>1026</v>
      </c>
      <c r="AN229" s="160"/>
    </row>
    <row r="230" spans="1:40" ht="60.75" thickBot="1" x14ac:dyDescent="0.3">
      <c r="A230" s="84">
        <f t="shared" si="152"/>
        <v>3</v>
      </c>
      <c r="B230" s="198">
        <v>225</v>
      </c>
      <c r="C230" s="51" t="s">
        <v>585</v>
      </c>
      <c r="D230" s="204" t="s">
        <v>1044</v>
      </c>
      <c r="E230" s="60" t="s">
        <v>586</v>
      </c>
      <c r="F230" s="17">
        <v>1</v>
      </c>
      <c r="G230" s="17"/>
      <c r="H230" s="89" t="s">
        <v>28</v>
      </c>
      <c r="I230" s="115">
        <v>193277</v>
      </c>
      <c r="J230" s="121">
        <f t="shared" si="153"/>
        <v>36722.629999999997</v>
      </c>
      <c r="K230" s="130">
        <f t="shared" si="154"/>
        <v>229999.63</v>
      </c>
      <c r="L230" s="121">
        <f t="shared" si="155"/>
        <v>193277</v>
      </c>
      <c r="M230" s="122">
        <f t="shared" si="156"/>
        <v>229999.63</v>
      </c>
      <c r="N230" s="116">
        <v>45500</v>
      </c>
      <c r="O230" s="121">
        <f t="shared" si="157"/>
        <v>8645</v>
      </c>
      <c r="P230" s="110">
        <f t="shared" si="158"/>
        <v>54145</v>
      </c>
      <c r="Q230" s="121">
        <f t="shared" si="159"/>
        <v>45500</v>
      </c>
      <c r="R230" s="124">
        <f t="shared" si="160"/>
        <v>54145</v>
      </c>
      <c r="S230" s="117">
        <v>168000</v>
      </c>
      <c r="T230" s="121">
        <f t="shared" si="161"/>
        <v>31920</v>
      </c>
      <c r="U230" s="110">
        <f t="shared" si="162"/>
        <v>199920</v>
      </c>
      <c r="V230" s="121">
        <f t="shared" si="163"/>
        <v>168000</v>
      </c>
      <c r="W230" s="122">
        <f t="shared" si="164"/>
        <v>199920</v>
      </c>
      <c r="X230" s="108"/>
      <c r="Y230" s="121">
        <f t="shared" si="165"/>
        <v>0</v>
      </c>
      <c r="Z230" s="121">
        <f t="shared" si="166"/>
        <v>0</v>
      </c>
      <c r="AA230" s="121">
        <f t="shared" si="167"/>
        <v>0</v>
      </c>
      <c r="AB230" s="124">
        <f t="shared" si="146"/>
        <v>0</v>
      </c>
      <c r="AC230" s="126">
        <f t="shared" si="168"/>
        <v>135592</v>
      </c>
      <c r="AD230" s="101">
        <f t="shared" si="150"/>
        <v>101694</v>
      </c>
      <c r="AE230" s="127">
        <f t="shared" si="169"/>
        <v>64535.277568852907</v>
      </c>
      <c r="AF230" s="128">
        <f t="shared" si="170"/>
        <v>0.47595195563789094</v>
      </c>
      <c r="AG230" s="129">
        <f t="shared" si="171"/>
        <v>168000</v>
      </c>
      <c r="AH230" s="101">
        <f t="shared" si="151"/>
        <v>106750</v>
      </c>
      <c r="AI230" s="130">
        <f t="shared" si="148"/>
        <v>64535.277568852907</v>
      </c>
      <c r="AJ230" s="159">
        <f t="shared" si="172"/>
        <v>0.3841385569574578</v>
      </c>
      <c r="AK230" s="175" t="s">
        <v>1024</v>
      </c>
      <c r="AL230" s="161" t="s">
        <v>1025</v>
      </c>
      <c r="AM230" s="180" t="s">
        <v>1026</v>
      </c>
      <c r="AN230" s="160"/>
    </row>
    <row r="231" spans="1:40" ht="60.75" thickBot="1" x14ac:dyDescent="0.3">
      <c r="A231" s="84">
        <f t="shared" si="152"/>
        <v>3</v>
      </c>
      <c r="B231" s="198">
        <v>226</v>
      </c>
      <c r="C231" s="51" t="s">
        <v>587</v>
      </c>
      <c r="D231" s="204" t="s">
        <v>1044</v>
      </c>
      <c r="E231" s="60" t="s">
        <v>588</v>
      </c>
      <c r="F231" s="17">
        <v>1</v>
      </c>
      <c r="G231" s="17"/>
      <c r="H231" s="89" t="s">
        <v>28</v>
      </c>
      <c r="I231" s="131">
        <f>446000*1.052</f>
        <v>469192</v>
      </c>
      <c r="J231" s="121">
        <f t="shared" si="153"/>
        <v>89146.48</v>
      </c>
      <c r="K231" s="130">
        <f t="shared" si="154"/>
        <v>558338.48</v>
      </c>
      <c r="L231" s="121">
        <f t="shared" si="155"/>
        <v>469192</v>
      </c>
      <c r="M231" s="122">
        <f t="shared" si="156"/>
        <v>558338.48</v>
      </c>
      <c r="N231" s="132">
        <f>400000*1.052</f>
        <v>420800</v>
      </c>
      <c r="O231" s="121">
        <f t="shared" si="157"/>
        <v>79952</v>
      </c>
      <c r="P231" s="110">
        <f t="shared" si="158"/>
        <v>500752</v>
      </c>
      <c r="Q231" s="121">
        <f t="shared" si="159"/>
        <v>420800</v>
      </c>
      <c r="R231" s="124">
        <f t="shared" si="160"/>
        <v>500752</v>
      </c>
      <c r="S231" s="131">
        <f>420000*1.052</f>
        <v>441840</v>
      </c>
      <c r="T231" s="121">
        <f t="shared" si="161"/>
        <v>83949.6</v>
      </c>
      <c r="U231" s="110">
        <f t="shared" si="162"/>
        <v>525789.6</v>
      </c>
      <c r="V231" s="121">
        <f t="shared" si="163"/>
        <v>441840</v>
      </c>
      <c r="W231" s="122">
        <f t="shared" si="164"/>
        <v>525789.6</v>
      </c>
      <c r="X231" s="108"/>
      <c r="Y231" s="121">
        <f t="shared" si="165"/>
        <v>0</v>
      </c>
      <c r="Z231" s="121">
        <f t="shared" si="166"/>
        <v>0</v>
      </c>
      <c r="AA231" s="121">
        <f t="shared" si="167"/>
        <v>0</v>
      </c>
      <c r="AB231" s="124">
        <f t="shared" si="146"/>
        <v>0</v>
      </c>
      <c r="AC231" s="126">
        <f t="shared" si="168"/>
        <v>443944</v>
      </c>
      <c r="AD231" s="101">
        <f t="shared" si="150"/>
        <v>332958</v>
      </c>
      <c r="AE231" s="127">
        <f t="shared" si="169"/>
        <v>19811.890840267282</v>
      </c>
      <c r="AF231" s="128">
        <f t="shared" si="170"/>
        <v>4.462700439755303E-2</v>
      </c>
      <c r="AG231" s="129">
        <f t="shared" si="171"/>
        <v>441840</v>
      </c>
      <c r="AH231" s="101">
        <f t="shared" si="151"/>
        <v>431320</v>
      </c>
      <c r="AI231" s="130">
        <f t="shared" si="148"/>
        <v>19811.890840267282</v>
      </c>
      <c r="AJ231" s="159">
        <f t="shared" si="172"/>
        <v>4.4839513942303282E-2</v>
      </c>
      <c r="AK231" s="290" t="s">
        <v>1036</v>
      </c>
      <c r="AL231" s="291"/>
      <c r="AM231" s="292"/>
      <c r="AN231" s="160"/>
    </row>
    <row r="232" spans="1:40" ht="30.75" thickBot="1" x14ac:dyDescent="0.3">
      <c r="A232" s="84">
        <f t="shared" si="152"/>
        <v>3</v>
      </c>
      <c r="B232" s="198">
        <v>227</v>
      </c>
      <c r="C232" s="10" t="s">
        <v>1022</v>
      </c>
      <c r="D232" s="204" t="s">
        <v>1044</v>
      </c>
      <c r="E232" s="10" t="s">
        <v>1023</v>
      </c>
      <c r="F232" s="10">
        <v>1</v>
      </c>
      <c r="G232" s="17">
        <v>1</v>
      </c>
      <c r="H232" s="89" t="s">
        <v>28</v>
      </c>
      <c r="I232" s="131">
        <f>390000*1.052</f>
        <v>410280</v>
      </c>
      <c r="J232" s="121">
        <f t="shared" si="153"/>
        <v>77953.2</v>
      </c>
      <c r="K232" s="130">
        <f t="shared" si="154"/>
        <v>488233.2</v>
      </c>
      <c r="L232" s="121">
        <f t="shared" si="155"/>
        <v>410280</v>
      </c>
      <c r="M232" s="122">
        <f t="shared" si="156"/>
        <v>488233.2</v>
      </c>
      <c r="N232" s="132">
        <f>445000*1.052</f>
        <v>468140</v>
      </c>
      <c r="O232" s="121">
        <f t="shared" si="157"/>
        <v>88946.6</v>
      </c>
      <c r="P232" s="110">
        <f t="shared" si="158"/>
        <v>557086.6</v>
      </c>
      <c r="Q232" s="121">
        <f t="shared" si="159"/>
        <v>468140</v>
      </c>
      <c r="R232" s="124">
        <f t="shared" si="160"/>
        <v>557086.6</v>
      </c>
      <c r="S232" s="131">
        <f>395000*1.052</f>
        <v>415540</v>
      </c>
      <c r="T232" s="121">
        <f t="shared" si="161"/>
        <v>78952.600000000006</v>
      </c>
      <c r="U232" s="110">
        <f t="shared" si="162"/>
        <v>494492.6</v>
      </c>
      <c r="V232" s="121">
        <f t="shared" si="163"/>
        <v>415540</v>
      </c>
      <c r="W232" s="122">
        <f t="shared" si="164"/>
        <v>494492.6</v>
      </c>
      <c r="X232" s="108"/>
      <c r="Y232" s="121"/>
      <c r="Z232" s="121"/>
      <c r="AA232" s="121">
        <f t="shared" si="167"/>
        <v>0</v>
      </c>
      <c r="AB232" s="124"/>
      <c r="AC232" s="126">
        <f t="shared" si="168"/>
        <v>431320</v>
      </c>
      <c r="AD232" s="101">
        <f t="shared" si="150"/>
        <v>323490</v>
      </c>
      <c r="AE232" s="127">
        <f t="shared" si="169"/>
        <v>26124.07829315068</v>
      </c>
      <c r="AF232" s="128"/>
      <c r="AG232" s="129">
        <f t="shared" si="171"/>
        <v>415540</v>
      </c>
      <c r="AH232" s="101">
        <f t="shared" si="151"/>
        <v>412910</v>
      </c>
      <c r="AI232" s="130"/>
      <c r="AJ232" s="159"/>
      <c r="AK232" s="290" t="s">
        <v>1036</v>
      </c>
      <c r="AL232" s="291"/>
      <c r="AM232" s="292"/>
      <c r="AN232" s="160"/>
    </row>
    <row r="233" spans="1:40" ht="30.75" thickBot="1" x14ac:dyDescent="0.3">
      <c r="A233" s="84">
        <f t="shared" si="152"/>
        <v>3</v>
      </c>
      <c r="B233" s="198">
        <v>228</v>
      </c>
      <c r="C233" s="51" t="s">
        <v>589</v>
      </c>
      <c r="D233" s="204" t="s">
        <v>1044</v>
      </c>
      <c r="E233" s="60" t="s">
        <v>590</v>
      </c>
      <c r="F233" s="17">
        <v>1</v>
      </c>
      <c r="G233" s="17"/>
      <c r="H233" s="89" t="s">
        <v>28</v>
      </c>
      <c r="I233" s="131">
        <f>265000*1.052</f>
        <v>278780</v>
      </c>
      <c r="J233" s="121">
        <f t="shared" si="153"/>
        <v>52968.2</v>
      </c>
      <c r="K233" s="130">
        <f t="shared" si="154"/>
        <v>331748.2</v>
      </c>
      <c r="L233" s="121">
        <f t="shared" si="155"/>
        <v>278780</v>
      </c>
      <c r="M233" s="122">
        <f t="shared" si="156"/>
        <v>331748.2</v>
      </c>
      <c r="N233" s="132">
        <f>215000*1.052</f>
        <v>226180</v>
      </c>
      <c r="O233" s="121">
        <f t="shared" si="157"/>
        <v>42974.2</v>
      </c>
      <c r="P233" s="110">
        <f t="shared" si="158"/>
        <v>269154.2</v>
      </c>
      <c r="Q233" s="121">
        <f t="shared" si="159"/>
        <v>226180</v>
      </c>
      <c r="R233" s="124">
        <f t="shared" si="160"/>
        <v>269154.2</v>
      </c>
      <c r="S233" s="131">
        <f>185000*1.052</f>
        <v>194620</v>
      </c>
      <c r="T233" s="121">
        <f t="shared" si="161"/>
        <v>36977.800000000003</v>
      </c>
      <c r="U233" s="110">
        <f t="shared" si="162"/>
        <v>231597.8</v>
      </c>
      <c r="V233" s="121">
        <f t="shared" si="163"/>
        <v>194620</v>
      </c>
      <c r="W233" s="122">
        <f t="shared" si="164"/>
        <v>231597.8</v>
      </c>
      <c r="X233" s="108"/>
      <c r="Y233" s="121">
        <f t="shared" ref="Y233:Y264" si="173">X233*0.19</f>
        <v>0</v>
      </c>
      <c r="Z233" s="121">
        <f t="shared" ref="Z233:Z264" si="174">X233+Y233</f>
        <v>0</v>
      </c>
      <c r="AA233" s="121">
        <f t="shared" si="167"/>
        <v>0</v>
      </c>
      <c r="AB233" s="124">
        <f t="shared" ref="AB233:AB264" si="175">Z233*F233</f>
        <v>0</v>
      </c>
      <c r="AC233" s="126">
        <f t="shared" si="168"/>
        <v>233193</v>
      </c>
      <c r="AD233" s="101">
        <f t="shared" si="150"/>
        <v>174895</v>
      </c>
      <c r="AE233" s="127">
        <f t="shared" si="169"/>
        <v>34714.22891105157</v>
      </c>
      <c r="AF233" s="128">
        <f t="shared" ref="AF233:AF264" si="176">AE233/AC233</f>
        <v>0.14886479830462995</v>
      </c>
      <c r="AG233" s="129">
        <f t="shared" si="171"/>
        <v>226180</v>
      </c>
      <c r="AH233" s="101">
        <f t="shared" si="151"/>
        <v>210400</v>
      </c>
      <c r="AI233" s="130">
        <f t="shared" ref="AI233:AI264" si="177">AE233</f>
        <v>34714.22891105157</v>
      </c>
      <c r="AJ233" s="159">
        <f t="shared" ref="AJ233:AJ264" si="178">AI233/AG233</f>
        <v>0.15348054165289401</v>
      </c>
      <c r="AK233" s="290" t="s">
        <v>1036</v>
      </c>
      <c r="AL233" s="291"/>
      <c r="AM233" s="292"/>
      <c r="AN233" s="160"/>
    </row>
    <row r="234" spans="1:40" ht="45.75" thickBot="1" x14ac:dyDescent="0.3">
      <c r="A234" s="84">
        <f t="shared" si="152"/>
        <v>3</v>
      </c>
      <c r="B234" s="198">
        <v>229</v>
      </c>
      <c r="C234" s="51" t="s">
        <v>591</v>
      </c>
      <c r="D234" s="204" t="s">
        <v>1044</v>
      </c>
      <c r="E234" s="60" t="s">
        <v>592</v>
      </c>
      <c r="F234" s="17">
        <v>1</v>
      </c>
      <c r="G234" s="17"/>
      <c r="H234" s="89" t="s">
        <v>28</v>
      </c>
      <c r="I234" s="131">
        <f>179000*1.052</f>
        <v>188308</v>
      </c>
      <c r="J234" s="121">
        <f t="shared" si="153"/>
        <v>35778.519999999997</v>
      </c>
      <c r="K234" s="130">
        <f t="shared" si="154"/>
        <v>224086.52</v>
      </c>
      <c r="L234" s="121">
        <f t="shared" si="155"/>
        <v>188308</v>
      </c>
      <c r="M234" s="122">
        <f t="shared" si="156"/>
        <v>224086.52</v>
      </c>
      <c r="N234" s="132">
        <f>145000*1.052</f>
        <v>152540</v>
      </c>
      <c r="O234" s="121">
        <f t="shared" si="157"/>
        <v>28982.6</v>
      </c>
      <c r="P234" s="110">
        <f t="shared" si="158"/>
        <v>181522.6</v>
      </c>
      <c r="Q234" s="121">
        <f t="shared" si="159"/>
        <v>152540</v>
      </c>
      <c r="R234" s="124">
        <f t="shared" si="160"/>
        <v>181522.6</v>
      </c>
      <c r="S234" s="131">
        <f>196000*1.052</f>
        <v>206192</v>
      </c>
      <c r="T234" s="121">
        <f t="shared" si="161"/>
        <v>39176.480000000003</v>
      </c>
      <c r="U234" s="110">
        <f t="shared" si="162"/>
        <v>245368.48</v>
      </c>
      <c r="V234" s="121">
        <f t="shared" si="163"/>
        <v>206192</v>
      </c>
      <c r="W234" s="122">
        <f t="shared" si="164"/>
        <v>245368.48</v>
      </c>
      <c r="X234" s="108"/>
      <c r="Y234" s="121">
        <f t="shared" si="173"/>
        <v>0</v>
      </c>
      <c r="Z234" s="121">
        <f t="shared" si="174"/>
        <v>0</v>
      </c>
      <c r="AA234" s="121">
        <f t="shared" si="167"/>
        <v>0</v>
      </c>
      <c r="AB234" s="124">
        <f t="shared" si="175"/>
        <v>0</v>
      </c>
      <c r="AC234" s="126">
        <f t="shared" si="168"/>
        <v>182347</v>
      </c>
      <c r="AD234" s="101">
        <f t="shared" si="150"/>
        <v>136760</v>
      </c>
      <c r="AE234" s="127">
        <f t="shared" si="169"/>
        <v>22305.266901688388</v>
      </c>
      <c r="AF234" s="128">
        <f t="shared" si="176"/>
        <v>0.12232319095838368</v>
      </c>
      <c r="AG234" s="129">
        <f t="shared" si="171"/>
        <v>188308</v>
      </c>
      <c r="AH234" s="101">
        <f t="shared" si="151"/>
        <v>170424</v>
      </c>
      <c r="AI234" s="130">
        <f t="shared" si="177"/>
        <v>22305.266901688388</v>
      </c>
      <c r="AJ234" s="159">
        <f t="shared" si="178"/>
        <v>0.11845097872468716</v>
      </c>
      <c r="AK234" s="290" t="s">
        <v>1036</v>
      </c>
      <c r="AL234" s="291"/>
      <c r="AM234" s="292"/>
      <c r="AN234" s="160"/>
    </row>
    <row r="235" spans="1:40" ht="45.75" thickBot="1" x14ac:dyDescent="0.3">
      <c r="A235" s="84">
        <f t="shared" si="152"/>
        <v>3</v>
      </c>
      <c r="B235" s="198">
        <v>230</v>
      </c>
      <c r="C235" s="51" t="s">
        <v>593</v>
      </c>
      <c r="D235" s="204" t="s">
        <v>1044</v>
      </c>
      <c r="E235" s="60" t="s">
        <v>594</v>
      </c>
      <c r="F235" s="17">
        <v>1</v>
      </c>
      <c r="G235" s="17"/>
      <c r="H235" s="89" t="s">
        <v>28</v>
      </c>
      <c r="I235" s="131">
        <f>310000*1.052</f>
        <v>326120</v>
      </c>
      <c r="J235" s="121">
        <f t="shared" si="153"/>
        <v>61962.8</v>
      </c>
      <c r="K235" s="130">
        <f t="shared" si="154"/>
        <v>388082.8</v>
      </c>
      <c r="L235" s="121">
        <f t="shared" si="155"/>
        <v>326120</v>
      </c>
      <c r="M235" s="122">
        <f t="shared" si="156"/>
        <v>388082.8</v>
      </c>
      <c r="N235" s="132">
        <f>315000*1.052</f>
        <v>331380</v>
      </c>
      <c r="O235" s="121">
        <f t="shared" si="157"/>
        <v>62962.200000000004</v>
      </c>
      <c r="P235" s="110">
        <f t="shared" si="158"/>
        <v>394342.2</v>
      </c>
      <c r="Q235" s="121">
        <f t="shared" si="159"/>
        <v>331380</v>
      </c>
      <c r="R235" s="124">
        <f t="shared" si="160"/>
        <v>394342.2</v>
      </c>
      <c r="S235" s="131">
        <f>329000*1.052</f>
        <v>346108</v>
      </c>
      <c r="T235" s="121">
        <f t="shared" si="161"/>
        <v>65760.52</v>
      </c>
      <c r="U235" s="110">
        <f t="shared" si="162"/>
        <v>411868.52</v>
      </c>
      <c r="V235" s="121">
        <f t="shared" si="163"/>
        <v>346108</v>
      </c>
      <c r="W235" s="122">
        <f t="shared" si="164"/>
        <v>411868.52</v>
      </c>
      <c r="X235" s="108"/>
      <c r="Y235" s="121">
        <f t="shared" si="173"/>
        <v>0</v>
      </c>
      <c r="Z235" s="121">
        <f t="shared" si="174"/>
        <v>0</v>
      </c>
      <c r="AA235" s="121">
        <f t="shared" si="167"/>
        <v>0</v>
      </c>
      <c r="AB235" s="124">
        <f t="shared" si="175"/>
        <v>0</v>
      </c>
      <c r="AC235" s="126">
        <f t="shared" si="168"/>
        <v>334536</v>
      </c>
      <c r="AD235" s="101">
        <f t="shared" si="150"/>
        <v>250902</v>
      </c>
      <c r="AE235" s="127">
        <f t="shared" si="169"/>
        <v>8459.7197747127939</v>
      </c>
      <c r="AF235" s="128">
        <f t="shared" si="176"/>
        <v>2.5287920506949307E-2</v>
      </c>
      <c r="AG235" s="129">
        <f t="shared" si="171"/>
        <v>331380</v>
      </c>
      <c r="AH235" s="101">
        <f t="shared" si="151"/>
        <v>328750</v>
      </c>
      <c r="AI235" s="130">
        <f t="shared" si="177"/>
        <v>8459.7197747127939</v>
      </c>
      <c r="AJ235" s="159">
        <f t="shared" si="178"/>
        <v>2.5528757845110731E-2</v>
      </c>
      <c r="AK235" s="290" t="s">
        <v>1036</v>
      </c>
      <c r="AL235" s="291"/>
      <c r="AM235" s="292"/>
      <c r="AN235" s="160"/>
    </row>
    <row r="236" spans="1:40" ht="45.75" thickBot="1" x14ac:dyDescent="0.3">
      <c r="A236" s="84">
        <f t="shared" si="152"/>
        <v>3</v>
      </c>
      <c r="B236" s="198">
        <v>231</v>
      </c>
      <c r="C236" s="51" t="s">
        <v>595</v>
      </c>
      <c r="D236" s="204" t="s">
        <v>1044</v>
      </c>
      <c r="E236" s="60" t="s">
        <v>596</v>
      </c>
      <c r="F236" s="17">
        <v>1</v>
      </c>
      <c r="G236" s="17"/>
      <c r="H236" s="89" t="s">
        <v>28</v>
      </c>
      <c r="I236" s="115">
        <v>10084</v>
      </c>
      <c r="J236" s="121">
        <f t="shared" si="153"/>
        <v>1915.96</v>
      </c>
      <c r="K236" s="130">
        <f t="shared" si="154"/>
        <v>11999.96</v>
      </c>
      <c r="L236" s="121">
        <f t="shared" si="155"/>
        <v>10084</v>
      </c>
      <c r="M236" s="122">
        <f t="shared" si="156"/>
        <v>11999.96</v>
      </c>
      <c r="N236" s="116">
        <v>4500</v>
      </c>
      <c r="O236" s="121">
        <f t="shared" si="157"/>
        <v>855</v>
      </c>
      <c r="P236" s="110">
        <f t="shared" si="158"/>
        <v>5355</v>
      </c>
      <c r="Q236" s="121">
        <f t="shared" si="159"/>
        <v>4500</v>
      </c>
      <c r="R236" s="124">
        <f t="shared" si="160"/>
        <v>5355</v>
      </c>
      <c r="S236" s="117">
        <v>18000</v>
      </c>
      <c r="T236" s="121">
        <f t="shared" si="161"/>
        <v>3420</v>
      </c>
      <c r="U236" s="110">
        <f t="shared" si="162"/>
        <v>21420</v>
      </c>
      <c r="V236" s="121">
        <f t="shared" si="163"/>
        <v>18000</v>
      </c>
      <c r="W236" s="122">
        <f t="shared" si="164"/>
        <v>21420</v>
      </c>
      <c r="X236" s="108"/>
      <c r="Y236" s="121">
        <f t="shared" si="173"/>
        <v>0</v>
      </c>
      <c r="Z236" s="121">
        <f t="shared" si="174"/>
        <v>0</v>
      </c>
      <c r="AA236" s="121">
        <f t="shared" si="167"/>
        <v>0</v>
      </c>
      <c r="AB236" s="124">
        <f t="shared" si="175"/>
        <v>0</v>
      </c>
      <c r="AC236" s="126">
        <f t="shared" si="168"/>
        <v>10861</v>
      </c>
      <c r="AD236" s="101">
        <f t="shared" si="150"/>
        <v>8146</v>
      </c>
      <c r="AE236" s="127">
        <f t="shared" si="169"/>
        <v>5538.6933075912011</v>
      </c>
      <c r="AF236" s="128">
        <f t="shared" si="176"/>
        <v>0.50996163406603456</v>
      </c>
      <c r="AG236" s="129">
        <f t="shared" si="171"/>
        <v>10084</v>
      </c>
      <c r="AH236" s="101">
        <f t="shared" si="151"/>
        <v>7292</v>
      </c>
      <c r="AI236" s="130">
        <f t="shared" si="177"/>
        <v>5538.6933075912011</v>
      </c>
      <c r="AJ236" s="159">
        <f t="shared" si="178"/>
        <v>0.54925558385474027</v>
      </c>
      <c r="AK236" s="175" t="s">
        <v>1024</v>
      </c>
      <c r="AL236" s="161" t="s">
        <v>1027</v>
      </c>
      <c r="AM236" s="180" t="s">
        <v>1026</v>
      </c>
      <c r="AN236" s="160"/>
    </row>
    <row r="237" spans="1:40" ht="75.75" thickBot="1" x14ac:dyDescent="0.3">
      <c r="A237" s="84">
        <f t="shared" si="152"/>
        <v>1</v>
      </c>
      <c r="B237" s="198">
        <v>232</v>
      </c>
      <c r="C237" s="51" t="s">
        <v>597</v>
      </c>
      <c r="D237" s="204" t="s">
        <v>1044</v>
      </c>
      <c r="E237" s="60" t="s">
        <v>598</v>
      </c>
      <c r="F237" s="17">
        <v>1</v>
      </c>
      <c r="G237" s="17"/>
      <c r="H237" s="89" t="s">
        <v>28</v>
      </c>
      <c r="I237" s="115">
        <v>8403.361344537816</v>
      </c>
      <c r="J237" s="121">
        <f t="shared" si="153"/>
        <v>1596.6386554621849</v>
      </c>
      <c r="K237" s="130">
        <f t="shared" si="154"/>
        <v>10000</v>
      </c>
      <c r="L237" s="121">
        <f t="shared" si="155"/>
        <v>8403.361344537816</v>
      </c>
      <c r="M237" s="122">
        <f t="shared" si="156"/>
        <v>10000</v>
      </c>
      <c r="N237" s="123"/>
      <c r="O237" s="121">
        <f t="shared" si="157"/>
        <v>0</v>
      </c>
      <c r="P237" s="110">
        <f t="shared" si="158"/>
        <v>0</v>
      </c>
      <c r="Q237" s="121">
        <f t="shared" si="159"/>
        <v>0</v>
      </c>
      <c r="R237" s="124">
        <f t="shared" si="160"/>
        <v>0</v>
      </c>
      <c r="S237" s="125"/>
      <c r="T237" s="121">
        <f t="shared" si="161"/>
        <v>0</v>
      </c>
      <c r="U237" s="110">
        <f t="shared" si="162"/>
        <v>0</v>
      </c>
      <c r="V237" s="121">
        <f t="shared" si="163"/>
        <v>0</v>
      </c>
      <c r="W237" s="122">
        <f t="shared" si="164"/>
        <v>0</v>
      </c>
      <c r="X237" s="108"/>
      <c r="Y237" s="121">
        <f t="shared" si="173"/>
        <v>0</v>
      </c>
      <c r="Z237" s="121">
        <f t="shared" si="174"/>
        <v>0</v>
      </c>
      <c r="AA237" s="121">
        <f t="shared" si="167"/>
        <v>0</v>
      </c>
      <c r="AB237" s="124">
        <f t="shared" si="175"/>
        <v>0</v>
      </c>
      <c r="AC237" s="126">
        <f t="shared" si="168"/>
        <v>8403</v>
      </c>
      <c r="AD237" s="101">
        <f t="shared" si="150"/>
        <v>2101</v>
      </c>
      <c r="AE237" s="127">
        <f t="shared" si="169"/>
        <v>0</v>
      </c>
      <c r="AF237" s="128">
        <f t="shared" si="176"/>
        <v>0</v>
      </c>
      <c r="AG237" s="129">
        <f t="shared" si="171"/>
        <v>8403</v>
      </c>
      <c r="AH237" s="215">
        <f t="shared" ref="AH237:AH250" si="179">AG237*F237</f>
        <v>8403</v>
      </c>
      <c r="AI237" s="130">
        <f t="shared" si="177"/>
        <v>0</v>
      </c>
      <c r="AJ237" s="159">
        <f t="shared" si="178"/>
        <v>0</v>
      </c>
      <c r="AK237" s="175" t="s">
        <v>1028</v>
      </c>
      <c r="AL237" s="161"/>
      <c r="AM237" s="176"/>
      <c r="AN237" s="160"/>
    </row>
    <row r="238" spans="1:40" ht="90.75" thickBot="1" x14ac:dyDescent="0.3">
      <c r="A238" s="84">
        <f t="shared" si="152"/>
        <v>1</v>
      </c>
      <c r="B238" s="198">
        <v>233</v>
      </c>
      <c r="C238" s="51" t="s">
        <v>599</v>
      </c>
      <c r="D238" s="204" t="s">
        <v>1044</v>
      </c>
      <c r="E238" s="60" t="s">
        <v>600</v>
      </c>
      <c r="F238" s="17">
        <v>1</v>
      </c>
      <c r="G238" s="17"/>
      <c r="H238" s="89" t="s">
        <v>28</v>
      </c>
      <c r="I238" s="115">
        <v>16806.722689075632</v>
      </c>
      <c r="J238" s="121">
        <f t="shared" si="153"/>
        <v>3193.2773109243699</v>
      </c>
      <c r="K238" s="130">
        <f t="shared" si="154"/>
        <v>20000</v>
      </c>
      <c r="L238" s="121">
        <f t="shared" si="155"/>
        <v>16806.722689075632</v>
      </c>
      <c r="M238" s="122">
        <f t="shared" si="156"/>
        <v>20000</v>
      </c>
      <c r="N238" s="123"/>
      <c r="O238" s="121">
        <f t="shared" si="157"/>
        <v>0</v>
      </c>
      <c r="P238" s="110">
        <f t="shared" si="158"/>
        <v>0</v>
      </c>
      <c r="Q238" s="121">
        <f t="shared" si="159"/>
        <v>0</v>
      </c>
      <c r="R238" s="124">
        <f t="shared" si="160"/>
        <v>0</v>
      </c>
      <c r="S238" s="125"/>
      <c r="T238" s="121">
        <f t="shared" si="161"/>
        <v>0</v>
      </c>
      <c r="U238" s="110">
        <f t="shared" si="162"/>
        <v>0</v>
      </c>
      <c r="V238" s="121">
        <f t="shared" si="163"/>
        <v>0</v>
      </c>
      <c r="W238" s="122">
        <f t="shared" si="164"/>
        <v>0</v>
      </c>
      <c r="X238" s="108"/>
      <c r="Y238" s="121">
        <f t="shared" si="173"/>
        <v>0</v>
      </c>
      <c r="Z238" s="121">
        <f t="shared" si="174"/>
        <v>0</v>
      </c>
      <c r="AA238" s="121">
        <f t="shared" si="167"/>
        <v>0</v>
      </c>
      <c r="AB238" s="124">
        <f t="shared" si="175"/>
        <v>0</v>
      </c>
      <c r="AC238" s="126">
        <f t="shared" si="168"/>
        <v>16807</v>
      </c>
      <c r="AD238" s="101">
        <f t="shared" si="150"/>
        <v>4202</v>
      </c>
      <c r="AE238" s="127">
        <f t="shared" si="169"/>
        <v>0</v>
      </c>
      <c r="AF238" s="128">
        <f t="shared" si="176"/>
        <v>0</v>
      </c>
      <c r="AG238" s="129">
        <f t="shared" si="171"/>
        <v>16807</v>
      </c>
      <c r="AH238" s="215">
        <f t="shared" si="179"/>
        <v>16807</v>
      </c>
      <c r="AI238" s="130">
        <f t="shared" si="177"/>
        <v>0</v>
      </c>
      <c r="AJ238" s="159">
        <f t="shared" si="178"/>
        <v>0</v>
      </c>
      <c r="AK238" s="175" t="s">
        <v>1028</v>
      </c>
      <c r="AL238" s="161"/>
      <c r="AM238" s="176"/>
      <c r="AN238" s="160"/>
    </row>
    <row r="239" spans="1:40" ht="75.75" thickBot="1" x14ac:dyDescent="0.3">
      <c r="A239" s="84">
        <f t="shared" si="152"/>
        <v>1</v>
      </c>
      <c r="B239" s="198">
        <v>234</v>
      </c>
      <c r="C239" s="51" t="s">
        <v>601</v>
      </c>
      <c r="D239" s="204" t="s">
        <v>1044</v>
      </c>
      <c r="E239" s="60" t="s">
        <v>602</v>
      </c>
      <c r="F239" s="17">
        <v>1</v>
      </c>
      <c r="G239" s="17"/>
      <c r="H239" s="89" t="s">
        <v>28</v>
      </c>
      <c r="I239" s="115">
        <v>25210.084033613446</v>
      </c>
      <c r="J239" s="121">
        <f t="shared" si="153"/>
        <v>4789.9159663865548</v>
      </c>
      <c r="K239" s="130">
        <f t="shared" si="154"/>
        <v>30000</v>
      </c>
      <c r="L239" s="121">
        <f t="shared" si="155"/>
        <v>25210.084033613446</v>
      </c>
      <c r="M239" s="122">
        <f t="shared" si="156"/>
        <v>30000</v>
      </c>
      <c r="N239" s="123"/>
      <c r="O239" s="121">
        <f t="shared" si="157"/>
        <v>0</v>
      </c>
      <c r="P239" s="110">
        <f t="shared" si="158"/>
        <v>0</v>
      </c>
      <c r="Q239" s="121">
        <f t="shared" si="159"/>
        <v>0</v>
      </c>
      <c r="R239" s="124">
        <f t="shared" si="160"/>
        <v>0</v>
      </c>
      <c r="S239" s="125"/>
      <c r="T239" s="121">
        <f t="shared" si="161"/>
        <v>0</v>
      </c>
      <c r="U239" s="110">
        <f t="shared" si="162"/>
        <v>0</v>
      </c>
      <c r="V239" s="121">
        <f t="shared" si="163"/>
        <v>0</v>
      </c>
      <c r="W239" s="122">
        <f t="shared" si="164"/>
        <v>0</v>
      </c>
      <c r="X239" s="108"/>
      <c r="Y239" s="121">
        <f t="shared" si="173"/>
        <v>0</v>
      </c>
      <c r="Z239" s="121">
        <f t="shared" si="174"/>
        <v>0</v>
      </c>
      <c r="AA239" s="121">
        <f t="shared" si="167"/>
        <v>0</v>
      </c>
      <c r="AB239" s="124">
        <f t="shared" si="175"/>
        <v>0</v>
      </c>
      <c r="AC239" s="126">
        <f t="shared" si="168"/>
        <v>25210</v>
      </c>
      <c r="AD239" s="101">
        <f t="shared" si="150"/>
        <v>6303</v>
      </c>
      <c r="AE239" s="127">
        <f t="shared" si="169"/>
        <v>0</v>
      </c>
      <c r="AF239" s="128">
        <f t="shared" si="176"/>
        <v>0</v>
      </c>
      <c r="AG239" s="129">
        <f t="shared" si="171"/>
        <v>25210</v>
      </c>
      <c r="AH239" s="215">
        <f t="shared" si="179"/>
        <v>25210</v>
      </c>
      <c r="AI239" s="130">
        <f t="shared" si="177"/>
        <v>0</v>
      </c>
      <c r="AJ239" s="159">
        <f t="shared" si="178"/>
        <v>0</v>
      </c>
      <c r="AK239" s="175" t="s">
        <v>1028</v>
      </c>
      <c r="AL239" s="161"/>
      <c r="AM239" s="176"/>
      <c r="AN239" s="160"/>
    </row>
    <row r="240" spans="1:40" ht="75.75" thickBot="1" x14ac:dyDescent="0.3">
      <c r="A240" s="84">
        <f t="shared" si="152"/>
        <v>1</v>
      </c>
      <c r="B240" s="198">
        <v>235</v>
      </c>
      <c r="C240" s="51" t="s">
        <v>603</v>
      </c>
      <c r="D240" s="204" t="s">
        <v>1044</v>
      </c>
      <c r="E240" s="60" t="s">
        <v>604</v>
      </c>
      <c r="F240" s="17">
        <v>1</v>
      </c>
      <c r="G240" s="17"/>
      <c r="H240" s="89" t="s">
        <v>28</v>
      </c>
      <c r="I240" s="115">
        <v>42016.806722689078</v>
      </c>
      <c r="J240" s="121">
        <f t="shared" si="153"/>
        <v>7983.1932773109247</v>
      </c>
      <c r="K240" s="130">
        <f t="shared" si="154"/>
        <v>50000</v>
      </c>
      <c r="L240" s="121">
        <f t="shared" si="155"/>
        <v>42016.806722689078</v>
      </c>
      <c r="M240" s="122">
        <f t="shared" si="156"/>
        <v>50000</v>
      </c>
      <c r="N240" s="123"/>
      <c r="O240" s="121">
        <f t="shared" si="157"/>
        <v>0</v>
      </c>
      <c r="P240" s="110">
        <f t="shared" si="158"/>
        <v>0</v>
      </c>
      <c r="Q240" s="121">
        <f t="shared" si="159"/>
        <v>0</v>
      </c>
      <c r="R240" s="124">
        <f t="shared" si="160"/>
        <v>0</v>
      </c>
      <c r="S240" s="125"/>
      <c r="T240" s="121">
        <f t="shared" si="161"/>
        <v>0</v>
      </c>
      <c r="U240" s="110">
        <f t="shared" si="162"/>
        <v>0</v>
      </c>
      <c r="V240" s="121">
        <f t="shared" si="163"/>
        <v>0</v>
      </c>
      <c r="W240" s="122">
        <f t="shared" si="164"/>
        <v>0</v>
      </c>
      <c r="X240" s="108"/>
      <c r="Y240" s="121">
        <f t="shared" si="173"/>
        <v>0</v>
      </c>
      <c r="Z240" s="121">
        <f t="shared" si="174"/>
        <v>0</v>
      </c>
      <c r="AA240" s="121">
        <f t="shared" si="167"/>
        <v>0</v>
      </c>
      <c r="AB240" s="124">
        <f t="shared" si="175"/>
        <v>0</v>
      </c>
      <c r="AC240" s="126">
        <f t="shared" si="168"/>
        <v>42017</v>
      </c>
      <c r="AD240" s="101">
        <f t="shared" si="150"/>
        <v>10504</v>
      </c>
      <c r="AE240" s="127">
        <f t="shared" si="169"/>
        <v>0</v>
      </c>
      <c r="AF240" s="128">
        <f t="shared" si="176"/>
        <v>0</v>
      </c>
      <c r="AG240" s="129">
        <f t="shared" si="171"/>
        <v>42017</v>
      </c>
      <c r="AH240" s="215">
        <f t="shared" si="179"/>
        <v>42017</v>
      </c>
      <c r="AI240" s="130">
        <f t="shared" si="177"/>
        <v>0</v>
      </c>
      <c r="AJ240" s="159">
        <f t="shared" si="178"/>
        <v>0</v>
      </c>
      <c r="AK240" s="175" t="s">
        <v>1028</v>
      </c>
      <c r="AL240" s="161"/>
      <c r="AM240" s="176"/>
      <c r="AN240" s="160"/>
    </row>
    <row r="241" spans="1:40" ht="75.75" thickBot="1" x14ac:dyDescent="0.3">
      <c r="A241" s="84">
        <f t="shared" si="152"/>
        <v>1</v>
      </c>
      <c r="B241" s="198">
        <v>236</v>
      </c>
      <c r="C241" s="51" t="s">
        <v>605</v>
      </c>
      <c r="D241" s="204" t="s">
        <v>1044</v>
      </c>
      <c r="E241" s="60" t="s">
        <v>606</v>
      </c>
      <c r="F241" s="17">
        <v>1</v>
      </c>
      <c r="G241" s="17"/>
      <c r="H241" s="89" t="s">
        <v>28</v>
      </c>
      <c r="I241" s="115">
        <v>84033.613445378156</v>
      </c>
      <c r="J241" s="121">
        <f t="shared" si="153"/>
        <v>15966.386554621849</v>
      </c>
      <c r="K241" s="130">
        <f t="shared" si="154"/>
        <v>100000</v>
      </c>
      <c r="L241" s="121">
        <f t="shared" si="155"/>
        <v>84033.613445378156</v>
      </c>
      <c r="M241" s="122">
        <f t="shared" si="156"/>
        <v>100000</v>
      </c>
      <c r="N241" s="123"/>
      <c r="O241" s="121">
        <f t="shared" si="157"/>
        <v>0</v>
      </c>
      <c r="P241" s="110">
        <f t="shared" si="158"/>
        <v>0</v>
      </c>
      <c r="Q241" s="121">
        <f t="shared" si="159"/>
        <v>0</v>
      </c>
      <c r="R241" s="124">
        <f t="shared" si="160"/>
        <v>0</v>
      </c>
      <c r="S241" s="125"/>
      <c r="T241" s="121">
        <f t="shared" si="161"/>
        <v>0</v>
      </c>
      <c r="U241" s="110">
        <f t="shared" si="162"/>
        <v>0</v>
      </c>
      <c r="V241" s="121">
        <f t="shared" si="163"/>
        <v>0</v>
      </c>
      <c r="W241" s="122">
        <f t="shared" si="164"/>
        <v>0</v>
      </c>
      <c r="X241" s="108"/>
      <c r="Y241" s="121">
        <f t="shared" si="173"/>
        <v>0</v>
      </c>
      <c r="Z241" s="121">
        <f t="shared" si="174"/>
        <v>0</v>
      </c>
      <c r="AA241" s="121">
        <f t="shared" si="167"/>
        <v>0</v>
      </c>
      <c r="AB241" s="124">
        <f t="shared" si="175"/>
        <v>0</v>
      </c>
      <c r="AC241" s="126">
        <f t="shared" si="168"/>
        <v>84034</v>
      </c>
      <c r="AD241" s="101">
        <f t="shared" si="150"/>
        <v>21008</v>
      </c>
      <c r="AE241" s="127">
        <f t="shared" si="169"/>
        <v>0</v>
      </c>
      <c r="AF241" s="128">
        <f t="shared" si="176"/>
        <v>0</v>
      </c>
      <c r="AG241" s="129">
        <f t="shared" si="171"/>
        <v>84034</v>
      </c>
      <c r="AH241" s="215">
        <f t="shared" si="179"/>
        <v>84034</v>
      </c>
      <c r="AI241" s="130">
        <f t="shared" si="177"/>
        <v>0</v>
      </c>
      <c r="AJ241" s="159">
        <f t="shared" si="178"/>
        <v>0</v>
      </c>
      <c r="AK241" s="175" t="s">
        <v>1028</v>
      </c>
      <c r="AL241" s="161"/>
      <c r="AM241" s="176"/>
      <c r="AN241" s="160"/>
    </row>
    <row r="242" spans="1:40" ht="75.75" thickBot="1" x14ac:dyDescent="0.3">
      <c r="A242" s="84">
        <f t="shared" si="152"/>
        <v>1</v>
      </c>
      <c r="B242" s="198">
        <v>237</v>
      </c>
      <c r="C242" s="51" t="s">
        <v>607</v>
      </c>
      <c r="D242" s="204" t="s">
        <v>1044</v>
      </c>
      <c r="E242" s="60" t="s">
        <v>608</v>
      </c>
      <c r="F242" s="17">
        <v>1</v>
      </c>
      <c r="G242" s="17"/>
      <c r="H242" s="89" t="s">
        <v>28</v>
      </c>
      <c r="I242" s="115">
        <v>126050.42016806723</v>
      </c>
      <c r="J242" s="121">
        <f t="shared" si="153"/>
        <v>23949.579831932773</v>
      </c>
      <c r="K242" s="130">
        <f t="shared" si="154"/>
        <v>150000</v>
      </c>
      <c r="L242" s="121">
        <f t="shared" si="155"/>
        <v>126050.42016806723</v>
      </c>
      <c r="M242" s="122">
        <f t="shared" si="156"/>
        <v>150000</v>
      </c>
      <c r="N242" s="123"/>
      <c r="O242" s="121">
        <f t="shared" si="157"/>
        <v>0</v>
      </c>
      <c r="P242" s="110">
        <f t="shared" si="158"/>
        <v>0</v>
      </c>
      <c r="Q242" s="121">
        <f t="shared" si="159"/>
        <v>0</v>
      </c>
      <c r="R242" s="124">
        <f t="shared" si="160"/>
        <v>0</v>
      </c>
      <c r="S242" s="125"/>
      <c r="T242" s="121">
        <f t="shared" si="161"/>
        <v>0</v>
      </c>
      <c r="U242" s="110">
        <f t="shared" si="162"/>
        <v>0</v>
      </c>
      <c r="V242" s="121">
        <f t="shared" si="163"/>
        <v>0</v>
      </c>
      <c r="W242" s="122">
        <f t="shared" si="164"/>
        <v>0</v>
      </c>
      <c r="X242" s="108"/>
      <c r="Y242" s="121">
        <f t="shared" si="173"/>
        <v>0</v>
      </c>
      <c r="Z242" s="121">
        <f t="shared" si="174"/>
        <v>0</v>
      </c>
      <c r="AA242" s="121">
        <f t="shared" si="167"/>
        <v>0</v>
      </c>
      <c r="AB242" s="124">
        <f t="shared" si="175"/>
        <v>0</v>
      </c>
      <c r="AC242" s="126">
        <f t="shared" si="168"/>
        <v>126050</v>
      </c>
      <c r="AD242" s="101">
        <f t="shared" si="150"/>
        <v>31513</v>
      </c>
      <c r="AE242" s="127">
        <f t="shared" si="169"/>
        <v>0</v>
      </c>
      <c r="AF242" s="128">
        <f t="shared" si="176"/>
        <v>0</v>
      </c>
      <c r="AG242" s="129">
        <f t="shared" si="171"/>
        <v>126050</v>
      </c>
      <c r="AH242" s="215">
        <f t="shared" si="179"/>
        <v>126050</v>
      </c>
      <c r="AI242" s="130">
        <f t="shared" si="177"/>
        <v>0</v>
      </c>
      <c r="AJ242" s="159">
        <f t="shared" si="178"/>
        <v>0</v>
      </c>
      <c r="AK242" s="175" t="s">
        <v>1028</v>
      </c>
      <c r="AL242" s="161"/>
      <c r="AM242" s="176"/>
      <c r="AN242" s="160"/>
    </row>
    <row r="243" spans="1:40" ht="75.75" thickBot="1" x14ac:dyDescent="0.3">
      <c r="A243" s="84">
        <f t="shared" si="152"/>
        <v>1</v>
      </c>
      <c r="B243" s="198">
        <v>238</v>
      </c>
      <c r="C243" s="51" t="s">
        <v>609</v>
      </c>
      <c r="D243" s="204" t="s">
        <v>1044</v>
      </c>
      <c r="E243" s="60" t="s">
        <v>610</v>
      </c>
      <c r="F243" s="17">
        <v>1</v>
      </c>
      <c r="G243" s="17"/>
      <c r="H243" s="89" t="s">
        <v>28</v>
      </c>
      <c r="I243" s="115">
        <v>168067.22689075631</v>
      </c>
      <c r="J243" s="121">
        <f t="shared" si="153"/>
        <v>31932.773109243699</v>
      </c>
      <c r="K243" s="130">
        <f t="shared" si="154"/>
        <v>200000</v>
      </c>
      <c r="L243" s="121">
        <f t="shared" si="155"/>
        <v>168067.22689075631</v>
      </c>
      <c r="M243" s="122">
        <f t="shared" si="156"/>
        <v>200000</v>
      </c>
      <c r="N243" s="123"/>
      <c r="O243" s="121">
        <f t="shared" si="157"/>
        <v>0</v>
      </c>
      <c r="P243" s="110">
        <f t="shared" si="158"/>
        <v>0</v>
      </c>
      <c r="Q243" s="121">
        <f t="shared" si="159"/>
        <v>0</v>
      </c>
      <c r="R243" s="124">
        <f t="shared" si="160"/>
        <v>0</v>
      </c>
      <c r="S243" s="125"/>
      <c r="T243" s="121">
        <f t="shared" si="161"/>
        <v>0</v>
      </c>
      <c r="U243" s="110">
        <f t="shared" si="162"/>
        <v>0</v>
      </c>
      <c r="V243" s="121">
        <f t="shared" si="163"/>
        <v>0</v>
      </c>
      <c r="W243" s="122">
        <f t="shared" si="164"/>
        <v>0</v>
      </c>
      <c r="X243" s="108"/>
      <c r="Y243" s="121">
        <f t="shared" si="173"/>
        <v>0</v>
      </c>
      <c r="Z243" s="121">
        <f t="shared" si="174"/>
        <v>0</v>
      </c>
      <c r="AA243" s="121">
        <f t="shared" si="167"/>
        <v>0</v>
      </c>
      <c r="AB243" s="124">
        <f t="shared" si="175"/>
        <v>0</v>
      </c>
      <c r="AC243" s="126">
        <f t="shared" si="168"/>
        <v>168067</v>
      </c>
      <c r="AD243" s="101">
        <f t="shared" si="150"/>
        <v>42017</v>
      </c>
      <c r="AE243" s="127">
        <f t="shared" si="169"/>
        <v>0</v>
      </c>
      <c r="AF243" s="128">
        <f t="shared" si="176"/>
        <v>0</v>
      </c>
      <c r="AG243" s="129">
        <f t="shared" si="171"/>
        <v>168067</v>
      </c>
      <c r="AH243" s="215">
        <f t="shared" si="179"/>
        <v>168067</v>
      </c>
      <c r="AI243" s="130">
        <f t="shared" si="177"/>
        <v>0</v>
      </c>
      <c r="AJ243" s="159">
        <f t="shared" si="178"/>
        <v>0</v>
      </c>
      <c r="AK243" s="175" t="s">
        <v>1028</v>
      </c>
      <c r="AL243" s="161"/>
      <c r="AM243" s="176"/>
      <c r="AN243" s="160"/>
    </row>
    <row r="244" spans="1:40" ht="75.75" thickBot="1" x14ac:dyDescent="0.3">
      <c r="A244" s="84">
        <f t="shared" si="152"/>
        <v>1</v>
      </c>
      <c r="B244" s="198">
        <v>239</v>
      </c>
      <c r="C244" s="51" t="s">
        <v>611</v>
      </c>
      <c r="D244" s="204" t="s">
        <v>1044</v>
      </c>
      <c r="E244" s="60" t="s">
        <v>612</v>
      </c>
      <c r="F244" s="17">
        <v>1</v>
      </c>
      <c r="G244" s="17"/>
      <c r="H244" s="89" t="s">
        <v>28</v>
      </c>
      <c r="I244" s="115">
        <v>210084.03361344538</v>
      </c>
      <c r="J244" s="121">
        <f t="shared" si="153"/>
        <v>39915.966386554624</v>
      </c>
      <c r="K244" s="130">
        <f t="shared" si="154"/>
        <v>250000</v>
      </c>
      <c r="L244" s="121">
        <f t="shared" si="155"/>
        <v>210084.03361344538</v>
      </c>
      <c r="M244" s="122">
        <f t="shared" si="156"/>
        <v>250000</v>
      </c>
      <c r="N244" s="123"/>
      <c r="O244" s="121">
        <f t="shared" si="157"/>
        <v>0</v>
      </c>
      <c r="P244" s="110">
        <f t="shared" si="158"/>
        <v>0</v>
      </c>
      <c r="Q244" s="121">
        <f t="shared" si="159"/>
        <v>0</v>
      </c>
      <c r="R244" s="124">
        <f t="shared" si="160"/>
        <v>0</v>
      </c>
      <c r="S244" s="125"/>
      <c r="T244" s="121">
        <f t="shared" si="161"/>
        <v>0</v>
      </c>
      <c r="U244" s="110">
        <f t="shared" si="162"/>
        <v>0</v>
      </c>
      <c r="V244" s="121">
        <f t="shared" si="163"/>
        <v>0</v>
      </c>
      <c r="W244" s="122">
        <f t="shared" si="164"/>
        <v>0</v>
      </c>
      <c r="X244" s="108"/>
      <c r="Y244" s="121">
        <f t="shared" si="173"/>
        <v>0</v>
      </c>
      <c r="Z244" s="121">
        <f t="shared" si="174"/>
        <v>0</v>
      </c>
      <c r="AA244" s="121">
        <f t="shared" si="167"/>
        <v>0</v>
      </c>
      <c r="AB244" s="124">
        <f t="shared" si="175"/>
        <v>0</v>
      </c>
      <c r="AC244" s="126">
        <f t="shared" si="168"/>
        <v>210084</v>
      </c>
      <c r="AD244" s="101">
        <f t="shared" si="150"/>
        <v>52521</v>
      </c>
      <c r="AE244" s="127">
        <f t="shared" si="169"/>
        <v>0</v>
      </c>
      <c r="AF244" s="128">
        <f t="shared" si="176"/>
        <v>0</v>
      </c>
      <c r="AG244" s="129">
        <f t="shared" si="171"/>
        <v>210084</v>
      </c>
      <c r="AH244" s="215">
        <f t="shared" si="179"/>
        <v>210084</v>
      </c>
      <c r="AI244" s="130">
        <f t="shared" si="177"/>
        <v>0</v>
      </c>
      <c r="AJ244" s="159">
        <f t="shared" si="178"/>
        <v>0</v>
      </c>
      <c r="AK244" s="175" t="s">
        <v>1028</v>
      </c>
      <c r="AL244" s="161"/>
      <c r="AM244" s="176"/>
      <c r="AN244" s="160"/>
    </row>
    <row r="245" spans="1:40" ht="75.75" thickBot="1" x14ac:dyDescent="0.3">
      <c r="A245" s="84">
        <f t="shared" si="152"/>
        <v>1</v>
      </c>
      <c r="B245" s="198">
        <v>240</v>
      </c>
      <c r="C245" s="51" t="s">
        <v>613</v>
      </c>
      <c r="D245" s="204" t="s">
        <v>1044</v>
      </c>
      <c r="E245" s="60" t="s">
        <v>612</v>
      </c>
      <c r="F245" s="17">
        <v>1</v>
      </c>
      <c r="G245" s="17"/>
      <c r="H245" s="89" t="s">
        <v>28</v>
      </c>
      <c r="I245" s="115">
        <v>210084.03361344538</v>
      </c>
      <c r="J245" s="121">
        <f t="shared" si="153"/>
        <v>39915.966386554624</v>
      </c>
      <c r="K245" s="130">
        <f t="shared" si="154"/>
        <v>250000</v>
      </c>
      <c r="L245" s="121">
        <f t="shared" si="155"/>
        <v>210084.03361344538</v>
      </c>
      <c r="M245" s="122">
        <f t="shared" si="156"/>
        <v>250000</v>
      </c>
      <c r="N245" s="123"/>
      <c r="O245" s="121">
        <f t="shared" si="157"/>
        <v>0</v>
      </c>
      <c r="P245" s="110">
        <f t="shared" si="158"/>
        <v>0</v>
      </c>
      <c r="Q245" s="121">
        <f t="shared" si="159"/>
        <v>0</v>
      </c>
      <c r="R245" s="124">
        <f t="shared" si="160"/>
        <v>0</v>
      </c>
      <c r="S245" s="125"/>
      <c r="T245" s="121">
        <f t="shared" si="161"/>
        <v>0</v>
      </c>
      <c r="U245" s="110">
        <f t="shared" si="162"/>
        <v>0</v>
      </c>
      <c r="V245" s="121">
        <f t="shared" si="163"/>
        <v>0</v>
      </c>
      <c r="W245" s="122">
        <f t="shared" si="164"/>
        <v>0</v>
      </c>
      <c r="X245" s="108"/>
      <c r="Y245" s="121">
        <f t="shared" si="173"/>
        <v>0</v>
      </c>
      <c r="Z245" s="121">
        <f t="shared" si="174"/>
        <v>0</v>
      </c>
      <c r="AA245" s="121">
        <f t="shared" si="167"/>
        <v>0</v>
      </c>
      <c r="AB245" s="124">
        <f t="shared" si="175"/>
        <v>0</v>
      </c>
      <c r="AC245" s="126">
        <f t="shared" si="168"/>
        <v>210084</v>
      </c>
      <c r="AD245" s="101">
        <f t="shared" si="150"/>
        <v>52521</v>
      </c>
      <c r="AE245" s="127">
        <f t="shared" si="169"/>
        <v>0</v>
      </c>
      <c r="AF245" s="128">
        <f t="shared" si="176"/>
        <v>0</v>
      </c>
      <c r="AG245" s="129">
        <f t="shared" si="171"/>
        <v>210084</v>
      </c>
      <c r="AH245" s="215">
        <f t="shared" si="179"/>
        <v>210084</v>
      </c>
      <c r="AI245" s="130">
        <f t="shared" si="177"/>
        <v>0</v>
      </c>
      <c r="AJ245" s="159">
        <f t="shared" si="178"/>
        <v>0</v>
      </c>
      <c r="AK245" s="175" t="s">
        <v>1028</v>
      </c>
      <c r="AL245" s="161"/>
      <c r="AM245" s="176"/>
      <c r="AN245" s="160"/>
    </row>
    <row r="246" spans="1:40" ht="75.75" thickBot="1" x14ac:dyDescent="0.3">
      <c r="A246" s="84">
        <f t="shared" si="152"/>
        <v>1</v>
      </c>
      <c r="B246" s="198">
        <v>241</v>
      </c>
      <c r="C246" s="51" t="s">
        <v>614</v>
      </c>
      <c r="D246" s="204" t="s">
        <v>1044</v>
      </c>
      <c r="E246" s="60" t="s">
        <v>615</v>
      </c>
      <c r="F246" s="17">
        <v>1</v>
      </c>
      <c r="G246" s="17"/>
      <c r="H246" s="89" t="s">
        <v>28</v>
      </c>
      <c r="I246" s="115">
        <v>252100.84033613445</v>
      </c>
      <c r="J246" s="121">
        <f t="shared" si="153"/>
        <v>47899.159663865546</v>
      </c>
      <c r="K246" s="130">
        <f t="shared" si="154"/>
        <v>300000</v>
      </c>
      <c r="L246" s="121">
        <f t="shared" si="155"/>
        <v>252100.84033613445</v>
      </c>
      <c r="M246" s="122">
        <f t="shared" si="156"/>
        <v>300000</v>
      </c>
      <c r="N246" s="123"/>
      <c r="O246" s="121">
        <f t="shared" si="157"/>
        <v>0</v>
      </c>
      <c r="P246" s="110">
        <f t="shared" si="158"/>
        <v>0</v>
      </c>
      <c r="Q246" s="121">
        <f t="shared" si="159"/>
        <v>0</v>
      </c>
      <c r="R246" s="124">
        <f t="shared" si="160"/>
        <v>0</v>
      </c>
      <c r="S246" s="125"/>
      <c r="T246" s="121">
        <f t="shared" si="161"/>
        <v>0</v>
      </c>
      <c r="U246" s="110">
        <f t="shared" si="162"/>
        <v>0</v>
      </c>
      <c r="V246" s="121">
        <f t="shared" si="163"/>
        <v>0</v>
      </c>
      <c r="W246" s="122">
        <f t="shared" si="164"/>
        <v>0</v>
      </c>
      <c r="X246" s="108"/>
      <c r="Y246" s="121">
        <f t="shared" si="173"/>
        <v>0</v>
      </c>
      <c r="Z246" s="121">
        <f t="shared" si="174"/>
        <v>0</v>
      </c>
      <c r="AA246" s="121">
        <f t="shared" si="167"/>
        <v>0</v>
      </c>
      <c r="AB246" s="124">
        <f t="shared" si="175"/>
        <v>0</v>
      </c>
      <c r="AC246" s="126">
        <f t="shared" si="168"/>
        <v>252101</v>
      </c>
      <c r="AD246" s="101">
        <f t="shared" si="150"/>
        <v>63025</v>
      </c>
      <c r="AE246" s="127">
        <f t="shared" si="169"/>
        <v>0</v>
      </c>
      <c r="AF246" s="128">
        <f t="shared" si="176"/>
        <v>0</v>
      </c>
      <c r="AG246" s="129">
        <f t="shared" si="171"/>
        <v>252101</v>
      </c>
      <c r="AH246" s="215">
        <f t="shared" si="179"/>
        <v>252101</v>
      </c>
      <c r="AI246" s="130">
        <f t="shared" si="177"/>
        <v>0</v>
      </c>
      <c r="AJ246" s="159">
        <f t="shared" si="178"/>
        <v>0</v>
      </c>
      <c r="AK246" s="175" t="s">
        <v>1028</v>
      </c>
      <c r="AL246" s="161"/>
      <c r="AM246" s="176"/>
      <c r="AN246" s="160"/>
    </row>
    <row r="247" spans="1:40" ht="75.75" thickBot="1" x14ac:dyDescent="0.3">
      <c r="A247" s="84">
        <f t="shared" si="152"/>
        <v>1</v>
      </c>
      <c r="B247" s="198">
        <v>242</v>
      </c>
      <c r="C247" s="51" t="s">
        <v>616</v>
      </c>
      <c r="D247" s="204" t="s">
        <v>1044</v>
      </c>
      <c r="E247" s="60" t="s">
        <v>617</v>
      </c>
      <c r="F247" s="17">
        <v>1</v>
      </c>
      <c r="G247" s="17"/>
      <c r="H247" s="89" t="s">
        <v>28</v>
      </c>
      <c r="I247" s="115">
        <v>294117.64705882355</v>
      </c>
      <c r="J247" s="121">
        <f t="shared" si="153"/>
        <v>55882.352941176476</v>
      </c>
      <c r="K247" s="130">
        <f t="shared" si="154"/>
        <v>350000</v>
      </c>
      <c r="L247" s="121">
        <f t="shared" si="155"/>
        <v>294117.64705882355</v>
      </c>
      <c r="M247" s="122">
        <f t="shared" si="156"/>
        <v>350000</v>
      </c>
      <c r="N247" s="123"/>
      <c r="O247" s="121">
        <f t="shared" si="157"/>
        <v>0</v>
      </c>
      <c r="P247" s="110">
        <f t="shared" si="158"/>
        <v>0</v>
      </c>
      <c r="Q247" s="121">
        <f t="shared" si="159"/>
        <v>0</v>
      </c>
      <c r="R247" s="124">
        <f t="shared" si="160"/>
        <v>0</v>
      </c>
      <c r="S247" s="125"/>
      <c r="T247" s="121">
        <f t="shared" si="161"/>
        <v>0</v>
      </c>
      <c r="U247" s="110">
        <f t="shared" si="162"/>
        <v>0</v>
      </c>
      <c r="V247" s="121">
        <f t="shared" si="163"/>
        <v>0</v>
      </c>
      <c r="W247" s="122">
        <f t="shared" si="164"/>
        <v>0</v>
      </c>
      <c r="X247" s="108"/>
      <c r="Y247" s="121">
        <f t="shared" si="173"/>
        <v>0</v>
      </c>
      <c r="Z247" s="121">
        <f t="shared" si="174"/>
        <v>0</v>
      </c>
      <c r="AA247" s="121">
        <f t="shared" si="167"/>
        <v>0</v>
      </c>
      <c r="AB247" s="124">
        <f t="shared" si="175"/>
        <v>0</v>
      </c>
      <c r="AC247" s="126">
        <f t="shared" si="168"/>
        <v>294118</v>
      </c>
      <c r="AD247" s="101">
        <f t="shared" si="150"/>
        <v>73529</v>
      </c>
      <c r="AE247" s="127">
        <f t="shared" si="169"/>
        <v>0</v>
      </c>
      <c r="AF247" s="128">
        <f t="shared" si="176"/>
        <v>0</v>
      </c>
      <c r="AG247" s="129">
        <f t="shared" si="171"/>
        <v>294118</v>
      </c>
      <c r="AH247" s="215">
        <f t="shared" si="179"/>
        <v>294118</v>
      </c>
      <c r="AI247" s="130">
        <f t="shared" si="177"/>
        <v>0</v>
      </c>
      <c r="AJ247" s="159">
        <f t="shared" si="178"/>
        <v>0</v>
      </c>
      <c r="AK247" s="175" t="s">
        <v>1028</v>
      </c>
      <c r="AL247" s="161"/>
      <c r="AM247" s="176"/>
      <c r="AN247" s="160"/>
    </row>
    <row r="248" spans="1:40" ht="75.75" thickBot="1" x14ac:dyDescent="0.3">
      <c r="A248" s="84">
        <f t="shared" si="152"/>
        <v>1</v>
      </c>
      <c r="B248" s="198">
        <v>243</v>
      </c>
      <c r="C248" s="51" t="s">
        <v>618</v>
      </c>
      <c r="D248" s="204" t="s">
        <v>1044</v>
      </c>
      <c r="E248" s="60" t="s">
        <v>619</v>
      </c>
      <c r="F248" s="17">
        <v>1</v>
      </c>
      <c r="G248" s="17"/>
      <c r="H248" s="89" t="s">
        <v>28</v>
      </c>
      <c r="I248" s="115">
        <v>336134.45378151262</v>
      </c>
      <c r="J248" s="121">
        <f t="shared" si="153"/>
        <v>63865.546218487398</v>
      </c>
      <c r="K248" s="130">
        <f t="shared" si="154"/>
        <v>400000</v>
      </c>
      <c r="L248" s="121">
        <f t="shared" si="155"/>
        <v>336134.45378151262</v>
      </c>
      <c r="M248" s="122">
        <f t="shared" si="156"/>
        <v>400000</v>
      </c>
      <c r="N248" s="123"/>
      <c r="O248" s="121">
        <f t="shared" si="157"/>
        <v>0</v>
      </c>
      <c r="P248" s="110">
        <f t="shared" si="158"/>
        <v>0</v>
      </c>
      <c r="Q248" s="121">
        <f t="shared" si="159"/>
        <v>0</v>
      </c>
      <c r="R248" s="124">
        <f t="shared" si="160"/>
        <v>0</v>
      </c>
      <c r="S248" s="125"/>
      <c r="T248" s="121">
        <f t="shared" si="161"/>
        <v>0</v>
      </c>
      <c r="U248" s="110">
        <f t="shared" si="162"/>
        <v>0</v>
      </c>
      <c r="V248" s="121">
        <f t="shared" si="163"/>
        <v>0</v>
      </c>
      <c r="W248" s="122">
        <f t="shared" si="164"/>
        <v>0</v>
      </c>
      <c r="X248" s="108"/>
      <c r="Y248" s="121">
        <f t="shared" si="173"/>
        <v>0</v>
      </c>
      <c r="Z248" s="121">
        <f t="shared" si="174"/>
        <v>0</v>
      </c>
      <c r="AA248" s="121">
        <f t="shared" si="167"/>
        <v>0</v>
      </c>
      <c r="AB248" s="124">
        <f t="shared" si="175"/>
        <v>0</v>
      </c>
      <c r="AC248" s="126">
        <f t="shared" si="168"/>
        <v>336134</v>
      </c>
      <c r="AD248" s="101">
        <f t="shared" si="150"/>
        <v>84034</v>
      </c>
      <c r="AE248" s="127">
        <f t="shared" si="169"/>
        <v>0</v>
      </c>
      <c r="AF248" s="128">
        <f t="shared" si="176"/>
        <v>0</v>
      </c>
      <c r="AG248" s="129">
        <f t="shared" si="171"/>
        <v>336134</v>
      </c>
      <c r="AH248" s="215">
        <f t="shared" si="179"/>
        <v>336134</v>
      </c>
      <c r="AI248" s="130">
        <f t="shared" si="177"/>
        <v>0</v>
      </c>
      <c r="AJ248" s="159">
        <f t="shared" si="178"/>
        <v>0</v>
      </c>
      <c r="AK248" s="175" t="s">
        <v>1028</v>
      </c>
      <c r="AL248" s="161"/>
      <c r="AM248" s="176"/>
      <c r="AN248" s="160"/>
    </row>
    <row r="249" spans="1:40" ht="75.75" thickBot="1" x14ac:dyDescent="0.3">
      <c r="A249" s="84">
        <f t="shared" si="152"/>
        <v>1</v>
      </c>
      <c r="B249" s="198">
        <v>244</v>
      </c>
      <c r="C249" s="51" t="s">
        <v>620</v>
      </c>
      <c r="D249" s="204" t="s">
        <v>1044</v>
      </c>
      <c r="E249" s="60" t="s">
        <v>621</v>
      </c>
      <c r="F249" s="17">
        <v>1</v>
      </c>
      <c r="G249" s="17"/>
      <c r="H249" s="89" t="s">
        <v>28</v>
      </c>
      <c r="I249" s="115">
        <v>378151.26050420169</v>
      </c>
      <c r="J249" s="121">
        <f t="shared" si="153"/>
        <v>71848.73949579832</v>
      </c>
      <c r="K249" s="130">
        <f t="shared" si="154"/>
        <v>450000</v>
      </c>
      <c r="L249" s="121">
        <f t="shared" si="155"/>
        <v>378151.26050420169</v>
      </c>
      <c r="M249" s="122">
        <f t="shared" si="156"/>
        <v>450000</v>
      </c>
      <c r="N249" s="123"/>
      <c r="O249" s="121">
        <f t="shared" si="157"/>
        <v>0</v>
      </c>
      <c r="P249" s="110">
        <f t="shared" si="158"/>
        <v>0</v>
      </c>
      <c r="Q249" s="121">
        <f t="shared" si="159"/>
        <v>0</v>
      </c>
      <c r="R249" s="124">
        <f t="shared" si="160"/>
        <v>0</v>
      </c>
      <c r="S249" s="125"/>
      <c r="T249" s="121">
        <f t="shared" si="161"/>
        <v>0</v>
      </c>
      <c r="U249" s="110">
        <f t="shared" si="162"/>
        <v>0</v>
      </c>
      <c r="V249" s="121">
        <f t="shared" si="163"/>
        <v>0</v>
      </c>
      <c r="W249" s="122">
        <f t="shared" si="164"/>
        <v>0</v>
      </c>
      <c r="X249" s="108"/>
      <c r="Y249" s="121">
        <f t="shared" si="173"/>
        <v>0</v>
      </c>
      <c r="Z249" s="121">
        <f t="shared" si="174"/>
        <v>0</v>
      </c>
      <c r="AA249" s="121">
        <f t="shared" si="167"/>
        <v>0</v>
      </c>
      <c r="AB249" s="124">
        <f t="shared" si="175"/>
        <v>0</v>
      </c>
      <c r="AC249" s="126">
        <f t="shared" si="168"/>
        <v>378151</v>
      </c>
      <c r="AD249" s="101">
        <f t="shared" si="150"/>
        <v>94538</v>
      </c>
      <c r="AE249" s="127">
        <f t="shared" si="169"/>
        <v>0</v>
      </c>
      <c r="AF249" s="128">
        <f t="shared" si="176"/>
        <v>0</v>
      </c>
      <c r="AG249" s="129">
        <f t="shared" si="171"/>
        <v>378151</v>
      </c>
      <c r="AH249" s="215">
        <f t="shared" si="179"/>
        <v>378151</v>
      </c>
      <c r="AI249" s="130">
        <f t="shared" si="177"/>
        <v>0</v>
      </c>
      <c r="AJ249" s="159">
        <f t="shared" si="178"/>
        <v>0</v>
      </c>
      <c r="AK249" s="175" t="s">
        <v>1028</v>
      </c>
      <c r="AL249" s="161"/>
      <c r="AM249" s="176"/>
      <c r="AN249" s="160"/>
    </row>
    <row r="250" spans="1:40" ht="75.75" thickBot="1" x14ac:dyDescent="0.3">
      <c r="A250" s="84">
        <f t="shared" si="152"/>
        <v>1</v>
      </c>
      <c r="B250" s="198">
        <v>245</v>
      </c>
      <c r="C250" s="51" t="s">
        <v>622</v>
      </c>
      <c r="D250" s="204" t="s">
        <v>1044</v>
      </c>
      <c r="E250" s="60" t="s">
        <v>623</v>
      </c>
      <c r="F250" s="17">
        <v>1</v>
      </c>
      <c r="G250" s="17"/>
      <c r="H250" s="89" t="s">
        <v>28</v>
      </c>
      <c r="I250" s="115">
        <v>420168.06722689077</v>
      </c>
      <c r="J250" s="121">
        <f t="shared" si="153"/>
        <v>79831.932773109249</v>
      </c>
      <c r="K250" s="130">
        <f t="shared" si="154"/>
        <v>500000</v>
      </c>
      <c r="L250" s="121">
        <f t="shared" si="155"/>
        <v>420168.06722689077</v>
      </c>
      <c r="M250" s="122">
        <f t="shared" si="156"/>
        <v>500000</v>
      </c>
      <c r="N250" s="123"/>
      <c r="O250" s="121">
        <f t="shared" si="157"/>
        <v>0</v>
      </c>
      <c r="P250" s="110">
        <f t="shared" si="158"/>
        <v>0</v>
      </c>
      <c r="Q250" s="121">
        <f t="shared" si="159"/>
        <v>0</v>
      </c>
      <c r="R250" s="124">
        <f t="shared" si="160"/>
        <v>0</v>
      </c>
      <c r="S250" s="125"/>
      <c r="T250" s="121">
        <f t="shared" si="161"/>
        <v>0</v>
      </c>
      <c r="U250" s="110">
        <f t="shared" si="162"/>
        <v>0</v>
      </c>
      <c r="V250" s="121">
        <f t="shared" si="163"/>
        <v>0</v>
      </c>
      <c r="W250" s="122">
        <f t="shared" si="164"/>
        <v>0</v>
      </c>
      <c r="X250" s="108"/>
      <c r="Y250" s="121">
        <f t="shared" si="173"/>
        <v>0</v>
      </c>
      <c r="Z250" s="121">
        <f t="shared" si="174"/>
        <v>0</v>
      </c>
      <c r="AA250" s="121">
        <f t="shared" si="167"/>
        <v>0</v>
      </c>
      <c r="AB250" s="124">
        <f t="shared" si="175"/>
        <v>0</v>
      </c>
      <c r="AC250" s="126">
        <f t="shared" si="168"/>
        <v>420168</v>
      </c>
      <c r="AD250" s="101">
        <f t="shared" si="150"/>
        <v>105042</v>
      </c>
      <c r="AE250" s="127">
        <f t="shared" si="169"/>
        <v>0</v>
      </c>
      <c r="AF250" s="128">
        <f t="shared" si="176"/>
        <v>0</v>
      </c>
      <c r="AG250" s="129">
        <f t="shared" si="171"/>
        <v>420168</v>
      </c>
      <c r="AH250" s="215">
        <f t="shared" si="179"/>
        <v>420168</v>
      </c>
      <c r="AI250" s="130">
        <f t="shared" si="177"/>
        <v>0</v>
      </c>
      <c r="AJ250" s="159">
        <f t="shared" si="178"/>
        <v>0</v>
      </c>
      <c r="AK250" s="175" t="s">
        <v>1028</v>
      </c>
      <c r="AL250" s="161"/>
      <c r="AM250" s="176"/>
      <c r="AN250" s="160"/>
    </row>
    <row r="251" spans="1:40" ht="75.75" thickBot="1" x14ac:dyDescent="0.3">
      <c r="A251" s="84">
        <f t="shared" si="152"/>
        <v>3</v>
      </c>
      <c r="B251" s="198">
        <v>246</v>
      </c>
      <c r="C251" s="51" t="s">
        <v>624</v>
      </c>
      <c r="D251" s="204" t="s">
        <v>1044</v>
      </c>
      <c r="E251" s="60" t="s">
        <v>625</v>
      </c>
      <c r="F251" s="17">
        <v>1</v>
      </c>
      <c r="G251" s="17"/>
      <c r="H251" s="89" t="s">
        <v>28</v>
      </c>
      <c r="I251" s="115">
        <v>1455000</v>
      </c>
      <c r="J251" s="121">
        <f t="shared" si="153"/>
        <v>276450</v>
      </c>
      <c r="K251" s="130">
        <f t="shared" si="154"/>
        <v>1731450</v>
      </c>
      <c r="L251" s="121">
        <f t="shared" si="155"/>
        <v>1455000</v>
      </c>
      <c r="M251" s="122">
        <f t="shared" si="156"/>
        <v>1731450</v>
      </c>
      <c r="N251" s="115">
        <v>1455000</v>
      </c>
      <c r="O251" s="121">
        <f t="shared" si="157"/>
        <v>276450</v>
      </c>
      <c r="P251" s="110">
        <f t="shared" si="158"/>
        <v>1731450</v>
      </c>
      <c r="Q251" s="121">
        <f t="shared" si="159"/>
        <v>1455000</v>
      </c>
      <c r="R251" s="124">
        <f t="shared" si="160"/>
        <v>1731450</v>
      </c>
      <c r="S251" s="115">
        <v>1455000</v>
      </c>
      <c r="T251" s="121">
        <f t="shared" si="161"/>
        <v>276450</v>
      </c>
      <c r="U251" s="110">
        <f t="shared" si="162"/>
        <v>1731450</v>
      </c>
      <c r="V251" s="121">
        <f t="shared" si="163"/>
        <v>1455000</v>
      </c>
      <c r="W251" s="122">
        <f t="shared" si="164"/>
        <v>1731450</v>
      </c>
      <c r="X251" s="108"/>
      <c r="Y251" s="121">
        <f t="shared" si="173"/>
        <v>0</v>
      </c>
      <c r="Z251" s="121">
        <f t="shared" si="174"/>
        <v>0</v>
      </c>
      <c r="AA251" s="121">
        <f t="shared" si="167"/>
        <v>0</v>
      </c>
      <c r="AB251" s="124">
        <f t="shared" si="175"/>
        <v>0</v>
      </c>
      <c r="AC251" s="126">
        <f t="shared" si="168"/>
        <v>1455000</v>
      </c>
      <c r="AD251" s="101">
        <f t="shared" si="150"/>
        <v>1091250</v>
      </c>
      <c r="AE251" s="127">
        <f t="shared" si="169"/>
        <v>0</v>
      </c>
      <c r="AF251" s="128">
        <f t="shared" si="176"/>
        <v>0</v>
      </c>
      <c r="AG251" s="129">
        <f t="shared" si="171"/>
        <v>1455000</v>
      </c>
      <c r="AH251" s="101">
        <f t="shared" si="151"/>
        <v>1455000</v>
      </c>
      <c r="AI251" s="130">
        <f t="shared" si="177"/>
        <v>0</v>
      </c>
      <c r="AJ251" s="159">
        <f t="shared" si="178"/>
        <v>0</v>
      </c>
      <c r="AK251" s="175" t="s">
        <v>1029</v>
      </c>
      <c r="AL251" s="164" t="s">
        <v>1030</v>
      </c>
      <c r="AM251" s="180" t="s">
        <v>1031</v>
      </c>
      <c r="AN251" s="160"/>
    </row>
    <row r="252" spans="1:40" ht="60.75" thickBot="1" x14ac:dyDescent="0.3">
      <c r="A252" s="84">
        <f t="shared" si="152"/>
        <v>3</v>
      </c>
      <c r="B252" s="198">
        <v>247</v>
      </c>
      <c r="C252" s="51" t="s">
        <v>626</v>
      </c>
      <c r="D252" s="204" t="s">
        <v>1044</v>
      </c>
      <c r="E252" s="60" t="s">
        <v>627</v>
      </c>
      <c r="F252" s="17">
        <v>1</v>
      </c>
      <c r="G252" s="17"/>
      <c r="H252" s="89" t="s">
        <v>28</v>
      </c>
      <c r="I252" s="131">
        <f>1280000*1.052</f>
        <v>1346560</v>
      </c>
      <c r="J252" s="121">
        <f t="shared" si="153"/>
        <v>255846.39999999999</v>
      </c>
      <c r="K252" s="130">
        <f t="shared" si="154"/>
        <v>1602406.3999999999</v>
      </c>
      <c r="L252" s="121">
        <f t="shared" si="155"/>
        <v>1346560</v>
      </c>
      <c r="M252" s="122">
        <f t="shared" si="156"/>
        <v>1602406.3999999999</v>
      </c>
      <c r="N252" s="132">
        <f>930000*1.052</f>
        <v>978360</v>
      </c>
      <c r="O252" s="121">
        <f t="shared" si="157"/>
        <v>185888.4</v>
      </c>
      <c r="P252" s="110">
        <f t="shared" si="158"/>
        <v>1164248.3999999999</v>
      </c>
      <c r="Q252" s="121">
        <f t="shared" si="159"/>
        <v>978360</v>
      </c>
      <c r="R252" s="124">
        <f t="shared" si="160"/>
        <v>1164248.3999999999</v>
      </c>
      <c r="S252" s="133">
        <f>890000*1.052</f>
        <v>936280</v>
      </c>
      <c r="T252" s="121">
        <f t="shared" si="161"/>
        <v>177893.2</v>
      </c>
      <c r="U252" s="110">
        <f t="shared" si="162"/>
        <v>1114173.2</v>
      </c>
      <c r="V252" s="121">
        <f t="shared" si="163"/>
        <v>936280</v>
      </c>
      <c r="W252" s="122">
        <f t="shared" si="164"/>
        <v>1114173.2</v>
      </c>
      <c r="X252" s="108"/>
      <c r="Y252" s="121">
        <f t="shared" si="173"/>
        <v>0</v>
      </c>
      <c r="Z252" s="121">
        <f t="shared" si="174"/>
        <v>0</v>
      </c>
      <c r="AA252" s="121">
        <f t="shared" si="167"/>
        <v>0</v>
      </c>
      <c r="AB252" s="124">
        <f t="shared" si="175"/>
        <v>0</v>
      </c>
      <c r="AC252" s="126">
        <f t="shared" si="168"/>
        <v>1087067</v>
      </c>
      <c r="AD252" s="101">
        <f t="shared" si="150"/>
        <v>815300</v>
      </c>
      <c r="AE252" s="127">
        <f t="shared" si="169"/>
        <v>184291.93169775201</v>
      </c>
      <c r="AF252" s="128">
        <f t="shared" si="176"/>
        <v>0.16953134599592481</v>
      </c>
      <c r="AG252" s="129">
        <f t="shared" si="171"/>
        <v>978360</v>
      </c>
      <c r="AH252" s="101">
        <f t="shared" si="151"/>
        <v>957320</v>
      </c>
      <c r="AI252" s="130">
        <f t="shared" si="177"/>
        <v>184291.93169775201</v>
      </c>
      <c r="AJ252" s="159">
        <f t="shared" si="178"/>
        <v>0.18836821997807759</v>
      </c>
      <c r="AK252" s="290" t="s">
        <v>1036</v>
      </c>
      <c r="AL252" s="291"/>
      <c r="AM252" s="292"/>
      <c r="AN252" s="160"/>
    </row>
    <row r="253" spans="1:40" ht="135.75" thickBot="1" x14ac:dyDescent="0.3">
      <c r="A253" s="84">
        <f t="shared" si="152"/>
        <v>1</v>
      </c>
      <c r="B253" s="198">
        <v>248</v>
      </c>
      <c r="C253" s="51" t="s">
        <v>628</v>
      </c>
      <c r="D253" s="204" t="s">
        <v>1044</v>
      </c>
      <c r="E253" s="62" t="s">
        <v>629</v>
      </c>
      <c r="F253" s="17">
        <v>1</v>
      </c>
      <c r="G253" s="17"/>
      <c r="H253" s="89" t="s">
        <v>28</v>
      </c>
      <c r="I253" s="126">
        <v>3600000</v>
      </c>
      <c r="J253" s="121">
        <f t="shared" si="153"/>
        <v>684000</v>
      </c>
      <c r="K253" s="130">
        <f t="shared" si="154"/>
        <v>4284000</v>
      </c>
      <c r="L253" s="121">
        <f t="shared" si="155"/>
        <v>3600000</v>
      </c>
      <c r="M253" s="122">
        <f t="shared" si="156"/>
        <v>4284000</v>
      </c>
      <c r="N253" s="123"/>
      <c r="O253" s="121">
        <f t="shared" si="157"/>
        <v>0</v>
      </c>
      <c r="P253" s="110">
        <f t="shared" si="158"/>
        <v>0</v>
      </c>
      <c r="Q253" s="121">
        <f t="shared" si="159"/>
        <v>0</v>
      </c>
      <c r="R253" s="124">
        <f t="shared" si="160"/>
        <v>0</v>
      </c>
      <c r="S253" s="125"/>
      <c r="T253" s="121">
        <f t="shared" si="161"/>
        <v>0</v>
      </c>
      <c r="U253" s="110">
        <f t="shared" si="162"/>
        <v>0</v>
      </c>
      <c r="V253" s="121">
        <f t="shared" si="163"/>
        <v>0</v>
      </c>
      <c r="W253" s="122">
        <f t="shared" si="164"/>
        <v>0</v>
      </c>
      <c r="X253" s="108"/>
      <c r="Y253" s="121">
        <f t="shared" si="173"/>
        <v>0</v>
      </c>
      <c r="Z253" s="121">
        <f t="shared" si="174"/>
        <v>0</v>
      </c>
      <c r="AA253" s="121">
        <f t="shared" si="167"/>
        <v>0</v>
      </c>
      <c r="AB253" s="124">
        <f t="shared" si="175"/>
        <v>0</v>
      </c>
      <c r="AC253" s="126">
        <f t="shared" si="168"/>
        <v>3600000</v>
      </c>
      <c r="AD253" s="101">
        <f t="shared" si="150"/>
        <v>900000</v>
      </c>
      <c r="AE253" s="127">
        <f t="shared" si="169"/>
        <v>0</v>
      </c>
      <c r="AF253" s="128">
        <f t="shared" si="176"/>
        <v>0</v>
      </c>
      <c r="AG253" s="129">
        <f t="shared" si="171"/>
        <v>3600000</v>
      </c>
      <c r="AH253" s="215">
        <f t="shared" ref="AH253:AH255" si="180">AG253*F253</f>
        <v>3600000</v>
      </c>
      <c r="AI253" s="130">
        <f t="shared" si="177"/>
        <v>0</v>
      </c>
      <c r="AJ253" s="159">
        <f t="shared" si="178"/>
        <v>0</v>
      </c>
      <c r="AK253" s="175" t="s">
        <v>1033</v>
      </c>
      <c r="AL253" s="161"/>
      <c r="AM253" s="176"/>
      <c r="AN253" s="160"/>
    </row>
    <row r="254" spans="1:40" ht="135.75" thickBot="1" x14ac:dyDescent="0.3">
      <c r="A254" s="84">
        <f t="shared" si="152"/>
        <v>1</v>
      </c>
      <c r="B254" s="198">
        <v>249</v>
      </c>
      <c r="C254" s="51" t="s">
        <v>630</v>
      </c>
      <c r="D254" s="204" t="s">
        <v>1044</v>
      </c>
      <c r="E254" s="62" t="s">
        <v>631</v>
      </c>
      <c r="F254" s="17">
        <v>1</v>
      </c>
      <c r="G254" s="17"/>
      <c r="H254" s="89" t="s">
        <v>28</v>
      </c>
      <c r="I254" s="126">
        <v>13570000</v>
      </c>
      <c r="J254" s="121">
        <f t="shared" si="153"/>
        <v>2578300</v>
      </c>
      <c r="K254" s="130">
        <f t="shared" si="154"/>
        <v>16148300</v>
      </c>
      <c r="L254" s="121">
        <f t="shared" si="155"/>
        <v>13570000</v>
      </c>
      <c r="M254" s="122">
        <f t="shared" si="156"/>
        <v>16148300</v>
      </c>
      <c r="N254" s="123"/>
      <c r="O254" s="121">
        <f t="shared" si="157"/>
        <v>0</v>
      </c>
      <c r="P254" s="110">
        <f t="shared" si="158"/>
        <v>0</v>
      </c>
      <c r="Q254" s="121">
        <f t="shared" si="159"/>
        <v>0</v>
      </c>
      <c r="R254" s="124">
        <f t="shared" si="160"/>
        <v>0</v>
      </c>
      <c r="S254" s="125"/>
      <c r="T254" s="121">
        <f t="shared" si="161"/>
        <v>0</v>
      </c>
      <c r="U254" s="110">
        <f t="shared" si="162"/>
        <v>0</v>
      </c>
      <c r="V254" s="121">
        <f t="shared" si="163"/>
        <v>0</v>
      </c>
      <c r="W254" s="122">
        <f t="shared" si="164"/>
        <v>0</v>
      </c>
      <c r="X254" s="108"/>
      <c r="Y254" s="121">
        <f t="shared" si="173"/>
        <v>0</v>
      </c>
      <c r="Z254" s="121">
        <f t="shared" si="174"/>
        <v>0</v>
      </c>
      <c r="AA254" s="121">
        <f t="shared" si="167"/>
        <v>0</v>
      </c>
      <c r="AB254" s="124">
        <f t="shared" si="175"/>
        <v>0</v>
      </c>
      <c r="AC254" s="126">
        <f t="shared" si="168"/>
        <v>13570000</v>
      </c>
      <c r="AD254" s="101">
        <f t="shared" si="150"/>
        <v>3392500</v>
      </c>
      <c r="AE254" s="127">
        <f t="shared" si="169"/>
        <v>0</v>
      </c>
      <c r="AF254" s="128">
        <f t="shared" si="176"/>
        <v>0</v>
      </c>
      <c r="AG254" s="129">
        <f t="shared" si="171"/>
        <v>13570000</v>
      </c>
      <c r="AH254" s="215">
        <f t="shared" si="180"/>
        <v>13570000</v>
      </c>
      <c r="AI254" s="130">
        <f t="shared" si="177"/>
        <v>0</v>
      </c>
      <c r="AJ254" s="159">
        <f t="shared" si="178"/>
        <v>0</v>
      </c>
      <c r="AK254" s="175" t="s">
        <v>1033</v>
      </c>
      <c r="AL254" s="161"/>
      <c r="AM254" s="176"/>
      <c r="AN254" s="160"/>
    </row>
    <row r="255" spans="1:40" ht="135.75" thickBot="1" x14ac:dyDescent="0.3">
      <c r="A255" s="84">
        <f t="shared" si="152"/>
        <v>1</v>
      </c>
      <c r="B255" s="198">
        <v>250</v>
      </c>
      <c r="C255" s="51" t="s">
        <v>632</v>
      </c>
      <c r="D255" s="204" t="s">
        <v>1044</v>
      </c>
      <c r="E255" s="62" t="s">
        <v>633</v>
      </c>
      <c r="F255" s="17">
        <v>1</v>
      </c>
      <c r="G255" s="17"/>
      <c r="H255" s="89" t="s">
        <v>28</v>
      </c>
      <c r="I255" s="126">
        <v>17500000</v>
      </c>
      <c r="J255" s="121">
        <f t="shared" si="153"/>
        <v>3325000</v>
      </c>
      <c r="K255" s="130">
        <f t="shared" si="154"/>
        <v>20825000</v>
      </c>
      <c r="L255" s="121">
        <f t="shared" si="155"/>
        <v>17500000</v>
      </c>
      <c r="M255" s="122">
        <f t="shared" si="156"/>
        <v>20825000</v>
      </c>
      <c r="N255" s="123"/>
      <c r="O255" s="121">
        <f t="shared" si="157"/>
        <v>0</v>
      </c>
      <c r="P255" s="110">
        <f t="shared" si="158"/>
        <v>0</v>
      </c>
      <c r="Q255" s="121">
        <f t="shared" si="159"/>
        <v>0</v>
      </c>
      <c r="R255" s="124">
        <f t="shared" si="160"/>
        <v>0</v>
      </c>
      <c r="S255" s="125"/>
      <c r="T255" s="121">
        <f t="shared" si="161"/>
        <v>0</v>
      </c>
      <c r="U255" s="110">
        <f t="shared" si="162"/>
        <v>0</v>
      </c>
      <c r="V255" s="121">
        <f t="shared" si="163"/>
        <v>0</v>
      </c>
      <c r="W255" s="122">
        <f t="shared" si="164"/>
        <v>0</v>
      </c>
      <c r="X255" s="108"/>
      <c r="Y255" s="121">
        <f t="shared" si="173"/>
        <v>0</v>
      </c>
      <c r="Z255" s="121">
        <f t="shared" si="174"/>
        <v>0</v>
      </c>
      <c r="AA255" s="121">
        <f t="shared" si="167"/>
        <v>0</v>
      </c>
      <c r="AB255" s="124">
        <f t="shared" si="175"/>
        <v>0</v>
      </c>
      <c r="AC255" s="126">
        <f t="shared" si="168"/>
        <v>17500000</v>
      </c>
      <c r="AD255" s="101">
        <f t="shared" si="150"/>
        <v>4375000</v>
      </c>
      <c r="AE255" s="127">
        <f t="shared" si="169"/>
        <v>0</v>
      </c>
      <c r="AF255" s="128">
        <f t="shared" si="176"/>
        <v>0</v>
      </c>
      <c r="AG255" s="129">
        <f t="shared" si="171"/>
        <v>17500000</v>
      </c>
      <c r="AH255" s="215">
        <f t="shared" si="180"/>
        <v>17500000</v>
      </c>
      <c r="AI255" s="130">
        <f t="shared" si="177"/>
        <v>0</v>
      </c>
      <c r="AJ255" s="159">
        <f t="shared" si="178"/>
        <v>0</v>
      </c>
      <c r="AK255" s="175" t="s">
        <v>1033</v>
      </c>
      <c r="AL255" s="161"/>
      <c r="AM255" s="176"/>
      <c r="AN255" s="160"/>
    </row>
    <row r="256" spans="1:40" ht="60.75" thickBot="1" x14ac:dyDescent="0.3">
      <c r="A256" s="84">
        <f t="shared" si="152"/>
        <v>3</v>
      </c>
      <c r="B256" s="198">
        <v>251</v>
      </c>
      <c r="C256" s="51" t="s">
        <v>634</v>
      </c>
      <c r="D256" s="204" t="s">
        <v>1044</v>
      </c>
      <c r="E256" s="60" t="s">
        <v>635</v>
      </c>
      <c r="F256" s="17">
        <v>1</v>
      </c>
      <c r="G256" s="17"/>
      <c r="H256" s="89" t="s">
        <v>28</v>
      </c>
      <c r="I256" s="135">
        <f>(360000*1.052)*12</f>
        <v>4544640</v>
      </c>
      <c r="J256" s="121">
        <f t="shared" si="153"/>
        <v>863481.6</v>
      </c>
      <c r="K256" s="130">
        <f t="shared" si="154"/>
        <v>5408121.5999999996</v>
      </c>
      <c r="L256" s="121">
        <f t="shared" si="155"/>
        <v>4544640</v>
      </c>
      <c r="M256" s="122">
        <f t="shared" si="156"/>
        <v>5408121.5999999996</v>
      </c>
      <c r="N256" s="136">
        <f>(340000*1.052)*12</f>
        <v>4292160</v>
      </c>
      <c r="O256" s="121">
        <f t="shared" si="157"/>
        <v>815510.4</v>
      </c>
      <c r="P256" s="110">
        <f t="shared" si="158"/>
        <v>5107670.4000000004</v>
      </c>
      <c r="Q256" s="121">
        <f t="shared" si="159"/>
        <v>4292160</v>
      </c>
      <c r="R256" s="124">
        <f t="shared" si="160"/>
        <v>5107670.4000000004</v>
      </c>
      <c r="S256" s="135">
        <f>(480000*1.052)*12</f>
        <v>6059520</v>
      </c>
      <c r="T256" s="121">
        <f t="shared" si="161"/>
        <v>1151308.8</v>
      </c>
      <c r="U256" s="110">
        <f t="shared" si="162"/>
        <v>7210828.7999999998</v>
      </c>
      <c r="V256" s="121">
        <f t="shared" si="163"/>
        <v>6059520</v>
      </c>
      <c r="W256" s="122">
        <f t="shared" si="164"/>
        <v>7210828.7999999998</v>
      </c>
      <c r="X256" s="108"/>
      <c r="Y256" s="121">
        <f t="shared" si="173"/>
        <v>0</v>
      </c>
      <c r="Z256" s="121">
        <f t="shared" si="174"/>
        <v>0</v>
      </c>
      <c r="AA256" s="121">
        <f t="shared" si="167"/>
        <v>0</v>
      </c>
      <c r="AB256" s="124">
        <f t="shared" si="175"/>
        <v>0</v>
      </c>
      <c r="AC256" s="126">
        <f t="shared" si="168"/>
        <v>4965440</v>
      </c>
      <c r="AD256" s="101">
        <f t="shared" si="150"/>
        <v>3724080</v>
      </c>
      <c r="AE256" s="127">
        <f t="shared" si="169"/>
        <v>780467.73258091847</v>
      </c>
      <c r="AF256" s="128">
        <f t="shared" si="176"/>
        <v>0.15717997449992718</v>
      </c>
      <c r="AG256" s="129">
        <f t="shared" si="171"/>
        <v>4544640</v>
      </c>
      <c r="AH256" s="101">
        <f t="shared" si="151"/>
        <v>4418400</v>
      </c>
      <c r="AI256" s="130">
        <f t="shared" si="177"/>
        <v>780467.73258091847</v>
      </c>
      <c r="AJ256" s="159">
        <f t="shared" si="178"/>
        <v>0.17173367584251303</v>
      </c>
      <c r="AK256" s="290" t="s">
        <v>1034</v>
      </c>
      <c r="AL256" s="291"/>
      <c r="AM256" s="292"/>
      <c r="AN256" s="160"/>
    </row>
    <row r="257" spans="1:40" ht="72" customHeight="1" thickBot="1" x14ac:dyDescent="0.3">
      <c r="A257" s="84">
        <f t="shared" si="152"/>
        <v>3</v>
      </c>
      <c r="B257" s="198">
        <v>252</v>
      </c>
      <c r="C257" s="51" t="s">
        <v>636</v>
      </c>
      <c r="D257" s="204" t="s">
        <v>1044</v>
      </c>
      <c r="E257" s="60" t="s">
        <v>637</v>
      </c>
      <c r="F257" s="17">
        <v>1</v>
      </c>
      <c r="G257" s="17"/>
      <c r="H257" s="89" t="s">
        <v>28</v>
      </c>
      <c r="I257" s="131">
        <f>365000*1.052</f>
        <v>383980</v>
      </c>
      <c r="J257" s="121">
        <f t="shared" si="153"/>
        <v>72956.2</v>
      </c>
      <c r="K257" s="130">
        <f t="shared" si="154"/>
        <v>456936.2</v>
      </c>
      <c r="L257" s="121">
        <f t="shared" si="155"/>
        <v>383980</v>
      </c>
      <c r="M257" s="122">
        <f t="shared" si="156"/>
        <v>456936.2</v>
      </c>
      <c r="N257" s="132">
        <f>295000*1.052</f>
        <v>310340</v>
      </c>
      <c r="O257" s="121">
        <f t="shared" si="157"/>
        <v>58964.6</v>
      </c>
      <c r="P257" s="110">
        <f t="shared" si="158"/>
        <v>369304.6</v>
      </c>
      <c r="Q257" s="121">
        <f t="shared" si="159"/>
        <v>310340</v>
      </c>
      <c r="R257" s="124">
        <f t="shared" si="160"/>
        <v>369304.6</v>
      </c>
      <c r="S257" s="131">
        <f>390000*1.052</f>
        <v>410280</v>
      </c>
      <c r="T257" s="121">
        <f t="shared" si="161"/>
        <v>77953.2</v>
      </c>
      <c r="U257" s="110">
        <f t="shared" si="162"/>
        <v>488233.2</v>
      </c>
      <c r="V257" s="121">
        <f t="shared" si="163"/>
        <v>410280</v>
      </c>
      <c r="W257" s="122">
        <f t="shared" si="164"/>
        <v>488233.2</v>
      </c>
      <c r="X257" s="108"/>
      <c r="Y257" s="121">
        <f t="shared" si="173"/>
        <v>0</v>
      </c>
      <c r="Z257" s="121">
        <f t="shared" si="174"/>
        <v>0</v>
      </c>
      <c r="AA257" s="121">
        <f t="shared" si="167"/>
        <v>0</v>
      </c>
      <c r="AB257" s="124">
        <f t="shared" si="175"/>
        <v>0</v>
      </c>
      <c r="AC257" s="126">
        <f t="shared" si="168"/>
        <v>368200</v>
      </c>
      <c r="AD257" s="101">
        <f t="shared" si="150"/>
        <v>276150</v>
      </c>
      <c r="AE257" s="127">
        <f t="shared" si="169"/>
        <v>42298.598873563962</v>
      </c>
      <c r="AF257" s="128">
        <f t="shared" si="176"/>
        <v>0.11487941030299827</v>
      </c>
      <c r="AG257" s="129">
        <f t="shared" si="171"/>
        <v>383980</v>
      </c>
      <c r="AH257" s="101">
        <f t="shared" si="151"/>
        <v>347160</v>
      </c>
      <c r="AI257" s="130">
        <f t="shared" si="177"/>
        <v>42298.598873563962</v>
      </c>
      <c r="AJ257" s="159">
        <f t="shared" si="178"/>
        <v>0.11015833864671067</v>
      </c>
      <c r="AK257" s="290" t="s">
        <v>1036</v>
      </c>
      <c r="AL257" s="291"/>
      <c r="AM257" s="292"/>
      <c r="AN257" s="160"/>
    </row>
    <row r="258" spans="1:40" ht="60.75" thickBot="1" x14ac:dyDescent="0.3">
      <c r="A258" s="84">
        <f t="shared" si="152"/>
        <v>3</v>
      </c>
      <c r="B258" s="198">
        <v>253</v>
      </c>
      <c r="C258" s="51" t="s">
        <v>638</v>
      </c>
      <c r="D258" s="204" t="s">
        <v>1044</v>
      </c>
      <c r="E258" s="60" t="s">
        <v>639</v>
      </c>
      <c r="F258" s="17">
        <v>1</v>
      </c>
      <c r="G258" s="17"/>
      <c r="H258" s="89" t="s">
        <v>28</v>
      </c>
      <c r="I258" s="131">
        <f>450000*1.052</f>
        <v>473400</v>
      </c>
      <c r="J258" s="121">
        <f t="shared" si="153"/>
        <v>89946</v>
      </c>
      <c r="K258" s="130">
        <f t="shared" si="154"/>
        <v>563346</v>
      </c>
      <c r="L258" s="121">
        <f t="shared" si="155"/>
        <v>473400</v>
      </c>
      <c r="M258" s="122">
        <f t="shared" si="156"/>
        <v>563346</v>
      </c>
      <c r="N258" s="132">
        <f>620000*1.052</f>
        <v>652240</v>
      </c>
      <c r="O258" s="121">
        <f t="shared" si="157"/>
        <v>123925.6</v>
      </c>
      <c r="P258" s="110">
        <f t="shared" si="158"/>
        <v>776165.6</v>
      </c>
      <c r="Q258" s="121">
        <f t="shared" si="159"/>
        <v>652240</v>
      </c>
      <c r="R258" s="124">
        <f t="shared" si="160"/>
        <v>776165.6</v>
      </c>
      <c r="S258" s="131">
        <f>550000*1.052</f>
        <v>578600</v>
      </c>
      <c r="T258" s="121">
        <f t="shared" si="161"/>
        <v>109934</v>
      </c>
      <c r="U258" s="110">
        <f t="shared" si="162"/>
        <v>688534</v>
      </c>
      <c r="V258" s="121">
        <f t="shared" si="163"/>
        <v>578600</v>
      </c>
      <c r="W258" s="122">
        <f t="shared" si="164"/>
        <v>688534</v>
      </c>
      <c r="X258" s="108"/>
      <c r="Y258" s="121">
        <f t="shared" si="173"/>
        <v>0</v>
      </c>
      <c r="Z258" s="121">
        <f t="shared" si="174"/>
        <v>0</v>
      </c>
      <c r="AA258" s="121">
        <f t="shared" si="167"/>
        <v>0</v>
      </c>
      <c r="AB258" s="124">
        <f t="shared" si="175"/>
        <v>0</v>
      </c>
      <c r="AC258" s="126">
        <f t="shared" si="168"/>
        <v>568080</v>
      </c>
      <c r="AD258" s="101">
        <f t="shared" si="150"/>
        <v>426060</v>
      </c>
      <c r="AE258" s="127">
        <f t="shared" si="169"/>
        <v>73389.096374506931</v>
      </c>
      <c r="AF258" s="128">
        <f t="shared" si="176"/>
        <v>0.1291879601015824</v>
      </c>
      <c r="AG258" s="129">
        <f t="shared" si="171"/>
        <v>578600</v>
      </c>
      <c r="AH258" s="101">
        <f t="shared" si="151"/>
        <v>526000</v>
      </c>
      <c r="AI258" s="130">
        <f t="shared" si="177"/>
        <v>73389.096374506931</v>
      </c>
      <c r="AJ258" s="159">
        <f t="shared" si="178"/>
        <v>0.12683908809973546</v>
      </c>
      <c r="AK258" s="290" t="s">
        <v>1036</v>
      </c>
      <c r="AL258" s="291"/>
      <c r="AM258" s="292"/>
      <c r="AN258" s="160"/>
    </row>
    <row r="259" spans="1:40" ht="60.75" thickBot="1" x14ac:dyDescent="0.3">
      <c r="A259" s="84">
        <f t="shared" si="152"/>
        <v>3</v>
      </c>
      <c r="B259" s="198">
        <v>254</v>
      </c>
      <c r="C259" s="51" t="s">
        <v>640</v>
      </c>
      <c r="D259" s="204" t="s">
        <v>1044</v>
      </c>
      <c r="E259" s="60" t="s">
        <v>641</v>
      </c>
      <c r="F259" s="17">
        <v>1</v>
      </c>
      <c r="G259" s="17"/>
      <c r="H259" s="89" t="s">
        <v>28</v>
      </c>
      <c r="I259" s="131">
        <f>29000*1.052</f>
        <v>30508</v>
      </c>
      <c r="J259" s="121">
        <f t="shared" si="153"/>
        <v>5796.52</v>
      </c>
      <c r="K259" s="130">
        <f t="shared" si="154"/>
        <v>36304.520000000004</v>
      </c>
      <c r="L259" s="121">
        <f t="shared" si="155"/>
        <v>30508</v>
      </c>
      <c r="M259" s="122">
        <f t="shared" si="156"/>
        <v>36304.520000000004</v>
      </c>
      <c r="N259" s="132">
        <f>36000*1.052</f>
        <v>37872</v>
      </c>
      <c r="O259" s="121">
        <f t="shared" si="157"/>
        <v>7195.68</v>
      </c>
      <c r="P259" s="110">
        <f t="shared" si="158"/>
        <v>45067.68</v>
      </c>
      <c r="Q259" s="121">
        <f t="shared" si="159"/>
        <v>37872</v>
      </c>
      <c r="R259" s="124">
        <f t="shared" si="160"/>
        <v>45067.68</v>
      </c>
      <c r="S259" s="131">
        <f>35000*1.052</f>
        <v>36820</v>
      </c>
      <c r="T259" s="121">
        <f t="shared" si="161"/>
        <v>6995.8</v>
      </c>
      <c r="U259" s="110">
        <f t="shared" si="162"/>
        <v>43815.8</v>
      </c>
      <c r="V259" s="121">
        <f t="shared" si="163"/>
        <v>36820</v>
      </c>
      <c r="W259" s="122">
        <f t="shared" si="164"/>
        <v>43815.8</v>
      </c>
      <c r="X259" s="108"/>
      <c r="Y259" s="121">
        <f t="shared" si="173"/>
        <v>0</v>
      </c>
      <c r="Z259" s="121">
        <f t="shared" si="174"/>
        <v>0</v>
      </c>
      <c r="AA259" s="121">
        <f t="shared" si="167"/>
        <v>0</v>
      </c>
      <c r="AB259" s="124">
        <f t="shared" si="175"/>
        <v>0</v>
      </c>
      <c r="AC259" s="126">
        <f t="shared" si="168"/>
        <v>35067</v>
      </c>
      <c r="AD259" s="101">
        <f t="shared" si="150"/>
        <v>26300</v>
      </c>
      <c r="AE259" s="127">
        <f t="shared" si="169"/>
        <v>3251.9488857538267</v>
      </c>
      <c r="AF259" s="128">
        <f t="shared" si="176"/>
        <v>9.2735303440665773E-2</v>
      </c>
      <c r="AG259" s="129">
        <f t="shared" si="171"/>
        <v>36820</v>
      </c>
      <c r="AH259" s="101">
        <f t="shared" si="151"/>
        <v>33664</v>
      </c>
      <c r="AI259" s="130">
        <f t="shared" si="177"/>
        <v>3251.9488857538267</v>
      </c>
      <c r="AJ259" s="159">
        <f t="shared" si="178"/>
        <v>8.8320176147578131E-2</v>
      </c>
      <c r="AK259" s="290" t="s">
        <v>1036</v>
      </c>
      <c r="AL259" s="291"/>
      <c r="AM259" s="292"/>
      <c r="AN259" s="160"/>
    </row>
    <row r="260" spans="1:40" ht="60.75" thickBot="1" x14ac:dyDescent="0.3">
      <c r="A260" s="84">
        <f t="shared" si="152"/>
        <v>3</v>
      </c>
      <c r="B260" s="198">
        <v>255</v>
      </c>
      <c r="C260" s="51" t="s">
        <v>642</v>
      </c>
      <c r="D260" s="204" t="s">
        <v>1044</v>
      </c>
      <c r="E260" s="60" t="s">
        <v>643</v>
      </c>
      <c r="F260" s="17">
        <v>1</v>
      </c>
      <c r="G260" s="17"/>
      <c r="H260" s="89" t="s">
        <v>28</v>
      </c>
      <c r="I260" s="131">
        <f>1690000*1.052</f>
        <v>1777880</v>
      </c>
      <c r="J260" s="121">
        <f t="shared" si="153"/>
        <v>337797.2</v>
      </c>
      <c r="K260" s="130">
        <f t="shared" si="154"/>
        <v>2115677.2000000002</v>
      </c>
      <c r="L260" s="121">
        <f t="shared" si="155"/>
        <v>1777880</v>
      </c>
      <c r="M260" s="122">
        <f t="shared" si="156"/>
        <v>2115677.2000000002</v>
      </c>
      <c r="N260" s="132">
        <f>1950000*1.052</f>
        <v>2051400</v>
      </c>
      <c r="O260" s="121">
        <f t="shared" si="157"/>
        <v>389766</v>
      </c>
      <c r="P260" s="110">
        <f t="shared" si="158"/>
        <v>2441166</v>
      </c>
      <c r="Q260" s="121">
        <f t="shared" si="159"/>
        <v>2051400</v>
      </c>
      <c r="R260" s="124">
        <f t="shared" si="160"/>
        <v>2441166</v>
      </c>
      <c r="S260" s="131">
        <f>1750000*1.052</f>
        <v>1841000</v>
      </c>
      <c r="T260" s="121">
        <f t="shared" si="161"/>
        <v>349790</v>
      </c>
      <c r="U260" s="110">
        <f t="shared" si="162"/>
        <v>2190790</v>
      </c>
      <c r="V260" s="121">
        <f t="shared" si="163"/>
        <v>1841000</v>
      </c>
      <c r="W260" s="122">
        <f t="shared" si="164"/>
        <v>2190790</v>
      </c>
      <c r="X260" s="108"/>
      <c r="Y260" s="121">
        <f t="shared" si="173"/>
        <v>0</v>
      </c>
      <c r="Z260" s="121">
        <f t="shared" si="174"/>
        <v>0</v>
      </c>
      <c r="AA260" s="121">
        <f t="shared" si="167"/>
        <v>0</v>
      </c>
      <c r="AB260" s="124">
        <f t="shared" si="175"/>
        <v>0</v>
      </c>
      <c r="AC260" s="126">
        <f t="shared" si="168"/>
        <v>1890093</v>
      </c>
      <c r="AD260" s="101">
        <f t="shared" si="150"/>
        <v>1417570</v>
      </c>
      <c r="AE260" s="127">
        <f t="shared" si="169"/>
        <v>116935.63509707192</v>
      </c>
      <c r="AF260" s="128">
        <f t="shared" si="176"/>
        <v>6.1867662118780357E-2</v>
      </c>
      <c r="AG260" s="129">
        <f t="shared" si="171"/>
        <v>1841000</v>
      </c>
      <c r="AH260" s="101">
        <f t="shared" si="151"/>
        <v>1809440</v>
      </c>
      <c r="AI260" s="130">
        <f t="shared" si="177"/>
        <v>116935.63509707192</v>
      </c>
      <c r="AJ260" s="159">
        <f t="shared" si="178"/>
        <v>6.3517455240125975E-2</v>
      </c>
      <c r="AK260" s="290" t="s">
        <v>1036</v>
      </c>
      <c r="AL260" s="291"/>
      <c r="AM260" s="292"/>
      <c r="AN260" s="160"/>
    </row>
    <row r="261" spans="1:40" ht="90.75" thickBot="1" x14ac:dyDescent="0.3">
      <c r="A261" s="84">
        <f t="shared" si="152"/>
        <v>3</v>
      </c>
      <c r="B261" s="198">
        <v>256</v>
      </c>
      <c r="C261" s="51" t="s">
        <v>644</v>
      </c>
      <c r="D261" s="204" t="s">
        <v>1048</v>
      </c>
      <c r="E261" s="60" t="s">
        <v>645</v>
      </c>
      <c r="F261" s="17">
        <v>1</v>
      </c>
      <c r="G261" s="17"/>
      <c r="H261" s="89" t="s">
        <v>376</v>
      </c>
      <c r="I261" s="131">
        <f>1250000*1.052</f>
        <v>1315000</v>
      </c>
      <c r="J261" s="121">
        <f t="shared" si="153"/>
        <v>249850</v>
      </c>
      <c r="K261" s="130">
        <f t="shared" si="154"/>
        <v>1564850</v>
      </c>
      <c r="L261" s="121">
        <f t="shared" si="155"/>
        <v>1315000</v>
      </c>
      <c r="M261" s="122">
        <f t="shared" si="156"/>
        <v>1564850</v>
      </c>
      <c r="N261" s="132">
        <f>1100000*1.052</f>
        <v>1157200</v>
      </c>
      <c r="O261" s="121">
        <f t="shared" si="157"/>
        <v>219868</v>
      </c>
      <c r="P261" s="110">
        <f t="shared" si="158"/>
        <v>1377068</v>
      </c>
      <c r="Q261" s="121">
        <f t="shared" si="159"/>
        <v>1157200</v>
      </c>
      <c r="R261" s="124">
        <f t="shared" si="160"/>
        <v>1377068</v>
      </c>
      <c r="S261" s="131">
        <f>1600000*1.052</f>
        <v>1683200</v>
      </c>
      <c r="T261" s="121">
        <f t="shared" si="161"/>
        <v>319808</v>
      </c>
      <c r="U261" s="110">
        <f t="shared" si="162"/>
        <v>2003008</v>
      </c>
      <c r="V261" s="121">
        <f t="shared" si="163"/>
        <v>1683200</v>
      </c>
      <c r="W261" s="122">
        <f t="shared" si="164"/>
        <v>2003008</v>
      </c>
      <c r="X261" s="108"/>
      <c r="Y261" s="121">
        <f t="shared" si="173"/>
        <v>0</v>
      </c>
      <c r="Z261" s="121">
        <f t="shared" si="174"/>
        <v>0</v>
      </c>
      <c r="AA261" s="121">
        <f t="shared" si="167"/>
        <v>0</v>
      </c>
      <c r="AB261" s="124">
        <f t="shared" si="175"/>
        <v>0</v>
      </c>
      <c r="AC261" s="126">
        <f t="shared" si="168"/>
        <v>1385133</v>
      </c>
      <c r="AD261" s="101">
        <f t="shared" si="150"/>
        <v>1038850</v>
      </c>
      <c r="AE261" s="127">
        <f t="shared" si="169"/>
        <v>220390.58257758856</v>
      </c>
      <c r="AF261" s="128">
        <f t="shared" si="176"/>
        <v>0.15911149512544179</v>
      </c>
      <c r="AG261" s="129">
        <f t="shared" si="171"/>
        <v>1315000</v>
      </c>
      <c r="AH261" s="101">
        <f t="shared" si="151"/>
        <v>1236100</v>
      </c>
      <c r="AI261" s="130">
        <f t="shared" si="177"/>
        <v>220390.58257758856</v>
      </c>
      <c r="AJ261" s="159">
        <f t="shared" si="178"/>
        <v>0.16759740119968711</v>
      </c>
      <c r="AK261" s="290" t="s">
        <v>1036</v>
      </c>
      <c r="AL261" s="291"/>
      <c r="AM261" s="292"/>
      <c r="AN261" s="160"/>
    </row>
    <row r="262" spans="1:40" ht="144" customHeight="1" thickBot="1" x14ac:dyDescent="0.3">
      <c r="A262" s="84">
        <f t="shared" si="152"/>
        <v>3</v>
      </c>
      <c r="B262" s="198">
        <v>257</v>
      </c>
      <c r="C262" s="51" t="s">
        <v>646</v>
      </c>
      <c r="D262" s="204" t="s">
        <v>1048</v>
      </c>
      <c r="E262" s="60" t="s">
        <v>647</v>
      </c>
      <c r="F262" s="17">
        <v>1</v>
      </c>
      <c r="G262" s="17"/>
      <c r="H262" s="89" t="s">
        <v>376</v>
      </c>
      <c r="I262" s="140">
        <f>450000*1.052</f>
        <v>473400</v>
      </c>
      <c r="J262" s="121">
        <f t="shared" si="153"/>
        <v>89946</v>
      </c>
      <c r="K262" s="130">
        <f t="shared" si="154"/>
        <v>563346</v>
      </c>
      <c r="L262" s="121">
        <f t="shared" si="155"/>
        <v>473400</v>
      </c>
      <c r="M262" s="122">
        <f t="shared" si="156"/>
        <v>563346</v>
      </c>
      <c r="N262" s="136">
        <f>478800*1.052</f>
        <v>503697.60000000003</v>
      </c>
      <c r="O262" s="121">
        <f t="shared" si="157"/>
        <v>95702.544000000009</v>
      </c>
      <c r="P262" s="110">
        <f t="shared" si="158"/>
        <v>599400.14400000009</v>
      </c>
      <c r="Q262" s="121">
        <f t="shared" si="159"/>
        <v>503697.60000000003</v>
      </c>
      <c r="R262" s="124">
        <f t="shared" si="160"/>
        <v>599400.14400000009</v>
      </c>
      <c r="S262" s="135">
        <f>480000*1.052</f>
        <v>504960</v>
      </c>
      <c r="T262" s="121">
        <f t="shared" si="161"/>
        <v>95942.399999999994</v>
      </c>
      <c r="U262" s="110">
        <f t="shared" si="162"/>
        <v>600902.40000000002</v>
      </c>
      <c r="V262" s="121">
        <f t="shared" si="163"/>
        <v>504960</v>
      </c>
      <c r="W262" s="122">
        <f t="shared" si="164"/>
        <v>600902.40000000002</v>
      </c>
      <c r="X262" s="108"/>
      <c r="Y262" s="121">
        <f t="shared" si="173"/>
        <v>0</v>
      </c>
      <c r="Z262" s="121">
        <f t="shared" si="174"/>
        <v>0</v>
      </c>
      <c r="AA262" s="121">
        <f t="shared" si="167"/>
        <v>0</v>
      </c>
      <c r="AB262" s="124">
        <f t="shared" si="175"/>
        <v>0</v>
      </c>
      <c r="AC262" s="126">
        <f t="shared" si="168"/>
        <v>494019</v>
      </c>
      <c r="AD262" s="101">
        <f t="shared" si="150"/>
        <v>370514</v>
      </c>
      <c r="AE262" s="127">
        <f t="shared" si="169"/>
        <v>14589.081988939544</v>
      </c>
      <c r="AF262" s="128">
        <f t="shared" si="176"/>
        <v>2.9531418809680486E-2</v>
      </c>
      <c r="AG262" s="129">
        <f t="shared" si="171"/>
        <v>503698</v>
      </c>
      <c r="AH262" s="101">
        <f t="shared" si="151"/>
        <v>488549</v>
      </c>
      <c r="AI262" s="130">
        <f t="shared" si="177"/>
        <v>14589.081988939544</v>
      </c>
      <c r="AJ262" s="159">
        <f t="shared" si="178"/>
        <v>2.896394662861386E-2</v>
      </c>
      <c r="AK262" s="290" t="s">
        <v>1034</v>
      </c>
      <c r="AL262" s="291"/>
      <c r="AM262" s="292"/>
      <c r="AN262" s="160"/>
    </row>
    <row r="263" spans="1:40" ht="135.75" thickBot="1" x14ac:dyDescent="0.3">
      <c r="A263" s="84">
        <f t="shared" si="152"/>
        <v>3</v>
      </c>
      <c r="B263" s="198">
        <v>258</v>
      </c>
      <c r="C263" s="51" t="s">
        <v>648</v>
      </c>
      <c r="D263" s="204" t="s">
        <v>1048</v>
      </c>
      <c r="E263" s="60" t="s">
        <v>649</v>
      </c>
      <c r="F263" s="17">
        <v>1</v>
      </c>
      <c r="G263" s="17"/>
      <c r="H263" s="89" t="s">
        <v>376</v>
      </c>
      <c r="I263" s="131">
        <f>450000*1.052</f>
        <v>473400</v>
      </c>
      <c r="J263" s="121">
        <f t="shared" si="153"/>
        <v>89946</v>
      </c>
      <c r="K263" s="130">
        <f t="shared" si="154"/>
        <v>563346</v>
      </c>
      <c r="L263" s="121">
        <f t="shared" si="155"/>
        <v>473400</v>
      </c>
      <c r="M263" s="122">
        <f t="shared" si="156"/>
        <v>563346</v>
      </c>
      <c r="N263" s="132">
        <f>590000*1.052</f>
        <v>620680</v>
      </c>
      <c r="O263" s="121">
        <f t="shared" si="157"/>
        <v>117929.2</v>
      </c>
      <c r="P263" s="110">
        <f t="shared" si="158"/>
        <v>738609.2</v>
      </c>
      <c r="Q263" s="121">
        <f t="shared" si="159"/>
        <v>620680</v>
      </c>
      <c r="R263" s="124">
        <f t="shared" si="160"/>
        <v>738609.2</v>
      </c>
      <c r="S263" s="131">
        <f>320000*1.052</f>
        <v>336640</v>
      </c>
      <c r="T263" s="121">
        <f t="shared" si="161"/>
        <v>63961.599999999999</v>
      </c>
      <c r="U263" s="110">
        <f t="shared" si="162"/>
        <v>400601.59999999998</v>
      </c>
      <c r="V263" s="121">
        <f t="shared" si="163"/>
        <v>336640</v>
      </c>
      <c r="W263" s="122">
        <f t="shared" si="164"/>
        <v>400601.59999999998</v>
      </c>
      <c r="X263" s="108"/>
      <c r="Y263" s="121">
        <f t="shared" si="173"/>
        <v>0</v>
      </c>
      <c r="Z263" s="121">
        <f t="shared" si="174"/>
        <v>0</v>
      </c>
      <c r="AA263" s="121">
        <f t="shared" si="167"/>
        <v>0</v>
      </c>
      <c r="AB263" s="124">
        <f t="shared" si="175"/>
        <v>0</v>
      </c>
      <c r="AC263" s="126">
        <f t="shared" si="168"/>
        <v>476907</v>
      </c>
      <c r="AD263" s="101">
        <f t="shared" si="150"/>
        <v>357680</v>
      </c>
      <c r="AE263" s="127">
        <f t="shared" si="169"/>
        <v>115985.35233190248</v>
      </c>
      <c r="AF263" s="128">
        <f t="shared" si="176"/>
        <v>0.24320329190366777</v>
      </c>
      <c r="AG263" s="129">
        <f t="shared" si="171"/>
        <v>473400</v>
      </c>
      <c r="AH263" s="101">
        <f t="shared" ref="AH263:AH271" si="181">+IFERROR(ROUND(MEDIAN(L263,Q263,V263,AA263),0),0)</f>
        <v>405020</v>
      </c>
      <c r="AI263" s="130">
        <f t="shared" si="177"/>
        <v>115985.35233190248</v>
      </c>
      <c r="AJ263" s="159">
        <f t="shared" si="178"/>
        <v>0.24500496901542559</v>
      </c>
      <c r="AK263" s="290" t="s">
        <v>1036</v>
      </c>
      <c r="AL263" s="291"/>
      <c r="AM263" s="292"/>
      <c r="AN263" s="160"/>
    </row>
    <row r="264" spans="1:40" ht="90.75" thickBot="1" x14ac:dyDescent="0.3">
      <c r="A264" s="84">
        <f t="shared" si="152"/>
        <v>3</v>
      </c>
      <c r="B264" s="198">
        <v>259</v>
      </c>
      <c r="C264" s="51" t="s">
        <v>650</v>
      </c>
      <c r="D264" s="204" t="s">
        <v>1048</v>
      </c>
      <c r="E264" s="60" t="s">
        <v>651</v>
      </c>
      <c r="F264" s="17">
        <v>1</v>
      </c>
      <c r="G264" s="17"/>
      <c r="H264" s="89" t="s">
        <v>652</v>
      </c>
      <c r="I264" s="131">
        <f>390000*1.052</f>
        <v>410280</v>
      </c>
      <c r="J264" s="121">
        <f t="shared" si="153"/>
        <v>77953.2</v>
      </c>
      <c r="K264" s="130">
        <f t="shared" si="154"/>
        <v>488233.2</v>
      </c>
      <c r="L264" s="121">
        <f t="shared" si="155"/>
        <v>410280</v>
      </c>
      <c r="M264" s="122">
        <f t="shared" si="156"/>
        <v>488233.2</v>
      </c>
      <c r="N264" s="132">
        <f>490000*1.052</f>
        <v>515480</v>
      </c>
      <c r="O264" s="121">
        <f t="shared" si="157"/>
        <v>97941.2</v>
      </c>
      <c r="P264" s="110">
        <f t="shared" si="158"/>
        <v>613421.19999999995</v>
      </c>
      <c r="Q264" s="121">
        <f t="shared" si="159"/>
        <v>515480</v>
      </c>
      <c r="R264" s="124">
        <f t="shared" si="160"/>
        <v>613421.19999999995</v>
      </c>
      <c r="S264" s="131">
        <f>450000*1.052</f>
        <v>473400</v>
      </c>
      <c r="T264" s="121">
        <f t="shared" si="161"/>
        <v>89946</v>
      </c>
      <c r="U264" s="110">
        <f t="shared" si="162"/>
        <v>563346</v>
      </c>
      <c r="V264" s="121">
        <f t="shared" si="163"/>
        <v>473400</v>
      </c>
      <c r="W264" s="122">
        <f t="shared" si="164"/>
        <v>563346</v>
      </c>
      <c r="X264" s="108"/>
      <c r="Y264" s="121">
        <f t="shared" si="173"/>
        <v>0</v>
      </c>
      <c r="Z264" s="121">
        <f t="shared" si="174"/>
        <v>0</v>
      </c>
      <c r="AA264" s="121">
        <f t="shared" si="167"/>
        <v>0</v>
      </c>
      <c r="AB264" s="124">
        <f t="shared" si="175"/>
        <v>0</v>
      </c>
      <c r="AC264" s="126">
        <f t="shared" si="168"/>
        <v>466387</v>
      </c>
      <c r="AD264" s="101">
        <f t="shared" si="150"/>
        <v>349790</v>
      </c>
      <c r="AE264" s="127">
        <f t="shared" si="169"/>
        <v>43233.090207489084</v>
      </c>
      <c r="AF264" s="128">
        <f t="shared" si="176"/>
        <v>9.269788867933515E-2</v>
      </c>
      <c r="AG264" s="129">
        <f t="shared" si="171"/>
        <v>473400</v>
      </c>
      <c r="AH264" s="101">
        <f t="shared" si="181"/>
        <v>441840</v>
      </c>
      <c r="AI264" s="130">
        <f t="shared" si="177"/>
        <v>43233.090207489084</v>
      </c>
      <c r="AJ264" s="159">
        <f t="shared" si="178"/>
        <v>9.1324651895836675E-2</v>
      </c>
      <c r="AK264" s="290" t="s">
        <v>1036</v>
      </c>
      <c r="AL264" s="291"/>
      <c r="AM264" s="292"/>
      <c r="AN264" s="160"/>
    </row>
    <row r="265" spans="1:40" ht="90.75" thickBot="1" x14ac:dyDescent="0.3">
      <c r="A265" s="84">
        <f t="shared" si="152"/>
        <v>3</v>
      </c>
      <c r="B265" s="198">
        <v>260</v>
      </c>
      <c r="C265" s="51" t="s">
        <v>653</v>
      </c>
      <c r="D265" s="204" t="s">
        <v>1044</v>
      </c>
      <c r="E265" s="60" t="s">
        <v>654</v>
      </c>
      <c r="F265" s="17">
        <v>1</v>
      </c>
      <c r="G265" s="17"/>
      <c r="H265" s="89" t="s">
        <v>28</v>
      </c>
      <c r="I265" s="131">
        <f>1180000*1.052</f>
        <v>1241360</v>
      </c>
      <c r="J265" s="121">
        <f t="shared" si="153"/>
        <v>235858.4</v>
      </c>
      <c r="K265" s="130">
        <f t="shared" si="154"/>
        <v>1477218.4</v>
      </c>
      <c r="L265" s="121">
        <f t="shared" si="155"/>
        <v>1241360</v>
      </c>
      <c r="M265" s="122">
        <f t="shared" si="156"/>
        <v>1477218.4</v>
      </c>
      <c r="N265" s="132">
        <f>1080000*1.052</f>
        <v>1136160</v>
      </c>
      <c r="O265" s="121">
        <f t="shared" si="157"/>
        <v>215870.4</v>
      </c>
      <c r="P265" s="110">
        <f t="shared" si="158"/>
        <v>1352030.4</v>
      </c>
      <c r="Q265" s="121">
        <f t="shared" si="159"/>
        <v>1136160</v>
      </c>
      <c r="R265" s="124">
        <f t="shared" si="160"/>
        <v>1352030.4</v>
      </c>
      <c r="S265" s="131">
        <f>1290000*1.052</f>
        <v>1357080</v>
      </c>
      <c r="T265" s="121">
        <f t="shared" si="161"/>
        <v>257845.2</v>
      </c>
      <c r="U265" s="110">
        <f t="shared" si="162"/>
        <v>1614925.2</v>
      </c>
      <c r="V265" s="121">
        <f t="shared" si="163"/>
        <v>1357080</v>
      </c>
      <c r="W265" s="122">
        <f t="shared" si="164"/>
        <v>1614925.2</v>
      </c>
      <c r="X265" s="108"/>
      <c r="Y265" s="121">
        <f t="shared" ref="Y265:Y296" si="182">X265*0.19</f>
        <v>0</v>
      </c>
      <c r="Z265" s="121">
        <f t="shared" ref="Z265:Z296" si="183">X265+Y265</f>
        <v>0</v>
      </c>
      <c r="AA265" s="121">
        <f t="shared" si="167"/>
        <v>0</v>
      </c>
      <c r="AB265" s="124">
        <f t="shared" ref="AB265:AB296" si="184">Z265*F265</f>
        <v>0</v>
      </c>
      <c r="AC265" s="126">
        <f t="shared" si="168"/>
        <v>1244867</v>
      </c>
      <c r="AD265" s="101">
        <f t="shared" ref="AD265:AD328" si="185">+IFERROR(ROUND(AVERAGE(L265,Q265,V265,AA265),0),0)</f>
        <v>933650</v>
      </c>
      <c r="AE265" s="127">
        <f t="shared" si="169"/>
        <v>90224.291382950498</v>
      </c>
      <c r="AF265" s="128">
        <f t="shared" ref="AF265:AF296" si="186">AE265/AC265</f>
        <v>7.2477052876291609E-2</v>
      </c>
      <c r="AG265" s="129">
        <f t="shared" si="171"/>
        <v>1241360</v>
      </c>
      <c r="AH265" s="101">
        <f t="shared" si="181"/>
        <v>1188760</v>
      </c>
      <c r="AI265" s="130">
        <f t="shared" ref="AI265:AI296" si="187">AE265</f>
        <v>90224.291382950498</v>
      </c>
      <c r="AJ265" s="159">
        <f t="shared" ref="AJ265:AJ296" si="188">AI265/AG265</f>
        <v>7.2681809775528849E-2</v>
      </c>
      <c r="AK265" s="290" t="s">
        <v>1036</v>
      </c>
      <c r="AL265" s="291"/>
      <c r="AM265" s="292"/>
      <c r="AN265" s="160"/>
    </row>
    <row r="266" spans="1:40" ht="90.75" thickBot="1" x14ac:dyDescent="0.3">
      <c r="A266" s="84">
        <f t="shared" si="152"/>
        <v>3</v>
      </c>
      <c r="B266" s="198">
        <v>261</v>
      </c>
      <c r="C266" s="51" t="s">
        <v>655</v>
      </c>
      <c r="D266" s="204" t="s">
        <v>1044</v>
      </c>
      <c r="E266" s="60" t="s">
        <v>656</v>
      </c>
      <c r="F266" s="17">
        <v>1</v>
      </c>
      <c r="G266" s="17"/>
      <c r="H266" s="89" t="s">
        <v>28</v>
      </c>
      <c r="I266" s="131">
        <f>850000*1.052</f>
        <v>894200</v>
      </c>
      <c r="J266" s="121">
        <f t="shared" si="153"/>
        <v>169898</v>
      </c>
      <c r="K266" s="130">
        <f t="shared" si="154"/>
        <v>1064098</v>
      </c>
      <c r="L266" s="121">
        <f t="shared" si="155"/>
        <v>894200</v>
      </c>
      <c r="M266" s="122">
        <f t="shared" si="156"/>
        <v>1064098</v>
      </c>
      <c r="N266" s="132">
        <f>790000*1.052</f>
        <v>831080</v>
      </c>
      <c r="O266" s="121">
        <f t="shared" si="157"/>
        <v>157905.20000000001</v>
      </c>
      <c r="P266" s="110">
        <f t="shared" si="158"/>
        <v>988985.2</v>
      </c>
      <c r="Q266" s="121">
        <f t="shared" si="159"/>
        <v>831080</v>
      </c>
      <c r="R266" s="124">
        <f t="shared" si="160"/>
        <v>988985.2</v>
      </c>
      <c r="S266" s="131">
        <f>750000*1.052</f>
        <v>789000</v>
      </c>
      <c r="T266" s="121">
        <f t="shared" si="161"/>
        <v>149910</v>
      </c>
      <c r="U266" s="110">
        <f t="shared" si="162"/>
        <v>938910</v>
      </c>
      <c r="V266" s="121">
        <f t="shared" si="163"/>
        <v>789000</v>
      </c>
      <c r="W266" s="122">
        <f t="shared" si="164"/>
        <v>938910</v>
      </c>
      <c r="X266" s="108"/>
      <c r="Y266" s="121">
        <f t="shared" si="182"/>
        <v>0</v>
      </c>
      <c r="Z266" s="121">
        <f t="shared" si="183"/>
        <v>0</v>
      </c>
      <c r="AA266" s="121">
        <f t="shared" si="167"/>
        <v>0</v>
      </c>
      <c r="AB266" s="124">
        <f t="shared" si="184"/>
        <v>0</v>
      </c>
      <c r="AC266" s="126">
        <f t="shared" si="168"/>
        <v>838093</v>
      </c>
      <c r="AD266" s="101">
        <f t="shared" si="185"/>
        <v>628570</v>
      </c>
      <c r="AE266" s="127">
        <f t="shared" si="169"/>
        <v>43233.090207489084</v>
      </c>
      <c r="AF266" s="128">
        <f t="shared" si="186"/>
        <v>5.158507493498822E-2</v>
      </c>
      <c r="AG266" s="129">
        <f t="shared" si="171"/>
        <v>831080</v>
      </c>
      <c r="AH266" s="101">
        <f t="shared" si="181"/>
        <v>810040</v>
      </c>
      <c r="AI266" s="130">
        <f t="shared" si="187"/>
        <v>43233.090207489084</v>
      </c>
      <c r="AJ266" s="159">
        <f t="shared" si="188"/>
        <v>5.2020371333071525E-2</v>
      </c>
      <c r="AK266" s="290" t="s">
        <v>1036</v>
      </c>
      <c r="AL266" s="291"/>
      <c r="AM266" s="292"/>
      <c r="AN266" s="160"/>
    </row>
    <row r="267" spans="1:40" ht="60.75" thickBot="1" x14ac:dyDescent="0.3">
      <c r="A267" s="84">
        <f t="shared" si="152"/>
        <v>3</v>
      </c>
      <c r="B267" s="198">
        <v>262</v>
      </c>
      <c r="C267" s="51" t="s">
        <v>657</v>
      </c>
      <c r="D267" s="204" t="s">
        <v>1044</v>
      </c>
      <c r="E267" s="60" t="s">
        <v>658</v>
      </c>
      <c r="F267" s="17">
        <v>1</v>
      </c>
      <c r="G267" s="17"/>
      <c r="H267" s="89" t="s">
        <v>28</v>
      </c>
      <c r="I267" s="131">
        <f>25000*1.052</f>
        <v>26300</v>
      </c>
      <c r="J267" s="121">
        <f t="shared" si="153"/>
        <v>4997</v>
      </c>
      <c r="K267" s="130">
        <f t="shared" si="154"/>
        <v>31297</v>
      </c>
      <c r="L267" s="121">
        <f t="shared" si="155"/>
        <v>26300</v>
      </c>
      <c r="M267" s="122">
        <f t="shared" si="156"/>
        <v>31297</v>
      </c>
      <c r="N267" s="132">
        <f>17000*1.052</f>
        <v>17884</v>
      </c>
      <c r="O267" s="121">
        <f t="shared" si="157"/>
        <v>3397.96</v>
      </c>
      <c r="P267" s="110">
        <f t="shared" si="158"/>
        <v>21281.96</v>
      </c>
      <c r="Q267" s="121">
        <f t="shared" si="159"/>
        <v>17884</v>
      </c>
      <c r="R267" s="124">
        <f t="shared" si="160"/>
        <v>21281.96</v>
      </c>
      <c r="S267" s="131">
        <f>19000*1.052</f>
        <v>19988</v>
      </c>
      <c r="T267" s="121">
        <f t="shared" si="161"/>
        <v>3797.7200000000003</v>
      </c>
      <c r="U267" s="110">
        <f t="shared" si="162"/>
        <v>23785.72</v>
      </c>
      <c r="V267" s="121">
        <f t="shared" si="163"/>
        <v>19988</v>
      </c>
      <c r="W267" s="122">
        <f t="shared" si="164"/>
        <v>23785.72</v>
      </c>
      <c r="X267" s="108"/>
      <c r="Y267" s="121">
        <f t="shared" si="182"/>
        <v>0</v>
      </c>
      <c r="Z267" s="121">
        <f t="shared" si="183"/>
        <v>0</v>
      </c>
      <c r="AA267" s="121">
        <f t="shared" si="167"/>
        <v>0</v>
      </c>
      <c r="AB267" s="124">
        <f t="shared" si="184"/>
        <v>0</v>
      </c>
      <c r="AC267" s="126">
        <f t="shared" si="168"/>
        <v>21391</v>
      </c>
      <c r="AD267" s="101">
        <f t="shared" si="185"/>
        <v>16043</v>
      </c>
      <c r="AE267" s="127">
        <f t="shared" si="169"/>
        <v>3576.1123521997397</v>
      </c>
      <c r="AF267" s="128">
        <f t="shared" si="186"/>
        <v>0.16717836249823476</v>
      </c>
      <c r="AG267" s="129">
        <f t="shared" si="171"/>
        <v>19988</v>
      </c>
      <c r="AH267" s="101">
        <f t="shared" si="181"/>
        <v>18936</v>
      </c>
      <c r="AI267" s="130">
        <f t="shared" si="187"/>
        <v>3576.1123521997397</v>
      </c>
      <c r="AJ267" s="159">
        <f t="shared" si="188"/>
        <v>0.17891296538922052</v>
      </c>
      <c r="AK267" s="290" t="s">
        <v>1036</v>
      </c>
      <c r="AL267" s="291"/>
      <c r="AM267" s="292"/>
      <c r="AN267" s="160"/>
    </row>
    <row r="268" spans="1:40" ht="60.75" thickBot="1" x14ac:dyDescent="0.3">
      <c r="A268" s="84">
        <f t="shared" si="152"/>
        <v>3</v>
      </c>
      <c r="B268" s="198">
        <v>263</v>
      </c>
      <c r="C268" s="51" t="s">
        <v>659</v>
      </c>
      <c r="D268" s="204" t="s">
        <v>1048</v>
      </c>
      <c r="E268" s="60" t="s">
        <v>660</v>
      </c>
      <c r="F268" s="17">
        <v>1</v>
      </c>
      <c r="G268" s="17"/>
      <c r="H268" s="89" t="s">
        <v>652</v>
      </c>
      <c r="I268" s="131">
        <f>390000*1.052</f>
        <v>410280</v>
      </c>
      <c r="J268" s="121">
        <f t="shared" si="153"/>
        <v>77953.2</v>
      </c>
      <c r="K268" s="130">
        <f t="shared" si="154"/>
        <v>488233.2</v>
      </c>
      <c r="L268" s="121">
        <f t="shared" si="155"/>
        <v>410280</v>
      </c>
      <c r="M268" s="122">
        <f t="shared" si="156"/>
        <v>488233.2</v>
      </c>
      <c r="N268" s="132">
        <f>690000*1.052</f>
        <v>725880</v>
      </c>
      <c r="O268" s="121">
        <f t="shared" si="157"/>
        <v>137917.20000000001</v>
      </c>
      <c r="P268" s="110">
        <f t="shared" si="158"/>
        <v>863797.2</v>
      </c>
      <c r="Q268" s="121">
        <f t="shared" si="159"/>
        <v>725880</v>
      </c>
      <c r="R268" s="124">
        <f t="shared" si="160"/>
        <v>863797.2</v>
      </c>
      <c r="S268" s="131">
        <f>590000*1.052</f>
        <v>620680</v>
      </c>
      <c r="T268" s="121">
        <f t="shared" si="161"/>
        <v>117929.2</v>
      </c>
      <c r="U268" s="110">
        <f t="shared" si="162"/>
        <v>738609.2</v>
      </c>
      <c r="V268" s="121">
        <f t="shared" si="163"/>
        <v>620680</v>
      </c>
      <c r="W268" s="122">
        <f t="shared" si="164"/>
        <v>738609.2</v>
      </c>
      <c r="X268" s="108"/>
      <c r="Y268" s="121">
        <f t="shared" si="182"/>
        <v>0</v>
      </c>
      <c r="Z268" s="121">
        <f t="shared" si="183"/>
        <v>0</v>
      </c>
      <c r="AA268" s="121">
        <f t="shared" si="167"/>
        <v>0</v>
      </c>
      <c r="AB268" s="124">
        <f t="shared" si="184"/>
        <v>0</v>
      </c>
      <c r="AC268" s="126">
        <f t="shared" si="168"/>
        <v>585613</v>
      </c>
      <c r="AD268" s="101">
        <f t="shared" si="185"/>
        <v>439210</v>
      </c>
      <c r="AE268" s="127">
        <f t="shared" si="169"/>
        <v>131207.45236287289</v>
      </c>
      <c r="AF268" s="128">
        <f t="shared" si="186"/>
        <v>0.22405146805633225</v>
      </c>
      <c r="AG268" s="129">
        <f t="shared" si="171"/>
        <v>620680</v>
      </c>
      <c r="AH268" s="101">
        <f t="shared" si="181"/>
        <v>515480</v>
      </c>
      <c r="AI268" s="130">
        <f t="shared" si="187"/>
        <v>131207.45236287289</v>
      </c>
      <c r="AJ268" s="159">
        <f t="shared" si="188"/>
        <v>0.21139307269909277</v>
      </c>
      <c r="AK268" s="290" t="s">
        <v>1036</v>
      </c>
      <c r="AL268" s="291"/>
      <c r="AM268" s="292"/>
      <c r="AN268" s="160"/>
    </row>
    <row r="269" spans="1:40" ht="60.75" thickBot="1" x14ac:dyDescent="0.3">
      <c r="A269" s="84">
        <f t="shared" si="152"/>
        <v>3</v>
      </c>
      <c r="B269" s="198">
        <v>264</v>
      </c>
      <c r="C269" s="51" t="s">
        <v>661</v>
      </c>
      <c r="D269" s="204" t="s">
        <v>1048</v>
      </c>
      <c r="E269" s="60" t="s">
        <v>662</v>
      </c>
      <c r="F269" s="17">
        <v>1</v>
      </c>
      <c r="G269" s="17"/>
      <c r="H269" s="89" t="s">
        <v>652</v>
      </c>
      <c r="I269" s="131">
        <f>550000*1.052</f>
        <v>578600</v>
      </c>
      <c r="J269" s="121">
        <f t="shared" si="153"/>
        <v>109934</v>
      </c>
      <c r="K269" s="130">
        <f t="shared" si="154"/>
        <v>688534</v>
      </c>
      <c r="L269" s="121">
        <f t="shared" si="155"/>
        <v>578600</v>
      </c>
      <c r="M269" s="122">
        <f t="shared" si="156"/>
        <v>688534</v>
      </c>
      <c r="N269" s="132">
        <f>650000*1.052</f>
        <v>683800</v>
      </c>
      <c r="O269" s="121">
        <f t="shared" si="157"/>
        <v>129922</v>
      </c>
      <c r="P269" s="110">
        <f t="shared" si="158"/>
        <v>813722</v>
      </c>
      <c r="Q269" s="121">
        <f t="shared" si="159"/>
        <v>683800</v>
      </c>
      <c r="R269" s="124">
        <f t="shared" si="160"/>
        <v>813722</v>
      </c>
      <c r="S269" s="131">
        <f>690000*1.052</f>
        <v>725880</v>
      </c>
      <c r="T269" s="121">
        <f t="shared" si="161"/>
        <v>137917.20000000001</v>
      </c>
      <c r="U269" s="110">
        <f t="shared" si="162"/>
        <v>863797.2</v>
      </c>
      <c r="V269" s="121">
        <f t="shared" si="163"/>
        <v>725880</v>
      </c>
      <c r="W269" s="122">
        <f t="shared" si="164"/>
        <v>863797.2</v>
      </c>
      <c r="X269" s="108"/>
      <c r="Y269" s="121">
        <f t="shared" si="182"/>
        <v>0</v>
      </c>
      <c r="Z269" s="121">
        <f t="shared" si="183"/>
        <v>0</v>
      </c>
      <c r="AA269" s="121">
        <f t="shared" si="167"/>
        <v>0</v>
      </c>
      <c r="AB269" s="124">
        <f t="shared" si="184"/>
        <v>0</v>
      </c>
      <c r="AC269" s="126">
        <f t="shared" si="168"/>
        <v>662760</v>
      </c>
      <c r="AD269" s="101">
        <f t="shared" si="185"/>
        <v>497070</v>
      </c>
      <c r="AE269" s="127">
        <f t="shared" si="169"/>
        <v>61940.082875845961</v>
      </c>
      <c r="AF269" s="128">
        <f t="shared" si="186"/>
        <v>9.3457786945268212E-2</v>
      </c>
      <c r="AG269" s="129">
        <f t="shared" si="171"/>
        <v>683800</v>
      </c>
      <c r="AH269" s="101">
        <f t="shared" si="181"/>
        <v>631200</v>
      </c>
      <c r="AI269" s="130">
        <f t="shared" si="187"/>
        <v>61940.082875845961</v>
      </c>
      <c r="AJ269" s="159">
        <f t="shared" si="188"/>
        <v>9.0582162731567648E-2</v>
      </c>
      <c r="AK269" s="290" t="s">
        <v>1036</v>
      </c>
      <c r="AL269" s="291"/>
      <c r="AM269" s="292"/>
      <c r="AN269" s="160"/>
    </row>
    <row r="270" spans="1:40" ht="90.75" thickBot="1" x14ac:dyDescent="0.3">
      <c r="A270" s="84">
        <f t="shared" si="152"/>
        <v>3</v>
      </c>
      <c r="B270" s="198">
        <v>265</v>
      </c>
      <c r="C270" s="51" t="s">
        <v>663</v>
      </c>
      <c r="D270" s="204" t="s">
        <v>1048</v>
      </c>
      <c r="E270" s="60" t="s">
        <v>664</v>
      </c>
      <c r="F270" s="17">
        <v>1</v>
      </c>
      <c r="G270" s="17"/>
      <c r="H270" s="89" t="s">
        <v>376</v>
      </c>
      <c r="I270" s="131">
        <f>750000*1.052</f>
        <v>789000</v>
      </c>
      <c r="J270" s="121">
        <f t="shared" si="153"/>
        <v>149910</v>
      </c>
      <c r="K270" s="130">
        <f t="shared" si="154"/>
        <v>938910</v>
      </c>
      <c r="L270" s="121">
        <f t="shared" si="155"/>
        <v>789000</v>
      </c>
      <c r="M270" s="122">
        <f t="shared" si="156"/>
        <v>938910</v>
      </c>
      <c r="N270" s="132">
        <f>890000*1.052</f>
        <v>936280</v>
      </c>
      <c r="O270" s="121">
        <f t="shared" si="157"/>
        <v>177893.2</v>
      </c>
      <c r="P270" s="110">
        <f t="shared" si="158"/>
        <v>1114173.2</v>
      </c>
      <c r="Q270" s="121">
        <f t="shared" si="159"/>
        <v>936280</v>
      </c>
      <c r="R270" s="124">
        <f t="shared" si="160"/>
        <v>1114173.2</v>
      </c>
      <c r="S270" s="131">
        <f>450000*1.052</f>
        <v>473400</v>
      </c>
      <c r="T270" s="121">
        <f t="shared" si="161"/>
        <v>89946</v>
      </c>
      <c r="U270" s="110">
        <f t="shared" si="162"/>
        <v>563346</v>
      </c>
      <c r="V270" s="121">
        <f t="shared" si="163"/>
        <v>473400</v>
      </c>
      <c r="W270" s="122">
        <f t="shared" si="164"/>
        <v>563346</v>
      </c>
      <c r="X270" s="108"/>
      <c r="Y270" s="121">
        <f t="shared" si="182"/>
        <v>0</v>
      </c>
      <c r="Z270" s="121">
        <f t="shared" si="183"/>
        <v>0</v>
      </c>
      <c r="AA270" s="121">
        <f t="shared" si="167"/>
        <v>0</v>
      </c>
      <c r="AB270" s="124">
        <f t="shared" si="184"/>
        <v>0</v>
      </c>
      <c r="AC270" s="126">
        <f t="shared" si="168"/>
        <v>732893</v>
      </c>
      <c r="AD270" s="101">
        <f t="shared" si="185"/>
        <v>549670</v>
      </c>
      <c r="AE270" s="127">
        <f t="shared" si="169"/>
        <v>193089.6892350518</v>
      </c>
      <c r="AF270" s="128">
        <f t="shared" si="186"/>
        <v>0.26346231883105964</v>
      </c>
      <c r="AG270" s="129">
        <f t="shared" si="171"/>
        <v>789000</v>
      </c>
      <c r="AH270" s="101">
        <f t="shared" si="181"/>
        <v>631200</v>
      </c>
      <c r="AI270" s="130">
        <f t="shared" si="187"/>
        <v>193089.6892350518</v>
      </c>
      <c r="AJ270" s="159">
        <f t="shared" si="188"/>
        <v>0.2447271092966436</v>
      </c>
      <c r="AK270" s="290" t="s">
        <v>1036</v>
      </c>
      <c r="AL270" s="291"/>
      <c r="AM270" s="292"/>
      <c r="AN270" s="160"/>
    </row>
    <row r="271" spans="1:40" ht="29.25" customHeight="1" thickBot="1" x14ac:dyDescent="0.3">
      <c r="A271" s="84">
        <f t="shared" si="152"/>
        <v>3</v>
      </c>
      <c r="B271" s="198">
        <v>266</v>
      </c>
      <c r="C271" s="51" t="s">
        <v>665</v>
      </c>
      <c r="D271" s="204" t="s">
        <v>1044</v>
      </c>
      <c r="E271" s="60" t="s">
        <v>666</v>
      </c>
      <c r="F271" s="17">
        <v>1</v>
      </c>
      <c r="G271" s="17"/>
      <c r="H271" s="89" t="s">
        <v>28</v>
      </c>
      <c r="I271" s="141">
        <v>23144</v>
      </c>
      <c r="J271" s="121">
        <f t="shared" si="153"/>
        <v>4397.3599999999997</v>
      </c>
      <c r="K271" s="130">
        <f t="shared" si="154"/>
        <v>27541.360000000001</v>
      </c>
      <c r="L271" s="121">
        <f t="shared" si="155"/>
        <v>23144</v>
      </c>
      <c r="M271" s="122">
        <f t="shared" si="156"/>
        <v>27541.360000000001</v>
      </c>
      <c r="N271" s="123">
        <v>25424.210000000003</v>
      </c>
      <c r="O271" s="121">
        <f t="shared" si="157"/>
        <v>4830.5999000000002</v>
      </c>
      <c r="P271" s="110">
        <f t="shared" si="158"/>
        <v>30254.809900000004</v>
      </c>
      <c r="Q271" s="121">
        <f t="shared" si="159"/>
        <v>25424.210000000003</v>
      </c>
      <c r="R271" s="124">
        <f t="shared" si="160"/>
        <v>30254.809900000004</v>
      </c>
      <c r="S271" s="125">
        <v>25248</v>
      </c>
      <c r="T271" s="121">
        <f t="shared" si="161"/>
        <v>4797.12</v>
      </c>
      <c r="U271" s="110">
        <f t="shared" si="162"/>
        <v>30045.119999999999</v>
      </c>
      <c r="V271" s="121">
        <f t="shared" si="163"/>
        <v>25248</v>
      </c>
      <c r="W271" s="122">
        <f t="shared" si="164"/>
        <v>30045.119999999999</v>
      </c>
      <c r="X271" s="108"/>
      <c r="Y271" s="121">
        <f t="shared" si="182"/>
        <v>0</v>
      </c>
      <c r="Z271" s="121">
        <f t="shared" si="183"/>
        <v>0</v>
      </c>
      <c r="AA271" s="121">
        <f t="shared" si="167"/>
        <v>0</v>
      </c>
      <c r="AB271" s="124">
        <f t="shared" si="184"/>
        <v>0</v>
      </c>
      <c r="AC271" s="126">
        <f t="shared" si="168"/>
        <v>24605</v>
      </c>
      <c r="AD271" s="101">
        <f t="shared" si="185"/>
        <v>18454</v>
      </c>
      <c r="AE271" s="127">
        <f t="shared" si="169"/>
        <v>1035.869125592397</v>
      </c>
      <c r="AF271" s="128">
        <f t="shared" si="186"/>
        <v>4.2099944141125667E-2</v>
      </c>
      <c r="AG271" s="129">
        <f t="shared" si="171"/>
        <v>25248</v>
      </c>
      <c r="AH271" s="101">
        <f t="shared" si="181"/>
        <v>24196</v>
      </c>
      <c r="AI271" s="130">
        <f t="shared" si="187"/>
        <v>1035.869125592397</v>
      </c>
      <c r="AJ271" s="159">
        <f t="shared" si="188"/>
        <v>4.1027769549762241E-2</v>
      </c>
      <c r="AK271" s="290" t="s">
        <v>1034</v>
      </c>
      <c r="AL271" s="291"/>
      <c r="AM271" s="292"/>
      <c r="AN271" s="160"/>
    </row>
    <row r="272" spans="1:40" ht="19.5" thickBot="1" x14ac:dyDescent="0.3">
      <c r="A272" s="84">
        <f t="shared" si="152"/>
        <v>3</v>
      </c>
      <c r="B272" s="198">
        <v>267</v>
      </c>
      <c r="C272" s="51" t="s">
        <v>667</v>
      </c>
      <c r="D272" s="204" t="s">
        <v>1044</v>
      </c>
      <c r="E272" s="60" t="s">
        <v>668</v>
      </c>
      <c r="F272" s="17">
        <v>1</v>
      </c>
      <c r="G272" s="17"/>
      <c r="H272" s="89" t="s">
        <v>28</v>
      </c>
      <c r="I272" s="142">
        <v>24196</v>
      </c>
      <c r="J272" s="121">
        <f t="shared" si="153"/>
        <v>4597.24</v>
      </c>
      <c r="K272" s="130">
        <f t="shared" si="154"/>
        <v>28793.239999999998</v>
      </c>
      <c r="L272" s="121">
        <f t="shared" si="155"/>
        <v>24196</v>
      </c>
      <c r="M272" s="122">
        <f t="shared" si="156"/>
        <v>28793.239999999998</v>
      </c>
      <c r="N272" s="123">
        <v>26797.551815999999</v>
      </c>
      <c r="O272" s="121">
        <f t="shared" si="157"/>
        <v>5091.5348450399997</v>
      </c>
      <c r="P272" s="110">
        <f t="shared" si="158"/>
        <v>31889.086661039997</v>
      </c>
      <c r="Q272" s="121">
        <f t="shared" si="159"/>
        <v>26797.551815999999</v>
      </c>
      <c r="R272" s="124">
        <f t="shared" si="160"/>
        <v>31889.086661039997</v>
      </c>
      <c r="S272" s="125">
        <v>28404</v>
      </c>
      <c r="T272" s="121">
        <f t="shared" si="161"/>
        <v>5396.76</v>
      </c>
      <c r="U272" s="110">
        <f t="shared" si="162"/>
        <v>33800.76</v>
      </c>
      <c r="V272" s="121">
        <f t="shared" si="163"/>
        <v>28404</v>
      </c>
      <c r="W272" s="122">
        <f t="shared" si="164"/>
        <v>33800.76</v>
      </c>
      <c r="X272" s="108"/>
      <c r="Y272" s="121">
        <f t="shared" si="182"/>
        <v>0</v>
      </c>
      <c r="Z272" s="121">
        <f t="shared" si="183"/>
        <v>0</v>
      </c>
      <c r="AA272" s="121">
        <f t="shared" si="167"/>
        <v>0</v>
      </c>
      <c r="AB272" s="124">
        <f t="shared" si="184"/>
        <v>0</v>
      </c>
      <c r="AC272" s="126">
        <f t="shared" si="168"/>
        <v>26466</v>
      </c>
      <c r="AD272" s="101">
        <f t="shared" si="185"/>
        <v>19849</v>
      </c>
      <c r="AE272" s="127">
        <f t="shared" si="169"/>
        <v>1733.8464503079656</v>
      </c>
      <c r="AF272" s="128">
        <f t="shared" si="186"/>
        <v>6.5512221352224204E-2</v>
      </c>
      <c r="AG272" s="129">
        <f t="shared" si="171"/>
        <v>26798</v>
      </c>
      <c r="AH272" s="101">
        <f t="shared" ref="AH272:AH328" si="189">+IFERROR(ROUND(MEDIAN(L272,Q272,V272,AA272),0),0)</f>
        <v>25497</v>
      </c>
      <c r="AI272" s="130">
        <f t="shared" si="187"/>
        <v>1733.8464503079656</v>
      </c>
      <c r="AJ272" s="159">
        <f t="shared" si="188"/>
        <v>6.4700591473541513E-2</v>
      </c>
      <c r="AK272" s="290" t="s">
        <v>1034</v>
      </c>
      <c r="AL272" s="291"/>
      <c r="AM272" s="292"/>
      <c r="AN272" s="160"/>
    </row>
    <row r="273" spans="1:40" ht="19.5" thickBot="1" x14ac:dyDescent="0.3">
      <c r="A273" s="84">
        <f t="shared" si="152"/>
        <v>3</v>
      </c>
      <c r="B273" s="198">
        <v>268</v>
      </c>
      <c r="C273" s="51" t="s">
        <v>669</v>
      </c>
      <c r="D273" s="204" t="s">
        <v>1044</v>
      </c>
      <c r="E273" s="60" t="s">
        <v>670</v>
      </c>
      <c r="F273" s="17">
        <v>1</v>
      </c>
      <c r="G273" s="17"/>
      <c r="H273" s="89" t="s">
        <v>28</v>
      </c>
      <c r="I273" s="142">
        <v>1157.2</v>
      </c>
      <c r="J273" s="121">
        <f t="shared" si="153"/>
        <v>219.86800000000002</v>
      </c>
      <c r="K273" s="130">
        <f t="shared" si="154"/>
        <v>1377.068</v>
      </c>
      <c r="L273" s="121">
        <f t="shared" si="155"/>
        <v>1157.2</v>
      </c>
      <c r="M273" s="122">
        <f t="shared" si="156"/>
        <v>1377.068</v>
      </c>
      <c r="N273" s="123">
        <v>1341.3</v>
      </c>
      <c r="O273" s="121">
        <f t="shared" si="157"/>
        <v>254.84700000000001</v>
      </c>
      <c r="P273" s="110">
        <f t="shared" si="158"/>
        <v>1596.1469999999999</v>
      </c>
      <c r="Q273" s="121">
        <f t="shared" si="159"/>
        <v>1341.3</v>
      </c>
      <c r="R273" s="124">
        <f t="shared" si="160"/>
        <v>1596.1469999999999</v>
      </c>
      <c r="S273" s="125">
        <v>1472.8</v>
      </c>
      <c r="T273" s="121">
        <f t="shared" si="161"/>
        <v>279.83199999999999</v>
      </c>
      <c r="U273" s="110">
        <f t="shared" si="162"/>
        <v>1752.6320000000001</v>
      </c>
      <c r="V273" s="121">
        <f t="shared" si="163"/>
        <v>1472.8</v>
      </c>
      <c r="W273" s="122">
        <f t="shared" si="164"/>
        <v>1752.6320000000001</v>
      </c>
      <c r="X273" s="108"/>
      <c r="Y273" s="121">
        <f t="shared" si="182"/>
        <v>0</v>
      </c>
      <c r="Z273" s="121">
        <f t="shared" si="183"/>
        <v>0</v>
      </c>
      <c r="AA273" s="121">
        <f t="shared" si="167"/>
        <v>0</v>
      </c>
      <c r="AB273" s="124">
        <f t="shared" si="184"/>
        <v>0</v>
      </c>
      <c r="AC273" s="126">
        <f t="shared" si="168"/>
        <v>1324</v>
      </c>
      <c r="AD273" s="101">
        <f t="shared" si="185"/>
        <v>993</v>
      </c>
      <c r="AE273" s="127">
        <f t="shared" si="169"/>
        <v>129.43828216137945</v>
      </c>
      <c r="AF273" s="128">
        <f t="shared" si="186"/>
        <v>9.7763052991978433E-2</v>
      </c>
      <c r="AG273" s="129">
        <f t="shared" si="171"/>
        <v>1341</v>
      </c>
      <c r="AH273" s="101">
        <f t="shared" si="189"/>
        <v>1249</v>
      </c>
      <c r="AI273" s="130">
        <f t="shared" si="187"/>
        <v>129.43828216137945</v>
      </c>
      <c r="AJ273" s="159">
        <f t="shared" si="188"/>
        <v>9.652370034405626E-2</v>
      </c>
      <c r="AK273" s="290" t="s">
        <v>1034</v>
      </c>
      <c r="AL273" s="291"/>
      <c r="AM273" s="292"/>
      <c r="AN273" s="160"/>
    </row>
    <row r="274" spans="1:40" ht="30.75" thickBot="1" x14ac:dyDescent="0.3">
      <c r="A274" s="84">
        <f t="shared" si="152"/>
        <v>3</v>
      </c>
      <c r="B274" s="198">
        <v>269</v>
      </c>
      <c r="C274" s="51" t="s">
        <v>671</v>
      </c>
      <c r="D274" s="204" t="s">
        <v>1044</v>
      </c>
      <c r="E274" s="60" t="s">
        <v>672</v>
      </c>
      <c r="F274" s="17">
        <v>1</v>
      </c>
      <c r="G274" s="17"/>
      <c r="H274" s="89" t="s">
        <v>28</v>
      </c>
      <c r="I274" s="142">
        <v>38924</v>
      </c>
      <c r="J274" s="121">
        <f t="shared" si="153"/>
        <v>7395.56</v>
      </c>
      <c r="K274" s="130">
        <f t="shared" si="154"/>
        <v>46319.56</v>
      </c>
      <c r="L274" s="121">
        <f t="shared" si="155"/>
        <v>38924</v>
      </c>
      <c r="M274" s="122">
        <f t="shared" si="156"/>
        <v>46319.56</v>
      </c>
      <c r="N274" s="123">
        <v>41028</v>
      </c>
      <c r="O274" s="121">
        <f t="shared" si="157"/>
        <v>7795.32</v>
      </c>
      <c r="P274" s="110">
        <f t="shared" si="158"/>
        <v>48823.32</v>
      </c>
      <c r="Q274" s="121">
        <f t="shared" si="159"/>
        <v>41028</v>
      </c>
      <c r="R274" s="124">
        <f t="shared" si="160"/>
        <v>48823.32</v>
      </c>
      <c r="S274" s="125">
        <v>35768</v>
      </c>
      <c r="T274" s="121">
        <f t="shared" si="161"/>
        <v>6795.92</v>
      </c>
      <c r="U274" s="110">
        <f t="shared" si="162"/>
        <v>42563.92</v>
      </c>
      <c r="V274" s="121">
        <f t="shared" si="163"/>
        <v>35768</v>
      </c>
      <c r="W274" s="122">
        <f t="shared" si="164"/>
        <v>42563.92</v>
      </c>
      <c r="X274" s="108"/>
      <c r="Y274" s="121">
        <f t="shared" si="182"/>
        <v>0</v>
      </c>
      <c r="Z274" s="121">
        <f t="shared" si="183"/>
        <v>0</v>
      </c>
      <c r="AA274" s="121">
        <f t="shared" si="167"/>
        <v>0</v>
      </c>
      <c r="AB274" s="124">
        <f t="shared" si="184"/>
        <v>0</v>
      </c>
      <c r="AC274" s="126">
        <f t="shared" si="168"/>
        <v>38573</v>
      </c>
      <c r="AD274" s="101">
        <f t="shared" si="185"/>
        <v>28930</v>
      </c>
      <c r="AE274" s="127">
        <f t="shared" si="169"/>
        <v>2161.6545103744547</v>
      </c>
      <c r="AF274" s="128">
        <f t="shared" si="186"/>
        <v>5.6040611577384561E-2</v>
      </c>
      <c r="AG274" s="129">
        <f t="shared" si="171"/>
        <v>38924</v>
      </c>
      <c r="AH274" s="101">
        <f t="shared" si="189"/>
        <v>37346</v>
      </c>
      <c r="AI274" s="130">
        <f t="shared" si="187"/>
        <v>2161.6545103744547</v>
      </c>
      <c r="AJ274" s="159">
        <f t="shared" si="188"/>
        <v>5.5535261288008807E-2</v>
      </c>
      <c r="AK274" s="290" t="s">
        <v>1034</v>
      </c>
      <c r="AL274" s="291"/>
      <c r="AM274" s="292"/>
      <c r="AN274" s="160"/>
    </row>
    <row r="275" spans="1:40" ht="30.75" thickBot="1" x14ac:dyDescent="0.3">
      <c r="A275" s="84">
        <f t="shared" si="152"/>
        <v>3</v>
      </c>
      <c r="B275" s="198">
        <v>270</v>
      </c>
      <c r="C275" s="51" t="s">
        <v>673</v>
      </c>
      <c r="D275" s="204" t="s">
        <v>1044</v>
      </c>
      <c r="E275" s="60" t="s">
        <v>674</v>
      </c>
      <c r="F275" s="17">
        <v>1</v>
      </c>
      <c r="G275" s="17"/>
      <c r="H275" s="89" t="s">
        <v>28</v>
      </c>
      <c r="I275" s="142">
        <v>16832</v>
      </c>
      <c r="J275" s="121">
        <f t="shared" si="153"/>
        <v>3198.08</v>
      </c>
      <c r="K275" s="130">
        <f t="shared" si="154"/>
        <v>20030.080000000002</v>
      </c>
      <c r="L275" s="121">
        <f t="shared" si="155"/>
        <v>16832</v>
      </c>
      <c r="M275" s="122">
        <f t="shared" si="156"/>
        <v>20030.080000000002</v>
      </c>
      <c r="N275" s="123">
        <v>17358</v>
      </c>
      <c r="O275" s="121">
        <f t="shared" si="157"/>
        <v>3298.02</v>
      </c>
      <c r="P275" s="110">
        <f t="shared" si="158"/>
        <v>20656.02</v>
      </c>
      <c r="Q275" s="121">
        <f t="shared" si="159"/>
        <v>17358</v>
      </c>
      <c r="R275" s="124">
        <f t="shared" si="160"/>
        <v>20656.02</v>
      </c>
      <c r="S275" s="125">
        <v>19988</v>
      </c>
      <c r="T275" s="121">
        <f t="shared" si="161"/>
        <v>3797.7200000000003</v>
      </c>
      <c r="U275" s="110">
        <f t="shared" si="162"/>
        <v>23785.72</v>
      </c>
      <c r="V275" s="121">
        <f t="shared" si="163"/>
        <v>19988</v>
      </c>
      <c r="W275" s="122">
        <f t="shared" si="164"/>
        <v>23785.72</v>
      </c>
      <c r="X275" s="108"/>
      <c r="Y275" s="121">
        <f t="shared" si="182"/>
        <v>0</v>
      </c>
      <c r="Z275" s="121">
        <f t="shared" si="183"/>
        <v>0</v>
      </c>
      <c r="AA275" s="121">
        <f t="shared" si="167"/>
        <v>0</v>
      </c>
      <c r="AB275" s="124">
        <f t="shared" si="184"/>
        <v>0</v>
      </c>
      <c r="AC275" s="126">
        <f t="shared" si="168"/>
        <v>18059</v>
      </c>
      <c r="AD275" s="101">
        <f t="shared" si="185"/>
        <v>13545</v>
      </c>
      <c r="AE275" s="127">
        <f t="shared" si="169"/>
        <v>1380.5760472434042</v>
      </c>
      <c r="AF275" s="128">
        <f t="shared" si="186"/>
        <v>7.6448089442571809E-2</v>
      </c>
      <c r="AG275" s="129">
        <f t="shared" si="171"/>
        <v>17358</v>
      </c>
      <c r="AH275" s="101">
        <f t="shared" si="189"/>
        <v>17095</v>
      </c>
      <c r="AI275" s="130">
        <f t="shared" si="187"/>
        <v>1380.5760472434042</v>
      </c>
      <c r="AJ275" s="159">
        <f t="shared" si="188"/>
        <v>7.9535433070826375E-2</v>
      </c>
      <c r="AK275" s="290" t="s">
        <v>1034</v>
      </c>
      <c r="AL275" s="291"/>
      <c r="AM275" s="292"/>
      <c r="AN275" s="160"/>
    </row>
    <row r="276" spans="1:40" ht="48.75" customHeight="1" thickBot="1" x14ac:dyDescent="0.3">
      <c r="A276" s="84">
        <f t="shared" si="152"/>
        <v>3</v>
      </c>
      <c r="B276" s="198">
        <v>271</v>
      </c>
      <c r="C276" s="51" t="s">
        <v>675</v>
      </c>
      <c r="D276" s="204" t="s">
        <v>1044</v>
      </c>
      <c r="E276" s="60" t="s">
        <v>676</v>
      </c>
      <c r="F276" s="17">
        <v>1</v>
      </c>
      <c r="G276" s="17"/>
      <c r="H276" s="89" t="s">
        <v>28</v>
      </c>
      <c r="I276" s="142">
        <v>13676</v>
      </c>
      <c r="J276" s="121">
        <f t="shared" si="153"/>
        <v>2598.44</v>
      </c>
      <c r="K276" s="130">
        <f t="shared" si="154"/>
        <v>16274.44</v>
      </c>
      <c r="L276" s="121">
        <f t="shared" si="155"/>
        <v>13676</v>
      </c>
      <c r="M276" s="122">
        <f t="shared" si="156"/>
        <v>16274.44</v>
      </c>
      <c r="N276" s="123">
        <v>14728</v>
      </c>
      <c r="O276" s="121">
        <f t="shared" si="157"/>
        <v>2798.32</v>
      </c>
      <c r="P276" s="110">
        <f t="shared" si="158"/>
        <v>17526.32</v>
      </c>
      <c r="Q276" s="121">
        <f t="shared" si="159"/>
        <v>14728</v>
      </c>
      <c r="R276" s="124">
        <f t="shared" si="160"/>
        <v>17526.32</v>
      </c>
      <c r="S276" s="125">
        <v>17884</v>
      </c>
      <c r="T276" s="121">
        <f t="shared" si="161"/>
        <v>3397.96</v>
      </c>
      <c r="U276" s="110">
        <f t="shared" si="162"/>
        <v>21281.96</v>
      </c>
      <c r="V276" s="121">
        <f t="shared" si="163"/>
        <v>17884</v>
      </c>
      <c r="W276" s="122">
        <f t="shared" si="164"/>
        <v>21281.96</v>
      </c>
      <c r="X276" s="108"/>
      <c r="Y276" s="121">
        <f t="shared" si="182"/>
        <v>0</v>
      </c>
      <c r="Z276" s="121">
        <f t="shared" si="183"/>
        <v>0</v>
      </c>
      <c r="AA276" s="121">
        <f t="shared" si="167"/>
        <v>0</v>
      </c>
      <c r="AB276" s="124">
        <f t="shared" si="184"/>
        <v>0</v>
      </c>
      <c r="AC276" s="126">
        <f t="shared" si="168"/>
        <v>15429</v>
      </c>
      <c r="AD276" s="101">
        <f t="shared" si="185"/>
        <v>11572</v>
      </c>
      <c r="AE276" s="127">
        <f t="shared" si="169"/>
        <v>1788.0561760998698</v>
      </c>
      <c r="AF276" s="128">
        <f t="shared" si="186"/>
        <v>0.11588931078487717</v>
      </c>
      <c r="AG276" s="129">
        <f t="shared" si="171"/>
        <v>14728</v>
      </c>
      <c r="AH276" s="101">
        <f t="shared" si="189"/>
        <v>14202</v>
      </c>
      <c r="AI276" s="130">
        <f t="shared" si="187"/>
        <v>1788.0561760998698</v>
      </c>
      <c r="AJ276" s="159">
        <f t="shared" si="188"/>
        <v>0.12140522651411392</v>
      </c>
      <c r="AK276" s="290" t="s">
        <v>1034</v>
      </c>
      <c r="AL276" s="291"/>
      <c r="AM276" s="292"/>
      <c r="AN276" s="160"/>
    </row>
    <row r="277" spans="1:40" ht="19.5" thickBot="1" x14ac:dyDescent="0.3">
      <c r="A277" s="84">
        <f t="shared" si="152"/>
        <v>3</v>
      </c>
      <c r="B277" s="198">
        <v>272</v>
      </c>
      <c r="C277" s="51" t="s">
        <v>677</v>
      </c>
      <c r="D277" s="204" t="s">
        <v>1044</v>
      </c>
      <c r="E277" s="60" t="s">
        <v>678</v>
      </c>
      <c r="F277" s="17">
        <v>1</v>
      </c>
      <c r="G277" s="17"/>
      <c r="H277" s="89" t="s">
        <v>28</v>
      </c>
      <c r="I277" s="142">
        <v>16832</v>
      </c>
      <c r="J277" s="121">
        <f t="shared" si="153"/>
        <v>3198.08</v>
      </c>
      <c r="K277" s="130">
        <f t="shared" si="154"/>
        <v>20030.080000000002</v>
      </c>
      <c r="L277" s="121">
        <f t="shared" si="155"/>
        <v>16832</v>
      </c>
      <c r="M277" s="122">
        <f t="shared" si="156"/>
        <v>20030.080000000002</v>
      </c>
      <c r="N277" s="123">
        <v>19560.888000000003</v>
      </c>
      <c r="O277" s="121">
        <f t="shared" si="157"/>
        <v>3716.5687200000007</v>
      </c>
      <c r="P277" s="110">
        <f t="shared" si="158"/>
        <v>23277.456720000002</v>
      </c>
      <c r="Q277" s="121">
        <f t="shared" si="159"/>
        <v>19560.888000000003</v>
      </c>
      <c r="R277" s="124">
        <f t="shared" si="160"/>
        <v>23277.456720000002</v>
      </c>
      <c r="S277" s="125">
        <v>18936</v>
      </c>
      <c r="T277" s="121">
        <f t="shared" si="161"/>
        <v>3597.84</v>
      </c>
      <c r="U277" s="110">
        <f t="shared" si="162"/>
        <v>22533.84</v>
      </c>
      <c r="V277" s="121">
        <f t="shared" si="163"/>
        <v>18936</v>
      </c>
      <c r="W277" s="122">
        <f t="shared" si="164"/>
        <v>22533.84</v>
      </c>
      <c r="X277" s="108"/>
      <c r="Y277" s="121">
        <f t="shared" si="182"/>
        <v>0</v>
      </c>
      <c r="Z277" s="121">
        <f t="shared" si="183"/>
        <v>0</v>
      </c>
      <c r="AA277" s="121">
        <f t="shared" si="167"/>
        <v>0</v>
      </c>
      <c r="AB277" s="124">
        <f t="shared" si="184"/>
        <v>0</v>
      </c>
      <c r="AC277" s="126">
        <f t="shared" si="168"/>
        <v>18443</v>
      </c>
      <c r="AD277" s="101">
        <f t="shared" si="185"/>
        <v>13832</v>
      </c>
      <c r="AE277" s="127">
        <f t="shared" si="169"/>
        <v>1167.3393645897884</v>
      </c>
      <c r="AF277" s="128">
        <f t="shared" si="186"/>
        <v>6.3294440415864461E-2</v>
      </c>
      <c r="AG277" s="129">
        <f t="shared" si="171"/>
        <v>18936</v>
      </c>
      <c r="AH277" s="101">
        <f t="shared" si="189"/>
        <v>17884</v>
      </c>
      <c r="AI277" s="130">
        <f t="shared" si="187"/>
        <v>1167.3393645897884</v>
      </c>
      <c r="AJ277" s="159">
        <f t="shared" si="188"/>
        <v>6.164656551488109E-2</v>
      </c>
      <c r="AK277" s="290" t="s">
        <v>1034</v>
      </c>
      <c r="AL277" s="291"/>
      <c r="AM277" s="292"/>
      <c r="AN277" s="160"/>
    </row>
    <row r="278" spans="1:40" ht="19.5" thickBot="1" x14ac:dyDescent="0.3">
      <c r="A278" s="84">
        <f t="shared" si="152"/>
        <v>3</v>
      </c>
      <c r="B278" s="198">
        <v>273</v>
      </c>
      <c r="C278" s="51" t="s">
        <v>679</v>
      </c>
      <c r="D278" s="204" t="s">
        <v>1044</v>
      </c>
      <c r="E278" s="60" t="s">
        <v>680</v>
      </c>
      <c r="F278" s="17">
        <v>1</v>
      </c>
      <c r="G278" s="17"/>
      <c r="H278" s="89" t="s">
        <v>28</v>
      </c>
      <c r="I278" s="142">
        <v>14728</v>
      </c>
      <c r="J278" s="121">
        <f t="shared" si="153"/>
        <v>2798.32</v>
      </c>
      <c r="K278" s="130">
        <f t="shared" si="154"/>
        <v>17526.32</v>
      </c>
      <c r="L278" s="121">
        <f t="shared" si="155"/>
        <v>14728</v>
      </c>
      <c r="M278" s="122">
        <f t="shared" si="156"/>
        <v>17526.32</v>
      </c>
      <c r="N278" s="123">
        <v>17639.41</v>
      </c>
      <c r="O278" s="121">
        <f t="shared" si="157"/>
        <v>3351.4879000000001</v>
      </c>
      <c r="P278" s="110">
        <f t="shared" si="158"/>
        <v>20990.8979</v>
      </c>
      <c r="Q278" s="121">
        <f t="shared" si="159"/>
        <v>17639.41</v>
      </c>
      <c r="R278" s="124">
        <f t="shared" si="160"/>
        <v>20990.8979</v>
      </c>
      <c r="S278" s="125">
        <v>15780</v>
      </c>
      <c r="T278" s="121">
        <f t="shared" si="161"/>
        <v>2998.2</v>
      </c>
      <c r="U278" s="110">
        <f t="shared" si="162"/>
        <v>18778.2</v>
      </c>
      <c r="V278" s="121">
        <f t="shared" si="163"/>
        <v>15780</v>
      </c>
      <c r="W278" s="122">
        <f t="shared" si="164"/>
        <v>18778.2</v>
      </c>
      <c r="X278" s="108"/>
      <c r="Y278" s="121">
        <f t="shared" si="182"/>
        <v>0</v>
      </c>
      <c r="Z278" s="121">
        <f t="shared" si="183"/>
        <v>0</v>
      </c>
      <c r="AA278" s="121">
        <f t="shared" si="167"/>
        <v>0</v>
      </c>
      <c r="AB278" s="124">
        <f t="shared" si="184"/>
        <v>0</v>
      </c>
      <c r="AC278" s="126">
        <f t="shared" si="168"/>
        <v>16049</v>
      </c>
      <c r="AD278" s="101">
        <f t="shared" si="185"/>
        <v>12037</v>
      </c>
      <c r="AE278" s="127">
        <f t="shared" si="169"/>
        <v>1203.7172857536864</v>
      </c>
      <c r="AF278" s="128">
        <f t="shared" si="186"/>
        <v>7.5002634790559311E-2</v>
      </c>
      <c r="AG278" s="129">
        <f t="shared" si="171"/>
        <v>15780</v>
      </c>
      <c r="AH278" s="101">
        <f t="shared" si="189"/>
        <v>15254</v>
      </c>
      <c r="AI278" s="130">
        <f t="shared" si="187"/>
        <v>1203.7172857536864</v>
      </c>
      <c r="AJ278" s="159">
        <f t="shared" si="188"/>
        <v>7.628119681582296E-2</v>
      </c>
      <c r="AK278" s="290" t="s">
        <v>1034</v>
      </c>
      <c r="AL278" s="291"/>
      <c r="AM278" s="292"/>
      <c r="AN278" s="160"/>
    </row>
    <row r="279" spans="1:40" ht="30.75" thickBot="1" x14ac:dyDescent="0.3">
      <c r="A279" s="84">
        <f t="shared" si="152"/>
        <v>3</v>
      </c>
      <c r="B279" s="198">
        <v>274</v>
      </c>
      <c r="C279" s="51" t="s">
        <v>681</v>
      </c>
      <c r="D279" s="204" t="s">
        <v>1044</v>
      </c>
      <c r="E279" s="60" t="s">
        <v>682</v>
      </c>
      <c r="F279" s="17">
        <v>1</v>
      </c>
      <c r="G279" s="17"/>
      <c r="H279" s="89" t="s">
        <v>28</v>
      </c>
      <c r="I279" s="142">
        <v>16832</v>
      </c>
      <c r="J279" s="121">
        <f t="shared" si="153"/>
        <v>3198.08</v>
      </c>
      <c r="K279" s="130">
        <f t="shared" si="154"/>
        <v>20030.080000000002</v>
      </c>
      <c r="L279" s="121">
        <f t="shared" si="155"/>
        <v>16832</v>
      </c>
      <c r="M279" s="122">
        <f t="shared" si="156"/>
        <v>20030.080000000002</v>
      </c>
      <c r="N279" s="123">
        <v>19486.800900000002</v>
      </c>
      <c r="O279" s="121">
        <f t="shared" si="157"/>
        <v>3702.4921710000003</v>
      </c>
      <c r="P279" s="110">
        <f t="shared" si="158"/>
        <v>23189.293071000004</v>
      </c>
      <c r="Q279" s="121">
        <f t="shared" si="159"/>
        <v>19486.800900000002</v>
      </c>
      <c r="R279" s="124">
        <f t="shared" si="160"/>
        <v>23189.293071000004</v>
      </c>
      <c r="S279" s="125">
        <v>17884</v>
      </c>
      <c r="T279" s="121">
        <f t="shared" si="161"/>
        <v>3397.96</v>
      </c>
      <c r="U279" s="110">
        <f t="shared" si="162"/>
        <v>21281.96</v>
      </c>
      <c r="V279" s="121">
        <f t="shared" si="163"/>
        <v>17884</v>
      </c>
      <c r="W279" s="122">
        <f t="shared" si="164"/>
        <v>21281.96</v>
      </c>
      <c r="X279" s="108"/>
      <c r="Y279" s="121">
        <f t="shared" si="182"/>
        <v>0</v>
      </c>
      <c r="Z279" s="121">
        <f t="shared" si="183"/>
        <v>0</v>
      </c>
      <c r="AA279" s="121">
        <f t="shared" si="167"/>
        <v>0</v>
      </c>
      <c r="AB279" s="124">
        <f t="shared" si="184"/>
        <v>0</v>
      </c>
      <c r="AC279" s="126">
        <f t="shared" si="168"/>
        <v>18068</v>
      </c>
      <c r="AD279" s="101">
        <f t="shared" si="185"/>
        <v>13551</v>
      </c>
      <c r="AE279" s="127">
        <f t="shared" si="169"/>
        <v>1091.5657736420874</v>
      </c>
      <c r="AF279" s="128">
        <f t="shared" si="186"/>
        <v>6.0414311138038933E-2</v>
      </c>
      <c r="AG279" s="129">
        <f t="shared" si="171"/>
        <v>17884</v>
      </c>
      <c r="AH279" s="101">
        <f t="shared" si="189"/>
        <v>17358</v>
      </c>
      <c r="AI279" s="130">
        <f t="shared" si="187"/>
        <v>1091.5657736420874</v>
      </c>
      <c r="AJ279" s="159">
        <f t="shared" si="188"/>
        <v>6.1035885352386902E-2</v>
      </c>
      <c r="AK279" s="290" t="s">
        <v>1034</v>
      </c>
      <c r="AL279" s="291"/>
      <c r="AM279" s="292"/>
      <c r="AN279" s="160"/>
    </row>
    <row r="280" spans="1:40" ht="30.75" thickBot="1" x14ac:dyDescent="0.3">
      <c r="A280" s="84">
        <f t="shared" si="152"/>
        <v>3</v>
      </c>
      <c r="B280" s="198">
        <v>275</v>
      </c>
      <c r="C280" s="51" t="s">
        <v>683</v>
      </c>
      <c r="D280" s="204" t="s">
        <v>1044</v>
      </c>
      <c r="E280" s="60" t="s">
        <v>684</v>
      </c>
      <c r="F280" s="17">
        <v>1</v>
      </c>
      <c r="G280" s="17"/>
      <c r="H280" s="89" t="s">
        <v>28</v>
      </c>
      <c r="I280" s="142">
        <v>32612</v>
      </c>
      <c r="J280" s="121">
        <f t="shared" si="153"/>
        <v>6196.28</v>
      </c>
      <c r="K280" s="130">
        <f t="shared" si="154"/>
        <v>38808.28</v>
      </c>
      <c r="L280" s="121">
        <f t="shared" si="155"/>
        <v>32612</v>
      </c>
      <c r="M280" s="122">
        <f t="shared" si="156"/>
        <v>38808.28</v>
      </c>
      <c r="N280" s="123">
        <v>35662.800000000003</v>
      </c>
      <c r="O280" s="121">
        <f t="shared" si="157"/>
        <v>6775.9320000000007</v>
      </c>
      <c r="P280" s="110">
        <f t="shared" si="158"/>
        <v>42438.732000000004</v>
      </c>
      <c r="Q280" s="121">
        <f t="shared" si="159"/>
        <v>35662.800000000003</v>
      </c>
      <c r="R280" s="124">
        <f t="shared" si="160"/>
        <v>42438.732000000004</v>
      </c>
      <c r="S280" s="125">
        <v>34716</v>
      </c>
      <c r="T280" s="121">
        <f t="shared" si="161"/>
        <v>6596.04</v>
      </c>
      <c r="U280" s="110">
        <f t="shared" si="162"/>
        <v>41312.04</v>
      </c>
      <c r="V280" s="121">
        <f t="shared" si="163"/>
        <v>34716</v>
      </c>
      <c r="W280" s="122">
        <f t="shared" si="164"/>
        <v>41312.04</v>
      </c>
      <c r="X280" s="108"/>
      <c r="Y280" s="121">
        <f t="shared" si="182"/>
        <v>0</v>
      </c>
      <c r="Z280" s="121">
        <f t="shared" si="183"/>
        <v>0</v>
      </c>
      <c r="AA280" s="121">
        <f t="shared" si="167"/>
        <v>0</v>
      </c>
      <c r="AB280" s="124">
        <f t="shared" si="184"/>
        <v>0</v>
      </c>
      <c r="AC280" s="126">
        <f t="shared" si="168"/>
        <v>34330</v>
      </c>
      <c r="AD280" s="101">
        <f t="shared" si="185"/>
        <v>25748</v>
      </c>
      <c r="AE280" s="127">
        <f t="shared" si="169"/>
        <v>1275.0000819172096</v>
      </c>
      <c r="AF280" s="128">
        <f t="shared" si="186"/>
        <v>3.713953049569501E-2</v>
      </c>
      <c r="AG280" s="129">
        <f t="shared" si="171"/>
        <v>34716</v>
      </c>
      <c r="AH280" s="101">
        <f t="shared" si="189"/>
        <v>33664</v>
      </c>
      <c r="AI280" s="130">
        <f t="shared" si="187"/>
        <v>1275.0000819172096</v>
      </c>
      <c r="AJ280" s="159">
        <f t="shared" si="188"/>
        <v>3.6726583763025969E-2</v>
      </c>
      <c r="AK280" s="290" t="s">
        <v>1034</v>
      </c>
      <c r="AL280" s="291"/>
      <c r="AM280" s="292"/>
      <c r="AN280" s="160"/>
    </row>
    <row r="281" spans="1:40" ht="19.5" thickBot="1" x14ac:dyDescent="0.3">
      <c r="A281" s="84">
        <f t="shared" si="152"/>
        <v>3</v>
      </c>
      <c r="B281" s="198">
        <v>276</v>
      </c>
      <c r="C281" s="51" t="s">
        <v>685</v>
      </c>
      <c r="D281" s="204" t="s">
        <v>1044</v>
      </c>
      <c r="E281" s="60" t="s">
        <v>686</v>
      </c>
      <c r="F281" s="17">
        <v>1</v>
      </c>
      <c r="G281" s="17"/>
      <c r="H281" s="89" t="s">
        <v>28</v>
      </c>
      <c r="I281" s="142">
        <v>21040</v>
      </c>
      <c r="J281" s="121">
        <f t="shared" si="153"/>
        <v>3997.6</v>
      </c>
      <c r="K281" s="130">
        <f t="shared" si="154"/>
        <v>25037.599999999999</v>
      </c>
      <c r="L281" s="121">
        <f t="shared" si="155"/>
        <v>21040</v>
      </c>
      <c r="M281" s="122">
        <f t="shared" si="156"/>
        <v>25037.599999999999</v>
      </c>
      <c r="N281" s="123">
        <v>22758.113250000002</v>
      </c>
      <c r="O281" s="121">
        <f t="shared" si="157"/>
        <v>4324.0415175000007</v>
      </c>
      <c r="P281" s="110">
        <f t="shared" si="158"/>
        <v>27082.154767500004</v>
      </c>
      <c r="Q281" s="121">
        <f t="shared" si="159"/>
        <v>22758.113250000002</v>
      </c>
      <c r="R281" s="124">
        <f t="shared" si="160"/>
        <v>27082.154767500004</v>
      </c>
      <c r="S281" s="125">
        <v>23144</v>
      </c>
      <c r="T281" s="121">
        <f t="shared" si="161"/>
        <v>4397.3599999999997</v>
      </c>
      <c r="U281" s="110">
        <f t="shared" si="162"/>
        <v>27541.360000000001</v>
      </c>
      <c r="V281" s="121">
        <f t="shared" si="163"/>
        <v>23144</v>
      </c>
      <c r="W281" s="122">
        <f t="shared" si="164"/>
        <v>27541.360000000001</v>
      </c>
      <c r="X281" s="108"/>
      <c r="Y281" s="121">
        <f t="shared" si="182"/>
        <v>0</v>
      </c>
      <c r="Z281" s="121">
        <f t="shared" si="183"/>
        <v>0</v>
      </c>
      <c r="AA281" s="121">
        <f t="shared" si="167"/>
        <v>0</v>
      </c>
      <c r="AB281" s="124">
        <f t="shared" si="184"/>
        <v>0</v>
      </c>
      <c r="AC281" s="126">
        <f t="shared" si="168"/>
        <v>22314</v>
      </c>
      <c r="AD281" s="101">
        <f t="shared" si="185"/>
        <v>16736</v>
      </c>
      <c r="AE281" s="127">
        <f t="shared" si="169"/>
        <v>914.55136078669318</v>
      </c>
      <c r="AF281" s="128">
        <f t="shared" si="186"/>
        <v>4.0985540951272437E-2</v>
      </c>
      <c r="AG281" s="129">
        <f t="shared" si="171"/>
        <v>22758</v>
      </c>
      <c r="AH281" s="101">
        <f t="shared" si="189"/>
        <v>21899</v>
      </c>
      <c r="AI281" s="130">
        <f t="shared" si="187"/>
        <v>914.55136078669318</v>
      </c>
      <c r="AJ281" s="159">
        <f t="shared" si="188"/>
        <v>4.0185928499283471E-2</v>
      </c>
      <c r="AK281" s="290" t="s">
        <v>1034</v>
      </c>
      <c r="AL281" s="291"/>
      <c r="AM281" s="292"/>
      <c r="AN281" s="160"/>
    </row>
    <row r="282" spans="1:40" ht="19.5" thickBot="1" x14ac:dyDescent="0.3">
      <c r="A282" s="84">
        <f t="shared" si="152"/>
        <v>3</v>
      </c>
      <c r="B282" s="198">
        <v>277</v>
      </c>
      <c r="C282" s="51" t="s">
        <v>687</v>
      </c>
      <c r="D282" s="204" t="s">
        <v>1044</v>
      </c>
      <c r="E282" s="60" t="s">
        <v>688</v>
      </c>
      <c r="F282" s="17">
        <v>1</v>
      </c>
      <c r="G282" s="17"/>
      <c r="H282" s="89" t="s">
        <v>28</v>
      </c>
      <c r="I282" s="142">
        <v>43132</v>
      </c>
      <c r="J282" s="121">
        <f t="shared" si="153"/>
        <v>8195.08</v>
      </c>
      <c r="K282" s="130">
        <f t="shared" si="154"/>
        <v>51327.08</v>
      </c>
      <c r="L282" s="121">
        <f t="shared" si="155"/>
        <v>43132</v>
      </c>
      <c r="M282" s="122">
        <f t="shared" si="156"/>
        <v>51327.08</v>
      </c>
      <c r="N282" s="123">
        <v>46343.677100000008</v>
      </c>
      <c r="O282" s="121">
        <f t="shared" si="157"/>
        <v>8805.2986490000021</v>
      </c>
      <c r="P282" s="110">
        <f t="shared" si="158"/>
        <v>55148.975749000012</v>
      </c>
      <c r="Q282" s="121">
        <f t="shared" si="159"/>
        <v>46343.677100000008</v>
      </c>
      <c r="R282" s="124">
        <f t="shared" si="160"/>
        <v>55148.975749000012</v>
      </c>
      <c r="S282" s="125">
        <v>45236</v>
      </c>
      <c r="T282" s="121">
        <f t="shared" si="161"/>
        <v>8594.84</v>
      </c>
      <c r="U282" s="110">
        <f t="shared" si="162"/>
        <v>53830.84</v>
      </c>
      <c r="V282" s="121">
        <f t="shared" si="163"/>
        <v>45236</v>
      </c>
      <c r="W282" s="122">
        <f t="shared" si="164"/>
        <v>53830.84</v>
      </c>
      <c r="X282" s="108"/>
      <c r="Y282" s="121">
        <f t="shared" si="182"/>
        <v>0</v>
      </c>
      <c r="Z282" s="121">
        <f t="shared" si="183"/>
        <v>0</v>
      </c>
      <c r="AA282" s="121">
        <f t="shared" si="167"/>
        <v>0</v>
      </c>
      <c r="AB282" s="124">
        <f t="shared" si="184"/>
        <v>0</v>
      </c>
      <c r="AC282" s="126">
        <f t="shared" si="168"/>
        <v>44904</v>
      </c>
      <c r="AD282" s="101">
        <f t="shared" si="185"/>
        <v>33678</v>
      </c>
      <c r="AE282" s="127">
        <f t="shared" si="169"/>
        <v>1332.0257902295073</v>
      </c>
      <c r="AF282" s="128">
        <f t="shared" si="186"/>
        <v>2.9663856009030539E-2</v>
      </c>
      <c r="AG282" s="129">
        <f t="shared" si="171"/>
        <v>45236</v>
      </c>
      <c r="AH282" s="101">
        <f t="shared" si="189"/>
        <v>44184</v>
      </c>
      <c r="AI282" s="130">
        <f t="shared" si="187"/>
        <v>1332.0257902295073</v>
      </c>
      <c r="AJ282" s="159">
        <f t="shared" si="188"/>
        <v>2.9446144447552995E-2</v>
      </c>
      <c r="AK282" s="290" t="s">
        <v>1034</v>
      </c>
      <c r="AL282" s="291"/>
      <c r="AM282" s="292"/>
      <c r="AN282" s="160"/>
    </row>
    <row r="283" spans="1:40" ht="30.75" thickBot="1" x14ac:dyDescent="0.3">
      <c r="A283" s="84">
        <f t="shared" si="152"/>
        <v>3</v>
      </c>
      <c r="B283" s="198">
        <v>278</v>
      </c>
      <c r="C283" s="51" t="s">
        <v>689</v>
      </c>
      <c r="D283" s="204" t="s">
        <v>1044</v>
      </c>
      <c r="E283" s="60" t="s">
        <v>690</v>
      </c>
      <c r="F283" s="17">
        <v>1</v>
      </c>
      <c r="G283" s="17"/>
      <c r="H283" s="89" t="s">
        <v>28</v>
      </c>
      <c r="I283" s="142">
        <v>19988</v>
      </c>
      <c r="J283" s="121">
        <f t="shared" si="153"/>
        <v>3797.7200000000003</v>
      </c>
      <c r="K283" s="130">
        <f t="shared" si="154"/>
        <v>23785.72</v>
      </c>
      <c r="L283" s="121">
        <f t="shared" si="155"/>
        <v>19988</v>
      </c>
      <c r="M283" s="122">
        <f t="shared" si="156"/>
        <v>23785.72</v>
      </c>
      <c r="N283" s="123">
        <v>22302.400000000001</v>
      </c>
      <c r="O283" s="121">
        <f t="shared" si="157"/>
        <v>4237.4560000000001</v>
      </c>
      <c r="P283" s="110">
        <f t="shared" si="158"/>
        <v>26539.856</v>
      </c>
      <c r="Q283" s="121">
        <f t="shared" si="159"/>
        <v>22302.400000000001</v>
      </c>
      <c r="R283" s="124">
        <f t="shared" si="160"/>
        <v>26539.856</v>
      </c>
      <c r="S283" s="125">
        <v>22092</v>
      </c>
      <c r="T283" s="121">
        <f t="shared" si="161"/>
        <v>4197.4800000000005</v>
      </c>
      <c r="U283" s="110">
        <f t="shared" si="162"/>
        <v>26289.48</v>
      </c>
      <c r="V283" s="121">
        <f t="shared" si="163"/>
        <v>22092</v>
      </c>
      <c r="W283" s="122">
        <f t="shared" si="164"/>
        <v>26289.48</v>
      </c>
      <c r="X283" s="108"/>
      <c r="Y283" s="121">
        <f t="shared" si="182"/>
        <v>0</v>
      </c>
      <c r="Z283" s="121">
        <f t="shared" si="183"/>
        <v>0</v>
      </c>
      <c r="AA283" s="121">
        <f t="shared" si="167"/>
        <v>0</v>
      </c>
      <c r="AB283" s="124">
        <f t="shared" si="184"/>
        <v>0</v>
      </c>
      <c r="AC283" s="126">
        <f t="shared" si="168"/>
        <v>21461</v>
      </c>
      <c r="AD283" s="101">
        <f t="shared" si="185"/>
        <v>16096</v>
      </c>
      <c r="AE283" s="127">
        <f t="shared" si="169"/>
        <v>1044.9631317260278</v>
      </c>
      <c r="AF283" s="128">
        <f t="shared" si="186"/>
        <v>4.8691260040353561E-2</v>
      </c>
      <c r="AG283" s="129">
        <f t="shared" si="171"/>
        <v>22092</v>
      </c>
      <c r="AH283" s="101">
        <f t="shared" si="189"/>
        <v>21040</v>
      </c>
      <c r="AI283" s="130">
        <f t="shared" si="187"/>
        <v>1044.9631317260278</v>
      </c>
      <c r="AJ283" s="159">
        <f t="shared" si="188"/>
        <v>4.730052198651221E-2</v>
      </c>
      <c r="AK283" s="290" t="s">
        <v>1034</v>
      </c>
      <c r="AL283" s="291"/>
      <c r="AM283" s="292"/>
      <c r="AN283" s="160"/>
    </row>
    <row r="284" spans="1:40" ht="30.75" thickBot="1" x14ac:dyDescent="0.3">
      <c r="A284" s="84">
        <f t="shared" si="152"/>
        <v>3</v>
      </c>
      <c r="B284" s="198">
        <v>279</v>
      </c>
      <c r="C284" s="51" t="s">
        <v>691</v>
      </c>
      <c r="D284" s="204" t="s">
        <v>1044</v>
      </c>
      <c r="E284" s="60" t="s">
        <v>692</v>
      </c>
      <c r="F284" s="17">
        <v>1</v>
      </c>
      <c r="G284" s="17"/>
      <c r="H284" s="89" t="s">
        <v>28</v>
      </c>
      <c r="I284" s="142">
        <v>33664</v>
      </c>
      <c r="J284" s="121">
        <f t="shared" si="153"/>
        <v>6396.16</v>
      </c>
      <c r="K284" s="130">
        <f t="shared" si="154"/>
        <v>40060.160000000003</v>
      </c>
      <c r="L284" s="121">
        <f t="shared" si="155"/>
        <v>33664</v>
      </c>
      <c r="M284" s="122">
        <f t="shared" si="156"/>
        <v>40060.160000000003</v>
      </c>
      <c r="N284" s="123">
        <v>36820</v>
      </c>
      <c r="O284" s="121">
        <f t="shared" si="157"/>
        <v>6995.8</v>
      </c>
      <c r="P284" s="110">
        <f t="shared" si="158"/>
        <v>43815.8</v>
      </c>
      <c r="Q284" s="121">
        <f t="shared" si="159"/>
        <v>36820</v>
      </c>
      <c r="R284" s="124">
        <f t="shared" si="160"/>
        <v>43815.8</v>
      </c>
      <c r="S284" s="125">
        <v>36820</v>
      </c>
      <c r="T284" s="121">
        <f t="shared" si="161"/>
        <v>6995.8</v>
      </c>
      <c r="U284" s="110">
        <f t="shared" si="162"/>
        <v>43815.8</v>
      </c>
      <c r="V284" s="121">
        <f t="shared" si="163"/>
        <v>36820</v>
      </c>
      <c r="W284" s="122">
        <f t="shared" si="164"/>
        <v>43815.8</v>
      </c>
      <c r="X284" s="108"/>
      <c r="Y284" s="121">
        <f t="shared" si="182"/>
        <v>0</v>
      </c>
      <c r="Z284" s="121">
        <f t="shared" si="183"/>
        <v>0</v>
      </c>
      <c r="AA284" s="121">
        <f t="shared" si="167"/>
        <v>0</v>
      </c>
      <c r="AB284" s="124">
        <f t="shared" si="184"/>
        <v>0</v>
      </c>
      <c r="AC284" s="126">
        <f t="shared" si="168"/>
        <v>35768</v>
      </c>
      <c r="AD284" s="101">
        <f t="shared" si="185"/>
        <v>26826</v>
      </c>
      <c r="AE284" s="127">
        <f t="shared" si="169"/>
        <v>1487.752667616496</v>
      </c>
      <c r="AF284" s="128">
        <f t="shared" si="186"/>
        <v>4.1594516540385144E-2</v>
      </c>
      <c r="AG284" s="129">
        <f t="shared" si="171"/>
        <v>36820</v>
      </c>
      <c r="AH284" s="101">
        <f t="shared" si="189"/>
        <v>35242</v>
      </c>
      <c r="AI284" s="130">
        <f t="shared" si="187"/>
        <v>1487.752667616496</v>
      </c>
      <c r="AJ284" s="159">
        <f t="shared" si="188"/>
        <v>4.0406101782088429E-2</v>
      </c>
      <c r="AK284" s="290" t="s">
        <v>1034</v>
      </c>
      <c r="AL284" s="291"/>
      <c r="AM284" s="292"/>
      <c r="AN284" s="160"/>
    </row>
    <row r="285" spans="1:40" ht="75.75" thickBot="1" x14ac:dyDescent="0.3">
      <c r="A285" s="84">
        <f t="shared" si="152"/>
        <v>3</v>
      </c>
      <c r="B285" s="198">
        <v>280</v>
      </c>
      <c r="C285" s="51" t="s">
        <v>693</v>
      </c>
      <c r="D285" s="204" t="s">
        <v>1044</v>
      </c>
      <c r="E285" s="60" t="s">
        <v>694</v>
      </c>
      <c r="F285" s="17">
        <v>1</v>
      </c>
      <c r="G285" s="17"/>
      <c r="H285" s="89" t="s">
        <v>28</v>
      </c>
      <c r="I285" s="142">
        <v>14728</v>
      </c>
      <c r="J285" s="121">
        <f t="shared" si="153"/>
        <v>2798.32</v>
      </c>
      <c r="K285" s="130">
        <f t="shared" si="154"/>
        <v>17526.32</v>
      </c>
      <c r="L285" s="121">
        <f t="shared" si="155"/>
        <v>14728</v>
      </c>
      <c r="M285" s="122">
        <f t="shared" si="156"/>
        <v>17526.32</v>
      </c>
      <c r="N285" s="123">
        <v>14517.6</v>
      </c>
      <c r="O285" s="121">
        <f t="shared" si="157"/>
        <v>2758.3440000000001</v>
      </c>
      <c r="P285" s="110">
        <f t="shared" si="158"/>
        <v>17275.944</v>
      </c>
      <c r="Q285" s="121">
        <f t="shared" si="159"/>
        <v>14517.6</v>
      </c>
      <c r="R285" s="124">
        <f t="shared" si="160"/>
        <v>17275.944</v>
      </c>
      <c r="S285" s="125">
        <v>17884</v>
      </c>
      <c r="T285" s="121">
        <f t="shared" si="161"/>
        <v>3397.96</v>
      </c>
      <c r="U285" s="110">
        <f t="shared" si="162"/>
        <v>21281.96</v>
      </c>
      <c r="V285" s="121">
        <f t="shared" si="163"/>
        <v>17884</v>
      </c>
      <c r="W285" s="122">
        <f t="shared" si="164"/>
        <v>21281.96</v>
      </c>
      <c r="X285" s="108"/>
      <c r="Y285" s="121">
        <f t="shared" si="182"/>
        <v>0</v>
      </c>
      <c r="Z285" s="121">
        <f t="shared" si="183"/>
        <v>0</v>
      </c>
      <c r="AA285" s="121">
        <f t="shared" si="167"/>
        <v>0</v>
      </c>
      <c r="AB285" s="124">
        <f t="shared" si="184"/>
        <v>0</v>
      </c>
      <c r="AC285" s="126">
        <f t="shared" si="168"/>
        <v>15710</v>
      </c>
      <c r="AD285" s="101">
        <f t="shared" si="185"/>
        <v>11782</v>
      </c>
      <c r="AE285" s="127">
        <f t="shared" si="169"/>
        <v>1539.7421544603571</v>
      </c>
      <c r="AF285" s="128">
        <f t="shared" si="186"/>
        <v>9.8010321735223241E-2</v>
      </c>
      <c r="AG285" s="129">
        <f t="shared" si="171"/>
        <v>14728</v>
      </c>
      <c r="AH285" s="101">
        <f t="shared" si="189"/>
        <v>14623</v>
      </c>
      <c r="AI285" s="130">
        <f t="shared" si="187"/>
        <v>1539.7421544603571</v>
      </c>
      <c r="AJ285" s="159">
        <f t="shared" si="188"/>
        <v>0.10454523047666738</v>
      </c>
      <c r="AK285" s="290" t="s">
        <v>1034</v>
      </c>
      <c r="AL285" s="291"/>
      <c r="AM285" s="292"/>
      <c r="AN285" s="160"/>
    </row>
    <row r="286" spans="1:40" ht="30.75" thickBot="1" x14ac:dyDescent="0.3">
      <c r="A286" s="84">
        <f t="shared" si="152"/>
        <v>3</v>
      </c>
      <c r="B286" s="198">
        <v>281</v>
      </c>
      <c r="C286" s="51" t="s">
        <v>695</v>
      </c>
      <c r="D286" s="204" t="s">
        <v>1044</v>
      </c>
      <c r="E286" s="60" t="s">
        <v>696</v>
      </c>
      <c r="F286" s="17">
        <v>1</v>
      </c>
      <c r="G286" s="17"/>
      <c r="H286" s="89" t="s">
        <v>28</v>
      </c>
      <c r="I286" s="142">
        <v>4208</v>
      </c>
      <c r="J286" s="121">
        <f t="shared" si="153"/>
        <v>799.52</v>
      </c>
      <c r="K286" s="130">
        <f t="shared" si="154"/>
        <v>5007.5200000000004</v>
      </c>
      <c r="L286" s="121">
        <f t="shared" si="155"/>
        <v>4208</v>
      </c>
      <c r="M286" s="122">
        <f t="shared" si="156"/>
        <v>5007.5200000000004</v>
      </c>
      <c r="N286" s="123">
        <v>4755.04</v>
      </c>
      <c r="O286" s="121">
        <f t="shared" si="157"/>
        <v>903.45759999999996</v>
      </c>
      <c r="P286" s="110">
        <f t="shared" si="158"/>
        <v>5658.4975999999997</v>
      </c>
      <c r="Q286" s="121">
        <f t="shared" si="159"/>
        <v>4755.04</v>
      </c>
      <c r="R286" s="124">
        <f t="shared" si="160"/>
        <v>5658.4975999999997</v>
      </c>
      <c r="S286" s="125">
        <v>3366.4</v>
      </c>
      <c r="T286" s="121">
        <f t="shared" si="161"/>
        <v>639.61599999999999</v>
      </c>
      <c r="U286" s="110">
        <f t="shared" si="162"/>
        <v>4006.0160000000001</v>
      </c>
      <c r="V286" s="121">
        <f t="shared" si="163"/>
        <v>3366.4</v>
      </c>
      <c r="W286" s="122">
        <f t="shared" si="164"/>
        <v>4006.0160000000001</v>
      </c>
      <c r="X286" s="108"/>
      <c r="Y286" s="121">
        <f t="shared" si="182"/>
        <v>0</v>
      </c>
      <c r="Z286" s="121">
        <f t="shared" si="183"/>
        <v>0</v>
      </c>
      <c r="AA286" s="121">
        <f t="shared" si="167"/>
        <v>0</v>
      </c>
      <c r="AB286" s="124">
        <f t="shared" si="184"/>
        <v>0</v>
      </c>
      <c r="AC286" s="126">
        <f t="shared" si="168"/>
        <v>4110</v>
      </c>
      <c r="AD286" s="101">
        <f t="shared" si="185"/>
        <v>3082</v>
      </c>
      <c r="AE286" s="127">
        <f t="shared" si="169"/>
        <v>571.14547389921165</v>
      </c>
      <c r="AF286" s="128">
        <f t="shared" si="186"/>
        <v>0.13896483549859165</v>
      </c>
      <c r="AG286" s="129">
        <f t="shared" si="171"/>
        <v>4208</v>
      </c>
      <c r="AH286" s="101">
        <f t="shared" si="189"/>
        <v>3787</v>
      </c>
      <c r="AI286" s="130">
        <f t="shared" si="187"/>
        <v>571.14547389921165</v>
      </c>
      <c r="AJ286" s="159">
        <f t="shared" si="188"/>
        <v>0.13572848714334879</v>
      </c>
      <c r="AK286" s="290" t="s">
        <v>1034</v>
      </c>
      <c r="AL286" s="291"/>
      <c r="AM286" s="292"/>
      <c r="AN286" s="160"/>
    </row>
    <row r="287" spans="1:40" ht="30.75" thickBot="1" x14ac:dyDescent="0.3">
      <c r="A287" s="84">
        <f t="shared" si="152"/>
        <v>3</v>
      </c>
      <c r="B287" s="198">
        <v>282</v>
      </c>
      <c r="C287" s="51" t="s">
        <v>697</v>
      </c>
      <c r="D287" s="204" t="s">
        <v>1044</v>
      </c>
      <c r="E287" s="60" t="s">
        <v>698</v>
      </c>
      <c r="F287" s="17">
        <v>1</v>
      </c>
      <c r="G287" s="17"/>
      <c r="H287" s="89" t="s">
        <v>28</v>
      </c>
      <c r="I287" s="142">
        <v>12624</v>
      </c>
      <c r="J287" s="121">
        <f t="shared" si="153"/>
        <v>2398.56</v>
      </c>
      <c r="K287" s="130">
        <f t="shared" si="154"/>
        <v>15022.56</v>
      </c>
      <c r="L287" s="121">
        <f t="shared" si="155"/>
        <v>12624</v>
      </c>
      <c r="M287" s="122">
        <f t="shared" si="156"/>
        <v>15022.56</v>
      </c>
      <c r="N287" s="123">
        <v>10888.2</v>
      </c>
      <c r="O287" s="121">
        <f t="shared" si="157"/>
        <v>2068.7580000000003</v>
      </c>
      <c r="P287" s="110">
        <f t="shared" si="158"/>
        <v>12956.958000000001</v>
      </c>
      <c r="Q287" s="121">
        <f t="shared" si="159"/>
        <v>10888.2</v>
      </c>
      <c r="R287" s="124">
        <f t="shared" si="160"/>
        <v>12956.958000000001</v>
      </c>
      <c r="S287" s="125">
        <v>16832</v>
      </c>
      <c r="T287" s="121">
        <f t="shared" si="161"/>
        <v>3198.08</v>
      </c>
      <c r="U287" s="110">
        <f t="shared" si="162"/>
        <v>20030.080000000002</v>
      </c>
      <c r="V287" s="121">
        <f t="shared" si="163"/>
        <v>16832</v>
      </c>
      <c r="W287" s="122">
        <f t="shared" si="164"/>
        <v>20030.080000000002</v>
      </c>
      <c r="X287" s="108"/>
      <c r="Y287" s="121">
        <f t="shared" si="182"/>
        <v>0</v>
      </c>
      <c r="Z287" s="121">
        <f t="shared" si="183"/>
        <v>0</v>
      </c>
      <c r="AA287" s="121">
        <f t="shared" si="167"/>
        <v>0</v>
      </c>
      <c r="AB287" s="124">
        <f t="shared" si="184"/>
        <v>0</v>
      </c>
      <c r="AC287" s="126">
        <f t="shared" si="168"/>
        <v>13448</v>
      </c>
      <c r="AD287" s="101">
        <f t="shared" si="185"/>
        <v>10086</v>
      </c>
      <c r="AE287" s="127">
        <f t="shared" si="169"/>
        <v>2495.5298720356445</v>
      </c>
      <c r="AF287" s="128">
        <f t="shared" si="186"/>
        <v>0.18556884830723117</v>
      </c>
      <c r="AG287" s="129">
        <f t="shared" si="171"/>
        <v>12624</v>
      </c>
      <c r="AH287" s="101">
        <f t="shared" si="189"/>
        <v>11756</v>
      </c>
      <c r="AI287" s="130">
        <f t="shared" si="187"/>
        <v>2495.5298720356445</v>
      </c>
      <c r="AJ287" s="159">
        <f t="shared" si="188"/>
        <v>0.19768139037037741</v>
      </c>
      <c r="AK287" s="290" t="s">
        <v>1034</v>
      </c>
      <c r="AL287" s="291"/>
      <c r="AM287" s="292"/>
      <c r="AN287" s="160"/>
    </row>
    <row r="288" spans="1:40" ht="30.75" thickBot="1" x14ac:dyDescent="0.3">
      <c r="A288" s="84">
        <f t="shared" si="152"/>
        <v>3</v>
      </c>
      <c r="B288" s="198">
        <v>283</v>
      </c>
      <c r="C288" s="51" t="s">
        <v>699</v>
      </c>
      <c r="D288" s="204" t="s">
        <v>1044</v>
      </c>
      <c r="E288" s="60" t="s">
        <v>700</v>
      </c>
      <c r="F288" s="17">
        <v>1</v>
      </c>
      <c r="G288" s="17"/>
      <c r="H288" s="89" t="s">
        <v>28</v>
      </c>
      <c r="I288" s="142">
        <v>946.80000000000007</v>
      </c>
      <c r="J288" s="121">
        <f t="shared" si="153"/>
        <v>179.89200000000002</v>
      </c>
      <c r="K288" s="130">
        <f t="shared" si="154"/>
        <v>1126.692</v>
      </c>
      <c r="L288" s="121">
        <f t="shared" si="155"/>
        <v>946.80000000000007</v>
      </c>
      <c r="M288" s="122">
        <f t="shared" si="156"/>
        <v>1126.692</v>
      </c>
      <c r="N288" s="123">
        <v>841.6</v>
      </c>
      <c r="O288" s="121">
        <f t="shared" si="157"/>
        <v>159.904</v>
      </c>
      <c r="P288" s="110">
        <f t="shared" si="158"/>
        <v>1001.504</v>
      </c>
      <c r="Q288" s="121">
        <f t="shared" si="159"/>
        <v>841.6</v>
      </c>
      <c r="R288" s="124">
        <f t="shared" si="160"/>
        <v>1001.504</v>
      </c>
      <c r="S288" s="125">
        <v>1157.2</v>
      </c>
      <c r="T288" s="121">
        <f t="shared" si="161"/>
        <v>219.86800000000002</v>
      </c>
      <c r="U288" s="110">
        <f t="shared" si="162"/>
        <v>1377.068</v>
      </c>
      <c r="V288" s="121">
        <f t="shared" si="163"/>
        <v>1157.2</v>
      </c>
      <c r="W288" s="122">
        <f t="shared" si="164"/>
        <v>1377.068</v>
      </c>
      <c r="X288" s="108"/>
      <c r="Y288" s="121">
        <f t="shared" si="182"/>
        <v>0</v>
      </c>
      <c r="Z288" s="121">
        <f t="shared" si="183"/>
        <v>0</v>
      </c>
      <c r="AA288" s="121">
        <f t="shared" si="167"/>
        <v>0</v>
      </c>
      <c r="AB288" s="124">
        <f t="shared" si="184"/>
        <v>0</v>
      </c>
      <c r="AC288" s="126">
        <f t="shared" si="168"/>
        <v>982</v>
      </c>
      <c r="AD288" s="101">
        <f t="shared" si="185"/>
        <v>736</v>
      </c>
      <c r="AE288" s="127">
        <f t="shared" si="169"/>
        <v>131.20745236287308</v>
      </c>
      <c r="AF288" s="128">
        <f t="shared" si="186"/>
        <v>0.13361247694793593</v>
      </c>
      <c r="AG288" s="129">
        <f t="shared" si="171"/>
        <v>947</v>
      </c>
      <c r="AH288" s="101">
        <f t="shared" si="189"/>
        <v>894</v>
      </c>
      <c r="AI288" s="130">
        <f t="shared" si="187"/>
        <v>131.20745236287308</v>
      </c>
      <c r="AJ288" s="159">
        <f t="shared" si="188"/>
        <v>0.13855063607483958</v>
      </c>
      <c r="AK288" s="290" t="s">
        <v>1034</v>
      </c>
      <c r="AL288" s="291"/>
      <c r="AM288" s="292"/>
      <c r="AN288" s="160"/>
    </row>
    <row r="289" spans="1:40" ht="45.75" thickBot="1" x14ac:dyDescent="0.3">
      <c r="A289" s="84">
        <f t="shared" si="152"/>
        <v>3</v>
      </c>
      <c r="B289" s="198">
        <v>284</v>
      </c>
      <c r="C289" s="51" t="s">
        <v>701</v>
      </c>
      <c r="D289" s="204" t="s">
        <v>1044</v>
      </c>
      <c r="E289" s="60" t="s">
        <v>702</v>
      </c>
      <c r="F289" s="17">
        <v>1</v>
      </c>
      <c r="G289" s="17"/>
      <c r="H289" s="89" t="s">
        <v>28</v>
      </c>
      <c r="I289" s="142">
        <v>3787.2000000000003</v>
      </c>
      <c r="J289" s="121">
        <f t="shared" si="153"/>
        <v>719.5680000000001</v>
      </c>
      <c r="K289" s="130">
        <f t="shared" si="154"/>
        <v>4506.768</v>
      </c>
      <c r="L289" s="121">
        <f t="shared" si="155"/>
        <v>3787.2000000000003</v>
      </c>
      <c r="M289" s="122">
        <f t="shared" si="156"/>
        <v>4506.768</v>
      </c>
      <c r="N289" s="123">
        <v>4030.212</v>
      </c>
      <c r="O289" s="121">
        <f t="shared" si="157"/>
        <v>765.74027999999998</v>
      </c>
      <c r="P289" s="110">
        <f t="shared" si="158"/>
        <v>4795.9522799999995</v>
      </c>
      <c r="Q289" s="121">
        <f t="shared" si="159"/>
        <v>4030.212</v>
      </c>
      <c r="R289" s="124">
        <f t="shared" si="160"/>
        <v>4795.9522799999995</v>
      </c>
      <c r="S289" s="125">
        <v>3576.8</v>
      </c>
      <c r="T289" s="121">
        <f t="shared" si="161"/>
        <v>679.5920000000001</v>
      </c>
      <c r="U289" s="110">
        <f t="shared" si="162"/>
        <v>4256.3919999999998</v>
      </c>
      <c r="V289" s="121">
        <f t="shared" si="163"/>
        <v>3576.8</v>
      </c>
      <c r="W289" s="122">
        <f t="shared" si="164"/>
        <v>4256.3919999999998</v>
      </c>
      <c r="X289" s="108"/>
      <c r="Y289" s="121">
        <f t="shared" si="182"/>
        <v>0</v>
      </c>
      <c r="Z289" s="121">
        <f t="shared" si="183"/>
        <v>0</v>
      </c>
      <c r="AA289" s="121">
        <f t="shared" si="167"/>
        <v>0</v>
      </c>
      <c r="AB289" s="124">
        <f t="shared" si="184"/>
        <v>0</v>
      </c>
      <c r="AC289" s="126">
        <f t="shared" si="168"/>
        <v>3798</v>
      </c>
      <c r="AD289" s="101">
        <f t="shared" si="185"/>
        <v>2849</v>
      </c>
      <c r="AE289" s="127">
        <f t="shared" si="169"/>
        <v>185.26420589945465</v>
      </c>
      <c r="AF289" s="128">
        <f t="shared" si="186"/>
        <v>4.8779411769208705E-2</v>
      </c>
      <c r="AG289" s="129">
        <f t="shared" si="171"/>
        <v>3787</v>
      </c>
      <c r="AH289" s="101">
        <f t="shared" si="189"/>
        <v>3682</v>
      </c>
      <c r="AI289" s="130">
        <f t="shared" si="187"/>
        <v>185.26420589945465</v>
      </c>
      <c r="AJ289" s="159">
        <f t="shared" si="188"/>
        <v>4.8921100052668247E-2</v>
      </c>
      <c r="AK289" s="290" t="s">
        <v>1034</v>
      </c>
      <c r="AL289" s="291"/>
      <c r="AM289" s="292"/>
      <c r="AN289" s="160"/>
    </row>
    <row r="290" spans="1:40" ht="30.75" thickBot="1" x14ac:dyDescent="0.3">
      <c r="A290" s="84">
        <f t="shared" si="152"/>
        <v>3</v>
      </c>
      <c r="B290" s="198">
        <v>285</v>
      </c>
      <c r="C290" s="51" t="s">
        <v>703</v>
      </c>
      <c r="D290" s="204" t="s">
        <v>1044</v>
      </c>
      <c r="E290" s="60" t="s">
        <v>704</v>
      </c>
      <c r="F290" s="17">
        <v>1</v>
      </c>
      <c r="G290" s="17"/>
      <c r="H290" s="89" t="s">
        <v>28</v>
      </c>
      <c r="I290" s="143">
        <v>2524.8000000000002</v>
      </c>
      <c r="J290" s="121">
        <f t="shared" si="153"/>
        <v>479.71200000000005</v>
      </c>
      <c r="K290" s="130">
        <f t="shared" si="154"/>
        <v>3004.5120000000002</v>
      </c>
      <c r="L290" s="121">
        <f t="shared" si="155"/>
        <v>2524.8000000000002</v>
      </c>
      <c r="M290" s="122">
        <f t="shared" si="156"/>
        <v>3004.5120000000002</v>
      </c>
      <c r="N290" s="123">
        <v>2471.5293500000002</v>
      </c>
      <c r="O290" s="121">
        <f t="shared" si="157"/>
        <v>469.59057650000005</v>
      </c>
      <c r="P290" s="110">
        <f t="shared" si="158"/>
        <v>2941.1199265000005</v>
      </c>
      <c r="Q290" s="121">
        <f t="shared" si="159"/>
        <v>2471.5293500000002</v>
      </c>
      <c r="R290" s="124">
        <f t="shared" si="160"/>
        <v>2941.1199265000005</v>
      </c>
      <c r="S290" s="125">
        <v>2735.2000000000003</v>
      </c>
      <c r="T290" s="121">
        <f t="shared" si="161"/>
        <v>519.6880000000001</v>
      </c>
      <c r="U290" s="110">
        <f t="shared" si="162"/>
        <v>3254.8880000000004</v>
      </c>
      <c r="V290" s="121">
        <f t="shared" si="163"/>
        <v>2735.2000000000003</v>
      </c>
      <c r="W290" s="122">
        <f t="shared" si="164"/>
        <v>3254.8880000000004</v>
      </c>
      <c r="X290" s="108"/>
      <c r="Y290" s="121">
        <f t="shared" si="182"/>
        <v>0</v>
      </c>
      <c r="Z290" s="121">
        <f t="shared" si="183"/>
        <v>0</v>
      </c>
      <c r="AA290" s="121">
        <f t="shared" si="167"/>
        <v>0</v>
      </c>
      <c r="AB290" s="124">
        <f t="shared" si="184"/>
        <v>0</v>
      </c>
      <c r="AC290" s="126">
        <f t="shared" si="168"/>
        <v>2577</v>
      </c>
      <c r="AD290" s="101">
        <f t="shared" si="185"/>
        <v>1933</v>
      </c>
      <c r="AE290" s="127">
        <f t="shared" si="169"/>
        <v>113.8362048553608</v>
      </c>
      <c r="AF290" s="128">
        <f t="shared" si="186"/>
        <v>4.4173925050586267E-2</v>
      </c>
      <c r="AG290" s="129">
        <f t="shared" si="171"/>
        <v>2525</v>
      </c>
      <c r="AH290" s="101">
        <f t="shared" si="189"/>
        <v>2498</v>
      </c>
      <c r="AI290" s="130">
        <f t="shared" si="187"/>
        <v>113.8362048553608</v>
      </c>
      <c r="AJ290" s="159">
        <f t="shared" si="188"/>
        <v>4.5083645487271604E-2</v>
      </c>
      <c r="AK290" s="290" t="s">
        <v>1034</v>
      </c>
      <c r="AL290" s="291"/>
      <c r="AM290" s="292"/>
      <c r="AN290" s="160"/>
    </row>
    <row r="291" spans="1:40" ht="102.75" thickBot="1" x14ac:dyDescent="0.3">
      <c r="A291" s="84">
        <f t="shared" si="152"/>
        <v>3</v>
      </c>
      <c r="B291" s="198">
        <v>286</v>
      </c>
      <c r="C291" s="51" t="s">
        <v>705</v>
      </c>
      <c r="D291" s="204" t="s">
        <v>1048</v>
      </c>
      <c r="E291" s="63" t="s">
        <v>706</v>
      </c>
      <c r="F291" s="17">
        <v>1</v>
      </c>
      <c r="G291" s="17"/>
      <c r="H291" s="89" t="s">
        <v>376</v>
      </c>
      <c r="I291" s="126">
        <v>10099200</v>
      </c>
      <c r="J291" s="121">
        <f t="shared" si="153"/>
        <v>1918848</v>
      </c>
      <c r="K291" s="130">
        <f t="shared" si="154"/>
        <v>12018048</v>
      </c>
      <c r="L291" s="121">
        <f t="shared" si="155"/>
        <v>10099200</v>
      </c>
      <c r="M291" s="122">
        <f t="shared" si="156"/>
        <v>12018048</v>
      </c>
      <c r="N291" s="123">
        <v>10162740.800000001</v>
      </c>
      <c r="O291" s="121">
        <f t="shared" si="157"/>
        <v>1930920.7520000001</v>
      </c>
      <c r="P291" s="110">
        <f t="shared" si="158"/>
        <v>12093661.552000001</v>
      </c>
      <c r="Q291" s="121">
        <f t="shared" si="159"/>
        <v>10162740.800000001</v>
      </c>
      <c r="R291" s="124">
        <f t="shared" si="160"/>
        <v>12093661.552000001</v>
      </c>
      <c r="S291" s="125">
        <v>10520000</v>
      </c>
      <c r="T291" s="121">
        <f t="shared" si="161"/>
        <v>1998800</v>
      </c>
      <c r="U291" s="110">
        <f t="shared" si="162"/>
        <v>12518800</v>
      </c>
      <c r="V291" s="121">
        <f t="shared" si="163"/>
        <v>10520000</v>
      </c>
      <c r="W291" s="122">
        <f t="shared" si="164"/>
        <v>12518800</v>
      </c>
      <c r="X291" s="108"/>
      <c r="Y291" s="121">
        <f t="shared" si="182"/>
        <v>0</v>
      </c>
      <c r="Z291" s="121">
        <f t="shared" si="183"/>
        <v>0</v>
      </c>
      <c r="AA291" s="121">
        <f t="shared" si="167"/>
        <v>0</v>
      </c>
      <c r="AB291" s="124">
        <f t="shared" si="184"/>
        <v>0</v>
      </c>
      <c r="AC291" s="126">
        <f t="shared" si="168"/>
        <v>10260647</v>
      </c>
      <c r="AD291" s="101">
        <f t="shared" si="185"/>
        <v>7695485</v>
      </c>
      <c r="AE291" s="127">
        <f t="shared" si="169"/>
        <v>185215.85282801479</v>
      </c>
      <c r="AF291" s="128">
        <f t="shared" si="186"/>
        <v>1.8051089061734096E-2</v>
      </c>
      <c r="AG291" s="129">
        <f t="shared" si="171"/>
        <v>10162741</v>
      </c>
      <c r="AH291" s="101">
        <f t="shared" si="189"/>
        <v>10130970</v>
      </c>
      <c r="AI291" s="130">
        <f t="shared" si="187"/>
        <v>185215.85282801479</v>
      </c>
      <c r="AJ291" s="159">
        <f t="shared" si="188"/>
        <v>1.8224989973474163E-2</v>
      </c>
      <c r="AK291" s="290" t="s">
        <v>1034</v>
      </c>
      <c r="AL291" s="291"/>
      <c r="AM291" s="292"/>
      <c r="AN291" s="160"/>
    </row>
    <row r="292" spans="1:40" ht="39" thickBot="1" x14ac:dyDescent="0.3">
      <c r="A292" s="84">
        <f t="shared" si="152"/>
        <v>3</v>
      </c>
      <c r="B292" s="198">
        <v>287</v>
      </c>
      <c r="C292" s="51" t="s">
        <v>705</v>
      </c>
      <c r="D292" s="204" t="s">
        <v>1048</v>
      </c>
      <c r="E292" s="63" t="s">
        <v>707</v>
      </c>
      <c r="F292" s="17">
        <v>1</v>
      </c>
      <c r="G292" s="17"/>
      <c r="H292" s="89" t="s">
        <v>376</v>
      </c>
      <c r="I292" s="126">
        <v>315600</v>
      </c>
      <c r="J292" s="121">
        <f t="shared" si="153"/>
        <v>59964</v>
      </c>
      <c r="K292" s="130">
        <f t="shared" si="154"/>
        <v>375564</v>
      </c>
      <c r="L292" s="121">
        <f t="shared" si="155"/>
        <v>315600</v>
      </c>
      <c r="M292" s="122">
        <f t="shared" si="156"/>
        <v>375564</v>
      </c>
      <c r="N292" s="123">
        <v>399760</v>
      </c>
      <c r="O292" s="121">
        <f t="shared" si="157"/>
        <v>75954.399999999994</v>
      </c>
      <c r="P292" s="110">
        <f t="shared" si="158"/>
        <v>475714.4</v>
      </c>
      <c r="Q292" s="121">
        <f t="shared" si="159"/>
        <v>399760</v>
      </c>
      <c r="R292" s="124">
        <f t="shared" si="160"/>
        <v>475714.4</v>
      </c>
      <c r="S292" s="125">
        <v>378720</v>
      </c>
      <c r="T292" s="121">
        <f t="shared" si="161"/>
        <v>71956.800000000003</v>
      </c>
      <c r="U292" s="110">
        <f t="shared" si="162"/>
        <v>450676.8</v>
      </c>
      <c r="V292" s="121">
        <f t="shared" si="163"/>
        <v>378720</v>
      </c>
      <c r="W292" s="122">
        <f t="shared" si="164"/>
        <v>450676.8</v>
      </c>
      <c r="X292" s="108"/>
      <c r="Y292" s="121">
        <f t="shared" si="182"/>
        <v>0</v>
      </c>
      <c r="Z292" s="121">
        <f t="shared" si="183"/>
        <v>0</v>
      </c>
      <c r="AA292" s="121">
        <f t="shared" si="167"/>
        <v>0</v>
      </c>
      <c r="AB292" s="124">
        <f t="shared" si="184"/>
        <v>0</v>
      </c>
      <c r="AC292" s="126">
        <f t="shared" si="168"/>
        <v>364693</v>
      </c>
      <c r="AD292" s="101">
        <f t="shared" si="185"/>
        <v>273520</v>
      </c>
      <c r="AE292" s="127">
        <f t="shared" si="169"/>
        <v>35761.123521997397</v>
      </c>
      <c r="AF292" s="128">
        <f t="shared" si="186"/>
        <v>9.8058157195222817E-2</v>
      </c>
      <c r="AG292" s="129">
        <f t="shared" si="171"/>
        <v>378720</v>
      </c>
      <c r="AH292" s="101">
        <f t="shared" si="189"/>
        <v>347160</v>
      </c>
      <c r="AI292" s="130">
        <f t="shared" si="187"/>
        <v>35761.123521997397</v>
      </c>
      <c r="AJ292" s="159">
        <f t="shared" si="188"/>
        <v>9.4426287288755267E-2</v>
      </c>
      <c r="AK292" s="290" t="s">
        <v>1034</v>
      </c>
      <c r="AL292" s="291"/>
      <c r="AM292" s="292"/>
      <c r="AN292" s="160"/>
    </row>
    <row r="293" spans="1:40" ht="64.5" thickBot="1" x14ac:dyDescent="0.3">
      <c r="A293" s="84">
        <f t="shared" ref="A293:A356" si="190">COUNT(I293,N293,S293)</f>
        <v>3</v>
      </c>
      <c r="B293" s="198">
        <v>288</v>
      </c>
      <c r="C293" s="51" t="s">
        <v>705</v>
      </c>
      <c r="D293" s="204" t="s">
        <v>1048</v>
      </c>
      <c r="E293" s="63" t="s">
        <v>708</v>
      </c>
      <c r="F293" s="17">
        <v>1</v>
      </c>
      <c r="G293" s="17"/>
      <c r="H293" s="89" t="s">
        <v>376</v>
      </c>
      <c r="I293" s="126">
        <v>462880</v>
      </c>
      <c r="J293" s="121">
        <f t="shared" ref="J293:J356" si="191">I293*19%</f>
        <v>87947.199999999997</v>
      </c>
      <c r="K293" s="130">
        <f t="shared" ref="K293:K356" si="192">I293+J293</f>
        <v>550827.19999999995</v>
      </c>
      <c r="L293" s="121">
        <f t="shared" ref="L293:L356" si="193">I293*F293</f>
        <v>462880</v>
      </c>
      <c r="M293" s="122">
        <f t="shared" ref="M293:M356" si="194">K293*F293</f>
        <v>550827.19999999995</v>
      </c>
      <c r="N293" s="123">
        <v>504960</v>
      </c>
      <c r="O293" s="121">
        <f t="shared" ref="O293:O356" si="195">N293*0.19</f>
        <v>95942.399999999994</v>
      </c>
      <c r="P293" s="110">
        <f t="shared" ref="P293:P356" si="196">N293+O293</f>
        <v>600902.40000000002</v>
      </c>
      <c r="Q293" s="121">
        <f t="shared" ref="Q293:Q356" si="197">N293*F293</f>
        <v>504960</v>
      </c>
      <c r="R293" s="124">
        <f t="shared" ref="R293:R356" si="198">P293*F293</f>
        <v>600902.40000000002</v>
      </c>
      <c r="S293" s="125">
        <v>483920</v>
      </c>
      <c r="T293" s="121">
        <f t="shared" ref="T293:T348" si="199">S293*0.19</f>
        <v>91944.8</v>
      </c>
      <c r="U293" s="110">
        <f t="shared" ref="U293:U348" si="200">S293+T293</f>
        <v>575864.80000000005</v>
      </c>
      <c r="V293" s="121">
        <f t="shared" ref="V293:V348" si="201">S293*F293</f>
        <v>483920</v>
      </c>
      <c r="W293" s="122">
        <f t="shared" ref="W293:W348" si="202">U293*F293</f>
        <v>575864.80000000005</v>
      </c>
      <c r="X293" s="108"/>
      <c r="Y293" s="121">
        <f t="shared" si="182"/>
        <v>0</v>
      </c>
      <c r="Z293" s="121">
        <f t="shared" si="183"/>
        <v>0</v>
      </c>
      <c r="AA293" s="121">
        <f t="shared" ref="AA293:AA348" si="203">X293*F293</f>
        <v>0</v>
      </c>
      <c r="AB293" s="124">
        <f t="shared" si="184"/>
        <v>0</v>
      </c>
      <c r="AC293" s="126">
        <f t="shared" ref="AC293:AC356" si="204">+IFERROR(ROUND(AVERAGE(I293,N293,S293,X293),0),0)</f>
        <v>483920</v>
      </c>
      <c r="AD293" s="101">
        <f t="shared" si="185"/>
        <v>362940</v>
      </c>
      <c r="AE293" s="127">
        <f t="shared" ref="AE293:AE356" si="205">+IFERROR(_xlfn.STDEV.P(I293,N293,S293,X293),0)</f>
        <v>17179.088062719355</v>
      </c>
      <c r="AF293" s="128">
        <f t="shared" si="186"/>
        <v>3.5499851344683739E-2</v>
      </c>
      <c r="AG293" s="129">
        <f t="shared" ref="AG293:AG356" si="206">IFERROR(ROUND(MEDIAN(I293,N293,S293,X293),0),0)</f>
        <v>483920</v>
      </c>
      <c r="AH293" s="101">
        <f t="shared" si="189"/>
        <v>473400</v>
      </c>
      <c r="AI293" s="130">
        <f t="shared" si="187"/>
        <v>17179.088062719355</v>
      </c>
      <c r="AJ293" s="159">
        <f t="shared" si="188"/>
        <v>3.5499851344683739E-2</v>
      </c>
      <c r="AK293" s="290" t="s">
        <v>1034</v>
      </c>
      <c r="AL293" s="291"/>
      <c r="AM293" s="292"/>
      <c r="AN293" s="160"/>
    </row>
    <row r="294" spans="1:40" ht="39" thickBot="1" x14ac:dyDescent="0.3">
      <c r="A294" s="84">
        <f t="shared" si="190"/>
        <v>3</v>
      </c>
      <c r="B294" s="198">
        <v>289</v>
      </c>
      <c r="C294" s="51" t="s">
        <v>705</v>
      </c>
      <c r="D294" s="204" t="s">
        <v>1048</v>
      </c>
      <c r="E294" s="64" t="s">
        <v>709</v>
      </c>
      <c r="F294" s="17">
        <v>1</v>
      </c>
      <c r="G294" s="17"/>
      <c r="H294" s="89" t="s">
        <v>376</v>
      </c>
      <c r="I294" s="126">
        <v>631200</v>
      </c>
      <c r="J294" s="121">
        <f t="shared" si="191"/>
        <v>119928</v>
      </c>
      <c r="K294" s="130">
        <f t="shared" si="192"/>
        <v>751128</v>
      </c>
      <c r="L294" s="121">
        <f t="shared" si="193"/>
        <v>631200</v>
      </c>
      <c r="M294" s="122">
        <f t="shared" si="194"/>
        <v>751128</v>
      </c>
      <c r="N294" s="123">
        <v>690125.67599999998</v>
      </c>
      <c r="O294" s="121">
        <f t="shared" si="195"/>
        <v>131123.87844</v>
      </c>
      <c r="P294" s="110">
        <f t="shared" si="196"/>
        <v>821249.55443999998</v>
      </c>
      <c r="Q294" s="121">
        <f t="shared" si="197"/>
        <v>690125.67599999998</v>
      </c>
      <c r="R294" s="124">
        <f t="shared" si="198"/>
        <v>821249.55443999998</v>
      </c>
      <c r="S294" s="125">
        <v>841600</v>
      </c>
      <c r="T294" s="121">
        <f t="shared" si="199"/>
        <v>159904</v>
      </c>
      <c r="U294" s="110">
        <f t="shared" si="200"/>
        <v>1001504</v>
      </c>
      <c r="V294" s="121">
        <f t="shared" si="201"/>
        <v>841600</v>
      </c>
      <c r="W294" s="122">
        <f t="shared" si="202"/>
        <v>1001504</v>
      </c>
      <c r="X294" s="108"/>
      <c r="Y294" s="121">
        <f t="shared" si="182"/>
        <v>0</v>
      </c>
      <c r="Z294" s="121">
        <f t="shared" si="183"/>
        <v>0</v>
      </c>
      <c r="AA294" s="121">
        <f t="shared" si="203"/>
        <v>0</v>
      </c>
      <c r="AB294" s="124">
        <f t="shared" si="184"/>
        <v>0</v>
      </c>
      <c r="AC294" s="126">
        <f t="shared" si="204"/>
        <v>720975</v>
      </c>
      <c r="AD294" s="101">
        <f t="shared" si="185"/>
        <v>540731</v>
      </c>
      <c r="AE294" s="127">
        <f t="shared" si="205"/>
        <v>88622.08536082643</v>
      </c>
      <c r="AF294" s="128">
        <f t="shared" si="186"/>
        <v>0.12291977580474556</v>
      </c>
      <c r="AG294" s="129">
        <f t="shared" si="206"/>
        <v>690126</v>
      </c>
      <c r="AH294" s="101">
        <f t="shared" si="189"/>
        <v>660663</v>
      </c>
      <c r="AI294" s="130">
        <f t="shared" si="187"/>
        <v>88622.08536082643</v>
      </c>
      <c r="AJ294" s="159">
        <f t="shared" si="188"/>
        <v>0.1284143552928399</v>
      </c>
      <c r="AK294" s="290" t="s">
        <v>1034</v>
      </c>
      <c r="AL294" s="291"/>
      <c r="AM294" s="292"/>
      <c r="AN294" s="160"/>
    </row>
    <row r="295" spans="1:40" ht="30.75" thickBot="1" x14ac:dyDescent="0.3">
      <c r="A295" s="84">
        <f t="shared" si="190"/>
        <v>3</v>
      </c>
      <c r="B295" s="198">
        <v>290</v>
      </c>
      <c r="C295" s="51" t="s">
        <v>705</v>
      </c>
      <c r="D295" s="204" t="s">
        <v>1048</v>
      </c>
      <c r="E295" s="64" t="s">
        <v>710</v>
      </c>
      <c r="F295" s="17">
        <v>1</v>
      </c>
      <c r="G295" s="17"/>
      <c r="H295" s="89" t="s">
        <v>376</v>
      </c>
      <c r="I295" s="126">
        <v>336640</v>
      </c>
      <c r="J295" s="121">
        <f t="shared" si="191"/>
        <v>63961.599999999999</v>
      </c>
      <c r="K295" s="130">
        <f t="shared" si="192"/>
        <v>400601.59999999998</v>
      </c>
      <c r="L295" s="121">
        <f t="shared" si="193"/>
        <v>336640</v>
      </c>
      <c r="M295" s="122">
        <f t="shared" si="194"/>
        <v>400601.59999999998</v>
      </c>
      <c r="N295" s="123">
        <v>369041.60000000003</v>
      </c>
      <c r="O295" s="121">
        <f t="shared" si="195"/>
        <v>70117.90400000001</v>
      </c>
      <c r="P295" s="110">
        <f t="shared" si="196"/>
        <v>439159.50400000007</v>
      </c>
      <c r="Q295" s="121">
        <f t="shared" si="197"/>
        <v>369041.60000000003</v>
      </c>
      <c r="R295" s="124">
        <f t="shared" si="198"/>
        <v>439159.50400000007</v>
      </c>
      <c r="S295" s="125">
        <v>378720</v>
      </c>
      <c r="T295" s="121">
        <f t="shared" si="199"/>
        <v>71956.800000000003</v>
      </c>
      <c r="U295" s="110">
        <f t="shared" si="200"/>
        <v>450676.8</v>
      </c>
      <c r="V295" s="121">
        <f t="shared" si="201"/>
        <v>378720</v>
      </c>
      <c r="W295" s="122">
        <f t="shared" si="202"/>
        <v>450676.8</v>
      </c>
      <c r="X295" s="108"/>
      <c r="Y295" s="121">
        <f t="shared" si="182"/>
        <v>0</v>
      </c>
      <c r="Z295" s="121">
        <f t="shared" si="183"/>
        <v>0</v>
      </c>
      <c r="AA295" s="121">
        <f t="shared" si="203"/>
        <v>0</v>
      </c>
      <c r="AB295" s="124">
        <f t="shared" si="184"/>
        <v>0</v>
      </c>
      <c r="AC295" s="126">
        <f t="shared" si="204"/>
        <v>361467</v>
      </c>
      <c r="AD295" s="101">
        <f t="shared" si="185"/>
        <v>271100</v>
      </c>
      <c r="AE295" s="127">
        <f t="shared" si="205"/>
        <v>17994.633487422489</v>
      </c>
      <c r="AF295" s="128">
        <f t="shared" si="186"/>
        <v>4.9782230431609217E-2</v>
      </c>
      <c r="AG295" s="129">
        <f t="shared" si="206"/>
        <v>369042</v>
      </c>
      <c r="AH295" s="101">
        <f t="shared" si="189"/>
        <v>352841</v>
      </c>
      <c r="AI295" s="130">
        <f t="shared" si="187"/>
        <v>17994.633487422489</v>
      </c>
      <c r="AJ295" s="159">
        <f t="shared" si="188"/>
        <v>4.8760394446763479E-2</v>
      </c>
      <c r="AK295" s="290" t="s">
        <v>1034</v>
      </c>
      <c r="AL295" s="291"/>
      <c r="AM295" s="292"/>
      <c r="AN295" s="160"/>
    </row>
    <row r="296" spans="1:40" ht="30.75" thickBot="1" x14ac:dyDescent="0.3">
      <c r="A296" s="84">
        <f t="shared" si="190"/>
        <v>3</v>
      </c>
      <c r="B296" s="198">
        <v>291</v>
      </c>
      <c r="C296" s="51" t="s">
        <v>705</v>
      </c>
      <c r="D296" s="204" t="s">
        <v>1048</v>
      </c>
      <c r="E296" s="64" t="s">
        <v>711</v>
      </c>
      <c r="F296" s="17">
        <v>1</v>
      </c>
      <c r="G296" s="17"/>
      <c r="H296" s="89" t="s">
        <v>376</v>
      </c>
      <c r="I296" s="126">
        <v>526000</v>
      </c>
      <c r="J296" s="121">
        <f t="shared" si="191"/>
        <v>99940</v>
      </c>
      <c r="K296" s="130">
        <f t="shared" si="192"/>
        <v>625940</v>
      </c>
      <c r="L296" s="121">
        <f t="shared" si="193"/>
        <v>526000</v>
      </c>
      <c r="M296" s="122">
        <f t="shared" si="194"/>
        <v>625940</v>
      </c>
      <c r="N296" s="123">
        <v>592802</v>
      </c>
      <c r="O296" s="121">
        <f t="shared" si="195"/>
        <v>112632.38</v>
      </c>
      <c r="P296" s="110">
        <f t="shared" si="196"/>
        <v>705434.38</v>
      </c>
      <c r="Q296" s="121">
        <f t="shared" si="197"/>
        <v>592802</v>
      </c>
      <c r="R296" s="124">
        <f t="shared" si="198"/>
        <v>705434.38</v>
      </c>
      <c r="S296" s="125">
        <v>568080</v>
      </c>
      <c r="T296" s="121">
        <f t="shared" si="199"/>
        <v>107935.2</v>
      </c>
      <c r="U296" s="110">
        <f t="shared" si="200"/>
        <v>676015.2</v>
      </c>
      <c r="V296" s="121">
        <f t="shared" si="201"/>
        <v>568080</v>
      </c>
      <c r="W296" s="122">
        <f t="shared" si="202"/>
        <v>676015.2</v>
      </c>
      <c r="X296" s="108"/>
      <c r="Y296" s="121">
        <f t="shared" si="182"/>
        <v>0</v>
      </c>
      <c r="Z296" s="121">
        <f t="shared" si="183"/>
        <v>0</v>
      </c>
      <c r="AA296" s="121">
        <f t="shared" si="203"/>
        <v>0</v>
      </c>
      <c r="AB296" s="124">
        <f t="shared" si="184"/>
        <v>0</v>
      </c>
      <c r="AC296" s="126">
        <f t="shared" si="204"/>
        <v>562294</v>
      </c>
      <c r="AD296" s="101">
        <f t="shared" si="185"/>
        <v>421721</v>
      </c>
      <c r="AE296" s="127">
        <f t="shared" si="205"/>
        <v>27576.98494517968</v>
      </c>
      <c r="AF296" s="128">
        <f t="shared" si="186"/>
        <v>4.9043711910814768E-2</v>
      </c>
      <c r="AG296" s="129">
        <f t="shared" si="206"/>
        <v>568080</v>
      </c>
      <c r="AH296" s="101">
        <f t="shared" si="189"/>
        <v>547040</v>
      </c>
      <c r="AI296" s="130">
        <f t="shared" si="187"/>
        <v>27576.98494517968</v>
      </c>
      <c r="AJ296" s="159">
        <f t="shared" si="188"/>
        <v>4.8544192622834249E-2</v>
      </c>
      <c r="AK296" s="290" t="s">
        <v>1034</v>
      </c>
      <c r="AL296" s="291"/>
      <c r="AM296" s="292"/>
      <c r="AN296" s="160"/>
    </row>
    <row r="297" spans="1:40" ht="30.75" thickBot="1" x14ac:dyDescent="0.3">
      <c r="A297" s="84">
        <f t="shared" si="190"/>
        <v>3</v>
      </c>
      <c r="B297" s="198">
        <v>292</v>
      </c>
      <c r="C297" s="51" t="s">
        <v>705</v>
      </c>
      <c r="D297" s="204" t="s">
        <v>1048</v>
      </c>
      <c r="E297" s="64" t="s">
        <v>712</v>
      </c>
      <c r="F297" s="17">
        <v>1</v>
      </c>
      <c r="G297" s="17"/>
      <c r="H297" s="89" t="s">
        <v>376</v>
      </c>
      <c r="I297" s="126">
        <v>631200</v>
      </c>
      <c r="J297" s="121">
        <f t="shared" si="191"/>
        <v>119928</v>
      </c>
      <c r="K297" s="130">
        <f t="shared" si="192"/>
        <v>751128</v>
      </c>
      <c r="L297" s="121">
        <f t="shared" si="193"/>
        <v>631200</v>
      </c>
      <c r="M297" s="122">
        <f t="shared" si="194"/>
        <v>751128</v>
      </c>
      <c r="N297" s="123">
        <v>689586</v>
      </c>
      <c r="O297" s="121">
        <f t="shared" si="195"/>
        <v>131021.34</v>
      </c>
      <c r="P297" s="110">
        <f t="shared" si="196"/>
        <v>820607.34</v>
      </c>
      <c r="Q297" s="121">
        <f t="shared" si="197"/>
        <v>689586</v>
      </c>
      <c r="R297" s="124">
        <f t="shared" si="198"/>
        <v>820607.34</v>
      </c>
      <c r="S297" s="125">
        <v>652240</v>
      </c>
      <c r="T297" s="121">
        <f t="shared" si="199"/>
        <v>123925.6</v>
      </c>
      <c r="U297" s="110">
        <f t="shared" si="200"/>
        <v>776165.6</v>
      </c>
      <c r="V297" s="121">
        <f t="shared" si="201"/>
        <v>652240</v>
      </c>
      <c r="W297" s="122">
        <f t="shared" si="202"/>
        <v>776165.6</v>
      </c>
      <c r="X297" s="108"/>
      <c r="Y297" s="121">
        <f t="shared" ref="Y297:Y328" si="207">X297*0.19</f>
        <v>0</v>
      </c>
      <c r="Z297" s="121">
        <f t="shared" ref="Z297:Z328" si="208">X297+Y297</f>
        <v>0</v>
      </c>
      <c r="AA297" s="121">
        <f t="shared" si="203"/>
        <v>0</v>
      </c>
      <c r="AB297" s="124">
        <f t="shared" ref="AB297:AB328" si="209">Z297*F297</f>
        <v>0</v>
      </c>
      <c r="AC297" s="126">
        <f t="shared" si="204"/>
        <v>657675</v>
      </c>
      <c r="AD297" s="101">
        <f t="shared" si="185"/>
        <v>493257</v>
      </c>
      <c r="AE297" s="127">
        <f t="shared" si="205"/>
        <v>24143.852017070974</v>
      </c>
      <c r="AF297" s="128">
        <f t="shared" ref="AF297:AF328" si="210">AE297/AC297</f>
        <v>3.6710916512062909E-2</v>
      </c>
      <c r="AG297" s="129">
        <f t="shared" si="206"/>
        <v>652240</v>
      </c>
      <c r="AH297" s="101">
        <f t="shared" si="189"/>
        <v>641720</v>
      </c>
      <c r="AI297" s="130">
        <f t="shared" ref="AI297:AI328" si="211">AE297</f>
        <v>24143.852017070974</v>
      </c>
      <c r="AJ297" s="159">
        <f t="shared" ref="AJ297:AJ328" si="212">AI297/AG297</f>
        <v>3.7016822054873937E-2</v>
      </c>
      <c r="AK297" s="290" t="s">
        <v>1034</v>
      </c>
      <c r="AL297" s="291"/>
      <c r="AM297" s="292"/>
      <c r="AN297" s="160"/>
    </row>
    <row r="298" spans="1:40" ht="30.75" thickBot="1" x14ac:dyDescent="0.3">
      <c r="A298" s="84">
        <f t="shared" si="190"/>
        <v>3</v>
      </c>
      <c r="B298" s="198">
        <v>293</v>
      </c>
      <c r="C298" s="51" t="s">
        <v>705</v>
      </c>
      <c r="D298" s="204" t="s">
        <v>1048</v>
      </c>
      <c r="E298" s="64" t="s">
        <v>713</v>
      </c>
      <c r="F298" s="17">
        <v>1</v>
      </c>
      <c r="G298" s="17"/>
      <c r="H298" s="89" t="s">
        <v>376</v>
      </c>
      <c r="I298" s="126">
        <v>841600</v>
      </c>
      <c r="J298" s="121">
        <f t="shared" si="191"/>
        <v>159904</v>
      </c>
      <c r="K298" s="130">
        <f t="shared" si="192"/>
        <v>1001504</v>
      </c>
      <c r="L298" s="121">
        <f t="shared" si="193"/>
        <v>841600</v>
      </c>
      <c r="M298" s="122">
        <f t="shared" si="194"/>
        <v>1001504</v>
      </c>
      <c r="N298" s="123">
        <v>898408</v>
      </c>
      <c r="O298" s="121">
        <f t="shared" si="195"/>
        <v>170697.52</v>
      </c>
      <c r="P298" s="110">
        <f t="shared" si="196"/>
        <v>1069105.52</v>
      </c>
      <c r="Q298" s="121">
        <f t="shared" si="197"/>
        <v>898408</v>
      </c>
      <c r="R298" s="124">
        <f t="shared" si="198"/>
        <v>1069105.52</v>
      </c>
      <c r="S298" s="125">
        <v>841600</v>
      </c>
      <c r="T298" s="121">
        <f t="shared" si="199"/>
        <v>159904</v>
      </c>
      <c r="U298" s="110">
        <f t="shared" si="200"/>
        <v>1001504</v>
      </c>
      <c r="V298" s="121">
        <f t="shared" si="201"/>
        <v>841600</v>
      </c>
      <c r="W298" s="122">
        <f t="shared" si="202"/>
        <v>1001504</v>
      </c>
      <c r="X298" s="108"/>
      <c r="Y298" s="121">
        <f t="shared" si="207"/>
        <v>0</v>
      </c>
      <c r="Z298" s="121">
        <f t="shared" si="208"/>
        <v>0</v>
      </c>
      <c r="AA298" s="121">
        <f t="shared" si="203"/>
        <v>0</v>
      </c>
      <c r="AB298" s="124">
        <f t="shared" si="209"/>
        <v>0</v>
      </c>
      <c r="AC298" s="126">
        <f t="shared" si="204"/>
        <v>860536</v>
      </c>
      <c r="AD298" s="101">
        <f t="shared" si="185"/>
        <v>645402</v>
      </c>
      <c r="AE298" s="127">
        <f t="shared" si="205"/>
        <v>26779.548017096928</v>
      </c>
      <c r="AF298" s="128">
        <f t="shared" si="210"/>
        <v>3.1119613841950746E-2</v>
      </c>
      <c r="AG298" s="129">
        <f t="shared" si="206"/>
        <v>841600</v>
      </c>
      <c r="AH298" s="101">
        <f t="shared" si="189"/>
        <v>841600</v>
      </c>
      <c r="AI298" s="130">
        <f t="shared" si="211"/>
        <v>26779.548017096928</v>
      </c>
      <c r="AJ298" s="159">
        <f t="shared" si="212"/>
        <v>3.1819805153394637E-2</v>
      </c>
      <c r="AK298" s="290" t="s">
        <v>1034</v>
      </c>
      <c r="AL298" s="291"/>
      <c r="AM298" s="292"/>
      <c r="AN298" s="160"/>
    </row>
    <row r="299" spans="1:40" ht="30.75" thickBot="1" x14ac:dyDescent="0.3">
      <c r="A299" s="84">
        <f t="shared" si="190"/>
        <v>3</v>
      </c>
      <c r="B299" s="198">
        <v>294</v>
      </c>
      <c r="C299" s="51" t="s">
        <v>705</v>
      </c>
      <c r="D299" s="204" t="s">
        <v>1048</v>
      </c>
      <c r="E299" s="64" t="s">
        <v>714</v>
      </c>
      <c r="F299" s="17">
        <v>1</v>
      </c>
      <c r="G299" s="17"/>
      <c r="H299" s="89" t="s">
        <v>376</v>
      </c>
      <c r="I299" s="126">
        <v>462880</v>
      </c>
      <c r="J299" s="121">
        <f t="shared" si="191"/>
        <v>87947.199999999997</v>
      </c>
      <c r="K299" s="130">
        <f t="shared" si="192"/>
        <v>550827.19999999995</v>
      </c>
      <c r="L299" s="121">
        <f t="shared" si="193"/>
        <v>462880</v>
      </c>
      <c r="M299" s="122">
        <f t="shared" si="194"/>
        <v>550827.19999999995</v>
      </c>
      <c r="N299" s="123">
        <v>505012.60000000003</v>
      </c>
      <c r="O299" s="121">
        <f t="shared" si="195"/>
        <v>95952.394000000015</v>
      </c>
      <c r="P299" s="110">
        <f t="shared" si="196"/>
        <v>600964.99400000006</v>
      </c>
      <c r="Q299" s="121">
        <f t="shared" si="197"/>
        <v>505012.60000000003</v>
      </c>
      <c r="R299" s="124">
        <f t="shared" si="198"/>
        <v>600964.99400000006</v>
      </c>
      <c r="S299" s="125">
        <v>441840</v>
      </c>
      <c r="T299" s="121">
        <f t="shared" si="199"/>
        <v>83949.6</v>
      </c>
      <c r="U299" s="110">
        <f t="shared" si="200"/>
        <v>525789.6</v>
      </c>
      <c r="V299" s="121">
        <f t="shared" si="201"/>
        <v>441840</v>
      </c>
      <c r="W299" s="122">
        <f t="shared" si="202"/>
        <v>525789.6</v>
      </c>
      <c r="X299" s="108"/>
      <c r="Y299" s="121">
        <f t="shared" si="207"/>
        <v>0</v>
      </c>
      <c r="Z299" s="121">
        <f t="shared" si="208"/>
        <v>0</v>
      </c>
      <c r="AA299" s="121">
        <f t="shared" si="203"/>
        <v>0</v>
      </c>
      <c r="AB299" s="124">
        <f t="shared" si="209"/>
        <v>0</v>
      </c>
      <c r="AC299" s="126">
        <f t="shared" si="204"/>
        <v>469911</v>
      </c>
      <c r="AD299" s="101">
        <f t="shared" si="185"/>
        <v>352433</v>
      </c>
      <c r="AE299" s="127">
        <f t="shared" si="205"/>
        <v>26264.921628835858</v>
      </c>
      <c r="AF299" s="128">
        <f t="shared" si="210"/>
        <v>5.589339604485926E-2</v>
      </c>
      <c r="AG299" s="129">
        <f t="shared" si="206"/>
        <v>462880</v>
      </c>
      <c r="AH299" s="101">
        <f t="shared" si="189"/>
        <v>452360</v>
      </c>
      <c r="AI299" s="130">
        <f t="shared" si="211"/>
        <v>26264.921628835858</v>
      </c>
      <c r="AJ299" s="159">
        <f t="shared" si="212"/>
        <v>5.67423989561784E-2</v>
      </c>
      <c r="AK299" s="290" t="s">
        <v>1034</v>
      </c>
      <c r="AL299" s="291"/>
      <c r="AM299" s="292"/>
      <c r="AN299" s="160"/>
    </row>
    <row r="300" spans="1:40" ht="30.75" thickBot="1" x14ac:dyDescent="0.3">
      <c r="A300" s="84">
        <f t="shared" si="190"/>
        <v>3</v>
      </c>
      <c r="B300" s="198">
        <v>295</v>
      </c>
      <c r="C300" s="51" t="s">
        <v>705</v>
      </c>
      <c r="D300" s="204" t="s">
        <v>1048</v>
      </c>
      <c r="E300" s="64" t="s">
        <v>715</v>
      </c>
      <c r="F300" s="17">
        <v>1</v>
      </c>
      <c r="G300" s="17"/>
      <c r="H300" s="89" t="s">
        <v>376</v>
      </c>
      <c r="I300" s="126">
        <v>210400</v>
      </c>
      <c r="J300" s="121">
        <f t="shared" si="191"/>
        <v>39976</v>
      </c>
      <c r="K300" s="130">
        <f t="shared" si="192"/>
        <v>250376</v>
      </c>
      <c r="L300" s="121">
        <f t="shared" si="193"/>
        <v>210400</v>
      </c>
      <c r="M300" s="122">
        <f t="shared" si="194"/>
        <v>250376</v>
      </c>
      <c r="N300" s="123">
        <v>217941.788</v>
      </c>
      <c r="O300" s="121">
        <f t="shared" si="195"/>
        <v>41408.939720000002</v>
      </c>
      <c r="P300" s="110">
        <f t="shared" si="196"/>
        <v>259350.72772</v>
      </c>
      <c r="Q300" s="121">
        <f t="shared" si="197"/>
        <v>217941.788</v>
      </c>
      <c r="R300" s="124">
        <f t="shared" si="198"/>
        <v>259350.72772</v>
      </c>
      <c r="S300" s="125">
        <v>189360</v>
      </c>
      <c r="T300" s="121">
        <f t="shared" si="199"/>
        <v>35978.400000000001</v>
      </c>
      <c r="U300" s="110">
        <f t="shared" si="200"/>
        <v>225338.4</v>
      </c>
      <c r="V300" s="121">
        <f t="shared" si="201"/>
        <v>189360</v>
      </c>
      <c r="W300" s="122">
        <f t="shared" si="202"/>
        <v>225338.4</v>
      </c>
      <c r="X300" s="108"/>
      <c r="Y300" s="121">
        <f t="shared" si="207"/>
        <v>0</v>
      </c>
      <c r="Z300" s="121">
        <f t="shared" si="208"/>
        <v>0</v>
      </c>
      <c r="AA300" s="121">
        <f t="shared" si="203"/>
        <v>0</v>
      </c>
      <c r="AB300" s="124">
        <f t="shared" si="209"/>
        <v>0</v>
      </c>
      <c r="AC300" s="126">
        <f t="shared" si="204"/>
        <v>205901</v>
      </c>
      <c r="AD300" s="101">
        <f t="shared" si="185"/>
        <v>154425</v>
      </c>
      <c r="AE300" s="127">
        <f t="shared" si="205"/>
        <v>12094.437525453537</v>
      </c>
      <c r="AF300" s="128">
        <f t="shared" si="210"/>
        <v>5.8739090754554552E-2</v>
      </c>
      <c r="AG300" s="129">
        <f t="shared" si="206"/>
        <v>210400</v>
      </c>
      <c r="AH300" s="101">
        <f t="shared" si="189"/>
        <v>199880</v>
      </c>
      <c r="AI300" s="130">
        <f t="shared" si="211"/>
        <v>12094.437525453537</v>
      </c>
      <c r="AJ300" s="159">
        <f t="shared" si="212"/>
        <v>5.7483068086756357E-2</v>
      </c>
      <c r="AK300" s="290" t="s">
        <v>1034</v>
      </c>
      <c r="AL300" s="291"/>
      <c r="AM300" s="292"/>
      <c r="AN300" s="160"/>
    </row>
    <row r="301" spans="1:40" ht="30.75" thickBot="1" x14ac:dyDescent="0.3">
      <c r="A301" s="84">
        <f t="shared" si="190"/>
        <v>3</v>
      </c>
      <c r="B301" s="198">
        <v>296</v>
      </c>
      <c r="C301" s="51" t="s">
        <v>705</v>
      </c>
      <c r="D301" s="204" t="s">
        <v>1048</v>
      </c>
      <c r="E301" s="64" t="s">
        <v>716</v>
      </c>
      <c r="F301" s="17">
        <v>1</v>
      </c>
      <c r="G301" s="17"/>
      <c r="H301" s="89" t="s">
        <v>376</v>
      </c>
      <c r="I301" s="126">
        <v>94680</v>
      </c>
      <c r="J301" s="121">
        <f t="shared" si="191"/>
        <v>17989.2</v>
      </c>
      <c r="K301" s="130">
        <f t="shared" si="192"/>
        <v>112669.2</v>
      </c>
      <c r="L301" s="121">
        <f t="shared" si="193"/>
        <v>94680</v>
      </c>
      <c r="M301" s="122">
        <f t="shared" si="194"/>
        <v>112669.2</v>
      </c>
      <c r="N301" s="123">
        <v>101833.60000000001</v>
      </c>
      <c r="O301" s="121">
        <f t="shared" si="195"/>
        <v>19348.384000000002</v>
      </c>
      <c r="P301" s="110">
        <f t="shared" si="196"/>
        <v>121181.98400000001</v>
      </c>
      <c r="Q301" s="121">
        <f t="shared" si="197"/>
        <v>101833.60000000001</v>
      </c>
      <c r="R301" s="124">
        <f t="shared" si="198"/>
        <v>121181.98400000001</v>
      </c>
      <c r="S301" s="125">
        <v>105200</v>
      </c>
      <c r="T301" s="121">
        <f t="shared" si="199"/>
        <v>19988</v>
      </c>
      <c r="U301" s="110">
        <f t="shared" si="200"/>
        <v>125188</v>
      </c>
      <c r="V301" s="121">
        <f t="shared" si="201"/>
        <v>105200</v>
      </c>
      <c r="W301" s="122">
        <f t="shared" si="202"/>
        <v>125188</v>
      </c>
      <c r="X301" s="108"/>
      <c r="Y301" s="121">
        <f t="shared" si="207"/>
        <v>0</v>
      </c>
      <c r="Z301" s="121">
        <f t="shared" si="208"/>
        <v>0</v>
      </c>
      <c r="AA301" s="121">
        <f t="shared" si="203"/>
        <v>0</v>
      </c>
      <c r="AB301" s="124">
        <f t="shared" si="209"/>
        <v>0</v>
      </c>
      <c r="AC301" s="126">
        <f t="shared" si="204"/>
        <v>100571</v>
      </c>
      <c r="AD301" s="101">
        <f t="shared" si="185"/>
        <v>75428</v>
      </c>
      <c r="AE301" s="127">
        <f t="shared" si="205"/>
        <v>4386.5582803225889</v>
      </c>
      <c r="AF301" s="128">
        <f t="shared" si="210"/>
        <v>4.3616532403203595E-2</v>
      </c>
      <c r="AG301" s="129">
        <f t="shared" si="206"/>
        <v>101834</v>
      </c>
      <c r="AH301" s="101">
        <f t="shared" si="189"/>
        <v>98257</v>
      </c>
      <c r="AI301" s="130">
        <f t="shared" si="211"/>
        <v>4386.5582803225889</v>
      </c>
      <c r="AJ301" s="159">
        <f t="shared" si="212"/>
        <v>4.3075576726069771E-2</v>
      </c>
      <c r="AK301" s="290" t="s">
        <v>1034</v>
      </c>
      <c r="AL301" s="291"/>
      <c r="AM301" s="292"/>
      <c r="AN301" s="160"/>
    </row>
    <row r="302" spans="1:40" ht="30.75" thickBot="1" x14ac:dyDescent="0.3">
      <c r="A302" s="84">
        <f t="shared" si="190"/>
        <v>3</v>
      </c>
      <c r="B302" s="198">
        <v>297</v>
      </c>
      <c r="C302" s="51" t="s">
        <v>705</v>
      </c>
      <c r="D302" s="204" t="s">
        <v>1048</v>
      </c>
      <c r="E302" s="64" t="s">
        <v>717</v>
      </c>
      <c r="F302" s="17">
        <v>1</v>
      </c>
      <c r="G302" s="17"/>
      <c r="H302" s="89" t="s">
        <v>376</v>
      </c>
      <c r="I302" s="126">
        <v>157800</v>
      </c>
      <c r="J302" s="121">
        <f t="shared" si="191"/>
        <v>29982</v>
      </c>
      <c r="K302" s="130">
        <f t="shared" si="192"/>
        <v>187782</v>
      </c>
      <c r="L302" s="121">
        <f t="shared" si="193"/>
        <v>157800</v>
      </c>
      <c r="M302" s="122">
        <f t="shared" si="194"/>
        <v>187782</v>
      </c>
      <c r="N302" s="123">
        <v>196041.77800000002</v>
      </c>
      <c r="O302" s="121">
        <f t="shared" si="195"/>
        <v>37247.937820000006</v>
      </c>
      <c r="P302" s="110">
        <f t="shared" si="196"/>
        <v>233289.71582000004</v>
      </c>
      <c r="Q302" s="121">
        <f t="shared" si="197"/>
        <v>196041.77800000002</v>
      </c>
      <c r="R302" s="124">
        <f t="shared" si="198"/>
        <v>233289.71582000004</v>
      </c>
      <c r="S302" s="125">
        <v>168320</v>
      </c>
      <c r="T302" s="121">
        <f t="shared" si="199"/>
        <v>31980.799999999999</v>
      </c>
      <c r="U302" s="110">
        <f t="shared" si="200"/>
        <v>200300.79999999999</v>
      </c>
      <c r="V302" s="121">
        <f t="shared" si="201"/>
        <v>168320</v>
      </c>
      <c r="W302" s="122">
        <f t="shared" si="202"/>
        <v>200300.79999999999</v>
      </c>
      <c r="X302" s="108"/>
      <c r="Y302" s="121">
        <f t="shared" si="207"/>
        <v>0</v>
      </c>
      <c r="Z302" s="121">
        <f t="shared" si="208"/>
        <v>0</v>
      </c>
      <c r="AA302" s="121">
        <f t="shared" si="203"/>
        <v>0</v>
      </c>
      <c r="AB302" s="124">
        <f t="shared" si="209"/>
        <v>0</v>
      </c>
      <c r="AC302" s="126">
        <f t="shared" si="204"/>
        <v>174054</v>
      </c>
      <c r="AD302" s="101">
        <f t="shared" si="185"/>
        <v>130540</v>
      </c>
      <c r="AE302" s="127">
        <f t="shared" si="205"/>
        <v>16130.030516202345</v>
      </c>
      <c r="AF302" s="128">
        <f t="shared" si="210"/>
        <v>9.2672564354753961E-2</v>
      </c>
      <c r="AG302" s="129">
        <f t="shared" si="206"/>
        <v>168320</v>
      </c>
      <c r="AH302" s="101">
        <f t="shared" si="189"/>
        <v>163060</v>
      </c>
      <c r="AI302" s="130">
        <f t="shared" si="211"/>
        <v>16130.030516202345</v>
      </c>
      <c r="AJ302" s="159">
        <f t="shared" si="212"/>
        <v>9.5829553922304814E-2</v>
      </c>
      <c r="AK302" s="290" t="s">
        <v>1034</v>
      </c>
      <c r="AL302" s="291"/>
      <c r="AM302" s="292"/>
      <c r="AN302" s="160"/>
    </row>
    <row r="303" spans="1:40" ht="30.75" thickBot="1" x14ac:dyDescent="0.3">
      <c r="A303" s="84">
        <f t="shared" si="190"/>
        <v>3</v>
      </c>
      <c r="B303" s="198">
        <v>298</v>
      </c>
      <c r="C303" s="51" t="s">
        <v>705</v>
      </c>
      <c r="D303" s="204" t="s">
        <v>1048</v>
      </c>
      <c r="E303" s="64" t="s">
        <v>718</v>
      </c>
      <c r="F303" s="17">
        <v>1</v>
      </c>
      <c r="G303" s="17"/>
      <c r="H303" s="89" t="s">
        <v>376</v>
      </c>
      <c r="I303" s="126">
        <v>189360</v>
      </c>
      <c r="J303" s="121">
        <f t="shared" si="191"/>
        <v>35978.400000000001</v>
      </c>
      <c r="K303" s="130">
        <f t="shared" si="192"/>
        <v>225338.4</v>
      </c>
      <c r="L303" s="121">
        <f t="shared" si="193"/>
        <v>189360</v>
      </c>
      <c r="M303" s="122">
        <f t="shared" si="194"/>
        <v>225338.4</v>
      </c>
      <c r="N303" s="123">
        <v>205140</v>
      </c>
      <c r="O303" s="121">
        <f t="shared" si="195"/>
        <v>38976.6</v>
      </c>
      <c r="P303" s="110">
        <f t="shared" si="196"/>
        <v>244116.6</v>
      </c>
      <c r="Q303" s="121">
        <f t="shared" si="197"/>
        <v>205140</v>
      </c>
      <c r="R303" s="124">
        <f t="shared" si="198"/>
        <v>244116.6</v>
      </c>
      <c r="S303" s="125">
        <v>178840</v>
      </c>
      <c r="T303" s="121">
        <f t="shared" si="199"/>
        <v>33979.599999999999</v>
      </c>
      <c r="U303" s="110">
        <f t="shared" si="200"/>
        <v>212819.6</v>
      </c>
      <c r="V303" s="121">
        <f t="shared" si="201"/>
        <v>178840</v>
      </c>
      <c r="W303" s="122">
        <f t="shared" si="202"/>
        <v>212819.6</v>
      </c>
      <c r="X303" s="108"/>
      <c r="Y303" s="121">
        <f t="shared" si="207"/>
        <v>0</v>
      </c>
      <c r="Z303" s="121">
        <f t="shared" si="208"/>
        <v>0</v>
      </c>
      <c r="AA303" s="121">
        <f t="shared" si="203"/>
        <v>0</v>
      </c>
      <c r="AB303" s="124">
        <f t="shared" si="209"/>
        <v>0</v>
      </c>
      <c r="AC303" s="126">
        <f t="shared" si="204"/>
        <v>191113</v>
      </c>
      <c r="AD303" s="101">
        <f t="shared" si="185"/>
        <v>143335</v>
      </c>
      <c r="AE303" s="127">
        <f t="shared" si="205"/>
        <v>10808.272551872271</v>
      </c>
      <c r="AF303" s="128">
        <f t="shared" si="210"/>
        <v>5.6554355548143094E-2</v>
      </c>
      <c r="AG303" s="129">
        <f t="shared" si="206"/>
        <v>189360</v>
      </c>
      <c r="AH303" s="101">
        <f t="shared" si="189"/>
        <v>184100</v>
      </c>
      <c r="AI303" s="130">
        <f t="shared" si="211"/>
        <v>10808.272551872271</v>
      </c>
      <c r="AJ303" s="159">
        <f t="shared" si="212"/>
        <v>5.7077907434897927E-2</v>
      </c>
      <c r="AK303" s="290" t="s">
        <v>1034</v>
      </c>
      <c r="AL303" s="291"/>
      <c r="AM303" s="292"/>
      <c r="AN303" s="160"/>
    </row>
    <row r="304" spans="1:40" ht="30.75" thickBot="1" x14ac:dyDescent="0.3">
      <c r="A304" s="84">
        <f t="shared" si="190"/>
        <v>3</v>
      </c>
      <c r="B304" s="198">
        <v>299</v>
      </c>
      <c r="C304" s="51" t="s">
        <v>705</v>
      </c>
      <c r="D304" s="204" t="s">
        <v>1048</v>
      </c>
      <c r="E304" s="64" t="s">
        <v>719</v>
      </c>
      <c r="F304" s="17">
        <v>1</v>
      </c>
      <c r="G304" s="17"/>
      <c r="H304" s="89" t="s">
        <v>376</v>
      </c>
      <c r="I304" s="126">
        <v>189360</v>
      </c>
      <c r="J304" s="121">
        <f t="shared" si="191"/>
        <v>35978.400000000001</v>
      </c>
      <c r="K304" s="130">
        <f t="shared" si="192"/>
        <v>225338.4</v>
      </c>
      <c r="L304" s="121">
        <f t="shared" si="193"/>
        <v>189360</v>
      </c>
      <c r="M304" s="122">
        <f t="shared" si="194"/>
        <v>225338.4</v>
      </c>
      <c r="N304" s="123">
        <v>217764</v>
      </c>
      <c r="O304" s="121">
        <f t="shared" si="195"/>
        <v>41375.160000000003</v>
      </c>
      <c r="P304" s="110">
        <f t="shared" si="196"/>
        <v>259139.16</v>
      </c>
      <c r="Q304" s="121">
        <f t="shared" si="197"/>
        <v>217764</v>
      </c>
      <c r="R304" s="124">
        <f t="shared" si="198"/>
        <v>259139.16</v>
      </c>
      <c r="S304" s="125">
        <v>199880</v>
      </c>
      <c r="T304" s="121">
        <f t="shared" si="199"/>
        <v>37977.199999999997</v>
      </c>
      <c r="U304" s="110">
        <f t="shared" si="200"/>
        <v>237857.2</v>
      </c>
      <c r="V304" s="121">
        <f t="shared" si="201"/>
        <v>199880</v>
      </c>
      <c r="W304" s="122">
        <f t="shared" si="202"/>
        <v>237857.2</v>
      </c>
      <c r="X304" s="108"/>
      <c r="Y304" s="121">
        <f t="shared" si="207"/>
        <v>0</v>
      </c>
      <c r="Z304" s="121">
        <f t="shared" si="208"/>
        <v>0</v>
      </c>
      <c r="AA304" s="121">
        <f t="shared" si="203"/>
        <v>0</v>
      </c>
      <c r="AB304" s="124">
        <f t="shared" si="209"/>
        <v>0</v>
      </c>
      <c r="AC304" s="126">
        <f t="shared" si="204"/>
        <v>202335</v>
      </c>
      <c r="AD304" s="101">
        <f t="shared" si="185"/>
        <v>151751</v>
      </c>
      <c r="AE304" s="127">
        <f t="shared" si="205"/>
        <v>11725.06845277341</v>
      </c>
      <c r="AF304" s="128">
        <f t="shared" si="210"/>
        <v>5.7948790138994295E-2</v>
      </c>
      <c r="AG304" s="129">
        <f t="shared" si="206"/>
        <v>199880</v>
      </c>
      <c r="AH304" s="101">
        <f t="shared" si="189"/>
        <v>194620</v>
      </c>
      <c r="AI304" s="130">
        <f t="shared" si="211"/>
        <v>11725.06845277341</v>
      </c>
      <c r="AJ304" s="159">
        <f t="shared" si="212"/>
        <v>5.8660538587019265E-2</v>
      </c>
      <c r="AK304" s="290" t="s">
        <v>1034</v>
      </c>
      <c r="AL304" s="291"/>
      <c r="AM304" s="292"/>
      <c r="AN304" s="160"/>
    </row>
    <row r="305" spans="1:40" ht="39" thickBot="1" x14ac:dyDescent="0.3">
      <c r="A305" s="84">
        <f t="shared" si="190"/>
        <v>3</v>
      </c>
      <c r="B305" s="198">
        <v>300</v>
      </c>
      <c r="C305" s="51" t="s">
        <v>705</v>
      </c>
      <c r="D305" s="204" t="s">
        <v>1048</v>
      </c>
      <c r="E305" s="64" t="s">
        <v>720</v>
      </c>
      <c r="F305" s="17">
        <v>1</v>
      </c>
      <c r="G305" s="17"/>
      <c r="H305" s="89" t="s">
        <v>376</v>
      </c>
      <c r="I305" s="126">
        <v>126240</v>
      </c>
      <c r="J305" s="121">
        <f t="shared" si="191"/>
        <v>23985.599999999999</v>
      </c>
      <c r="K305" s="130">
        <f t="shared" si="192"/>
        <v>150225.60000000001</v>
      </c>
      <c r="L305" s="121">
        <f t="shared" si="193"/>
        <v>126240</v>
      </c>
      <c r="M305" s="122">
        <f t="shared" si="194"/>
        <v>150225.60000000001</v>
      </c>
      <c r="N305" s="123">
        <v>146228</v>
      </c>
      <c r="O305" s="121">
        <f t="shared" si="195"/>
        <v>27783.32</v>
      </c>
      <c r="P305" s="110">
        <f t="shared" si="196"/>
        <v>174011.32</v>
      </c>
      <c r="Q305" s="121">
        <f t="shared" si="197"/>
        <v>146228</v>
      </c>
      <c r="R305" s="124">
        <f t="shared" si="198"/>
        <v>174011.32</v>
      </c>
      <c r="S305" s="125">
        <v>136760</v>
      </c>
      <c r="T305" s="121">
        <f t="shared" si="199"/>
        <v>25984.400000000001</v>
      </c>
      <c r="U305" s="110">
        <f t="shared" si="200"/>
        <v>162744.4</v>
      </c>
      <c r="V305" s="121">
        <f t="shared" si="201"/>
        <v>136760</v>
      </c>
      <c r="W305" s="122">
        <f t="shared" si="202"/>
        <v>162744.4</v>
      </c>
      <c r="X305" s="108"/>
      <c r="Y305" s="121">
        <f t="shared" si="207"/>
        <v>0</v>
      </c>
      <c r="Z305" s="121">
        <f t="shared" si="208"/>
        <v>0</v>
      </c>
      <c r="AA305" s="121">
        <f t="shared" si="203"/>
        <v>0</v>
      </c>
      <c r="AB305" s="124">
        <f t="shared" si="209"/>
        <v>0</v>
      </c>
      <c r="AC305" s="126">
        <f t="shared" si="204"/>
        <v>136409</v>
      </c>
      <c r="AD305" s="101">
        <f t="shared" si="185"/>
        <v>102307</v>
      </c>
      <c r="AE305" s="127">
        <f t="shared" si="205"/>
        <v>8163.8333044117353</v>
      </c>
      <c r="AF305" s="128">
        <f t="shared" si="210"/>
        <v>5.9848201397354542E-2</v>
      </c>
      <c r="AG305" s="129">
        <f t="shared" si="206"/>
        <v>136760</v>
      </c>
      <c r="AH305" s="101">
        <f t="shared" si="189"/>
        <v>131500</v>
      </c>
      <c r="AI305" s="130">
        <f t="shared" si="211"/>
        <v>8163.8333044117353</v>
      </c>
      <c r="AJ305" s="159">
        <f t="shared" si="212"/>
        <v>5.9694598599091368E-2</v>
      </c>
      <c r="AK305" s="290" t="s">
        <v>1034</v>
      </c>
      <c r="AL305" s="291"/>
      <c r="AM305" s="292"/>
      <c r="AN305" s="160"/>
    </row>
    <row r="306" spans="1:40" ht="30.75" thickBot="1" x14ac:dyDescent="0.3">
      <c r="A306" s="84">
        <f t="shared" si="190"/>
        <v>3</v>
      </c>
      <c r="B306" s="198">
        <v>301</v>
      </c>
      <c r="C306" s="51" t="s">
        <v>705</v>
      </c>
      <c r="D306" s="204" t="s">
        <v>1048</v>
      </c>
      <c r="E306" s="64" t="s">
        <v>721</v>
      </c>
      <c r="F306" s="17">
        <v>1</v>
      </c>
      <c r="G306" s="17"/>
      <c r="H306" s="89" t="s">
        <v>376</v>
      </c>
      <c r="I306" s="126">
        <v>52600</v>
      </c>
      <c r="J306" s="121">
        <f t="shared" si="191"/>
        <v>9994</v>
      </c>
      <c r="K306" s="130">
        <f t="shared" si="192"/>
        <v>62594</v>
      </c>
      <c r="L306" s="121">
        <f t="shared" si="193"/>
        <v>52600</v>
      </c>
      <c r="M306" s="122">
        <f t="shared" si="194"/>
        <v>62594</v>
      </c>
      <c r="N306" s="123">
        <v>63120</v>
      </c>
      <c r="O306" s="121">
        <f t="shared" si="195"/>
        <v>11992.8</v>
      </c>
      <c r="P306" s="110">
        <f t="shared" si="196"/>
        <v>75112.800000000003</v>
      </c>
      <c r="Q306" s="121">
        <f t="shared" si="197"/>
        <v>63120</v>
      </c>
      <c r="R306" s="124">
        <f t="shared" si="198"/>
        <v>75112.800000000003</v>
      </c>
      <c r="S306" s="125">
        <v>63120</v>
      </c>
      <c r="T306" s="121">
        <f t="shared" si="199"/>
        <v>11992.8</v>
      </c>
      <c r="U306" s="110">
        <f t="shared" si="200"/>
        <v>75112.800000000003</v>
      </c>
      <c r="V306" s="121">
        <f t="shared" si="201"/>
        <v>63120</v>
      </c>
      <c r="W306" s="122">
        <f t="shared" si="202"/>
        <v>75112.800000000003</v>
      </c>
      <c r="X306" s="108"/>
      <c r="Y306" s="121">
        <f t="shared" si="207"/>
        <v>0</v>
      </c>
      <c r="Z306" s="121">
        <f t="shared" si="208"/>
        <v>0</v>
      </c>
      <c r="AA306" s="121">
        <f t="shared" si="203"/>
        <v>0</v>
      </c>
      <c r="AB306" s="124">
        <f t="shared" si="209"/>
        <v>0</v>
      </c>
      <c r="AC306" s="126">
        <f t="shared" si="204"/>
        <v>59613</v>
      </c>
      <c r="AD306" s="101">
        <f t="shared" si="185"/>
        <v>44710</v>
      </c>
      <c r="AE306" s="127">
        <f t="shared" si="205"/>
        <v>4959.175558721653</v>
      </c>
      <c r="AF306" s="128">
        <f t="shared" si="210"/>
        <v>8.3189498242357426E-2</v>
      </c>
      <c r="AG306" s="129">
        <f t="shared" si="206"/>
        <v>63120</v>
      </c>
      <c r="AH306" s="101">
        <f t="shared" si="189"/>
        <v>57860</v>
      </c>
      <c r="AI306" s="130">
        <f t="shared" si="211"/>
        <v>4959.175558721653</v>
      </c>
      <c r="AJ306" s="159">
        <f t="shared" si="212"/>
        <v>7.8567420131838608E-2</v>
      </c>
      <c r="AK306" s="290" t="s">
        <v>1034</v>
      </c>
      <c r="AL306" s="291"/>
      <c r="AM306" s="292"/>
      <c r="AN306" s="160"/>
    </row>
    <row r="307" spans="1:40" ht="93.75" customHeight="1" thickBot="1" x14ac:dyDescent="0.3">
      <c r="A307" s="84">
        <f t="shared" si="190"/>
        <v>3</v>
      </c>
      <c r="B307" s="198">
        <v>302</v>
      </c>
      <c r="C307" s="51" t="s">
        <v>705</v>
      </c>
      <c r="D307" s="204" t="s">
        <v>1044</v>
      </c>
      <c r="E307" s="63" t="s">
        <v>722</v>
      </c>
      <c r="F307" s="17">
        <v>1</v>
      </c>
      <c r="G307" s="17"/>
      <c r="H307" s="89" t="s">
        <v>723</v>
      </c>
      <c r="I307" s="126">
        <v>4944400</v>
      </c>
      <c r="J307" s="121">
        <f t="shared" si="191"/>
        <v>939436</v>
      </c>
      <c r="K307" s="130">
        <f t="shared" si="192"/>
        <v>5883836</v>
      </c>
      <c r="L307" s="121">
        <f t="shared" si="193"/>
        <v>4944400</v>
      </c>
      <c r="M307" s="122">
        <f t="shared" si="194"/>
        <v>5883836</v>
      </c>
      <c r="N307" s="123">
        <v>4971215.4800000004</v>
      </c>
      <c r="O307" s="121">
        <f t="shared" si="195"/>
        <v>944530.94120000012</v>
      </c>
      <c r="P307" s="110">
        <f t="shared" si="196"/>
        <v>5915746.4212000007</v>
      </c>
      <c r="Q307" s="121">
        <f t="shared" si="197"/>
        <v>4971215.4800000004</v>
      </c>
      <c r="R307" s="124">
        <f t="shared" si="198"/>
        <v>5915746.4212000007</v>
      </c>
      <c r="S307" s="125">
        <v>5470400</v>
      </c>
      <c r="T307" s="121">
        <f t="shared" si="199"/>
        <v>1039376</v>
      </c>
      <c r="U307" s="110">
        <f t="shared" si="200"/>
        <v>6509776</v>
      </c>
      <c r="V307" s="121">
        <f t="shared" si="201"/>
        <v>5470400</v>
      </c>
      <c r="W307" s="122">
        <f t="shared" si="202"/>
        <v>6509776</v>
      </c>
      <c r="X307" s="108"/>
      <c r="Y307" s="121">
        <f t="shared" si="207"/>
        <v>0</v>
      </c>
      <c r="Z307" s="121">
        <f t="shared" si="208"/>
        <v>0</v>
      </c>
      <c r="AA307" s="121">
        <f t="shared" si="203"/>
        <v>0</v>
      </c>
      <c r="AB307" s="124">
        <f t="shared" si="209"/>
        <v>0</v>
      </c>
      <c r="AC307" s="126">
        <f t="shared" si="204"/>
        <v>5128672</v>
      </c>
      <c r="AD307" s="101">
        <f t="shared" si="185"/>
        <v>3846504</v>
      </c>
      <c r="AE307" s="127">
        <f t="shared" si="205"/>
        <v>241886.16582903906</v>
      </c>
      <c r="AF307" s="128">
        <f t="shared" si="210"/>
        <v>4.7163508570842325E-2</v>
      </c>
      <c r="AG307" s="129">
        <f t="shared" si="206"/>
        <v>4971215</v>
      </c>
      <c r="AH307" s="101">
        <f t="shared" si="189"/>
        <v>4957808</v>
      </c>
      <c r="AI307" s="130">
        <f t="shared" si="211"/>
        <v>241886.16582903906</v>
      </c>
      <c r="AJ307" s="159">
        <f t="shared" si="212"/>
        <v>4.8657353550196292E-2</v>
      </c>
      <c r="AK307" s="290" t="s">
        <v>1034</v>
      </c>
      <c r="AL307" s="291"/>
      <c r="AM307" s="292"/>
      <c r="AN307" s="160"/>
    </row>
    <row r="308" spans="1:40" ht="39" thickBot="1" x14ac:dyDescent="0.3">
      <c r="A308" s="84">
        <f t="shared" si="190"/>
        <v>3</v>
      </c>
      <c r="B308" s="198">
        <v>303</v>
      </c>
      <c r="C308" s="51" t="s">
        <v>705</v>
      </c>
      <c r="D308" s="204" t="s">
        <v>1048</v>
      </c>
      <c r="E308" s="63" t="s">
        <v>724</v>
      </c>
      <c r="F308" s="17">
        <v>1</v>
      </c>
      <c r="G308" s="17"/>
      <c r="H308" s="89" t="s">
        <v>376</v>
      </c>
      <c r="I308" s="126">
        <v>4418400</v>
      </c>
      <c r="J308" s="121">
        <f t="shared" si="191"/>
        <v>839496</v>
      </c>
      <c r="K308" s="130">
        <f t="shared" si="192"/>
        <v>5257896</v>
      </c>
      <c r="L308" s="121">
        <f t="shared" si="193"/>
        <v>4418400</v>
      </c>
      <c r="M308" s="122">
        <f t="shared" si="194"/>
        <v>5257896</v>
      </c>
      <c r="N308" s="123">
        <v>4621425.4800000004</v>
      </c>
      <c r="O308" s="121">
        <f t="shared" si="195"/>
        <v>878070.84120000014</v>
      </c>
      <c r="P308" s="110">
        <f t="shared" si="196"/>
        <v>5499496.3212000001</v>
      </c>
      <c r="Q308" s="121">
        <f t="shared" si="197"/>
        <v>4621425.4800000004</v>
      </c>
      <c r="R308" s="124">
        <f t="shared" si="198"/>
        <v>5499496.3212000001</v>
      </c>
      <c r="S308" s="125">
        <v>4628800</v>
      </c>
      <c r="T308" s="121">
        <f t="shared" si="199"/>
        <v>879472</v>
      </c>
      <c r="U308" s="110">
        <f t="shared" si="200"/>
        <v>5508272</v>
      </c>
      <c r="V308" s="121">
        <f t="shared" si="201"/>
        <v>4628800</v>
      </c>
      <c r="W308" s="122">
        <f t="shared" si="202"/>
        <v>5508272</v>
      </c>
      <c r="X308" s="108"/>
      <c r="Y308" s="121">
        <f t="shared" si="207"/>
        <v>0</v>
      </c>
      <c r="Z308" s="121">
        <f t="shared" si="208"/>
        <v>0</v>
      </c>
      <c r="AA308" s="121">
        <f t="shared" si="203"/>
        <v>0</v>
      </c>
      <c r="AB308" s="124">
        <f t="shared" si="209"/>
        <v>0</v>
      </c>
      <c r="AC308" s="126">
        <f t="shared" si="204"/>
        <v>4556208</v>
      </c>
      <c r="AD308" s="101">
        <f t="shared" si="185"/>
        <v>3417156</v>
      </c>
      <c r="AE308" s="127">
        <f t="shared" si="205"/>
        <v>97491.816793035381</v>
      </c>
      <c r="AF308" s="128">
        <f t="shared" si="210"/>
        <v>2.1397578159960077E-2</v>
      </c>
      <c r="AG308" s="129">
        <f t="shared" si="206"/>
        <v>4621425</v>
      </c>
      <c r="AH308" s="101">
        <f t="shared" si="189"/>
        <v>4519913</v>
      </c>
      <c r="AI308" s="130">
        <f t="shared" si="211"/>
        <v>97491.816793035381</v>
      </c>
      <c r="AJ308" s="159">
        <f t="shared" si="212"/>
        <v>2.109561808165996E-2</v>
      </c>
      <c r="AK308" s="290" t="s">
        <v>1034</v>
      </c>
      <c r="AL308" s="291"/>
      <c r="AM308" s="292"/>
      <c r="AN308" s="160"/>
    </row>
    <row r="309" spans="1:40" ht="28.5" customHeight="1" thickBot="1" x14ac:dyDescent="0.3">
      <c r="A309" s="84">
        <f t="shared" si="190"/>
        <v>3</v>
      </c>
      <c r="B309" s="198">
        <v>304</v>
      </c>
      <c r="C309" s="64" t="s">
        <v>725</v>
      </c>
      <c r="D309" s="64" t="s">
        <v>1048</v>
      </c>
      <c r="E309" s="63" t="s">
        <v>726</v>
      </c>
      <c r="F309" s="17">
        <v>1</v>
      </c>
      <c r="G309" s="17"/>
      <c r="H309" s="89" t="s">
        <v>727</v>
      </c>
      <c r="I309" s="126">
        <v>39976</v>
      </c>
      <c r="J309" s="121">
        <f t="shared" si="191"/>
        <v>7595.4400000000005</v>
      </c>
      <c r="K309" s="130">
        <f t="shared" si="192"/>
        <v>47571.44</v>
      </c>
      <c r="L309" s="121">
        <f t="shared" si="193"/>
        <v>39976</v>
      </c>
      <c r="M309" s="122">
        <f t="shared" si="194"/>
        <v>47571.44</v>
      </c>
      <c r="N309" s="123">
        <v>36820</v>
      </c>
      <c r="O309" s="121">
        <f t="shared" si="195"/>
        <v>6995.8</v>
      </c>
      <c r="P309" s="110">
        <f t="shared" si="196"/>
        <v>43815.8</v>
      </c>
      <c r="Q309" s="121">
        <f t="shared" si="197"/>
        <v>36820</v>
      </c>
      <c r="R309" s="124">
        <f t="shared" si="198"/>
        <v>43815.8</v>
      </c>
      <c r="S309" s="125">
        <v>48392</v>
      </c>
      <c r="T309" s="121">
        <f t="shared" si="199"/>
        <v>9194.48</v>
      </c>
      <c r="U309" s="110">
        <f t="shared" si="200"/>
        <v>57586.479999999996</v>
      </c>
      <c r="V309" s="121">
        <f t="shared" si="201"/>
        <v>48392</v>
      </c>
      <c r="W309" s="122">
        <f t="shared" si="202"/>
        <v>57586.479999999996</v>
      </c>
      <c r="X309" s="108"/>
      <c r="Y309" s="121">
        <f t="shared" si="207"/>
        <v>0</v>
      </c>
      <c r="Z309" s="121">
        <f t="shared" si="208"/>
        <v>0</v>
      </c>
      <c r="AA309" s="121">
        <f t="shared" si="203"/>
        <v>0</v>
      </c>
      <c r="AB309" s="124">
        <f t="shared" si="209"/>
        <v>0</v>
      </c>
      <c r="AC309" s="126">
        <f t="shared" si="204"/>
        <v>41729</v>
      </c>
      <c r="AD309" s="101">
        <f t="shared" si="185"/>
        <v>31297</v>
      </c>
      <c r="AE309" s="127">
        <f t="shared" si="205"/>
        <v>4884.2214891992317</v>
      </c>
      <c r="AF309" s="128">
        <f t="shared" si="210"/>
        <v>0.11704621460373438</v>
      </c>
      <c r="AG309" s="129">
        <f t="shared" si="206"/>
        <v>39976</v>
      </c>
      <c r="AH309" s="101">
        <f t="shared" si="189"/>
        <v>38398</v>
      </c>
      <c r="AI309" s="130">
        <f t="shared" si="211"/>
        <v>4884.2214891992317</v>
      </c>
      <c r="AJ309" s="159">
        <f t="shared" si="212"/>
        <v>0.12217884453670282</v>
      </c>
      <c r="AK309" s="290" t="s">
        <v>1034</v>
      </c>
      <c r="AL309" s="291"/>
      <c r="AM309" s="292"/>
      <c r="AN309" s="160"/>
    </row>
    <row r="310" spans="1:40" ht="39" thickBot="1" x14ac:dyDescent="0.3">
      <c r="A310" s="84">
        <f t="shared" si="190"/>
        <v>3</v>
      </c>
      <c r="B310" s="198">
        <v>305</v>
      </c>
      <c r="C310" s="64" t="s">
        <v>728</v>
      </c>
      <c r="D310" s="64" t="s">
        <v>1048</v>
      </c>
      <c r="E310" s="63" t="s">
        <v>729</v>
      </c>
      <c r="F310" s="17">
        <v>1</v>
      </c>
      <c r="G310" s="17"/>
      <c r="H310" s="89" t="s">
        <v>376</v>
      </c>
      <c r="I310" s="126">
        <v>3366400</v>
      </c>
      <c r="J310" s="121">
        <f t="shared" si="191"/>
        <v>639616</v>
      </c>
      <c r="K310" s="130">
        <f t="shared" si="192"/>
        <v>4006016</v>
      </c>
      <c r="L310" s="121">
        <f t="shared" si="193"/>
        <v>3366400</v>
      </c>
      <c r="M310" s="122">
        <f t="shared" si="194"/>
        <v>4006016</v>
      </c>
      <c r="N310" s="123">
        <v>3576800</v>
      </c>
      <c r="O310" s="121">
        <f t="shared" si="195"/>
        <v>679592</v>
      </c>
      <c r="P310" s="110">
        <f t="shared" si="196"/>
        <v>4256392</v>
      </c>
      <c r="Q310" s="121">
        <f t="shared" si="197"/>
        <v>3576800</v>
      </c>
      <c r="R310" s="124">
        <f t="shared" si="198"/>
        <v>4256392</v>
      </c>
      <c r="S310" s="125">
        <v>3576800</v>
      </c>
      <c r="T310" s="121">
        <f t="shared" si="199"/>
        <v>679592</v>
      </c>
      <c r="U310" s="110">
        <f t="shared" si="200"/>
        <v>4256392</v>
      </c>
      <c r="V310" s="121">
        <f t="shared" si="201"/>
        <v>3576800</v>
      </c>
      <c r="W310" s="122">
        <f t="shared" si="202"/>
        <v>4256392</v>
      </c>
      <c r="X310" s="108"/>
      <c r="Y310" s="121">
        <f t="shared" si="207"/>
        <v>0</v>
      </c>
      <c r="Z310" s="121">
        <f t="shared" si="208"/>
        <v>0</v>
      </c>
      <c r="AA310" s="121">
        <f t="shared" si="203"/>
        <v>0</v>
      </c>
      <c r="AB310" s="124">
        <f t="shared" si="209"/>
        <v>0</v>
      </c>
      <c r="AC310" s="126">
        <f t="shared" si="204"/>
        <v>3506667</v>
      </c>
      <c r="AD310" s="101">
        <f t="shared" si="185"/>
        <v>2630000</v>
      </c>
      <c r="AE310" s="127">
        <f t="shared" si="205"/>
        <v>99183.511174433064</v>
      </c>
      <c r="AF310" s="128">
        <f t="shared" si="210"/>
        <v>2.8284268558843216E-2</v>
      </c>
      <c r="AG310" s="129">
        <f t="shared" si="206"/>
        <v>3576800</v>
      </c>
      <c r="AH310" s="101">
        <f t="shared" si="189"/>
        <v>3471600</v>
      </c>
      <c r="AI310" s="130">
        <f t="shared" si="211"/>
        <v>99183.511174433064</v>
      </c>
      <c r="AJ310" s="159">
        <f t="shared" si="212"/>
        <v>2.77296776935901E-2</v>
      </c>
      <c r="AK310" s="290" t="s">
        <v>1034</v>
      </c>
      <c r="AL310" s="291"/>
      <c r="AM310" s="292"/>
      <c r="AN310" s="160"/>
    </row>
    <row r="311" spans="1:40" ht="39" thickBot="1" x14ac:dyDescent="0.3">
      <c r="A311" s="84">
        <f t="shared" si="190"/>
        <v>3</v>
      </c>
      <c r="B311" s="198">
        <v>306</v>
      </c>
      <c r="C311" s="64" t="s">
        <v>730</v>
      </c>
      <c r="D311" s="64" t="s">
        <v>1048</v>
      </c>
      <c r="E311" s="63" t="s">
        <v>731</v>
      </c>
      <c r="F311" s="17">
        <v>1</v>
      </c>
      <c r="G311" s="17"/>
      <c r="H311" s="89" t="s">
        <v>376</v>
      </c>
      <c r="I311" s="126">
        <v>2945600</v>
      </c>
      <c r="J311" s="121">
        <f t="shared" si="191"/>
        <v>559664</v>
      </c>
      <c r="K311" s="130">
        <f t="shared" si="192"/>
        <v>3505264</v>
      </c>
      <c r="L311" s="121">
        <f t="shared" si="193"/>
        <v>2945600</v>
      </c>
      <c r="M311" s="122">
        <f t="shared" si="194"/>
        <v>3505264</v>
      </c>
      <c r="N311" s="123">
        <v>3156000</v>
      </c>
      <c r="O311" s="121">
        <f t="shared" si="195"/>
        <v>599640</v>
      </c>
      <c r="P311" s="110">
        <f t="shared" si="196"/>
        <v>3755640</v>
      </c>
      <c r="Q311" s="121">
        <f t="shared" si="197"/>
        <v>3156000</v>
      </c>
      <c r="R311" s="124">
        <f t="shared" si="198"/>
        <v>3755640</v>
      </c>
      <c r="S311" s="125">
        <v>3366400</v>
      </c>
      <c r="T311" s="121">
        <f t="shared" si="199"/>
        <v>639616</v>
      </c>
      <c r="U311" s="110">
        <f t="shared" si="200"/>
        <v>4006016</v>
      </c>
      <c r="V311" s="121">
        <f t="shared" si="201"/>
        <v>3366400</v>
      </c>
      <c r="W311" s="122">
        <f t="shared" si="202"/>
        <v>4006016</v>
      </c>
      <c r="X311" s="108"/>
      <c r="Y311" s="121">
        <f t="shared" si="207"/>
        <v>0</v>
      </c>
      <c r="Z311" s="121">
        <f t="shared" si="208"/>
        <v>0</v>
      </c>
      <c r="AA311" s="121">
        <f t="shared" si="203"/>
        <v>0</v>
      </c>
      <c r="AB311" s="124">
        <f t="shared" si="209"/>
        <v>0</v>
      </c>
      <c r="AC311" s="126">
        <f t="shared" si="204"/>
        <v>3156000</v>
      </c>
      <c r="AD311" s="101">
        <f t="shared" si="185"/>
        <v>2367000</v>
      </c>
      <c r="AE311" s="127">
        <f t="shared" si="205"/>
        <v>171790.88062719358</v>
      </c>
      <c r="AF311" s="128">
        <f t="shared" si="210"/>
        <v>5.4433105395181744E-2</v>
      </c>
      <c r="AG311" s="129">
        <f t="shared" si="206"/>
        <v>3156000</v>
      </c>
      <c r="AH311" s="101">
        <f t="shared" si="189"/>
        <v>3050800</v>
      </c>
      <c r="AI311" s="130">
        <f t="shared" si="211"/>
        <v>171790.88062719358</v>
      </c>
      <c r="AJ311" s="159">
        <f t="shared" si="212"/>
        <v>5.4433105395181744E-2</v>
      </c>
      <c r="AK311" s="290" t="s">
        <v>1034</v>
      </c>
      <c r="AL311" s="291"/>
      <c r="AM311" s="292"/>
      <c r="AN311" s="160"/>
    </row>
    <row r="312" spans="1:40" ht="26.25" thickBot="1" x14ac:dyDescent="0.3">
      <c r="A312" s="84">
        <f t="shared" si="190"/>
        <v>3</v>
      </c>
      <c r="B312" s="198">
        <v>307</v>
      </c>
      <c r="C312" s="51" t="s">
        <v>732</v>
      </c>
      <c r="D312" s="64" t="s">
        <v>1048</v>
      </c>
      <c r="E312" s="63" t="s">
        <v>733</v>
      </c>
      <c r="F312" s="17">
        <v>1</v>
      </c>
      <c r="G312" s="17"/>
      <c r="H312" s="89" t="s">
        <v>376</v>
      </c>
      <c r="I312" s="126">
        <v>2209200</v>
      </c>
      <c r="J312" s="121">
        <f t="shared" si="191"/>
        <v>419748</v>
      </c>
      <c r="K312" s="130">
        <f t="shared" si="192"/>
        <v>2628948</v>
      </c>
      <c r="L312" s="121">
        <f t="shared" si="193"/>
        <v>2209200</v>
      </c>
      <c r="M312" s="122">
        <f t="shared" si="194"/>
        <v>2628948</v>
      </c>
      <c r="N312" s="123">
        <v>2419600</v>
      </c>
      <c r="O312" s="121">
        <f t="shared" si="195"/>
        <v>459724</v>
      </c>
      <c r="P312" s="110">
        <f t="shared" si="196"/>
        <v>2879324</v>
      </c>
      <c r="Q312" s="121">
        <f t="shared" si="197"/>
        <v>2419600</v>
      </c>
      <c r="R312" s="124">
        <f t="shared" si="198"/>
        <v>2879324</v>
      </c>
      <c r="S312" s="125">
        <v>2419600</v>
      </c>
      <c r="T312" s="121">
        <f t="shared" si="199"/>
        <v>459724</v>
      </c>
      <c r="U312" s="110">
        <f t="shared" si="200"/>
        <v>2879324</v>
      </c>
      <c r="V312" s="121">
        <f t="shared" si="201"/>
        <v>2419600</v>
      </c>
      <c r="W312" s="122">
        <f t="shared" si="202"/>
        <v>2879324</v>
      </c>
      <c r="X312" s="108"/>
      <c r="Y312" s="121">
        <f t="shared" si="207"/>
        <v>0</v>
      </c>
      <c r="Z312" s="121">
        <f t="shared" si="208"/>
        <v>0</v>
      </c>
      <c r="AA312" s="121">
        <f t="shared" si="203"/>
        <v>0</v>
      </c>
      <c r="AB312" s="124">
        <f t="shared" si="209"/>
        <v>0</v>
      </c>
      <c r="AC312" s="126">
        <f t="shared" si="204"/>
        <v>2349467</v>
      </c>
      <c r="AD312" s="101">
        <f t="shared" si="185"/>
        <v>1762100</v>
      </c>
      <c r="AE312" s="127">
        <f t="shared" si="205"/>
        <v>99183.511174433064</v>
      </c>
      <c r="AF312" s="128">
        <f t="shared" si="210"/>
        <v>4.2215324230743853E-2</v>
      </c>
      <c r="AG312" s="129">
        <f t="shared" si="206"/>
        <v>2419600</v>
      </c>
      <c r="AH312" s="101">
        <f t="shared" si="189"/>
        <v>2314400</v>
      </c>
      <c r="AI312" s="130">
        <f t="shared" si="211"/>
        <v>99183.511174433064</v>
      </c>
      <c r="AJ312" s="159">
        <f t="shared" si="212"/>
        <v>4.099169746008971E-2</v>
      </c>
      <c r="AK312" s="290" t="s">
        <v>1034</v>
      </c>
      <c r="AL312" s="291"/>
      <c r="AM312" s="292"/>
      <c r="AN312" s="160"/>
    </row>
    <row r="313" spans="1:40" ht="26.25" thickBot="1" x14ac:dyDescent="0.3">
      <c r="A313" s="84">
        <f t="shared" si="190"/>
        <v>3</v>
      </c>
      <c r="B313" s="198">
        <v>308</v>
      </c>
      <c r="C313" s="51" t="s">
        <v>732</v>
      </c>
      <c r="D313" s="64" t="s">
        <v>1048</v>
      </c>
      <c r="E313" s="63" t="s">
        <v>734</v>
      </c>
      <c r="F313" s="17">
        <v>1</v>
      </c>
      <c r="G313" s="17"/>
      <c r="H313" s="89" t="s">
        <v>376</v>
      </c>
      <c r="I313" s="126">
        <v>1472800</v>
      </c>
      <c r="J313" s="121">
        <f t="shared" si="191"/>
        <v>279832</v>
      </c>
      <c r="K313" s="130">
        <f t="shared" si="192"/>
        <v>1752632</v>
      </c>
      <c r="L313" s="121">
        <f t="shared" si="193"/>
        <v>1472800</v>
      </c>
      <c r="M313" s="122">
        <f t="shared" si="194"/>
        <v>1752632</v>
      </c>
      <c r="N313" s="123">
        <v>1661689.7560000001</v>
      </c>
      <c r="O313" s="121">
        <f t="shared" si="195"/>
        <v>315721.05364</v>
      </c>
      <c r="P313" s="110">
        <f t="shared" si="196"/>
        <v>1977410.8096400001</v>
      </c>
      <c r="Q313" s="121">
        <f t="shared" si="197"/>
        <v>1661689.7560000001</v>
      </c>
      <c r="R313" s="124">
        <f t="shared" si="198"/>
        <v>1977410.8096400001</v>
      </c>
      <c r="S313" s="125">
        <v>1683200</v>
      </c>
      <c r="T313" s="121">
        <f t="shared" si="199"/>
        <v>319808</v>
      </c>
      <c r="U313" s="110">
        <f t="shared" si="200"/>
        <v>2003008</v>
      </c>
      <c r="V313" s="121">
        <f t="shared" si="201"/>
        <v>1683200</v>
      </c>
      <c r="W313" s="122">
        <f t="shared" si="202"/>
        <v>2003008</v>
      </c>
      <c r="X313" s="108"/>
      <c r="Y313" s="121">
        <f t="shared" si="207"/>
        <v>0</v>
      </c>
      <c r="Z313" s="121">
        <f t="shared" si="208"/>
        <v>0</v>
      </c>
      <c r="AA313" s="121">
        <f t="shared" si="203"/>
        <v>0</v>
      </c>
      <c r="AB313" s="124">
        <f t="shared" si="209"/>
        <v>0</v>
      </c>
      <c r="AC313" s="126">
        <f t="shared" si="204"/>
        <v>1605897</v>
      </c>
      <c r="AD313" s="101">
        <f t="shared" si="185"/>
        <v>1204422</v>
      </c>
      <c r="AE313" s="127">
        <f t="shared" si="205"/>
        <v>94522.302199991755</v>
      </c>
      <c r="AF313" s="128">
        <f t="shared" si="210"/>
        <v>5.8859504812570018E-2</v>
      </c>
      <c r="AG313" s="129">
        <f t="shared" si="206"/>
        <v>1661690</v>
      </c>
      <c r="AH313" s="101">
        <f t="shared" si="189"/>
        <v>1567245</v>
      </c>
      <c r="AI313" s="130">
        <f t="shared" si="211"/>
        <v>94522.302199991755</v>
      </c>
      <c r="AJ313" s="159">
        <f t="shared" si="212"/>
        <v>5.6883234658685888E-2</v>
      </c>
      <c r="AK313" s="290" t="s">
        <v>1034</v>
      </c>
      <c r="AL313" s="291"/>
      <c r="AM313" s="292"/>
      <c r="AN313" s="160"/>
    </row>
    <row r="314" spans="1:40" ht="26.25" thickBot="1" x14ac:dyDescent="0.3">
      <c r="A314" s="84">
        <f t="shared" si="190"/>
        <v>3</v>
      </c>
      <c r="B314" s="198">
        <v>309</v>
      </c>
      <c r="C314" s="64" t="s">
        <v>735</v>
      </c>
      <c r="D314" s="64" t="s">
        <v>1048</v>
      </c>
      <c r="E314" s="63" t="s">
        <v>736</v>
      </c>
      <c r="F314" s="17">
        <v>1</v>
      </c>
      <c r="G314" s="17"/>
      <c r="H314" s="89" t="s">
        <v>737</v>
      </c>
      <c r="I314" s="126">
        <v>189360</v>
      </c>
      <c r="J314" s="121">
        <f t="shared" si="191"/>
        <v>35978.400000000001</v>
      </c>
      <c r="K314" s="130">
        <f t="shared" si="192"/>
        <v>225338.4</v>
      </c>
      <c r="L314" s="121">
        <f t="shared" si="193"/>
        <v>189360</v>
      </c>
      <c r="M314" s="122">
        <f t="shared" si="194"/>
        <v>225338.4</v>
      </c>
      <c r="N314" s="123">
        <v>168320</v>
      </c>
      <c r="O314" s="121">
        <f t="shared" si="195"/>
        <v>31980.799999999999</v>
      </c>
      <c r="P314" s="110">
        <f t="shared" si="196"/>
        <v>200300.79999999999</v>
      </c>
      <c r="Q314" s="121">
        <f t="shared" si="197"/>
        <v>168320</v>
      </c>
      <c r="R314" s="124">
        <f t="shared" si="198"/>
        <v>200300.79999999999</v>
      </c>
      <c r="S314" s="125">
        <v>231440</v>
      </c>
      <c r="T314" s="121">
        <f t="shared" si="199"/>
        <v>43973.599999999999</v>
      </c>
      <c r="U314" s="110">
        <f t="shared" si="200"/>
        <v>275413.59999999998</v>
      </c>
      <c r="V314" s="121">
        <f t="shared" si="201"/>
        <v>231440</v>
      </c>
      <c r="W314" s="122">
        <f t="shared" si="202"/>
        <v>275413.59999999998</v>
      </c>
      <c r="X314" s="108"/>
      <c r="Y314" s="121">
        <f t="shared" si="207"/>
        <v>0</v>
      </c>
      <c r="Z314" s="121">
        <f t="shared" si="208"/>
        <v>0</v>
      </c>
      <c r="AA314" s="121">
        <f t="shared" si="203"/>
        <v>0</v>
      </c>
      <c r="AB314" s="124">
        <f t="shared" si="209"/>
        <v>0</v>
      </c>
      <c r="AC314" s="126">
        <f t="shared" si="204"/>
        <v>196373</v>
      </c>
      <c r="AD314" s="101">
        <f t="shared" si="185"/>
        <v>147280</v>
      </c>
      <c r="AE314" s="127">
        <f t="shared" si="205"/>
        <v>26241.490472574576</v>
      </c>
      <c r="AF314" s="128">
        <f t="shared" si="210"/>
        <v>0.13363084778749917</v>
      </c>
      <c r="AG314" s="129">
        <f t="shared" si="206"/>
        <v>189360</v>
      </c>
      <c r="AH314" s="101">
        <f t="shared" si="189"/>
        <v>178840</v>
      </c>
      <c r="AI314" s="130">
        <f t="shared" si="211"/>
        <v>26241.490472574576</v>
      </c>
      <c r="AJ314" s="159">
        <f t="shared" si="212"/>
        <v>0.13857990321384969</v>
      </c>
      <c r="AK314" s="290" t="s">
        <v>1034</v>
      </c>
      <c r="AL314" s="291"/>
      <c r="AM314" s="292"/>
      <c r="AN314" s="160"/>
    </row>
    <row r="315" spans="1:40" ht="75.75" thickBot="1" x14ac:dyDescent="0.3">
      <c r="A315" s="84">
        <f t="shared" si="190"/>
        <v>3</v>
      </c>
      <c r="B315" s="198">
        <v>310</v>
      </c>
      <c r="C315" s="51" t="s">
        <v>738</v>
      </c>
      <c r="D315" s="64" t="s">
        <v>1048</v>
      </c>
      <c r="E315" s="63" t="s">
        <v>739</v>
      </c>
      <c r="F315" s="17">
        <v>1</v>
      </c>
      <c r="G315" s="17"/>
      <c r="H315" s="89" t="s">
        <v>1050</v>
      </c>
      <c r="I315" s="126">
        <v>420800</v>
      </c>
      <c r="J315" s="121">
        <f t="shared" si="191"/>
        <v>79952</v>
      </c>
      <c r="K315" s="130">
        <f t="shared" si="192"/>
        <v>500752</v>
      </c>
      <c r="L315" s="121">
        <f t="shared" si="193"/>
        <v>420800</v>
      </c>
      <c r="M315" s="122">
        <f t="shared" si="194"/>
        <v>500752</v>
      </c>
      <c r="N315" s="123">
        <v>442939.07700000005</v>
      </c>
      <c r="O315" s="121">
        <f t="shared" si="195"/>
        <v>84158.424630000009</v>
      </c>
      <c r="P315" s="110">
        <f t="shared" si="196"/>
        <v>527097.50163000007</v>
      </c>
      <c r="Q315" s="121">
        <f t="shared" si="197"/>
        <v>442939.07700000005</v>
      </c>
      <c r="R315" s="124">
        <f t="shared" si="198"/>
        <v>527097.50163000007</v>
      </c>
      <c r="S315" s="125">
        <v>420800</v>
      </c>
      <c r="T315" s="121">
        <f t="shared" si="199"/>
        <v>79952</v>
      </c>
      <c r="U315" s="110">
        <f t="shared" si="200"/>
        <v>500752</v>
      </c>
      <c r="V315" s="121">
        <f t="shared" si="201"/>
        <v>420800</v>
      </c>
      <c r="W315" s="122">
        <f t="shared" si="202"/>
        <v>500752</v>
      </c>
      <c r="X315" s="108"/>
      <c r="Y315" s="121">
        <f t="shared" si="207"/>
        <v>0</v>
      </c>
      <c r="Z315" s="121">
        <f t="shared" si="208"/>
        <v>0</v>
      </c>
      <c r="AA315" s="121">
        <f t="shared" si="203"/>
        <v>0</v>
      </c>
      <c r="AB315" s="124">
        <f t="shared" si="209"/>
        <v>0</v>
      </c>
      <c r="AC315" s="126">
        <f t="shared" si="204"/>
        <v>428180</v>
      </c>
      <c r="AD315" s="101">
        <f t="shared" si="185"/>
        <v>321135</v>
      </c>
      <c r="AE315" s="127">
        <f t="shared" si="205"/>
        <v>10436.460983940773</v>
      </c>
      <c r="AF315" s="128">
        <f t="shared" si="210"/>
        <v>2.4374003886077755E-2</v>
      </c>
      <c r="AG315" s="129">
        <f t="shared" si="206"/>
        <v>420800</v>
      </c>
      <c r="AH315" s="101">
        <f t="shared" si="189"/>
        <v>420800</v>
      </c>
      <c r="AI315" s="130">
        <f t="shared" si="211"/>
        <v>10436.460983940773</v>
      </c>
      <c r="AJ315" s="159">
        <f t="shared" si="212"/>
        <v>2.4801475722292712E-2</v>
      </c>
      <c r="AK315" s="290" t="s">
        <v>1034</v>
      </c>
      <c r="AL315" s="291"/>
      <c r="AM315" s="292"/>
      <c r="AN315" s="160"/>
    </row>
    <row r="316" spans="1:40" ht="75.75" thickBot="1" x14ac:dyDescent="0.3">
      <c r="A316" s="84">
        <f t="shared" si="190"/>
        <v>3</v>
      </c>
      <c r="B316" s="198">
        <v>311</v>
      </c>
      <c r="C316" s="51" t="s">
        <v>738</v>
      </c>
      <c r="D316" s="64" t="s">
        <v>1048</v>
      </c>
      <c r="E316" s="63" t="s">
        <v>740</v>
      </c>
      <c r="F316" s="17">
        <v>1</v>
      </c>
      <c r="G316" s="17"/>
      <c r="H316" s="89" t="s">
        <v>1050</v>
      </c>
      <c r="I316" s="126">
        <v>105200</v>
      </c>
      <c r="J316" s="121">
        <f t="shared" si="191"/>
        <v>19988</v>
      </c>
      <c r="K316" s="130">
        <f t="shared" si="192"/>
        <v>125188</v>
      </c>
      <c r="L316" s="121">
        <f t="shared" si="193"/>
        <v>105200</v>
      </c>
      <c r="M316" s="122">
        <f t="shared" si="194"/>
        <v>125188</v>
      </c>
      <c r="N316" s="123">
        <v>111722.40000000001</v>
      </c>
      <c r="O316" s="121">
        <f t="shared" si="195"/>
        <v>21227.256000000001</v>
      </c>
      <c r="P316" s="110">
        <f t="shared" si="196"/>
        <v>132949.65600000002</v>
      </c>
      <c r="Q316" s="121">
        <f t="shared" si="197"/>
        <v>111722.40000000001</v>
      </c>
      <c r="R316" s="124">
        <f t="shared" si="198"/>
        <v>132949.65600000002</v>
      </c>
      <c r="S316" s="125">
        <v>105200</v>
      </c>
      <c r="T316" s="121">
        <f t="shared" si="199"/>
        <v>19988</v>
      </c>
      <c r="U316" s="110">
        <f t="shared" si="200"/>
        <v>125188</v>
      </c>
      <c r="V316" s="121">
        <f t="shared" si="201"/>
        <v>105200</v>
      </c>
      <c r="W316" s="122">
        <f t="shared" si="202"/>
        <v>125188</v>
      </c>
      <c r="X316" s="108"/>
      <c r="Y316" s="121">
        <f t="shared" si="207"/>
        <v>0</v>
      </c>
      <c r="Z316" s="121">
        <f t="shared" si="208"/>
        <v>0</v>
      </c>
      <c r="AA316" s="121">
        <f t="shared" si="203"/>
        <v>0</v>
      </c>
      <c r="AB316" s="124">
        <f t="shared" si="209"/>
        <v>0</v>
      </c>
      <c r="AC316" s="126">
        <f t="shared" si="204"/>
        <v>107374</v>
      </c>
      <c r="AD316" s="101">
        <f t="shared" si="185"/>
        <v>80531</v>
      </c>
      <c r="AE316" s="127">
        <f t="shared" si="205"/>
        <v>3074.6888464074286</v>
      </c>
      <c r="AF316" s="128">
        <f t="shared" si="210"/>
        <v>2.8635319969521754E-2</v>
      </c>
      <c r="AG316" s="129">
        <f t="shared" si="206"/>
        <v>105200</v>
      </c>
      <c r="AH316" s="101">
        <f t="shared" si="189"/>
        <v>105200</v>
      </c>
      <c r="AI316" s="130">
        <f t="shared" si="211"/>
        <v>3074.6888464074286</v>
      </c>
      <c r="AJ316" s="159">
        <f t="shared" si="212"/>
        <v>2.9227080289044E-2</v>
      </c>
      <c r="AK316" s="290" t="s">
        <v>1034</v>
      </c>
      <c r="AL316" s="291"/>
      <c r="AM316" s="292"/>
      <c r="AN316" s="160"/>
    </row>
    <row r="317" spans="1:40" ht="75.75" thickBot="1" x14ac:dyDescent="0.3">
      <c r="A317" s="84">
        <f t="shared" si="190"/>
        <v>3</v>
      </c>
      <c r="B317" s="198">
        <v>312</v>
      </c>
      <c r="C317" s="51" t="s">
        <v>738</v>
      </c>
      <c r="D317" s="64" t="s">
        <v>1048</v>
      </c>
      <c r="E317" s="63" t="s">
        <v>741</v>
      </c>
      <c r="F317" s="17">
        <v>1</v>
      </c>
      <c r="G317" s="17"/>
      <c r="H317" s="89" t="s">
        <v>1050</v>
      </c>
      <c r="I317" s="126">
        <v>315600</v>
      </c>
      <c r="J317" s="121">
        <f t="shared" si="191"/>
        <v>59964</v>
      </c>
      <c r="K317" s="130">
        <f t="shared" si="192"/>
        <v>375564</v>
      </c>
      <c r="L317" s="121">
        <f t="shared" si="193"/>
        <v>315600</v>
      </c>
      <c r="M317" s="122">
        <f t="shared" si="194"/>
        <v>375564</v>
      </c>
      <c r="N317" s="123">
        <v>320439.2</v>
      </c>
      <c r="O317" s="121">
        <f t="shared" si="195"/>
        <v>60883.448000000004</v>
      </c>
      <c r="P317" s="110">
        <f t="shared" si="196"/>
        <v>381322.64800000004</v>
      </c>
      <c r="Q317" s="121">
        <f t="shared" si="197"/>
        <v>320439.2</v>
      </c>
      <c r="R317" s="124">
        <f t="shared" si="198"/>
        <v>381322.64800000004</v>
      </c>
      <c r="S317" s="125">
        <v>315600</v>
      </c>
      <c r="T317" s="121">
        <f t="shared" si="199"/>
        <v>59964</v>
      </c>
      <c r="U317" s="110">
        <f t="shared" si="200"/>
        <v>375564</v>
      </c>
      <c r="V317" s="121">
        <f t="shared" si="201"/>
        <v>315600</v>
      </c>
      <c r="W317" s="122">
        <f t="shared" si="202"/>
        <v>375564</v>
      </c>
      <c r="X317" s="108"/>
      <c r="Y317" s="121">
        <f t="shared" si="207"/>
        <v>0</v>
      </c>
      <c r="Z317" s="121">
        <f t="shared" si="208"/>
        <v>0</v>
      </c>
      <c r="AA317" s="121">
        <f t="shared" si="203"/>
        <v>0</v>
      </c>
      <c r="AB317" s="124">
        <f t="shared" si="209"/>
        <v>0</v>
      </c>
      <c r="AC317" s="126">
        <f t="shared" si="204"/>
        <v>317213</v>
      </c>
      <c r="AD317" s="101">
        <f t="shared" si="185"/>
        <v>237910</v>
      </c>
      <c r="AE317" s="127">
        <f t="shared" si="205"/>
        <v>2281.2207570119658</v>
      </c>
      <c r="AF317" s="128">
        <f t="shared" si="210"/>
        <v>7.1914478820602114E-3</v>
      </c>
      <c r="AG317" s="129">
        <f t="shared" si="206"/>
        <v>315600</v>
      </c>
      <c r="AH317" s="101">
        <f t="shared" si="189"/>
        <v>315600</v>
      </c>
      <c r="AI317" s="130">
        <f t="shared" si="211"/>
        <v>2281.2207570119658</v>
      </c>
      <c r="AJ317" s="159">
        <f t="shared" si="212"/>
        <v>7.2282026521291697E-3</v>
      </c>
      <c r="AK317" s="290" t="s">
        <v>1034</v>
      </c>
      <c r="AL317" s="291"/>
      <c r="AM317" s="292"/>
      <c r="AN317" s="160"/>
    </row>
    <row r="318" spans="1:40" ht="90" thickBot="1" x14ac:dyDescent="0.3">
      <c r="A318" s="84">
        <f t="shared" si="190"/>
        <v>3</v>
      </c>
      <c r="B318" s="198">
        <v>313</v>
      </c>
      <c r="C318" s="64" t="s">
        <v>742</v>
      </c>
      <c r="D318" s="64" t="s">
        <v>1048</v>
      </c>
      <c r="E318" s="63" t="s">
        <v>743</v>
      </c>
      <c r="F318" s="17">
        <v>1</v>
      </c>
      <c r="G318" s="17"/>
      <c r="H318" s="89" t="s">
        <v>376</v>
      </c>
      <c r="I318" s="126">
        <v>31560</v>
      </c>
      <c r="J318" s="121">
        <f t="shared" si="191"/>
        <v>5996.4</v>
      </c>
      <c r="K318" s="130">
        <f t="shared" si="192"/>
        <v>37556.400000000001</v>
      </c>
      <c r="L318" s="121">
        <f t="shared" si="193"/>
        <v>31560</v>
      </c>
      <c r="M318" s="122">
        <f t="shared" si="194"/>
        <v>37556.400000000001</v>
      </c>
      <c r="N318" s="123">
        <v>32086</v>
      </c>
      <c r="O318" s="121">
        <f t="shared" si="195"/>
        <v>6096.34</v>
      </c>
      <c r="P318" s="110">
        <f t="shared" si="196"/>
        <v>38182.339999999997</v>
      </c>
      <c r="Q318" s="121">
        <f t="shared" si="197"/>
        <v>32086</v>
      </c>
      <c r="R318" s="124">
        <f t="shared" si="198"/>
        <v>38182.339999999997</v>
      </c>
      <c r="S318" s="125">
        <v>294560</v>
      </c>
      <c r="T318" s="121">
        <f t="shared" si="199"/>
        <v>55966.400000000001</v>
      </c>
      <c r="U318" s="110">
        <f t="shared" si="200"/>
        <v>350526.4</v>
      </c>
      <c r="V318" s="121">
        <f t="shared" si="201"/>
        <v>294560</v>
      </c>
      <c r="W318" s="122">
        <f t="shared" si="202"/>
        <v>350526.4</v>
      </c>
      <c r="X318" s="108"/>
      <c r="Y318" s="121">
        <f t="shared" si="207"/>
        <v>0</v>
      </c>
      <c r="Z318" s="121">
        <f t="shared" si="208"/>
        <v>0</v>
      </c>
      <c r="AA318" s="121">
        <f t="shared" si="203"/>
        <v>0</v>
      </c>
      <c r="AB318" s="124">
        <f t="shared" si="209"/>
        <v>0</v>
      </c>
      <c r="AC318" s="126">
        <f t="shared" si="204"/>
        <v>119402</v>
      </c>
      <c r="AD318" s="101">
        <f t="shared" si="185"/>
        <v>89552</v>
      </c>
      <c r="AE318" s="127">
        <f t="shared" si="205"/>
        <v>123855.59573417208</v>
      </c>
      <c r="AF318" s="128">
        <f t="shared" si="210"/>
        <v>1.0372991719918601</v>
      </c>
      <c r="AG318" s="129">
        <f t="shared" si="206"/>
        <v>32086</v>
      </c>
      <c r="AH318" s="101">
        <f t="shared" si="189"/>
        <v>31823</v>
      </c>
      <c r="AI318" s="130">
        <f t="shared" si="211"/>
        <v>123855.59573417208</v>
      </c>
      <c r="AJ318" s="159">
        <f t="shared" si="212"/>
        <v>3.8601133121664302</v>
      </c>
      <c r="AK318" s="290" t="s">
        <v>1034</v>
      </c>
      <c r="AL318" s="291"/>
      <c r="AM318" s="292"/>
      <c r="AN318" s="160"/>
    </row>
    <row r="319" spans="1:40" ht="77.25" thickBot="1" x14ac:dyDescent="0.3">
      <c r="A319" s="84">
        <f t="shared" si="190"/>
        <v>3</v>
      </c>
      <c r="B319" s="198">
        <v>314</v>
      </c>
      <c r="C319" s="51" t="s">
        <v>744</v>
      </c>
      <c r="D319" s="64" t="s">
        <v>1048</v>
      </c>
      <c r="E319" s="63" t="s">
        <v>745</v>
      </c>
      <c r="F319" s="17">
        <v>1</v>
      </c>
      <c r="G319" s="17"/>
      <c r="H319" s="89" t="s">
        <v>376</v>
      </c>
      <c r="I319" s="126">
        <v>31560</v>
      </c>
      <c r="J319" s="121">
        <f t="shared" si="191"/>
        <v>5996.4</v>
      </c>
      <c r="K319" s="130">
        <f t="shared" si="192"/>
        <v>37556.400000000001</v>
      </c>
      <c r="L319" s="121">
        <f t="shared" si="193"/>
        <v>31560</v>
      </c>
      <c r="M319" s="122">
        <f t="shared" si="194"/>
        <v>37556.400000000001</v>
      </c>
      <c r="N319" s="123">
        <v>32702.472000000002</v>
      </c>
      <c r="O319" s="121">
        <f t="shared" si="195"/>
        <v>6213.4696800000002</v>
      </c>
      <c r="P319" s="110">
        <f t="shared" si="196"/>
        <v>38915.941680000004</v>
      </c>
      <c r="Q319" s="121">
        <f t="shared" si="197"/>
        <v>32702.472000000002</v>
      </c>
      <c r="R319" s="124">
        <f t="shared" si="198"/>
        <v>38915.941680000004</v>
      </c>
      <c r="S319" s="125">
        <v>29456</v>
      </c>
      <c r="T319" s="121">
        <f t="shared" si="199"/>
        <v>5596.64</v>
      </c>
      <c r="U319" s="110">
        <f t="shared" si="200"/>
        <v>35052.639999999999</v>
      </c>
      <c r="V319" s="121">
        <f t="shared" si="201"/>
        <v>29456</v>
      </c>
      <c r="W319" s="122">
        <f t="shared" si="202"/>
        <v>35052.639999999999</v>
      </c>
      <c r="X319" s="108"/>
      <c r="Y319" s="121">
        <f t="shared" si="207"/>
        <v>0</v>
      </c>
      <c r="Z319" s="121">
        <f t="shared" si="208"/>
        <v>0</v>
      </c>
      <c r="AA319" s="121">
        <f t="shared" si="203"/>
        <v>0</v>
      </c>
      <c r="AB319" s="124">
        <f t="shared" si="209"/>
        <v>0</v>
      </c>
      <c r="AC319" s="126">
        <f t="shared" si="204"/>
        <v>31239</v>
      </c>
      <c r="AD319" s="101">
        <f t="shared" si="185"/>
        <v>23430</v>
      </c>
      <c r="AE319" s="127">
        <f t="shared" si="205"/>
        <v>1344.6039779457581</v>
      </c>
      <c r="AF319" s="128">
        <f t="shared" si="210"/>
        <v>4.3042478246607063E-2</v>
      </c>
      <c r="AG319" s="129">
        <f t="shared" si="206"/>
        <v>31560</v>
      </c>
      <c r="AH319" s="101">
        <f t="shared" si="189"/>
        <v>30508</v>
      </c>
      <c r="AI319" s="130">
        <f t="shared" si="211"/>
        <v>1344.6039779457581</v>
      </c>
      <c r="AJ319" s="159">
        <f t="shared" si="212"/>
        <v>4.260468878155127E-2</v>
      </c>
      <c r="AK319" s="290" t="s">
        <v>1034</v>
      </c>
      <c r="AL319" s="291"/>
      <c r="AM319" s="292"/>
      <c r="AN319" s="160"/>
    </row>
    <row r="320" spans="1:40" ht="77.25" thickBot="1" x14ac:dyDescent="0.3">
      <c r="A320" s="84">
        <f t="shared" si="190"/>
        <v>3</v>
      </c>
      <c r="B320" s="198">
        <v>315</v>
      </c>
      <c r="C320" s="51" t="s">
        <v>744</v>
      </c>
      <c r="D320" s="64" t="s">
        <v>1048</v>
      </c>
      <c r="E320" s="63" t="s">
        <v>746</v>
      </c>
      <c r="F320" s="17">
        <v>1</v>
      </c>
      <c r="G320" s="17"/>
      <c r="H320" s="89" t="s">
        <v>376</v>
      </c>
      <c r="I320" s="126">
        <v>45236</v>
      </c>
      <c r="J320" s="121">
        <f t="shared" si="191"/>
        <v>8594.84</v>
      </c>
      <c r="K320" s="130">
        <f t="shared" si="192"/>
        <v>53830.84</v>
      </c>
      <c r="L320" s="121">
        <f t="shared" si="193"/>
        <v>45236</v>
      </c>
      <c r="M320" s="122">
        <f t="shared" si="194"/>
        <v>53830.84</v>
      </c>
      <c r="N320" s="123">
        <v>47340</v>
      </c>
      <c r="O320" s="121">
        <f t="shared" si="195"/>
        <v>8994.6</v>
      </c>
      <c r="P320" s="110">
        <f t="shared" si="196"/>
        <v>56334.6</v>
      </c>
      <c r="Q320" s="121">
        <f t="shared" si="197"/>
        <v>47340</v>
      </c>
      <c r="R320" s="124">
        <f t="shared" si="198"/>
        <v>56334.6</v>
      </c>
      <c r="S320" s="125">
        <v>46288</v>
      </c>
      <c r="T320" s="121">
        <f t="shared" si="199"/>
        <v>8794.7199999999993</v>
      </c>
      <c r="U320" s="110">
        <f t="shared" si="200"/>
        <v>55082.720000000001</v>
      </c>
      <c r="V320" s="121">
        <f t="shared" si="201"/>
        <v>46288</v>
      </c>
      <c r="W320" s="122">
        <f t="shared" si="202"/>
        <v>55082.720000000001</v>
      </c>
      <c r="X320" s="108"/>
      <c r="Y320" s="121">
        <f t="shared" si="207"/>
        <v>0</v>
      </c>
      <c r="Z320" s="121">
        <f t="shared" si="208"/>
        <v>0</v>
      </c>
      <c r="AA320" s="121">
        <f t="shared" si="203"/>
        <v>0</v>
      </c>
      <c r="AB320" s="124">
        <f t="shared" si="209"/>
        <v>0</v>
      </c>
      <c r="AC320" s="126">
        <f t="shared" si="204"/>
        <v>46288</v>
      </c>
      <c r="AD320" s="101">
        <f t="shared" si="185"/>
        <v>34716</v>
      </c>
      <c r="AE320" s="127">
        <f t="shared" si="205"/>
        <v>858.95440313596771</v>
      </c>
      <c r="AF320" s="128">
        <f t="shared" si="210"/>
        <v>1.8556740475630135E-2</v>
      </c>
      <c r="AG320" s="129">
        <f t="shared" si="206"/>
        <v>46288</v>
      </c>
      <c r="AH320" s="101">
        <f t="shared" si="189"/>
        <v>45762</v>
      </c>
      <c r="AI320" s="130">
        <f t="shared" si="211"/>
        <v>858.95440313596771</v>
      </c>
      <c r="AJ320" s="159">
        <f t="shared" si="212"/>
        <v>1.8556740475630135E-2</v>
      </c>
      <c r="AK320" s="290" t="s">
        <v>1034</v>
      </c>
      <c r="AL320" s="291"/>
      <c r="AM320" s="292"/>
      <c r="AN320" s="160"/>
    </row>
    <row r="321" spans="1:40" ht="75.75" thickBot="1" x14ac:dyDescent="0.3">
      <c r="A321" s="84">
        <f t="shared" si="190"/>
        <v>3</v>
      </c>
      <c r="B321" s="198">
        <v>316</v>
      </c>
      <c r="C321" s="51" t="s">
        <v>747</v>
      </c>
      <c r="D321" s="64" t="s">
        <v>1048</v>
      </c>
      <c r="E321" s="60" t="s">
        <v>748</v>
      </c>
      <c r="F321" s="17">
        <v>1</v>
      </c>
      <c r="G321" s="17"/>
      <c r="H321" s="89" t="s">
        <v>1050</v>
      </c>
      <c r="I321" s="126">
        <v>589120</v>
      </c>
      <c r="J321" s="121">
        <f t="shared" si="191"/>
        <v>111932.8</v>
      </c>
      <c r="K321" s="130">
        <f t="shared" si="192"/>
        <v>701052.8</v>
      </c>
      <c r="L321" s="121">
        <f t="shared" si="193"/>
        <v>589120</v>
      </c>
      <c r="M321" s="122">
        <f t="shared" si="194"/>
        <v>701052.8</v>
      </c>
      <c r="N321" s="123">
        <v>606372.80000000005</v>
      </c>
      <c r="O321" s="121">
        <f t="shared" si="195"/>
        <v>115210.83200000001</v>
      </c>
      <c r="P321" s="110">
        <f t="shared" si="196"/>
        <v>721583.6320000001</v>
      </c>
      <c r="Q321" s="121">
        <f t="shared" si="197"/>
        <v>606372.80000000005</v>
      </c>
      <c r="R321" s="124">
        <f t="shared" si="198"/>
        <v>721583.6320000001</v>
      </c>
      <c r="S321" s="125">
        <v>6101600</v>
      </c>
      <c r="T321" s="121">
        <f t="shared" si="199"/>
        <v>1159304</v>
      </c>
      <c r="U321" s="110">
        <f t="shared" si="200"/>
        <v>7260904</v>
      </c>
      <c r="V321" s="121">
        <f t="shared" si="201"/>
        <v>6101600</v>
      </c>
      <c r="W321" s="122">
        <f t="shared" si="202"/>
        <v>7260904</v>
      </c>
      <c r="X321" s="108"/>
      <c r="Y321" s="121">
        <f t="shared" si="207"/>
        <v>0</v>
      </c>
      <c r="Z321" s="121">
        <f t="shared" si="208"/>
        <v>0</v>
      </c>
      <c r="AA321" s="121">
        <f t="shared" si="203"/>
        <v>0</v>
      </c>
      <c r="AB321" s="124">
        <f t="shared" si="209"/>
        <v>0</v>
      </c>
      <c r="AC321" s="126">
        <f t="shared" si="204"/>
        <v>2432364</v>
      </c>
      <c r="AD321" s="101">
        <f t="shared" si="185"/>
        <v>1824273</v>
      </c>
      <c r="AE321" s="127">
        <f t="shared" si="205"/>
        <v>2594551.0292218979</v>
      </c>
      <c r="AF321" s="128">
        <f t="shared" si="210"/>
        <v>1.0666787656871661</v>
      </c>
      <c r="AG321" s="129">
        <f t="shared" si="206"/>
        <v>606373</v>
      </c>
      <c r="AH321" s="101">
        <f t="shared" si="189"/>
        <v>597746</v>
      </c>
      <c r="AI321" s="130">
        <f t="shared" si="211"/>
        <v>2594551.0292218979</v>
      </c>
      <c r="AJ321" s="159">
        <f t="shared" si="212"/>
        <v>4.2788036888547119</v>
      </c>
      <c r="AK321" s="290" t="s">
        <v>1034</v>
      </c>
      <c r="AL321" s="291"/>
      <c r="AM321" s="292"/>
      <c r="AN321" s="160"/>
    </row>
    <row r="322" spans="1:40" ht="60.75" thickBot="1" x14ac:dyDescent="0.3">
      <c r="A322" s="84">
        <f t="shared" si="190"/>
        <v>3</v>
      </c>
      <c r="B322" s="198">
        <v>317</v>
      </c>
      <c r="C322" s="51" t="s">
        <v>749</v>
      </c>
      <c r="D322" s="64" t="s">
        <v>1048</v>
      </c>
      <c r="E322" s="60" t="s">
        <v>750</v>
      </c>
      <c r="F322" s="17">
        <v>1</v>
      </c>
      <c r="G322" s="17"/>
      <c r="H322" s="89" t="s">
        <v>1050</v>
      </c>
      <c r="I322" s="126">
        <v>631200</v>
      </c>
      <c r="J322" s="121">
        <f t="shared" si="191"/>
        <v>119928</v>
      </c>
      <c r="K322" s="130">
        <f t="shared" si="192"/>
        <v>751128</v>
      </c>
      <c r="L322" s="121">
        <f t="shared" si="193"/>
        <v>631200</v>
      </c>
      <c r="M322" s="122">
        <f t="shared" si="194"/>
        <v>751128</v>
      </c>
      <c r="N322" s="123">
        <v>632213.076</v>
      </c>
      <c r="O322" s="121">
        <f t="shared" si="195"/>
        <v>120120.48444</v>
      </c>
      <c r="P322" s="110">
        <f t="shared" si="196"/>
        <v>752333.56044000003</v>
      </c>
      <c r="Q322" s="121">
        <f t="shared" si="197"/>
        <v>632213.076</v>
      </c>
      <c r="R322" s="124">
        <f t="shared" si="198"/>
        <v>752333.56044000003</v>
      </c>
      <c r="S322" s="125">
        <v>610160</v>
      </c>
      <c r="T322" s="121">
        <f t="shared" si="199"/>
        <v>115930.4</v>
      </c>
      <c r="U322" s="110">
        <f t="shared" si="200"/>
        <v>726090.4</v>
      </c>
      <c r="V322" s="121">
        <f t="shared" si="201"/>
        <v>610160</v>
      </c>
      <c r="W322" s="122">
        <f t="shared" si="202"/>
        <v>726090.4</v>
      </c>
      <c r="X322" s="108"/>
      <c r="Y322" s="121">
        <f t="shared" si="207"/>
        <v>0</v>
      </c>
      <c r="Z322" s="121">
        <f t="shared" si="208"/>
        <v>0</v>
      </c>
      <c r="AA322" s="121">
        <f t="shared" si="203"/>
        <v>0</v>
      </c>
      <c r="AB322" s="124">
        <f t="shared" si="209"/>
        <v>0</v>
      </c>
      <c r="AC322" s="126">
        <f t="shared" si="204"/>
        <v>624524</v>
      </c>
      <c r="AD322" s="101">
        <f t="shared" si="185"/>
        <v>468393</v>
      </c>
      <c r="AE322" s="127">
        <f t="shared" si="205"/>
        <v>10165.552310751094</v>
      </c>
      <c r="AF322" s="128">
        <f t="shared" si="210"/>
        <v>1.6277280474010759E-2</v>
      </c>
      <c r="AG322" s="129">
        <f t="shared" si="206"/>
        <v>631200</v>
      </c>
      <c r="AH322" s="101">
        <f t="shared" si="189"/>
        <v>620680</v>
      </c>
      <c r="AI322" s="130">
        <f t="shared" si="211"/>
        <v>10165.552310751094</v>
      </c>
      <c r="AJ322" s="159">
        <f t="shared" si="212"/>
        <v>1.6105120897894638E-2</v>
      </c>
      <c r="AK322" s="290" t="s">
        <v>1034</v>
      </c>
      <c r="AL322" s="291"/>
      <c r="AM322" s="292"/>
      <c r="AN322" s="160"/>
    </row>
    <row r="323" spans="1:40" ht="75.75" thickBot="1" x14ac:dyDescent="0.3">
      <c r="A323" s="84">
        <f t="shared" si="190"/>
        <v>3</v>
      </c>
      <c r="B323" s="198">
        <v>318</v>
      </c>
      <c r="C323" s="51" t="s">
        <v>749</v>
      </c>
      <c r="D323" s="64" t="s">
        <v>1048</v>
      </c>
      <c r="E323" s="60" t="s">
        <v>751</v>
      </c>
      <c r="F323" s="17">
        <v>1</v>
      </c>
      <c r="G323" s="17"/>
      <c r="H323" s="89" t="s">
        <v>1050</v>
      </c>
      <c r="I323" s="126">
        <v>757440</v>
      </c>
      <c r="J323" s="121">
        <f t="shared" si="191"/>
        <v>143913.60000000001</v>
      </c>
      <c r="K323" s="130">
        <f t="shared" si="192"/>
        <v>901353.6</v>
      </c>
      <c r="L323" s="121">
        <f t="shared" si="193"/>
        <v>757440</v>
      </c>
      <c r="M323" s="122">
        <f t="shared" si="194"/>
        <v>901353.6</v>
      </c>
      <c r="N323" s="123">
        <v>789000</v>
      </c>
      <c r="O323" s="121">
        <f t="shared" si="195"/>
        <v>149910</v>
      </c>
      <c r="P323" s="110">
        <f t="shared" si="196"/>
        <v>938910</v>
      </c>
      <c r="Q323" s="121">
        <f t="shared" si="197"/>
        <v>789000</v>
      </c>
      <c r="R323" s="124">
        <f t="shared" si="198"/>
        <v>938910</v>
      </c>
      <c r="S323" s="125">
        <v>73640</v>
      </c>
      <c r="T323" s="121">
        <f t="shared" si="199"/>
        <v>13991.6</v>
      </c>
      <c r="U323" s="110">
        <f t="shared" si="200"/>
        <v>87631.6</v>
      </c>
      <c r="V323" s="121">
        <f t="shared" si="201"/>
        <v>73640</v>
      </c>
      <c r="W323" s="122">
        <f t="shared" si="202"/>
        <v>87631.6</v>
      </c>
      <c r="X323" s="108"/>
      <c r="Y323" s="121">
        <f t="shared" si="207"/>
        <v>0</v>
      </c>
      <c r="Z323" s="121">
        <f t="shared" si="208"/>
        <v>0</v>
      </c>
      <c r="AA323" s="121">
        <f t="shared" si="203"/>
        <v>0</v>
      </c>
      <c r="AB323" s="124">
        <f t="shared" si="209"/>
        <v>0</v>
      </c>
      <c r="AC323" s="126">
        <f t="shared" si="204"/>
        <v>540027</v>
      </c>
      <c r="AD323" s="101">
        <f t="shared" si="185"/>
        <v>405020</v>
      </c>
      <c r="AE323" s="127">
        <f t="shared" si="205"/>
        <v>330036.76616738056</v>
      </c>
      <c r="AF323" s="128">
        <f t="shared" si="210"/>
        <v>0.61114863917430162</v>
      </c>
      <c r="AG323" s="129">
        <f t="shared" si="206"/>
        <v>757440</v>
      </c>
      <c r="AH323" s="101">
        <f t="shared" si="189"/>
        <v>415540</v>
      </c>
      <c r="AI323" s="130">
        <f t="shared" si="211"/>
        <v>330036.76616738056</v>
      </c>
      <c r="AJ323" s="159">
        <f t="shared" si="212"/>
        <v>0.43572661355009051</v>
      </c>
      <c r="AK323" s="290" t="s">
        <v>1034</v>
      </c>
      <c r="AL323" s="291"/>
      <c r="AM323" s="292"/>
      <c r="AN323" s="160"/>
    </row>
    <row r="324" spans="1:40" ht="75.75" thickBot="1" x14ac:dyDescent="0.3">
      <c r="A324" s="84">
        <f t="shared" si="190"/>
        <v>3</v>
      </c>
      <c r="B324" s="198">
        <v>319</v>
      </c>
      <c r="C324" s="51" t="s">
        <v>749</v>
      </c>
      <c r="D324" s="64" t="s">
        <v>1048</v>
      </c>
      <c r="E324" s="60" t="s">
        <v>752</v>
      </c>
      <c r="F324" s="17">
        <v>1</v>
      </c>
      <c r="G324" s="17"/>
      <c r="H324" s="89" t="s">
        <v>1050</v>
      </c>
      <c r="I324" s="126">
        <v>1157200</v>
      </c>
      <c r="J324" s="121">
        <f t="shared" si="191"/>
        <v>219868</v>
      </c>
      <c r="K324" s="130">
        <f t="shared" si="192"/>
        <v>1377068</v>
      </c>
      <c r="L324" s="121">
        <f t="shared" si="193"/>
        <v>1157200</v>
      </c>
      <c r="M324" s="122">
        <f t="shared" si="194"/>
        <v>1377068</v>
      </c>
      <c r="N324" s="123">
        <v>1262400</v>
      </c>
      <c r="O324" s="121">
        <f t="shared" si="195"/>
        <v>239856</v>
      </c>
      <c r="P324" s="110">
        <f t="shared" si="196"/>
        <v>1502256</v>
      </c>
      <c r="Q324" s="121">
        <f t="shared" si="197"/>
        <v>1262400</v>
      </c>
      <c r="R324" s="124">
        <f t="shared" si="198"/>
        <v>1502256</v>
      </c>
      <c r="S324" s="125">
        <v>1052000</v>
      </c>
      <c r="T324" s="121">
        <f t="shared" si="199"/>
        <v>199880</v>
      </c>
      <c r="U324" s="110">
        <f t="shared" si="200"/>
        <v>1251880</v>
      </c>
      <c r="V324" s="121">
        <f t="shared" si="201"/>
        <v>1052000</v>
      </c>
      <c r="W324" s="122">
        <f t="shared" si="202"/>
        <v>1251880</v>
      </c>
      <c r="X324" s="108"/>
      <c r="Y324" s="121">
        <f t="shared" si="207"/>
        <v>0</v>
      </c>
      <c r="Z324" s="121">
        <f t="shared" si="208"/>
        <v>0</v>
      </c>
      <c r="AA324" s="121">
        <f t="shared" si="203"/>
        <v>0</v>
      </c>
      <c r="AB324" s="124">
        <f t="shared" si="209"/>
        <v>0</v>
      </c>
      <c r="AC324" s="126">
        <f t="shared" si="204"/>
        <v>1157200</v>
      </c>
      <c r="AD324" s="101">
        <f t="shared" si="185"/>
        <v>867900</v>
      </c>
      <c r="AE324" s="127">
        <f t="shared" si="205"/>
        <v>85895.440313596788</v>
      </c>
      <c r="AF324" s="128">
        <f t="shared" si="210"/>
        <v>7.4226961902520552E-2</v>
      </c>
      <c r="AG324" s="129">
        <f t="shared" si="206"/>
        <v>1157200</v>
      </c>
      <c r="AH324" s="101">
        <f t="shared" si="189"/>
        <v>1104600</v>
      </c>
      <c r="AI324" s="130">
        <f t="shared" si="211"/>
        <v>85895.440313596788</v>
      </c>
      <c r="AJ324" s="159">
        <f t="shared" si="212"/>
        <v>7.4226961902520552E-2</v>
      </c>
      <c r="AK324" s="290" t="s">
        <v>1034</v>
      </c>
      <c r="AL324" s="291"/>
      <c r="AM324" s="292"/>
      <c r="AN324" s="160"/>
    </row>
    <row r="325" spans="1:40" ht="45.75" thickBot="1" x14ac:dyDescent="0.3">
      <c r="A325" s="84">
        <f t="shared" si="190"/>
        <v>3</v>
      </c>
      <c r="B325" s="198">
        <v>320</v>
      </c>
      <c r="C325" s="51" t="s">
        <v>753</v>
      </c>
      <c r="D325" s="64" t="s">
        <v>1048</v>
      </c>
      <c r="E325" s="60" t="s">
        <v>754</v>
      </c>
      <c r="F325" s="17">
        <v>1</v>
      </c>
      <c r="G325" s="17"/>
      <c r="H325" s="89" t="s">
        <v>1050</v>
      </c>
      <c r="I325" s="126">
        <v>84160</v>
      </c>
      <c r="J325" s="121">
        <f t="shared" si="191"/>
        <v>15990.4</v>
      </c>
      <c r="K325" s="130">
        <f t="shared" si="192"/>
        <v>100150.39999999999</v>
      </c>
      <c r="L325" s="121">
        <f t="shared" si="193"/>
        <v>84160</v>
      </c>
      <c r="M325" s="122">
        <f t="shared" si="194"/>
        <v>100150.39999999999</v>
      </c>
      <c r="N325" s="123">
        <v>75744</v>
      </c>
      <c r="O325" s="121">
        <f t="shared" si="195"/>
        <v>14391.36</v>
      </c>
      <c r="P325" s="110">
        <f t="shared" si="196"/>
        <v>90135.360000000001</v>
      </c>
      <c r="Q325" s="121">
        <f t="shared" si="197"/>
        <v>75744</v>
      </c>
      <c r="R325" s="124">
        <f t="shared" si="198"/>
        <v>90135.360000000001</v>
      </c>
      <c r="S325" s="125">
        <v>94680</v>
      </c>
      <c r="T325" s="121">
        <f t="shared" si="199"/>
        <v>17989.2</v>
      </c>
      <c r="U325" s="110">
        <f t="shared" si="200"/>
        <v>112669.2</v>
      </c>
      <c r="V325" s="121">
        <f t="shared" si="201"/>
        <v>94680</v>
      </c>
      <c r="W325" s="122">
        <f t="shared" si="202"/>
        <v>112669.2</v>
      </c>
      <c r="X325" s="108"/>
      <c r="Y325" s="121">
        <f t="shared" si="207"/>
        <v>0</v>
      </c>
      <c r="Z325" s="121">
        <f t="shared" si="208"/>
        <v>0</v>
      </c>
      <c r="AA325" s="121">
        <f t="shared" si="203"/>
        <v>0</v>
      </c>
      <c r="AB325" s="124">
        <f t="shared" si="209"/>
        <v>0</v>
      </c>
      <c r="AC325" s="126">
        <f t="shared" si="204"/>
        <v>84861</v>
      </c>
      <c r="AD325" s="101">
        <f t="shared" si="185"/>
        <v>63646</v>
      </c>
      <c r="AE325" s="127">
        <f t="shared" si="205"/>
        <v>7746.4798600539998</v>
      </c>
      <c r="AF325" s="128">
        <f t="shared" si="210"/>
        <v>9.1284333911384491E-2</v>
      </c>
      <c r="AG325" s="129">
        <f t="shared" si="206"/>
        <v>84160</v>
      </c>
      <c r="AH325" s="101">
        <f t="shared" si="189"/>
        <v>79952</v>
      </c>
      <c r="AI325" s="130">
        <f t="shared" si="211"/>
        <v>7746.4798600539998</v>
      </c>
      <c r="AJ325" s="159">
        <f t="shared" si="212"/>
        <v>9.2044675143227186E-2</v>
      </c>
      <c r="AK325" s="290" t="s">
        <v>1034</v>
      </c>
      <c r="AL325" s="291"/>
      <c r="AM325" s="292"/>
      <c r="AN325" s="160"/>
    </row>
    <row r="326" spans="1:40" ht="38.25" thickBot="1" x14ac:dyDescent="0.3">
      <c r="A326" s="84">
        <f t="shared" si="190"/>
        <v>3</v>
      </c>
      <c r="B326" s="198">
        <v>321</v>
      </c>
      <c r="C326" s="51" t="s">
        <v>753</v>
      </c>
      <c r="D326" s="64" t="s">
        <v>1048</v>
      </c>
      <c r="E326" s="60" t="s">
        <v>755</v>
      </c>
      <c r="F326" s="17">
        <v>1</v>
      </c>
      <c r="G326" s="17"/>
      <c r="H326" s="89" t="s">
        <v>1050</v>
      </c>
      <c r="I326" s="126">
        <v>73640</v>
      </c>
      <c r="J326" s="121">
        <f t="shared" si="191"/>
        <v>13991.6</v>
      </c>
      <c r="K326" s="130">
        <f t="shared" si="192"/>
        <v>87631.6</v>
      </c>
      <c r="L326" s="121">
        <f t="shared" si="193"/>
        <v>73640</v>
      </c>
      <c r="M326" s="122">
        <f t="shared" si="194"/>
        <v>87631.6</v>
      </c>
      <c r="N326" s="123">
        <v>75349.5</v>
      </c>
      <c r="O326" s="121">
        <f t="shared" si="195"/>
        <v>14316.405000000001</v>
      </c>
      <c r="P326" s="110">
        <f t="shared" si="196"/>
        <v>89665.904999999999</v>
      </c>
      <c r="Q326" s="121">
        <f t="shared" si="197"/>
        <v>75349.5</v>
      </c>
      <c r="R326" s="124">
        <f t="shared" si="198"/>
        <v>89665.904999999999</v>
      </c>
      <c r="S326" s="125">
        <v>77848</v>
      </c>
      <c r="T326" s="121">
        <f t="shared" si="199"/>
        <v>14791.12</v>
      </c>
      <c r="U326" s="110">
        <f t="shared" si="200"/>
        <v>92639.12</v>
      </c>
      <c r="V326" s="121">
        <f t="shared" si="201"/>
        <v>77848</v>
      </c>
      <c r="W326" s="122">
        <f t="shared" si="202"/>
        <v>92639.12</v>
      </c>
      <c r="X326" s="108"/>
      <c r="Y326" s="121">
        <f t="shared" si="207"/>
        <v>0</v>
      </c>
      <c r="Z326" s="121">
        <f t="shared" si="208"/>
        <v>0</v>
      </c>
      <c r="AA326" s="121">
        <f t="shared" si="203"/>
        <v>0</v>
      </c>
      <c r="AB326" s="124">
        <f t="shared" si="209"/>
        <v>0</v>
      </c>
      <c r="AC326" s="126">
        <f t="shared" si="204"/>
        <v>75613</v>
      </c>
      <c r="AD326" s="101">
        <f t="shared" si="185"/>
        <v>56709</v>
      </c>
      <c r="AE326" s="127">
        <f t="shared" si="205"/>
        <v>1727.9453598614357</v>
      </c>
      <c r="AF326" s="128">
        <f t="shared" si="210"/>
        <v>2.2852490442932243E-2</v>
      </c>
      <c r="AG326" s="129">
        <f t="shared" si="206"/>
        <v>75350</v>
      </c>
      <c r="AH326" s="101">
        <f t="shared" si="189"/>
        <v>74495</v>
      </c>
      <c r="AI326" s="130">
        <f t="shared" si="211"/>
        <v>1727.9453598614357</v>
      </c>
      <c r="AJ326" s="159">
        <f t="shared" si="212"/>
        <v>2.2932254278187601E-2</v>
      </c>
      <c r="AK326" s="290" t="s">
        <v>1034</v>
      </c>
      <c r="AL326" s="291"/>
      <c r="AM326" s="292"/>
      <c r="AN326" s="160"/>
    </row>
    <row r="327" spans="1:40" ht="38.25" thickBot="1" x14ac:dyDescent="0.3">
      <c r="A327" s="84">
        <f t="shared" si="190"/>
        <v>3</v>
      </c>
      <c r="B327" s="198">
        <v>322</v>
      </c>
      <c r="C327" s="51" t="s">
        <v>753</v>
      </c>
      <c r="D327" s="64" t="s">
        <v>1048</v>
      </c>
      <c r="E327" s="60" t="s">
        <v>756</v>
      </c>
      <c r="F327" s="17">
        <v>1</v>
      </c>
      <c r="G327" s="17"/>
      <c r="H327" s="89" t="s">
        <v>1050</v>
      </c>
      <c r="I327" s="126">
        <v>73640</v>
      </c>
      <c r="J327" s="121">
        <f t="shared" si="191"/>
        <v>13991.6</v>
      </c>
      <c r="K327" s="130">
        <f t="shared" si="192"/>
        <v>87631.6</v>
      </c>
      <c r="L327" s="121">
        <f t="shared" si="193"/>
        <v>73640</v>
      </c>
      <c r="M327" s="122">
        <f t="shared" si="194"/>
        <v>87631.6</v>
      </c>
      <c r="N327" s="123">
        <v>75489.415999999997</v>
      </c>
      <c r="O327" s="121">
        <f t="shared" si="195"/>
        <v>14342.98904</v>
      </c>
      <c r="P327" s="110">
        <f t="shared" si="196"/>
        <v>89832.405039999998</v>
      </c>
      <c r="Q327" s="121">
        <f t="shared" si="197"/>
        <v>75489.415999999997</v>
      </c>
      <c r="R327" s="124">
        <f t="shared" si="198"/>
        <v>89832.405039999998</v>
      </c>
      <c r="S327" s="125">
        <v>75744</v>
      </c>
      <c r="T327" s="121">
        <f t="shared" si="199"/>
        <v>14391.36</v>
      </c>
      <c r="U327" s="110">
        <f t="shared" si="200"/>
        <v>90135.360000000001</v>
      </c>
      <c r="V327" s="121">
        <f t="shared" si="201"/>
        <v>75744</v>
      </c>
      <c r="W327" s="122">
        <f t="shared" si="202"/>
        <v>90135.360000000001</v>
      </c>
      <c r="X327" s="108"/>
      <c r="Y327" s="121">
        <f t="shared" si="207"/>
        <v>0</v>
      </c>
      <c r="Z327" s="121">
        <f t="shared" si="208"/>
        <v>0</v>
      </c>
      <c r="AA327" s="121">
        <f t="shared" si="203"/>
        <v>0</v>
      </c>
      <c r="AB327" s="124">
        <f t="shared" si="209"/>
        <v>0</v>
      </c>
      <c r="AC327" s="126">
        <f t="shared" si="204"/>
        <v>74958</v>
      </c>
      <c r="AD327" s="101">
        <f t="shared" si="185"/>
        <v>56218</v>
      </c>
      <c r="AE327" s="127">
        <f t="shared" si="205"/>
        <v>937.60738964854295</v>
      </c>
      <c r="AF327" s="128">
        <f t="shared" si="210"/>
        <v>1.2508436586468996E-2</v>
      </c>
      <c r="AG327" s="129">
        <f t="shared" si="206"/>
        <v>75489</v>
      </c>
      <c r="AH327" s="101">
        <f t="shared" si="189"/>
        <v>74565</v>
      </c>
      <c r="AI327" s="130">
        <f t="shared" si="211"/>
        <v>937.60738964854295</v>
      </c>
      <c r="AJ327" s="159">
        <f t="shared" si="212"/>
        <v>1.2420450524560438E-2</v>
      </c>
      <c r="AK327" s="290" t="s">
        <v>1034</v>
      </c>
      <c r="AL327" s="291"/>
      <c r="AM327" s="292"/>
      <c r="AN327" s="160"/>
    </row>
    <row r="328" spans="1:40" ht="75.75" thickBot="1" x14ac:dyDescent="0.3">
      <c r="A328" s="84">
        <f t="shared" si="190"/>
        <v>3</v>
      </c>
      <c r="B328" s="198">
        <v>323</v>
      </c>
      <c r="C328" s="51" t="s">
        <v>757</v>
      </c>
      <c r="D328" s="64" t="s">
        <v>1048</v>
      </c>
      <c r="E328" s="60" t="s">
        <v>758</v>
      </c>
      <c r="F328" s="17">
        <v>1</v>
      </c>
      <c r="G328" s="17"/>
      <c r="H328" s="89" t="s">
        <v>376</v>
      </c>
      <c r="I328" s="126">
        <v>420800</v>
      </c>
      <c r="J328" s="121">
        <f t="shared" si="191"/>
        <v>79952</v>
      </c>
      <c r="K328" s="130">
        <f t="shared" si="192"/>
        <v>500752</v>
      </c>
      <c r="L328" s="121">
        <f t="shared" si="193"/>
        <v>420800</v>
      </c>
      <c r="M328" s="122">
        <f t="shared" si="194"/>
        <v>500752</v>
      </c>
      <c r="N328" s="123">
        <v>429641.00800000003</v>
      </c>
      <c r="O328" s="121">
        <f t="shared" si="195"/>
        <v>81631.791520000013</v>
      </c>
      <c r="P328" s="110">
        <f t="shared" si="196"/>
        <v>511272.79952000006</v>
      </c>
      <c r="Q328" s="121">
        <f t="shared" si="197"/>
        <v>429641.00800000003</v>
      </c>
      <c r="R328" s="124">
        <f t="shared" si="198"/>
        <v>511272.79952000006</v>
      </c>
      <c r="S328" s="125">
        <v>420800</v>
      </c>
      <c r="T328" s="121">
        <f t="shared" si="199"/>
        <v>79952</v>
      </c>
      <c r="U328" s="110">
        <f t="shared" si="200"/>
        <v>500752</v>
      </c>
      <c r="V328" s="121">
        <f t="shared" si="201"/>
        <v>420800</v>
      </c>
      <c r="W328" s="122">
        <f t="shared" si="202"/>
        <v>500752</v>
      </c>
      <c r="X328" s="108"/>
      <c r="Y328" s="121">
        <f t="shared" si="207"/>
        <v>0</v>
      </c>
      <c r="Z328" s="121">
        <f t="shared" si="208"/>
        <v>0</v>
      </c>
      <c r="AA328" s="121">
        <f t="shared" si="203"/>
        <v>0</v>
      </c>
      <c r="AB328" s="124">
        <f t="shared" si="209"/>
        <v>0</v>
      </c>
      <c r="AC328" s="126">
        <f t="shared" si="204"/>
        <v>423747</v>
      </c>
      <c r="AD328" s="101">
        <f t="shared" si="185"/>
        <v>317810</v>
      </c>
      <c r="AE328" s="127">
        <f t="shared" si="205"/>
        <v>4167.6911395496918</v>
      </c>
      <c r="AF328" s="128">
        <f t="shared" si="210"/>
        <v>9.8353289570184375E-3</v>
      </c>
      <c r="AG328" s="129">
        <f t="shared" si="206"/>
        <v>420800</v>
      </c>
      <c r="AH328" s="101">
        <f t="shared" si="189"/>
        <v>420800</v>
      </c>
      <c r="AI328" s="130">
        <f t="shared" si="211"/>
        <v>4167.6911395496918</v>
      </c>
      <c r="AJ328" s="159">
        <f t="shared" si="212"/>
        <v>9.9042089818196094E-3</v>
      </c>
      <c r="AK328" s="290" t="s">
        <v>1034</v>
      </c>
      <c r="AL328" s="291"/>
      <c r="AM328" s="292"/>
      <c r="AN328" s="160"/>
    </row>
    <row r="329" spans="1:40" ht="75.75" thickBot="1" x14ac:dyDescent="0.3">
      <c r="A329" s="84">
        <f t="shared" si="190"/>
        <v>3</v>
      </c>
      <c r="B329" s="198">
        <v>324</v>
      </c>
      <c r="C329" s="51" t="s">
        <v>757</v>
      </c>
      <c r="D329" s="64" t="s">
        <v>1048</v>
      </c>
      <c r="E329" s="60" t="s">
        <v>760</v>
      </c>
      <c r="F329" s="17">
        <v>1</v>
      </c>
      <c r="G329" s="17"/>
      <c r="H329" s="89" t="s">
        <v>376</v>
      </c>
      <c r="I329" s="126">
        <v>683800</v>
      </c>
      <c r="J329" s="121">
        <f t="shared" si="191"/>
        <v>129922</v>
      </c>
      <c r="K329" s="130">
        <f t="shared" si="192"/>
        <v>813722</v>
      </c>
      <c r="L329" s="121">
        <f t="shared" si="193"/>
        <v>683800</v>
      </c>
      <c r="M329" s="122">
        <f t="shared" si="194"/>
        <v>813722</v>
      </c>
      <c r="N329" s="123">
        <v>715099.63</v>
      </c>
      <c r="O329" s="121">
        <f t="shared" si="195"/>
        <v>135868.92970000001</v>
      </c>
      <c r="P329" s="110">
        <f t="shared" si="196"/>
        <v>850968.55969999998</v>
      </c>
      <c r="Q329" s="121">
        <f t="shared" si="197"/>
        <v>715099.63</v>
      </c>
      <c r="R329" s="124">
        <f t="shared" si="198"/>
        <v>850968.55969999998</v>
      </c>
      <c r="S329" s="125">
        <v>652240</v>
      </c>
      <c r="T329" s="121">
        <f t="shared" si="199"/>
        <v>123925.6</v>
      </c>
      <c r="U329" s="110">
        <f t="shared" si="200"/>
        <v>776165.6</v>
      </c>
      <c r="V329" s="121">
        <f t="shared" si="201"/>
        <v>652240</v>
      </c>
      <c r="W329" s="122">
        <f t="shared" si="202"/>
        <v>776165.6</v>
      </c>
      <c r="X329" s="108"/>
      <c r="Y329" s="121">
        <f t="shared" ref="Y329:Y348" si="213">X329*0.19</f>
        <v>0</v>
      </c>
      <c r="Z329" s="121">
        <f t="shared" ref="Z329:Z348" si="214">X329+Y329</f>
        <v>0</v>
      </c>
      <c r="AA329" s="121">
        <f t="shared" si="203"/>
        <v>0</v>
      </c>
      <c r="AB329" s="124">
        <f t="shared" ref="AB329:AB348" si="215">Z329*F329</f>
        <v>0</v>
      </c>
      <c r="AC329" s="126">
        <f t="shared" si="204"/>
        <v>683713</v>
      </c>
      <c r="AD329" s="101">
        <f t="shared" ref="AD329:AD393" si="216">+IFERROR(ROUND(AVERAGE(L329,Q329,V329,AA329),0),0)</f>
        <v>512785</v>
      </c>
      <c r="AE329" s="127">
        <f t="shared" si="205"/>
        <v>25662.409867512444</v>
      </c>
      <c r="AF329" s="128">
        <f t="shared" ref="AF329:AF348" si="217">AE329/AC329</f>
        <v>3.7533891951026882E-2</v>
      </c>
      <c r="AG329" s="129">
        <f t="shared" si="206"/>
        <v>683800</v>
      </c>
      <c r="AH329" s="101">
        <f t="shared" ref="AH329:AH393" si="218">+IFERROR(ROUND(MEDIAN(L329,Q329,V329,AA329),0),0)</f>
        <v>668020</v>
      </c>
      <c r="AI329" s="130">
        <f t="shared" ref="AI329:AI348" si="219">AE329</f>
        <v>25662.409867512444</v>
      </c>
      <c r="AJ329" s="159">
        <f t="shared" ref="AJ329:AJ348" si="220">AI329/AG329</f>
        <v>3.7529116507037795E-2</v>
      </c>
      <c r="AK329" s="290" t="s">
        <v>1034</v>
      </c>
      <c r="AL329" s="291"/>
      <c r="AM329" s="292"/>
      <c r="AN329" s="160"/>
    </row>
    <row r="330" spans="1:40" ht="60" x14ac:dyDescent="0.25">
      <c r="A330" s="84">
        <f t="shared" si="190"/>
        <v>3</v>
      </c>
      <c r="B330" s="198">
        <v>325</v>
      </c>
      <c r="C330" s="51" t="s">
        <v>761</v>
      </c>
      <c r="D330" s="64" t="s">
        <v>1048</v>
      </c>
      <c r="E330" s="60" t="s">
        <v>762</v>
      </c>
      <c r="F330" s="17">
        <v>1</v>
      </c>
      <c r="G330" s="17"/>
      <c r="H330" s="89" t="s">
        <v>763</v>
      </c>
      <c r="I330" s="126">
        <v>75744</v>
      </c>
      <c r="J330" s="121">
        <f t="shared" si="191"/>
        <v>14391.36</v>
      </c>
      <c r="K330" s="130">
        <f t="shared" si="192"/>
        <v>90135.360000000001</v>
      </c>
      <c r="L330" s="121">
        <f t="shared" si="193"/>
        <v>75744</v>
      </c>
      <c r="M330" s="122">
        <f t="shared" si="194"/>
        <v>90135.360000000001</v>
      </c>
      <c r="N330" s="123">
        <v>78867.914000000004</v>
      </c>
      <c r="O330" s="121">
        <f t="shared" si="195"/>
        <v>14984.903660000002</v>
      </c>
      <c r="P330" s="110">
        <f t="shared" si="196"/>
        <v>93852.817660000001</v>
      </c>
      <c r="Q330" s="121">
        <f t="shared" si="197"/>
        <v>78867.914000000004</v>
      </c>
      <c r="R330" s="124">
        <f t="shared" si="198"/>
        <v>93852.817660000001</v>
      </c>
      <c r="S330" s="125">
        <v>73640</v>
      </c>
      <c r="T330" s="121">
        <f t="shared" si="199"/>
        <v>13991.6</v>
      </c>
      <c r="U330" s="110">
        <f t="shared" si="200"/>
        <v>87631.6</v>
      </c>
      <c r="V330" s="121">
        <f t="shared" si="201"/>
        <v>73640</v>
      </c>
      <c r="W330" s="122">
        <f t="shared" si="202"/>
        <v>87631.6</v>
      </c>
      <c r="X330" s="108"/>
      <c r="Y330" s="121">
        <f t="shared" si="213"/>
        <v>0</v>
      </c>
      <c r="Z330" s="121">
        <f t="shared" si="214"/>
        <v>0</v>
      </c>
      <c r="AA330" s="121">
        <f t="shared" si="203"/>
        <v>0</v>
      </c>
      <c r="AB330" s="124">
        <f t="shared" si="215"/>
        <v>0</v>
      </c>
      <c r="AC330" s="126">
        <f t="shared" si="204"/>
        <v>76084</v>
      </c>
      <c r="AD330" s="101">
        <f t="shared" si="216"/>
        <v>57063</v>
      </c>
      <c r="AE330" s="127">
        <f t="shared" si="205"/>
        <v>2147.782822426474</v>
      </c>
      <c r="AF330" s="128">
        <f t="shared" si="217"/>
        <v>2.8229099711193865E-2</v>
      </c>
      <c r="AG330" s="129">
        <f t="shared" si="206"/>
        <v>75744</v>
      </c>
      <c r="AH330" s="101">
        <f t="shared" si="218"/>
        <v>74692</v>
      </c>
      <c r="AI330" s="130">
        <f t="shared" si="219"/>
        <v>2147.782822426474</v>
      </c>
      <c r="AJ330" s="159">
        <f t="shared" si="220"/>
        <v>2.8355814618009005E-2</v>
      </c>
      <c r="AK330" s="290" t="s">
        <v>1034</v>
      </c>
      <c r="AL330" s="291"/>
      <c r="AM330" s="292"/>
      <c r="AN330" s="160"/>
    </row>
    <row r="331" spans="1:40" ht="75.75" thickBot="1" x14ac:dyDescent="0.3">
      <c r="A331" s="84">
        <f t="shared" si="190"/>
        <v>3</v>
      </c>
      <c r="B331" s="198">
        <v>326</v>
      </c>
      <c r="C331" s="51" t="s">
        <v>757</v>
      </c>
      <c r="D331" s="64" t="s">
        <v>1048</v>
      </c>
      <c r="E331" s="60" t="s">
        <v>759</v>
      </c>
      <c r="F331" s="17">
        <v>1</v>
      </c>
      <c r="G331" s="17"/>
      <c r="H331" s="89" t="s">
        <v>376</v>
      </c>
      <c r="I331" s="126">
        <v>547040</v>
      </c>
      <c r="J331" s="121">
        <f t="shared" si="191"/>
        <v>103937.60000000001</v>
      </c>
      <c r="K331" s="130">
        <f t="shared" si="192"/>
        <v>650977.6</v>
      </c>
      <c r="L331" s="121">
        <f t="shared" si="193"/>
        <v>547040</v>
      </c>
      <c r="M331" s="122">
        <f t="shared" si="194"/>
        <v>650977.6</v>
      </c>
      <c r="N331" s="123">
        <v>561861.10200000007</v>
      </c>
      <c r="O331" s="121">
        <f t="shared" si="195"/>
        <v>106753.60938000001</v>
      </c>
      <c r="P331" s="110">
        <f t="shared" si="196"/>
        <v>668614.71138000011</v>
      </c>
      <c r="Q331" s="121">
        <f t="shared" si="197"/>
        <v>561861.10200000007</v>
      </c>
      <c r="R331" s="124">
        <f t="shared" si="198"/>
        <v>668614.71138000011</v>
      </c>
      <c r="S331" s="125">
        <v>568080</v>
      </c>
      <c r="T331" s="121">
        <f t="shared" si="199"/>
        <v>107935.2</v>
      </c>
      <c r="U331" s="110">
        <f t="shared" si="200"/>
        <v>676015.2</v>
      </c>
      <c r="V331" s="121">
        <f t="shared" si="201"/>
        <v>568080</v>
      </c>
      <c r="W331" s="122">
        <f t="shared" si="202"/>
        <v>676015.2</v>
      </c>
      <c r="X331" s="108"/>
      <c r="Y331" s="121">
        <f t="shared" si="213"/>
        <v>0</v>
      </c>
      <c r="Z331" s="121">
        <f t="shared" si="214"/>
        <v>0</v>
      </c>
      <c r="AA331" s="121">
        <f t="shared" si="203"/>
        <v>0</v>
      </c>
      <c r="AB331" s="124">
        <f t="shared" si="215"/>
        <v>0</v>
      </c>
      <c r="AC331" s="126">
        <f t="shared" si="204"/>
        <v>558994</v>
      </c>
      <c r="AD331" s="110">
        <f>AC331*F331</f>
        <v>558994</v>
      </c>
      <c r="AE331" s="127">
        <f t="shared" si="205"/>
        <v>8825.6026349404437</v>
      </c>
      <c r="AF331" s="128">
        <f t="shared" si="217"/>
        <v>1.5788367379507551E-2</v>
      </c>
      <c r="AG331" s="129">
        <f t="shared" si="206"/>
        <v>561861</v>
      </c>
      <c r="AH331" s="130">
        <f>AG331*F331</f>
        <v>561861</v>
      </c>
      <c r="AI331" s="130">
        <f t="shared" si="219"/>
        <v>8825.6026349404437</v>
      </c>
      <c r="AJ331" s="159">
        <f t="shared" si="220"/>
        <v>1.5707804305585268E-2</v>
      </c>
      <c r="AK331" s="290" t="s">
        <v>1034</v>
      </c>
      <c r="AL331" s="291"/>
      <c r="AM331" s="292"/>
      <c r="AN331" s="160"/>
    </row>
    <row r="332" spans="1:40" ht="60.75" thickBot="1" x14ac:dyDescent="0.3">
      <c r="A332" s="84">
        <f t="shared" si="190"/>
        <v>3</v>
      </c>
      <c r="B332" s="198">
        <v>327</v>
      </c>
      <c r="C332" s="51" t="s">
        <v>761</v>
      </c>
      <c r="D332" s="64" t="s">
        <v>1048</v>
      </c>
      <c r="E332" s="60" t="s">
        <v>764</v>
      </c>
      <c r="F332" s="17">
        <v>1</v>
      </c>
      <c r="G332" s="17"/>
      <c r="H332" s="89" t="s">
        <v>763</v>
      </c>
      <c r="I332" s="126">
        <v>81004</v>
      </c>
      <c r="J332" s="121">
        <f t="shared" si="191"/>
        <v>15390.76</v>
      </c>
      <c r="K332" s="130">
        <f t="shared" si="192"/>
        <v>96394.76</v>
      </c>
      <c r="L332" s="121">
        <f t="shared" si="193"/>
        <v>81004</v>
      </c>
      <c r="M332" s="122">
        <f t="shared" si="194"/>
        <v>96394.76</v>
      </c>
      <c r="N332" s="123">
        <v>83634</v>
      </c>
      <c r="O332" s="121">
        <f t="shared" si="195"/>
        <v>15890.460000000001</v>
      </c>
      <c r="P332" s="110">
        <f t="shared" si="196"/>
        <v>99524.46</v>
      </c>
      <c r="Q332" s="121">
        <f t="shared" si="197"/>
        <v>83634</v>
      </c>
      <c r="R332" s="124">
        <f t="shared" si="198"/>
        <v>99524.46</v>
      </c>
      <c r="S332" s="125">
        <v>75744</v>
      </c>
      <c r="T332" s="121">
        <f t="shared" si="199"/>
        <v>14391.36</v>
      </c>
      <c r="U332" s="110">
        <f t="shared" si="200"/>
        <v>90135.360000000001</v>
      </c>
      <c r="V332" s="121">
        <f t="shared" si="201"/>
        <v>75744</v>
      </c>
      <c r="W332" s="122">
        <f t="shared" si="202"/>
        <v>90135.360000000001</v>
      </c>
      <c r="X332" s="108"/>
      <c r="Y332" s="121">
        <f t="shared" si="213"/>
        <v>0</v>
      </c>
      <c r="Z332" s="121">
        <f t="shared" si="214"/>
        <v>0</v>
      </c>
      <c r="AA332" s="121">
        <f t="shared" si="203"/>
        <v>0</v>
      </c>
      <c r="AB332" s="124">
        <f t="shared" si="215"/>
        <v>0</v>
      </c>
      <c r="AC332" s="126">
        <f t="shared" si="204"/>
        <v>80127</v>
      </c>
      <c r="AD332" s="101">
        <f t="shared" si="216"/>
        <v>60096</v>
      </c>
      <c r="AE332" s="127">
        <f t="shared" si="205"/>
        <v>3280.1863090718221</v>
      </c>
      <c r="AF332" s="128">
        <f t="shared" si="217"/>
        <v>4.0937340834822492E-2</v>
      </c>
      <c r="AG332" s="129">
        <f t="shared" si="206"/>
        <v>81004</v>
      </c>
      <c r="AH332" s="101">
        <f t="shared" si="218"/>
        <v>78374</v>
      </c>
      <c r="AI332" s="130">
        <f t="shared" si="219"/>
        <v>3280.1863090718221</v>
      </c>
      <c r="AJ332" s="159">
        <f t="shared" si="220"/>
        <v>4.0494127562488547E-2</v>
      </c>
      <c r="AK332" s="290" t="s">
        <v>1034</v>
      </c>
      <c r="AL332" s="291"/>
      <c r="AM332" s="292"/>
      <c r="AN332" s="160"/>
    </row>
    <row r="333" spans="1:40" ht="60.75" thickBot="1" x14ac:dyDescent="0.3">
      <c r="A333" s="84">
        <f t="shared" si="190"/>
        <v>3</v>
      </c>
      <c r="B333" s="198">
        <v>328</v>
      </c>
      <c r="C333" s="51" t="s">
        <v>761</v>
      </c>
      <c r="D333" s="64" t="s">
        <v>1048</v>
      </c>
      <c r="E333" s="60" t="s">
        <v>765</v>
      </c>
      <c r="F333" s="17">
        <v>1</v>
      </c>
      <c r="G333" s="17"/>
      <c r="H333" s="89" t="s">
        <v>763</v>
      </c>
      <c r="I333" s="126">
        <v>65224</v>
      </c>
      <c r="J333" s="121">
        <f t="shared" si="191"/>
        <v>12392.56</v>
      </c>
      <c r="K333" s="130">
        <f t="shared" si="192"/>
        <v>77616.56</v>
      </c>
      <c r="L333" s="121">
        <f t="shared" si="193"/>
        <v>65224</v>
      </c>
      <c r="M333" s="122">
        <f t="shared" si="194"/>
        <v>77616.56</v>
      </c>
      <c r="N333" s="123">
        <v>69338.898000000001</v>
      </c>
      <c r="O333" s="121">
        <f t="shared" si="195"/>
        <v>13174.39062</v>
      </c>
      <c r="P333" s="110">
        <f t="shared" si="196"/>
        <v>82513.288620000007</v>
      </c>
      <c r="Q333" s="121">
        <f t="shared" si="197"/>
        <v>69338.898000000001</v>
      </c>
      <c r="R333" s="124">
        <f t="shared" si="198"/>
        <v>82513.288620000007</v>
      </c>
      <c r="S333" s="125">
        <v>63120</v>
      </c>
      <c r="T333" s="121">
        <f t="shared" si="199"/>
        <v>11992.8</v>
      </c>
      <c r="U333" s="110">
        <f t="shared" si="200"/>
        <v>75112.800000000003</v>
      </c>
      <c r="V333" s="121">
        <f t="shared" si="201"/>
        <v>63120</v>
      </c>
      <c r="W333" s="122">
        <f t="shared" si="202"/>
        <v>75112.800000000003</v>
      </c>
      <c r="X333" s="108"/>
      <c r="Y333" s="121">
        <f t="shared" si="213"/>
        <v>0</v>
      </c>
      <c r="Z333" s="121">
        <f t="shared" si="214"/>
        <v>0</v>
      </c>
      <c r="AA333" s="121">
        <f t="shared" si="203"/>
        <v>0</v>
      </c>
      <c r="AB333" s="124">
        <f t="shared" si="215"/>
        <v>0</v>
      </c>
      <c r="AC333" s="126">
        <f t="shared" si="204"/>
        <v>65894</v>
      </c>
      <c r="AD333" s="101">
        <f t="shared" si="216"/>
        <v>49421</v>
      </c>
      <c r="AE333" s="127">
        <f t="shared" si="205"/>
        <v>2582.7180747939869</v>
      </c>
      <c r="AF333" s="128">
        <f t="shared" si="217"/>
        <v>3.919504165468763E-2</v>
      </c>
      <c r="AG333" s="129">
        <f t="shared" si="206"/>
        <v>65224</v>
      </c>
      <c r="AH333" s="101">
        <f t="shared" si="218"/>
        <v>64172</v>
      </c>
      <c r="AI333" s="130">
        <f t="shared" si="219"/>
        <v>2582.7180747939869</v>
      </c>
      <c r="AJ333" s="159">
        <f t="shared" si="220"/>
        <v>3.9597664583496672E-2</v>
      </c>
      <c r="AK333" s="290" t="s">
        <v>1034</v>
      </c>
      <c r="AL333" s="291"/>
      <c r="AM333" s="292"/>
      <c r="AN333" s="160"/>
    </row>
    <row r="334" spans="1:40" ht="75.75" thickBot="1" x14ac:dyDescent="0.3">
      <c r="A334" s="84">
        <f t="shared" si="190"/>
        <v>3</v>
      </c>
      <c r="B334" s="198">
        <v>329</v>
      </c>
      <c r="C334" s="51" t="s">
        <v>766</v>
      </c>
      <c r="D334" s="64" t="s">
        <v>1048</v>
      </c>
      <c r="E334" s="60" t="s">
        <v>767</v>
      </c>
      <c r="F334" s="17">
        <v>1</v>
      </c>
      <c r="G334" s="17"/>
      <c r="H334" s="89" t="s">
        <v>1050</v>
      </c>
      <c r="I334" s="126">
        <v>967840</v>
      </c>
      <c r="J334" s="121">
        <f t="shared" si="191"/>
        <v>183889.6</v>
      </c>
      <c r="K334" s="130">
        <f t="shared" si="192"/>
        <v>1151729.6000000001</v>
      </c>
      <c r="L334" s="121">
        <f t="shared" si="193"/>
        <v>967840</v>
      </c>
      <c r="M334" s="122">
        <f t="shared" si="194"/>
        <v>1151729.6000000001</v>
      </c>
      <c r="N334" s="123">
        <v>1044542.898</v>
      </c>
      <c r="O334" s="121">
        <f t="shared" si="195"/>
        <v>198463.15062</v>
      </c>
      <c r="P334" s="110">
        <f t="shared" si="196"/>
        <v>1243006.04862</v>
      </c>
      <c r="Q334" s="121">
        <f t="shared" si="197"/>
        <v>1044542.898</v>
      </c>
      <c r="R334" s="124">
        <f t="shared" si="198"/>
        <v>1243006.04862</v>
      </c>
      <c r="S334" s="125">
        <v>1262400</v>
      </c>
      <c r="T334" s="121">
        <f t="shared" si="199"/>
        <v>239856</v>
      </c>
      <c r="U334" s="110">
        <f t="shared" si="200"/>
        <v>1502256</v>
      </c>
      <c r="V334" s="121">
        <f t="shared" si="201"/>
        <v>1262400</v>
      </c>
      <c r="W334" s="122">
        <f t="shared" si="202"/>
        <v>1502256</v>
      </c>
      <c r="X334" s="108"/>
      <c r="Y334" s="121">
        <f t="shared" si="213"/>
        <v>0</v>
      </c>
      <c r="Z334" s="121">
        <f t="shared" si="214"/>
        <v>0</v>
      </c>
      <c r="AA334" s="121">
        <f t="shared" si="203"/>
        <v>0</v>
      </c>
      <c r="AB334" s="124">
        <f t="shared" si="215"/>
        <v>0</v>
      </c>
      <c r="AC334" s="126">
        <f t="shared" si="204"/>
        <v>1091594</v>
      </c>
      <c r="AD334" s="101">
        <f t="shared" si="216"/>
        <v>818696</v>
      </c>
      <c r="AE334" s="127">
        <f t="shared" si="205"/>
        <v>124771.1883825017</v>
      </c>
      <c r="AF334" s="128">
        <f t="shared" si="217"/>
        <v>0.11430182685366692</v>
      </c>
      <c r="AG334" s="129">
        <f t="shared" si="206"/>
        <v>1044543</v>
      </c>
      <c r="AH334" s="101">
        <f t="shared" si="218"/>
        <v>1006191</v>
      </c>
      <c r="AI334" s="130">
        <f t="shared" si="219"/>
        <v>124771.1883825017</v>
      </c>
      <c r="AJ334" s="159">
        <f t="shared" si="220"/>
        <v>0.11945050455797579</v>
      </c>
      <c r="AK334" s="290" t="s">
        <v>1034</v>
      </c>
      <c r="AL334" s="291"/>
      <c r="AM334" s="292"/>
      <c r="AN334" s="160"/>
    </row>
    <row r="335" spans="1:40" ht="45.75" thickBot="1" x14ac:dyDescent="0.3">
      <c r="A335" s="84">
        <f t="shared" si="190"/>
        <v>3</v>
      </c>
      <c r="B335" s="198">
        <v>330</v>
      </c>
      <c r="C335" s="51" t="s">
        <v>768</v>
      </c>
      <c r="D335" s="204" t="s">
        <v>1044</v>
      </c>
      <c r="E335" s="60" t="s">
        <v>769</v>
      </c>
      <c r="F335" s="17">
        <v>1</v>
      </c>
      <c r="G335" s="17"/>
      <c r="H335" s="89" t="s">
        <v>28</v>
      </c>
      <c r="I335" s="126">
        <v>3156000</v>
      </c>
      <c r="J335" s="121">
        <f t="shared" si="191"/>
        <v>599640</v>
      </c>
      <c r="K335" s="130">
        <f t="shared" si="192"/>
        <v>3755640</v>
      </c>
      <c r="L335" s="121">
        <f t="shared" si="193"/>
        <v>3156000</v>
      </c>
      <c r="M335" s="122">
        <f t="shared" si="194"/>
        <v>3755640</v>
      </c>
      <c r="N335" s="123">
        <v>3156000</v>
      </c>
      <c r="O335" s="121">
        <f t="shared" si="195"/>
        <v>599640</v>
      </c>
      <c r="P335" s="110">
        <f t="shared" si="196"/>
        <v>3755640</v>
      </c>
      <c r="Q335" s="121">
        <f t="shared" si="197"/>
        <v>3156000</v>
      </c>
      <c r="R335" s="124">
        <f t="shared" si="198"/>
        <v>3755640</v>
      </c>
      <c r="S335" s="125">
        <v>3156000</v>
      </c>
      <c r="T335" s="121">
        <f t="shared" si="199"/>
        <v>599640</v>
      </c>
      <c r="U335" s="110">
        <f t="shared" si="200"/>
        <v>3755640</v>
      </c>
      <c r="V335" s="121">
        <f t="shared" si="201"/>
        <v>3156000</v>
      </c>
      <c r="W335" s="122">
        <f t="shared" si="202"/>
        <v>3755640</v>
      </c>
      <c r="X335" s="108"/>
      <c r="Y335" s="121">
        <f t="shared" si="213"/>
        <v>0</v>
      </c>
      <c r="Z335" s="121">
        <f t="shared" si="214"/>
        <v>0</v>
      </c>
      <c r="AA335" s="121">
        <f t="shared" si="203"/>
        <v>0</v>
      </c>
      <c r="AB335" s="124">
        <f t="shared" si="215"/>
        <v>0</v>
      </c>
      <c r="AC335" s="126">
        <f t="shared" si="204"/>
        <v>3156000</v>
      </c>
      <c r="AD335" s="101">
        <f t="shared" si="216"/>
        <v>2367000</v>
      </c>
      <c r="AE335" s="127">
        <f t="shared" si="205"/>
        <v>0</v>
      </c>
      <c r="AF335" s="128">
        <f t="shared" si="217"/>
        <v>0</v>
      </c>
      <c r="AG335" s="129">
        <f t="shared" si="206"/>
        <v>3156000</v>
      </c>
      <c r="AH335" s="101">
        <f t="shared" si="218"/>
        <v>3156000</v>
      </c>
      <c r="AI335" s="130">
        <f t="shared" si="219"/>
        <v>0</v>
      </c>
      <c r="AJ335" s="159">
        <f t="shared" si="220"/>
        <v>0</v>
      </c>
      <c r="AK335" s="290" t="s">
        <v>1034</v>
      </c>
      <c r="AL335" s="291"/>
      <c r="AM335" s="292"/>
      <c r="AN335" s="160"/>
    </row>
    <row r="336" spans="1:40" ht="45.75" thickBot="1" x14ac:dyDescent="0.3">
      <c r="A336" s="84">
        <f t="shared" si="190"/>
        <v>3</v>
      </c>
      <c r="B336" s="198">
        <v>331</v>
      </c>
      <c r="C336" s="51" t="s">
        <v>768</v>
      </c>
      <c r="D336" s="204" t="s">
        <v>1044</v>
      </c>
      <c r="E336" s="60" t="s">
        <v>770</v>
      </c>
      <c r="F336" s="17">
        <v>1</v>
      </c>
      <c r="G336" s="17"/>
      <c r="H336" s="89" t="s">
        <v>28</v>
      </c>
      <c r="I336" s="126">
        <v>5260000</v>
      </c>
      <c r="J336" s="121">
        <f t="shared" si="191"/>
        <v>999400</v>
      </c>
      <c r="K336" s="130">
        <f t="shared" si="192"/>
        <v>6259400</v>
      </c>
      <c r="L336" s="121">
        <f t="shared" si="193"/>
        <v>5260000</v>
      </c>
      <c r="M336" s="122">
        <f t="shared" si="194"/>
        <v>6259400</v>
      </c>
      <c r="N336" s="123">
        <v>6312000</v>
      </c>
      <c r="O336" s="121">
        <f t="shared" si="195"/>
        <v>1199280</v>
      </c>
      <c r="P336" s="110">
        <f t="shared" si="196"/>
        <v>7511280</v>
      </c>
      <c r="Q336" s="121">
        <f t="shared" si="197"/>
        <v>6312000</v>
      </c>
      <c r="R336" s="124">
        <f t="shared" si="198"/>
        <v>7511280</v>
      </c>
      <c r="S336" s="125">
        <v>5260000</v>
      </c>
      <c r="T336" s="121">
        <f t="shared" si="199"/>
        <v>999400</v>
      </c>
      <c r="U336" s="110">
        <f t="shared" si="200"/>
        <v>6259400</v>
      </c>
      <c r="V336" s="121">
        <f t="shared" si="201"/>
        <v>5260000</v>
      </c>
      <c r="W336" s="122">
        <f t="shared" si="202"/>
        <v>6259400</v>
      </c>
      <c r="X336" s="108"/>
      <c r="Y336" s="121">
        <f t="shared" si="213"/>
        <v>0</v>
      </c>
      <c r="Z336" s="121">
        <f t="shared" si="214"/>
        <v>0</v>
      </c>
      <c r="AA336" s="121">
        <f t="shared" si="203"/>
        <v>0</v>
      </c>
      <c r="AB336" s="124">
        <f t="shared" si="215"/>
        <v>0</v>
      </c>
      <c r="AC336" s="126">
        <f t="shared" si="204"/>
        <v>5610667</v>
      </c>
      <c r="AD336" s="101">
        <f t="shared" si="216"/>
        <v>4208000</v>
      </c>
      <c r="AE336" s="127">
        <f t="shared" si="205"/>
        <v>495917.55587216537</v>
      </c>
      <c r="AF336" s="128">
        <f t="shared" si="217"/>
        <v>8.8388342397109895E-2</v>
      </c>
      <c r="AG336" s="129">
        <f t="shared" si="206"/>
        <v>5260000</v>
      </c>
      <c r="AH336" s="101">
        <f t="shared" si="218"/>
        <v>5260000</v>
      </c>
      <c r="AI336" s="130">
        <f t="shared" si="219"/>
        <v>495917.55587216537</v>
      </c>
      <c r="AJ336" s="159">
        <f t="shared" si="220"/>
        <v>9.428090415820635E-2</v>
      </c>
      <c r="AK336" s="290" t="s">
        <v>1034</v>
      </c>
      <c r="AL336" s="291"/>
      <c r="AM336" s="292"/>
      <c r="AN336" s="160"/>
    </row>
    <row r="337" spans="1:40" ht="45.75" thickBot="1" x14ac:dyDescent="0.3">
      <c r="A337" s="84">
        <f t="shared" si="190"/>
        <v>3</v>
      </c>
      <c r="B337" s="198">
        <v>332</v>
      </c>
      <c r="C337" s="51" t="s">
        <v>768</v>
      </c>
      <c r="D337" s="204" t="s">
        <v>1044</v>
      </c>
      <c r="E337" s="60" t="s">
        <v>771</v>
      </c>
      <c r="F337" s="17">
        <v>1</v>
      </c>
      <c r="G337" s="17"/>
      <c r="H337" s="89" t="s">
        <v>28</v>
      </c>
      <c r="I337" s="126">
        <v>10520000</v>
      </c>
      <c r="J337" s="121">
        <f t="shared" si="191"/>
        <v>1998800</v>
      </c>
      <c r="K337" s="130">
        <f t="shared" si="192"/>
        <v>12518800</v>
      </c>
      <c r="L337" s="121">
        <f t="shared" si="193"/>
        <v>10520000</v>
      </c>
      <c r="M337" s="122">
        <f t="shared" si="194"/>
        <v>12518800</v>
      </c>
      <c r="N337" s="123">
        <v>12624000</v>
      </c>
      <c r="O337" s="121">
        <f t="shared" si="195"/>
        <v>2398560</v>
      </c>
      <c r="P337" s="110">
        <f t="shared" si="196"/>
        <v>15022560</v>
      </c>
      <c r="Q337" s="121">
        <f t="shared" si="197"/>
        <v>12624000</v>
      </c>
      <c r="R337" s="124">
        <f t="shared" si="198"/>
        <v>15022560</v>
      </c>
      <c r="S337" s="125">
        <v>10520000</v>
      </c>
      <c r="T337" s="121">
        <f t="shared" si="199"/>
        <v>1998800</v>
      </c>
      <c r="U337" s="110">
        <f t="shared" si="200"/>
        <v>12518800</v>
      </c>
      <c r="V337" s="121">
        <f t="shared" si="201"/>
        <v>10520000</v>
      </c>
      <c r="W337" s="122">
        <f t="shared" si="202"/>
        <v>12518800</v>
      </c>
      <c r="X337" s="108"/>
      <c r="Y337" s="121">
        <f t="shared" si="213"/>
        <v>0</v>
      </c>
      <c r="Z337" s="121">
        <f t="shared" si="214"/>
        <v>0</v>
      </c>
      <c r="AA337" s="121">
        <f t="shared" si="203"/>
        <v>0</v>
      </c>
      <c r="AB337" s="124">
        <f t="shared" si="215"/>
        <v>0</v>
      </c>
      <c r="AC337" s="126">
        <f t="shared" si="204"/>
        <v>11221333</v>
      </c>
      <c r="AD337" s="101">
        <f t="shared" si="216"/>
        <v>8416000</v>
      </c>
      <c r="AE337" s="127">
        <f t="shared" si="205"/>
        <v>991835.11174433073</v>
      </c>
      <c r="AF337" s="128">
        <f t="shared" si="217"/>
        <v>8.8388350273922958E-2</v>
      </c>
      <c r="AG337" s="129">
        <f t="shared" si="206"/>
        <v>10520000</v>
      </c>
      <c r="AH337" s="101">
        <f t="shared" si="218"/>
        <v>10520000</v>
      </c>
      <c r="AI337" s="130">
        <f t="shared" si="219"/>
        <v>991835.11174433073</v>
      </c>
      <c r="AJ337" s="159">
        <f t="shared" si="220"/>
        <v>9.428090415820635E-2</v>
      </c>
      <c r="AK337" s="290" t="s">
        <v>1034</v>
      </c>
      <c r="AL337" s="291"/>
      <c r="AM337" s="292"/>
      <c r="AN337" s="160"/>
    </row>
    <row r="338" spans="1:40" ht="75.75" thickBot="1" x14ac:dyDescent="0.3">
      <c r="A338" s="84">
        <f t="shared" si="190"/>
        <v>3</v>
      </c>
      <c r="B338" s="198">
        <v>333</v>
      </c>
      <c r="C338" s="51" t="s">
        <v>772</v>
      </c>
      <c r="D338" s="204" t="s">
        <v>1044</v>
      </c>
      <c r="E338" s="60" t="s">
        <v>773</v>
      </c>
      <c r="F338" s="17">
        <v>1</v>
      </c>
      <c r="G338" s="17"/>
      <c r="H338" s="89" t="s">
        <v>28</v>
      </c>
      <c r="I338" s="126">
        <v>526000</v>
      </c>
      <c r="J338" s="121">
        <f t="shared" si="191"/>
        <v>99940</v>
      </c>
      <c r="K338" s="130">
        <f t="shared" si="192"/>
        <v>625940</v>
      </c>
      <c r="L338" s="121">
        <f t="shared" si="193"/>
        <v>526000</v>
      </c>
      <c r="M338" s="122">
        <f t="shared" si="194"/>
        <v>625940</v>
      </c>
      <c r="N338" s="123">
        <v>631200</v>
      </c>
      <c r="O338" s="121">
        <f t="shared" si="195"/>
        <v>119928</v>
      </c>
      <c r="P338" s="110">
        <f t="shared" si="196"/>
        <v>751128</v>
      </c>
      <c r="Q338" s="121">
        <f t="shared" si="197"/>
        <v>631200</v>
      </c>
      <c r="R338" s="124">
        <f t="shared" si="198"/>
        <v>751128</v>
      </c>
      <c r="S338" s="125">
        <v>631200</v>
      </c>
      <c r="T338" s="121">
        <f t="shared" si="199"/>
        <v>119928</v>
      </c>
      <c r="U338" s="110">
        <f t="shared" si="200"/>
        <v>751128</v>
      </c>
      <c r="V338" s="121">
        <f t="shared" si="201"/>
        <v>631200</v>
      </c>
      <c r="W338" s="122">
        <f t="shared" si="202"/>
        <v>751128</v>
      </c>
      <c r="X338" s="108"/>
      <c r="Y338" s="121">
        <f t="shared" si="213"/>
        <v>0</v>
      </c>
      <c r="Z338" s="121">
        <f t="shared" si="214"/>
        <v>0</v>
      </c>
      <c r="AA338" s="121">
        <f t="shared" si="203"/>
        <v>0</v>
      </c>
      <c r="AB338" s="124">
        <f t="shared" si="215"/>
        <v>0</v>
      </c>
      <c r="AC338" s="126">
        <f t="shared" si="204"/>
        <v>596133</v>
      </c>
      <c r="AD338" s="101">
        <f t="shared" si="216"/>
        <v>447100</v>
      </c>
      <c r="AE338" s="127">
        <f t="shared" si="205"/>
        <v>49591.755587216532</v>
      </c>
      <c r="AF338" s="128">
        <f t="shared" si="217"/>
        <v>8.3189079596694915E-2</v>
      </c>
      <c r="AG338" s="129">
        <f t="shared" si="206"/>
        <v>631200</v>
      </c>
      <c r="AH338" s="101">
        <f t="shared" si="218"/>
        <v>578600</v>
      </c>
      <c r="AI338" s="130">
        <f t="shared" si="219"/>
        <v>49591.755587216532</v>
      </c>
      <c r="AJ338" s="159">
        <f t="shared" si="220"/>
        <v>7.8567420131838608E-2</v>
      </c>
      <c r="AK338" s="290" t="s">
        <v>1034</v>
      </c>
      <c r="AL338" s="291"/>
      <c r="AM338" s="292"/>
      <c r="AN338" s="160"/>
    </row>
    <row r="339" spans="1:40" ht="45.75" thickBot="1" x14ac:dyDescent="0.3">
      <c r="A339" s="84">
        <f t="shared" si="190"/>
        <v>3</v>
      </c>
      <c r="B339" s="198">
        <v>334</v>
      </c>
      <c r="C339" s="51" t="s">
        <v>774</v>
      </c>
      <c r="D339" s="204" t="s">
        <v>1044</v>
      </c>
      <c r="E339" s="60" t="s">
        <v>775</v>
      </c>
      <c r="F339" s="17">
        <v>1</v>
      </c>
      <c r="G339" s="17"/>
      <c r="H339" s="89" t="s">
        <v>28</v>
      </c>
      <c r="I339" s="126">
        <v>6838000</v>
      </c>
      <c r="J339" s="121">
        <f t="shared" si="191"/>
        <v>1299220</v>
      </c>
      <c r="K339" s="130">
        <f t="shared" si="192"/>
        <v>8137220</v>
      </c>
      <c r="L339" s="121">
        <f t="shared" si="193"/>
        <v>6838000</v>
      </c>
      <c r="M339" s="122">
        <f t="shared" si="194"/>
        <v>8137220</v>
      </c>
      <c r="N339" s="123">
        <v>6838000</v>
      </c>
      <c r="O339" s="121">
        <f t="shared" si="195"/>
        <v>1299220</v>
      </c>
      <c r="P339" s="110">
        <f t="shared" si="196"/>
        <v>8137220</v>
      </c>
      <c r="Q339" s="121">
        <f t="shared" si="197"/>
        <v>6838000</v>
      </c>
      <c r="R339" s="124">
        <f t="shared" si="198"/>
        <v>8137220</v>
      </c>
      <c r="S339" s="125">
        <v>6838000</v>
      </c>
      <c r="T339" s="121">
        <f t="shared" si="199"/>
        <v>1299220</v>
      </c>
      <c r="U339" s="110">
        <f t="shared" si="200"/>
        <v>8137220</v>
      </c>
      <c r="V339" s="121">
        <f t="shared" si="201"/>
        <v>6838000</v>
      </c>
      <c r="W339" s="122">
        <f t="shared" si="202"/>
        <v>8137220</v>
      </c>
      <c r="X339" s="108"/>
      <c r="Y339" s="121">
        <f t="shared" si="213"/>
        <v>0</v>
      </c>
      <c r="Z339" s="121">
        <f t="shared" si="214"/>
        <v>0</v>
      </c>
      <c r="AA339" s="121">
        <f t="shared" si="203"/>
        <v>0</v>
      </c>
      <c r="AB339" s="124">
        <f t="shared" si="215"/>
        <v>0</v>
      </c>
      <c r="AC339" s="126">
        <f t="shared" si="204"/>
        <v>6838000</v>
      </c>
      <c r="AD339" s="101">
        <f t="shared" si="216"/>
        <v>5128500</v>
      </c>
      <c r="AE339" s="127">
        <f t="shared" si="205"/>
        <v>0</v>
      </c>
      <c r="AF339" s="128">
        <f t="shared" si="217"/>
        <v>0</v>
      </c>
      <c r="AG339" s="129">
        <f t="shared" si="206"/>
        <v>6838000</v>
      </c>
      <c r="AH339" s="101">
        <f t="shared" si="218"/>
        <v>6838000</v>
      </c>
      <c r="AI339" s="130">
        <f t="shared" si="219"/>
        <v>0</v>
      </c>
      <c r="AJ339" s="159">
        <f t="shared" si="220"/>
        <v>0</v>
      </c>
      <c r="AK339" s="290" t="s">
        <v>1034</v>
      </c>
      <c r="AL339" s="291"/>
      <c r="AM339" s="292"/>
      <c r="AN339" s="160"/>
    </row>
    <row r="340" spans="1:40" ht="45.75" thickBot="1" x14ac:dyDescent="0.3">
      <c r="A340" s="84">
        <f t="shared" si="190"/>
        <v>3</v>
      </c>
      <c r="B340" s="198">
        <v>335</v>
      </c>
      <c r="C340" s="51" t="s">
        <v>774</v>
      </c>
      <c r="D340" s="204" t="s">
        <v>1044</v>
      </c>
      <c r="E340" s="60" t="s">
        <v>776</v>
      </c>
      <c r="F340" s="17">
        <v>1</v>
      </c>
      <c r="G340" s="17"/>
      <c r="H340" s="89" t="s">
        <v>28</v>
      </c>
      <c r="I340" s="126">
        <v>8942000</v>
      </c>
      <c r="J340" s="121">
        <f t="shared" si="191"/>
        <v>1698980</v>
      </c>
      <c r="K340" s="130">
        <f t="shared" si="192"/>
        <v>10640980</v>
      </c>
      <c r="L340" s="121">
        <f t="shared" si="193"/>
        <v>8942000</v>
      </c>
      <c r="M340" s="122">
        <f t="shared" si="194"/>
        <v>10640980</v>
      </c>
      <c r="N340" s="123">
        <v>8942000</v>
      </c>
      <c r="O340" s="121">
        <f t="shared" si="195"/>
        <v>1698980</v>
      </c>
      <c r="P340" s="110">
        <f t="shared" si="196"/>
        <v>10640980</v>
      </c>
      <c r="Q340" s="121">
        <f t="shared" si="197"/>
        <v>8942000</v>
      </c>
      <c r="R340" s="124">
        <f t="shared" si="198"/>
        <v>10640980</v>
      </c>
      <c r="S340" s="125">
        <v>8942000</v>
      </c>
      <c r="T340" s="121">
        <f t="shared" si="199"/>
        <v>1698980</v>
      </c>
      <c r="U340" s="110">
        <f t="shared" si="200"/>
        <v>10640980</v>
      </c>
      <c r="V340" s="121">
        <f t="shared" si="201"/>
        <v>8942000</v>
      </c>
      <c r="W340" s="122">
        <f t="shared" si="202"/>
        <v>10640980</v>
      </c>
      <c r="X340" s="108"/>
      <c r="Y340" s="121">
        <f t="shared" si="213"/>
        <v>0</v>
      </c>
      <c r="Z340" s="121">
        <f t="shared" si="214"/>
        <v>0</v>
      </c>
      <c r="AA340" s="121">
        <f t="shared" si="203"/>
        <v>0</v>
      </c>
      <c r="AB340" s="124">
        <f t="shared" si="215"/>
        <v>0</v>
      </c>
      <c r="AC340" s="126">
        <f t="shared" si="204"/>
        <v>8942000</v>
      </c>
      <c r="AD340" s="101">
        <f t="shared" si="216"/>
        <v>6706500</v>
      </c>
      <c r="AE340" s="127">
        <f t="shared" si="205"/>
        <v>0</v>
      </c>
      <c r="AF340" s="128">
        <f t="shared" si="217"/>
        <v>0</v>
      </c>
      <c r="AG340" s="129">
        <f t="shared" si="206"/>
        <v>8942000</v>
      </c>
      <c r="AH340" s="101">
        <f t="shared" si="218"/>
        <v>8942000</v>
      </c>
      <c r="AI340" s="130">
        <f t="shared" si="219"/>
        <v>0</v>
      </c>
      <c r="AJ340" s="159">
        <f t="shared" si="220"/>
        <v>0</v>
      </c>
      <c r="AK340" s="290" t="s">
        <v>1034</v>
      </c>
      <c r="AL340" s="291"/>
      <c r="AM340" s="292"/>
      <c r="AN340" s="160"/>
    </row>
    <row r="341" spans="1:40" ht="45.75" thickBot="1" x14ac:dyDescent="0.3">
      <c r="A341" s="84">
        <f t="shared" si="190"/>
        <v>3</v>
      </c>
      <c r="B341" s="198">
        <v>336</v>
      </c>
      <c r="C341" s="51" t="s">
        <v>774</v>
      </c>
      <c r="D341" s="204" t="s">
        <v>1044</v>
      </c>
      <c r="E341" s="60" t="s">
        <v>777</v>
      </c>
      <c r="F341" s="17">
        <v>1</v>
      </c>
      <c r="G341" s="17"/>
      <c r="H341" s="89" t="s">
        <v>28</v>
      </c>
      <c r="I341" s="126">
        <v>14202000</v>
      </c>
      <c r="J341" s="121">
        <f t="shared" si="191"/>
        <v>2698380</v>
      </c>
      <c r="K341" s="130">
        <f t="shared" si="192"/>
        <v>16900380</v>
      </c>
      <c r="L341" s="121">
        <f t="shared" si="193"/>
        <v>14202000</v>
      </c>
      <c r="M341" s="122">
        <f t="shared" si="194"/>
        <v>16900380</v>
      </c>
      <c r="N341" s="123">
        <v>14202000</v>
      </c>
      <c r="O341" s="121">
        <f t="shared" si="195"/>
        <v>2698380</v>
      </c>
      <c r="P341" s="110">
        <f t="shared" si="196"/>
        <v>16900380</v>
      </c>
      <c r="Q341" s="121">
        <f t="shared" si="197"/>
        <v>14202000</v>
      </c>
      <c r="R341" s="124">
        <f t="shared" si="198"/>
        <v>16900380</v>
      </c>
      <c r="S341" s="125">
        <v>14202000</v>
      </c>
      <c r="T341" s="121">
        <f t="shared" si="199"/>
        <v>2698380</v>
      </c>
      <c r="U341" s="110">
        <f t="shared" si="200"/>
        <v>16900380</v>
      </c>
      <c r="V341" s="121">
        <f t="shared" si="201"/>
        <v>14202000</v>
      </c>
      <c r="W341" s="122">
        <f t="shared" si="202"/>
        <v>16900380</v>
      </c>
      <c r="X341" s="108"/>
      <c r="Y341" s="121">
        <f t="shared" si="213"/>
        <v>0</v>
      </c>
      <c r="Z341" s="121">
        <f t="shared" si="214"/>
        <v>0</v>
      </c>
      <c r="AA341" s="121">
        <f t="shared" si="203"/>
        <v>0</v>
      </c>
      <c r="AB341" s="124">
        <f t="shared" si="215"/>
        <v>0</v>
      </c>
      <c r="AC341" s="126">
        <f t="shared" si="204"/>
        <v>14202000</v>
      </c>
      <c r="AD341" s="101">
        <f t="shared" si="216"/>
        <v>10651500</v>
      </c>
      <c r="AE341" s="127">
        <f t="shared" si="205"/>
        <v>0</v>
      </c>
      <c r="AF341" s="128">
        <f t="shared" si="217"/>
        <v>0</v>
      </c>
      <c r="AG341" s="129">
        <f t="shared" si="206"/>
        <v>14202000</v>
      </c>
      <c r="AH341" s="101">
        <f t="shared" si="218"/>
        <v>14202000</v>
      </c>
      <c r="AI341" s="130">
        <f t="shared" si="219"/>
        <v>0</v>
      </c>
      <c r="AJ341" s="159">
        <f t="shared" si="220"/>
        <v>0</v>
      </c>
      <c r="AK341" s="290" t="s">
        <v>1034</v>
      </c>
      <c r="AL341" s="291"/>
      <c r="AM341" s="292"/>
      <c r="AN341" s="160"/>
    </row>
    <row r="342" spans="1:40" ht="45.75" thickBot="1" x14ac:dyDescent="0.3">
      <c r="A342" s="84">
        <f t="shared" si="190"/>
        <v>3</v>
      </c>
      <c r="B342" s="198">
        <v>337</v>
      </c>
      <c r="C342" s="51" t="s">
        <v>774</v>
      </c>
      <c r="D342" s="204" t="s">
        <v>1044</v>
      </c>
      <c r="E342" s="60" t="s">
        <v>778</v>
      </c>
      <c r="F342" s="17">
        <v>1</v>
      </c>
      <c r="G342" s="17"/>
      <c r="H342" s="89" t="s">
        <v>28</v>
      </c>
      <c r="I342" s="126">
        <v>51022000</v>
      </c>
      <c r="J342" s="121">
        <f t="shared" si="191"/>
        <v>9694180</v>
      </c>
      <c r="K342" s="130">
        <f t="shared" si="192"/>
        <v>60716180</v>
      </c>
      <c r="L342" s="121">
        <f t="shared" si="193"/>
        <v>51022000</v>
      </c>
      <c r="M342" s="122">
        <f t="shared" si="194"/>
        <v>60716180</v>
      </c>
      <c r="N342" s="123">
        <v>51022000</v>
      </c>
      <c r="O342" s="121">
        <f t="shared" si="195"/>
        <v>9694180</v>
      </c>
      <c r="P342" s="110">
        <f t="shared" si="196"/>
        <v>60716180</v>
      </c>
      <c r="Q342" s="121">
        <f t="shared" si="197"/>
        <v>51022000</v>
      </c>
      <c r="R342" s="124">
        <f t="shared" si="198"/>
        <v>60716180</v>
      </c>
      <c r="S342" s="125">
        <v>51022000</v>
      </c>
      <c r="T342" s="121">
        <f t="shared" si="199"/>
        <v>9694180</v>
      </c>
      <c r="U342" s="110">
        <f t="shared" si="200"/>
        <v>60716180</v>
      </c>
      <c r="V342" s="121">
        <f t="shared" si="201"/>
        <v>51022000</v>
      </c>
      <c r="W342" s="122">
        <f t="shared" si="202"/>
        <v>60716180</v>
      </c>
      <c r="X342" s="108"/>
      <c r="Y342" s="121">
        <f t="shared" si="213"/>
        <v>0</v>
      </c>
      <c r="Z342" s="121">
        <f t="shared" si="214"/>
        <v>0</v>
      </c>
      <c r="AA342" s="121">
        <f t="shared" si="203"/>
        <v>0</v>
      </c>
      <c r="AB342" s="124">
        <f t="shared" si="215"/>
        <v>0</v>
      </c>
      <c r="AC342" s="126">
        <f t="shared" si="204"/>
        <v>51022000</v>
      </c>
      <c r="AD342" s="101">
        <f t="shared" si="216"/>
        <v>38266500</v>
      </c>
      <c r="AE342" s="127">
        <f t="shared" si="205"/>
        <v>0</v>
      </c>
      <c r="AF342" s="128">
        <f t="shared" si="217"/>
        <v>0</v>
      </c>
      <c r="AG342" s="129">
        <f t="shared" si="206"/>
        <v>51022000</v>
      </c>
      <c r="AH342" s="101">
        <f t="shared" si="218"/>
        <v>51022000</v>
      </c>
      <c r="AI342" s="130">
        <f t="shared" si="219"/>
        <v>0</v>
      </c>
      <c r="AJ342" s="159">
        <f t="shared" si="220"/>
        <v>0</v>
      </c>
      <c r="AK342" s="290" t="s">
        <v>1034</v>
      </c>
      <c r="AL342" s="291"/>
      <c r="AM342" s="292"/>
      <c r="AN342" s="160"/>
    </row>
    <row r="343" spans="1:40" ht="30.75" thickBot="1" x14ac:dyDescent="0.3">
      <c r="A343" s="84">
        <f t="shared" si="190"/>
        <v>3</v>
      </c>
      <c r="B343" s="198">
        <v>338</v>
      </c>
      <c r="C343" s="51" t="s">
        <v>779</v>
      </c>
      <c r="D343" s="204" t="s">
        <v>1044</v>
      </c>
      <c r="E343" s="60" t="s">
        <v>780</v>
      </c>
      <c r="F343" s="17">
        <v>1</v>
      </c>
      <c r="G343" s="17"/>
      <c r="H343" s="89" t="s">
        <v>781</v>
      </c>
      <c r="I343" s="126">
        <v>10520000</v>
      </c>
      <c r="J343" s="121">
        <f t="shared" si="191"/>
        <v>1998800</v>
      </c>
      <c r="K343" s="130">
        <f t="shared" si="192"/>
        <v>12518800</v>
      </c>
      <c r="L343" s="121">
        <f t="shared" si="193"/>
        <v>10520000</v>
      </c>
      <c r="M343" s="122">
        <f t="shared" si="194"/>
        <v>12518800</v>
      </c>
      <c r="N343" s="123">
        <v>10520000</v>
      </c>
      <c r="O343" s="121">
        <f t="shared" si="195"/>
        <v>1998800</v>
      </c>
      <c r="P343" s="110">
        <f t="shared" si="196"/>
        <v>12518800</v>
      </c>
      <c r="Q343" s="121">
        <f t="shared" si="197"/>
        <v>10520000</v>
      </c>
      <c r="R343" s="124">
        <f t="shared" si="198"/>
        <v>12518800</v>
      </c>
      <c r="S343" s="125">
        <v>10520000</v>
      </c>
      <c r="T343" s="121">
        <f t="shared" si="199"/>
        <v>1998800</v>
      </c>
      <c r="U343" s="110">
        <f t="shared" si="200"/>
        <v>12518800</v>
      </c>
      <c r="V343" s="121">
        <f t="shared" si="201"/>
        <v>10520000</v>
      </c>
      <c r="W343" s="122">
        <f t="shared" si="202"/>
        <v>12518800</v>
      </c>
      <c r="X343" s="108"/>
      <c r="Y343" s="121">
        <f t="shared" si="213"/>
        <v>0</v>
      </c>
      <c r="Z343" s="121">
        <f t="shared" si="214"/>
        <v>0</v>
      </c>
      <c r="AA343" s="121">
        <f t="shared" si="203"/>
        <v>0</v>
      </c>
      <c r="AB343" s="124">
        <f t="shared" si="215"/>
        <v>0</v>
      </c>
      <c r="AC343" s="126">
        <f t="shared" si="204"/>
        <v>10520000</v>
      </c>
      <c r="AD343" s="101">
        <f t="shared" si="216"/>
        <v>7890000</v>
      </c>
      <c r="AE343" s="127">
        <f t="shared" si="205"/>
        <v>0</v>
      </c>
      <c r="AF343" s="128">
        <f t="shared" si="217"/>
        <v>0</v>
      </c>
      <c r="AG343" s="129">
        <f t="shared" si="206"/>
        <v>10520000</v>
      </c>
      <c r="AH343" s="101">
        <f t="shared" si="218"/>
        <v>10520000</v>
      </c>
      <c r="AI343" s="130">
        <f t="shared" si="219"/>
        <v>0</v>
      </c>
      <c r="AJ343" s="159">
        <f t="shared" si="220"/>
        <v>0</v>
      </c>
      <c r="AK343" s="290" t="s">
        <v>1034</v>
      </c>
      <c r="AL343" s="291"/>
      <c r="AM343" s="292"/>
      <c r="AN343" s="160"/>
    </row>
    <row r="344" spans="1:40" ht="45.75" thickBot="1" x14ac:dyDescent="0.3">
      <c r="A344" s="84">
        <f t="shared" si="190"/>
        <v>3</v>
      </c>
      <c r="B344" s="198">
        <v>339</v>
      </c>
      <c r="C344" s="51" t="s">
        <v>782</v>
      </c>
      <c r="D344" s="204" t="s">
        <v>1044</v>
      </c>
      <c r="E344" s="60" t="s">
        <v>783</v>
      </c>
      <c r="F344" s="17">
        <v>1</v>
      </c>
      <c r="G344" s="17"/>
      <c r="H344" s="89" t="s">
        <v>28</v>
      </c>
      <c r="I344" s="126">
        <v>2735200</v>
      </c>
      <c r="J344" s="121">
        <f t="shared" si="191"/>
        <v>519688</v>
      </c>
      <c r="K344" s="130">
        <f t="shared" si="192"/>
        <v>3254888</v>
      </c>
      <c r="L344" s="121">
        <f t="shared" si="193"/>
        <v>2735200</v>
      </c>
      <c r="M344" s="122">
        <f t="shared" si="194"/>
        <v>3254888</v>
      </c>
      <c r="N344" s="123">
        <v>2735200</v>
      </c>
      <c r="O344" s="121">
        <f t="shared" si="195"/>
        <v>519688</v>
      </c>
      <c r="P344" s="110">
        <f t="shared" si="196"/>
        <v>3254888</v>
      </c>
      <c r="Q344" s="121">
        <f t="shared" si="197"/>
        <v>2735200</v>
      </c>
      <c r="R344" s="124">
        <f t="shared" si="198"/>
        <v>3254888</v>
      </c>
      <c r="S344" s="125">
        <v>2735200</v>
      </c>
      <c r="T344" s="121">
        <f t="shared" si="199"/>
        <v>519688</v>
      </c>
      <c r="U344" s="110">
        <f t="shared" si="200"/>
        <v>3254888</v>
      </c>
      <c r="V344" s="121">
        <f t="shared" si="201"/>
        <v>2735200</v>
      </c>
      <c r="W344" s="122">
        <f t="shared" si="202"/>
        <v>3254888</v>
      </c>
      <c r="X344" s="108"/>
      <c r="Y344" s="121">
        <f t="shared" si="213"/>
        <v>0</v>
      </c>
      <c r="Z344" s="121">
        <f t="shared" si="214"/>
        <v>0</v>
      </c>
      <c r="AA344" s="121">
        <f t="shared" si="203"/>
        <v>0</v>
      </c>
      <c r="AB344" s="124">
        <f t="shared" si="215"/>
        <v>0</v>
      </c>
      <c r="AC344" s="126">
        <f t="shared" si="204"/>
        <v>2735200</v>
      </c>
      <c r="AD344" s="101">
        <f t="shared" si="216"/>
        <v>2051400</v>
      </c>
      <c r="AE344" s="127">
        <f t="shared" si="205"/>
        <v>0</v>
      </c>
      <c r="AF344" s="128">
        <f t="shared" si="217"/>
        <v>0</v>
      </c>
      <c r="AG344" s="129">
        <f t="shared" si="206"/>
        <v>2735200</v>
      </c>
      <c r="AH344" s="101">
        <f t="shared" si="218"/>
        <v>2735200</v>
      </c>
      <c r="AI344" s="130">
        <f t="shared" si="219"/>
        <v>0</v>
      </c>
      <c r="AJ344" s="159">
        <f t="shared" si="220"/>
        <v>0</v>
      </c>
      <c r="AK344" s="290" t="s">
        <v>1034</v>
      </c>
      <c r="AL344" s="291"/>
      <c r="AM344" s="292"/>
      <c r="AN344" s="160"/>
    </row>
    <row r="345" spans="1:40" ht="45.75" thickBot="1" x14ac:dyDescent="0.3">
      <c r="A345" s="84">
        <f t="shared" si="190"/>
        <v>3</v>
      </c>
      <c r="B345" s="198">
        <v>340</v>
      </c>
      <c r="C345" s="51" t="s">
        <v>782</v>
      </c>
      <c r="D345" s="204" t="s">
        <v>1044</v>
      </c>
      <c r="E345" s="60" t="s">
        <v>784</v>
      </c>
      <c r="F345" s="17">
        <v>1</v>
      </c>
      <c r="G345" s="17"/>
      <c r="H345" s="89" t="s">
        <v>28</v>
      </c>
      <c r="I345" s="126">
        <v>3682000</v>
      </c>
      <c r="J345" s="121">
        <f t="shared" si="191"/>
        <v>699580</v>
      </c>
      <c r="K345" s="130">
        <f t="shared" si="192"/>
        <v>4381580</v>
      </c>
      <c r="L345" s="121">
        <f t="shared" si="193"/>
        <v>3682000</v>
      </c>
      <c r="M345" s="122">
        <f t="shared" si="194"/>
        <v>4381580</v>
      </c>
      <c r="N345" s="123">
        <v>3682000</v>
      </c>
      <c r="O345" s="121">
        <f t="shared" si="195"/>
        <v>699580</v>
      </c>
      <c r="P345" s="110">
        <f t="shared" si="196"/>
        <v>4381580</v>
      </c>
      <c r="Q345" s="121">
        <f t="shared" si="197"/>
        <v>3682000</v>
      </c>
      <c r="R345" s="124">
        <f t="shared" si="198"/>
        <v>4381580</v>
      </c>
      <c r="S345" s="125">
        <v>3682000</v>
      </c>
      <c r="T345" s="121">
        <f t="shared" si="199"/>
        <v>699580</v>
      </c>
      <c r="U345" s="110">
        <f t="shared" si="200"/>
        <v>4381580</v>
      </c>
      <c r="V345" s="121">
        <f t="shared" si="201"/>
        <v>3682000</v>
      </c>
      <c r="W345" s="122">
        <f t="shared" si="202"/>
        <v>4381580</v>
      </c>
      <c r="X345" s="108"/>
      <c r="Y345" s="121">
        <f t="shared" si="213"/>
        <v>0</v>
      </c>
      <c r="Z345" s="121">
        <f t="shared" si="214"/>
        <v>0</v>
      </c>
      <c r="AA345" s="121">
        <f t="shared" si="203"/>
        <v>0</v>
      </c>
      <c r="AB345" s="124">
        <f t="shared" si="215"/>
        <v>0</v>
      </c>
      <c r="AC345" s="126">
        <f t="shared" si="204"/>
        <v>3682000</v>
      </c>
      <c r="AD345" s="101">
        <f t="shared" si="216"/>
        <v>2761500</v>
      </c>
      <c r="AE345" s="127">
        <f t="shared" si="205"/>
        <v>0</v>
      </c>
      <c r="AF345" s="128">
        <f t="shared" si="217"/>
        <v>0</v>
      </c>
      <c r="AG345" s="129">
        <f t="shared" si="206"/>
        <v>3682000</v>
      </c>
      <c r="AH345" s="101">
        <f t="shared" si="218"/>
        <v>3682000</v>
      </c>
      <c r="AI345" s="130">
        <f t="shared" si="219"/>
        <v>0</v>
      </c>
      <c r="AJ345" s="159">
        <f t="shared" si="220"/>
        <v>0</v>
      </c>
      <c r="AK345" s="290" t="s">
        <v>1034</v>
      </c>
      <c r="AL345" s="291"/>
      <c r="AM345" s="292"/>
      <c r="AN345" s="160"/>
    </row>
    <row r="346" spans="1:40" ht="45.75" thickBot="1" x14ac:dyDescent="0.3">
      <c r="A346" s="84">
        <f t="shared" si="190"/>
        <v>3</v>
      </c>
      <c r="B346" s="198">
        <v>341</v>
      </c>
      <c r="C346" s="51" t="s">
        <v>782</v>
      </c>
      <c r="D346" s="204" t="s">
        <v>1044</v>
      </c>
      <c r="E346" s="60" t="s">
        <v>785</v>
      </c>
      <c r="F346" s="17">
        <v>1</v>
      </c>
      <c r="G346" s="17"/>
      <c r="H346" s="89" t="s">
        <v>28</v>
      </c>
      <c r="I346" s="126">
        <v>5470400</v>
      </c>
      <c r="J346" s="121">
        <f t="shared" si="191"/>
        <v>1039376</v>
      </c>
      <c r="K346" s="130">
        <f t="shared" si="192"/>
        <v>6509776</v>
      </c>
      <c r="L346" s="121">
        <f t="shared" si="193"/>
        <v>5470400</v>
      </c>
      <c r="M346" s="122">
        <f t="shared" si="194"/>
        <v>6509776</v>
      </c>
      <c r="N346" s="123">
        <v>5470400</v>
      </c>
      <c r="O346" s="121">
        <f t="shared" si="195"/>
        <v>1039376</v>
      </c>
      <c r="P346" s="110">
        <f t="shared" si="196"/>
        <v>6509776</v>
      </c>
      <c r="Q346" s="121">
        <f t="shared" si="197"/>
        <v>5470400</v>
      </c>
      <c r="R346" s="124">
        <f t="shared" si="198"/>
        <v>6509776</v>
      </c>
      <c r="S346" s="125">
        <v>5470400</v>
      </c>
      <c r="T346" s="121">
        <f t="shared" si="199"/>
        <v>1039376</v>
      </c>
      <c r="U346" s="110">
        <f t="shared" si="200"/>
        <v>6509776</v>
      </c>
      <c r="V346" s="121">
        <f t="shared" si="201"/>
        <v>5470400</v>
      </c>
      <c r="W346" s="122">
        <f t="shared" si="202"/>
        <v>6509776</v>
      </c>
      <c r="X346" s="108"/>
      <c r="Y346" s="121">
        <f t="shared" si="213"/>
        <v>0</v>
      </c>
      <c r="Z346" s="121">
        <f t="shared" si="214"/>
        <v>0</v>
      </c>
      <c r="AA346" s="121">
        <f t="shared" si="203"/>
        <v>0</v>
      </c>
      <c r="AB346" s="124">
        <f t="shared" si="215"/>
        <v>0</v>
      </c>
      <c r="AC346" s="126">
        <f t="shared" si="204"/>
        <v>5470400</v>
      </c>
      <c r="AD346" s="101">
        <f t="shared" si="216"/>
        <v>4102800</v>
      </c>
      <c r="AE346" s="127">
        <f t="shared" si="205"/>
        <v>0</v>
      </c>
      <c r="AF346" s="128">
        <f t="shared" si="217"/>
        <v>0</v>
      </c>
      <c r="AG346" s="129">
        <f t="shared" si="206"/>
        <v>5470400</v>
      </c>
      <c r="AH346" s="101">
        <f t="shared" si="218"/>
        <v>5470400</v>
      </c>
      <c r="AI346" s="130">
        <f t="shared" si="219"/>
        <v>0</v>
      </c>
      <c r="AJ346" s="159">
        <f t="shared" si="220"/>
        <v>0</v>
      </c>
      <c r="AK346" s="290" t="s">
        <v>1034</v>
      </c>
      <c r="AL346" s="291"/>
      <c r="AM346" s="292"/>
      <c r="AN346" s="160"/>
    </row>
    <row r="347" spans="1:40" ht="45.75" thickBot="1" x14ac:dyDescent="0.3">
      <c r="A347" s="84">
        <f t="shared" si="190"/>
        <v>3</v>
      </c>
      <c r="B347" s="198">
        <v>342</v>
      </c>
      <c r="C347" s="51" t="s">
        <v>782</v>
      </c>
      <c r="D347" s="204" t="s">
        <v>1044</v>
      </c>
      <c r="E347" s="60" t="s">
        <v>786</v>
      </c>
      <c r="F347" s="17">
        <v>1</v>
      </c>
      <c r="G347" s="17"/>
      <c r="H347" s="89" t="s">
        <v>28</v>
      </c>
      <c r="I347" s="126">
        <v>16411200</v>
      </c>
      <c r="J347" s="121">
        <f t="shared" si="191"/>
        <v>3118128</v>
      </c>
      <c r="K347" s="130">
        <f t="shared" si="192"/>
        <v>19529328</v>
      </c>
      <c r="L347" s="121">
        <f t="shared" si="193"/>
        <v>16411200</v>
      </c>
      <c r="M347" s="122">
        <f t="shared" si="194"/>
        <v>19529328</v>
      </c>
      <c r="N347" s="123">
        <v>16411200</v>
      </c>
      <c r="O347" s="121">
        <f t="shared" si="195"/>
        <v>3118128</v>
      </c>
      <c r="P347" s="110">
        <f t="shared" si="196"/>
        <v>19529328</v>
      </c>
      <c r="Q347" s="121">
        <f t="shared" si="197"/>
        <v>16411200</v>
      </c>
      <c r="R347" s="124">
        <f t="shared" si="198"/>
        <v>19529328</v>
      </c>
      <c r="S347" s="125">
        <v>16411200</v>
      </c>
      <c r="T347" s="121">
        <f t="shared" si="199"/>
        <v>3118128</v>
      </c>
      <c r="U347" s="110">
        <f t="shared" si="200"/>
        <v>19529328</v>
      </c>
      <c r="V347" s="121">
        <f t="shared" si="201"/>
        <v>16411200</v>
      </c>
      <c r="W347" s="122">
        <f t="shared" si="202"/>
        <v>19529328</v>
      </c>
      <c r="X347" s="108"/>
      <c r="Y347" s="121">
        <f t="shared" si="213"/>
        <v>0</v>
      </c>
      <c r="Z347" s="121">
        <f t="shared" si="214"/>
        <v>0</v>
      </c>
      <c r="AA347" s="121">
        <f t="shared" si="203"/>
        <v>0</v>
      </c>
      <c r="AB347" s="124">
        <f t="shared" si="215"/>
        <v>0</v>
      </c>
      <c r="AC347" s="126">
        <f t="shared" si="204"/>
        <v>16411200</v>
      </c>
      <c r="AD347" s="101">
        <f t="shared" si="216"/>
        <v>12308400</v>
      </c>
      <c r="AE347" s="127">
        <f t="shared" si="205"/>
        <v>0</v>
      </c>
      <c r="AF347" s="128">
        <f t="shared" si="217"/>
        <v>0</v>
      </c>
      <c r="AG347" s="129">
        <f t="shared" si="206"/>
        <v>16411200</v>
      </c>
      <c r="AH347" s="101">
        <f t="shared" si="218"/>
        <v>16411200</v>
      </c>
      <c r="AI347" s="130">
        <f t="shared" si="219"/>
        <v>0</v>
      </c>
      <c r="AJ347" s="159">
        <f t="shared" si="220"/>
        <v>0</v>
      </c>
      <c r="AK347" s="290" t="s">
        <v>1034</v>
      </c>
      <c r="AL347" s="291"/>
      <c r="AM347" s="292"/>
      <c r="AN347" s="160"/>
    </row>
    <row r="348" spans="1:40" ht="38.25" thickBot="1" x14ac:dyDescent="0.3">
      <c r="A348" s="84">
        <f t="shared" si="190"/>
        <v>3</v>
      </c>
      <c r="B348" s="198">
        <v>343</v>
      </c>
      <c r="C348" s="51" t="s">
        <v>787</v>
      </c>
      <c r="D348" s="204" t="s">
        <v>1048</v>
      </c>
      <c r="E348" s="60" t="s">
        <v>788</v>
      </c>
      <c r="F348" s="17">
        <v>1</v>
      </c>
      <c r="G348" s="17"/>
      <c r="H348" s="89" t="s">
        <v>1050</v>
      </c>
      <c r="I348" s="126">
        <v>378720</v>
      </c>
      <c r="J348" s="121">
        <f t="shared" si="191"/>
        <v>71956.800000000003</v>
      </c>
      <c r="K348" s="130">
        <f t="shared" si="192"/>
        <v>450676.8</v>
      </c>
      <c r="L348" s="121">
        <f t="shared" si="193"/>
        <v>378720</v>
      </c>
      <c r="M348" s="122">
        <f t="shared" si="194"/>
        <v>450676.8</v>
      </c>
      <c r="N348" s="123">
        <v>357680</v>
      </c>
      <c r="O348" s="121">
        <f t="shared" si="195"/>
        <v>67959.199999999997</v>
      </c>
      <c r="P348" s="110">
        <f t="shared" si="196"/>
        <v>425639.2</v>
      </c>
      <c r="Q348" s="121">
        <f t="shared" si="197"/>
        <v>357680</v>
      </c>
      <c r="R348" s="124">
        <f t="shared" si="198"/>
        <v>425639.2</v>
      </c>
      <c r="S348" s="125">
        <v>504960</v>
      </c>
      <c r="T348" s="121">
        <f t="shared" si="199"/>
        <v>95942.399999999994</v>
      </c>
      <c r="U348" s="110">
        <f t="shared" si="200"/>
        <v>600902.40000000002</v>
      </c>
      <c r="V348" s="121">
        <f t="shared" si="201"/>
        <v>504960</v>
      </c>
      <c r="W348" s="122">
        <f t="shared" si="202"/>
        <v>600902.40000000002</v>
      </c>
      <c r="X348" s="108"/>
      <c r="Y348" s="121">
        <f t="shared" si="213"/>
        <v>0</v>
      </c>
      <c r="Z348" s="121">
        <f t="shared" si="214"/>
        <v>0</v>
      </c>
      <c r="AA348" s="121">
        <f t="shared" si="203"/>
        <v>0</v>
      </c>
      <c r="AB348" s="124">
        <f t="shared" si="215"/>
        <v>0</v>
      </c>
      <c r="AC348" s="126">
        <f t="shared" si="204"/>
        <v>413787</v>
      </c>
      <c r="AD348" s="101">
        <f t="shared" si="216"/>
        <v>310340</v>
      </c>
      <c r="AE348" s="127">
        <f t="shared" si="205"/>
        <v>65038.977715076537</v>
      </c>
      <c r="AF348" s="128">
        <f t="shared" si="217"/>
        <v>0.15717984788085787</v>
      </c>
      <c r="AG348" s="129">
        <f t="shared" si="206"/>
        <v>378720</v>
      </c>
      <c r="AH348" s="101">
        <f t="shared" si="218"/>
        <v>368200</v>
      </c>
      <c r="AI348" s="130">
        <f t="shared" si="219"/>
        <v>65038.977715076537</v>
      </c>
      <c r="AJ348" s="159">
        <f t="shared" si="220"/>
        <v>0.17173367584251303</v>
      </c>
      <c r="AK348" s="290" t="s">
        <v>1034</v>
      </c>
      <c r="AL348" s="291"/>
      <c r="AM348" s="292"/>
      <c r="AN348" s="160"/>
    </row>
    <row r="349" spans="1:40" ht="32.25" customHeight="1" thickBot="1" x14ac:dyDescent="0.3">
      <c r="A349" s="84">
        <f t="shared" si="190"/>
        <v>3</v>
      </c>
      <c r="B349" s="198">
        <v>344</v>
      </c>
      <c r="C349" s="154" t="s">
        <v>787</v>
      </c>
      <c r="D349" s="205" t="s">
        <v>1048</v>
      </c>
      <c r="E349" s="156" t="s">
        <v>1032</v>
      </c>
      <c r="F349" s="155">
        <v>1</v>
      </c>
      <c r="G349" s="17"/>
      <c r="H349" s="89" t="s">
        <v>1050</v>
      </c>
      <c r="I349" s="126">
        <v>547040</v>
      </c>
      <c r="J349" s="121">
        <f t="shared" si="191"/>
        <v>103937.60000000001</v>
      </c>
      <c r="K349" s="130">
        <f t="shared" si="192"/>
        <v>650977.6</v>
      </c>
      <c r="L349" s="121">
        <f t="shared" si="193"/>
        <v>547040</v>
      </c>
      <c r="M349" s="122">
        <f t="shared" si="194"/>
        <v>650977.6</v>
      </c>
      <c r="N349" s="123">
        <v>515480</v>
      </c>
      <c r="O349" s="121">
        <f t="shared" si="195"/>
        <v>97941.2</v>
      </c>
      <c r="P349" s="110">
        <f t="shared" si="196"/>
        <v>613421.19999999995</v>
      </c>
      <c r="Q349" s="121">
        <f t="shared" si="197"/>
        <v>515480</v>
      </c>
      <c r="R349" s="124">
        <f t="shared" si="198"/>
        <v>613421.19999999995</v>
      </c>
      <c r="S349" s="125">
        <v>673280</v>
      </c>
      <c r="T349" s="121"/>
      <c r="U349" s="110"/>
      <c r="V349" s="121"/>
      <c r="W349" s="122"/>
      <c r="X349" s="108"/>
      <c r="Y349" s="121"/>
      <c r="Z349" s="121"/>
      <c r="AA349" s="121"/>
      <c r="AB349" s="124"/>
      <c r="AC349" s="126">
        <f t="shared" si="204"/>
        <v>578600</v>
      </c>
      <c r="AD349" s="101">
        <f t="shared" si="216"/>
        <v>531260</v>
      </c>
      <c r="AE349" s="127">
        <f t="shared" si="205"/>
        <v>68177.392147250692</v>
      </c>
      <c r="AF349" s="128"/>
      <c r="AG349" s="129">
        <f t="shared" si="206"/>
        <v>547040</v>
      </c>
      <c r="AH349" s="101">
        <f t="shared" si="218"/>
        <v>531260</v>
      </c>
      <c r="AI349" s="130"/>
      <c r="AJ349" s="159"/>
      <c r="AK349" s="290" t="s">
        <v>1034</v>
      </c>
      <c r="AL349" s="291"/>
      <c r="AM349" s="292"/>
      <c r="AN349" s="160"/>
    </row>
    <row r="350" spans="1:40" ht="38.25" thickBot="1" x14ac:dyDescent="0.3">
      <c r="A350" s="84">
        <f t="shared" si="190"/>
        <v>3</v>
      </c>
      <c r="B350" s="198">
        <v>345</v>
      </c>
      <c r="C350" s="51" t="s">
        <v>789</v>
      </c>
      <c r="D350" s="205" t="s">
        <v>1048</v>
      </c>
      <c r="E350" s="60" t="s">
        <v>790</v>
      </c>
      <c r="F350" s="17">
        <v>1</v>
      </c>
      <c r="G350" s="17"/>
      <c r="H350" s="89" t="s">
        <v>1050</v>
      </c>
      <c r="I350" s="126">
        <v>1683200</v>
      </c>
      <c r="J350" s="121">
        <f t="shared" si="191"/>
        <v>319808</v>
      </c>
      <c r="K350" s="130">
        <f t="shared" si="192"/>
        <v>2003008</v>
      </c>
      <c r="L350" s="121">
        <f t="shared" si="193"/>
        <v>1683200</v>
      </c>
      <c r="M350" s="122">
        <f t="shared" si="194"/>
        <v>2003008</v>
      </c>
      <c r="N350" s="123">
        <v>1871350.2000000002</v>
      </c>
      <c r="O350" s="121">
        <f t="shared" si="195"/>
        <v>355556.53800000006</v>
      </c>
      <c r="P350" s="110">
        <f t="shared" si="196"/>
        <v>2226906.7380000004</v>
      </c>
      <c r="Q350" s="121">
        <f t="shared" si="197"/>
        <v>1871350.2000000002</v>
      </c>
      <c r="R350" s="124">
        <f t="shared" si="198"/>
        <v>2226906.7380000004</v>
      </c>
      <c r="S350" s="125">
        <v>1893600</v>
      </c>
      <c r="T350" s="121">
        <f t="shared" ref="T350:T381" si="221">S350*0.19</f>
        <v>359784</v>
      </c>
      <c r="U350" s="110">
        <f t="shared" ref="U350:U381" si="222">S350+T350</f>
        <v>2253384</v>
      </c>
      <c r="V350" s="121">
        <f t="shared" ref="V350:V381" si="223">S350*F350</f>
        <v>1893600</v>
      </c>
      <c r="W350" s="122">
        <f t="shared" ref="W350:W381" si="224">U350*F350</f>
        <v>2253384</v>
      </c>
      <c r="X350" s="108"/>
      <c r="Y350" s="121">
        <f t="shared" ref="Y350:Y381" si="225">X350*0.19</f>
        <v>0</v>
      </c>
      <c r="Z350" s="121">
        <f t="shared" ref="Z350:Z381" si="226">X350+Y350</f>
        <v>0</v>
      </c>
      <c r="AA350" s="121">
        <f t="shared" ref="AA350:AA381" si="227">X350*F350</f>
        <v>0</v>
      </c>
      <c r="AB350" s="124">
        <f t="shared" ref="AB350:AB381" si="228">Z350*F350</f>
        <v>0</v>
      </c>
      <c r="AC350" s="126">
        <f t="shared" si="204"/>
        <v>1816050</v>
      </c>
      <c r="AD350" s="101">
        <f t="shared" si="216"/>
        <v>1362038</v>
      </c>
      <c r="AE350" s="127">
        <f t="shared" si="205"/>
        <v>94377.32269994152</v>
      </c>
      <c r="AF350" s="128">
        <f t="shared" ref="AF350:AF381" si="229">AE350/AC350</f>
        <v>5.1968460504909844E-2</v>
      </c>
      <c r="AG350" s="129">
        <f t="shared" si="206"/>
        <v>1871350</v>
      </c>
      <c r="AH350" s="101">
        <f t="shared" si="218"/>
        <v>1777275</v>
      </c>
      <c r="AI350" s="130">
        <f t="shared" ref="AI350:AI381" si="230">AE350</f>
        <v>94377.32269994152</v>
      </c>
      <c r="AJ350" s="159">
        <f t="shared" ref="AJ350:AJ381" si="231">AI350/AG350</f>
        <v>5.0432747855794754E-2</v>
      </c>
      <c r="AK350" s="290" t="s">
        <v>1034</v>
      </c>
      <c r="AL350" s="291"/>
      <c r="AM350" s="292"/>
      <c r="AN350" s="160"/>
    </row>
    <row r="351" spans="1:40" ht="38.25" thickBot="1" x14ac:dyDescent="0.3">
      <c r="A351" s="84">
        <f t="shared" si="190"/>
        <v>3</v>
      </c>
      <c r="B351" s="198">
        <v>346</v>
      </c>
      <c r="C351" s="51" t="s">
        <v>791</v>
      </c>
      <c r="D351" s="205" t="s">
        <v>1048</v>
      </c>
      <c r="E351" s="60" t="s">
        <v>792</v>
      </c>
      <c r="F351" s="17">
        <v>1</v>
      </c>
      <c r="G351" s="17"/>
      <c r="H351" s="89" t="s">
        <v>1050</v>
      </c>
      <c r="I351" s="126">
        <v>841600</v>
      </c>
      <c r="J351" s="121">
        <f t="shared" si="191"/>
        <v>159904</v>
      </c>
      <c r="K351" s="130">
        <f t="shared" si="192"/>
        <v>1001504</v>
      </c>
      <c r="L351" s="121">
        <f t="shared" si="193"/>
        <v>841600</v>
      </c>
      <c r="M351" s="122">
        <f t="shared" si="194"/>
        <v>1001504</v>
      </c>
      <c r="N351" s="123">
        <v>841600</v>
      </c>
      <c r="O351" s="121">
        <f t="shared" si="195"/>
        <v>159904</v>
      </c>
      <c r="P351" s="110">
        <f t="shared" si="196"/>
        <v>1001504</v>
      </c>
      <c r="Q351" s="121">
        <f t="shared" si="197"/>
        <v>841600</v>
      </c>
      <c r="R351" s="124">
        <f t="shared" si="198"/>
        <v>1001504</v>
      </c>
      <c r="S351" s="125">
        <v>946800</v>
      </c>
      <c r="T351" s="121">
        <f t="shared" si="221"/>
        <v>179892</v>
      </c>
      <c r="U351" s="110">
        <f t="shared" si="222"/>
        <v>1126692</v>
      </c>
      <c r="V351" s="121">
        <f t="shared" si="223"/>
        <v>946800</v>
      </c>
      <c r="W351" s="122">
        <f t="shared" si="224"/>
        <v>1126692</v>
      </c>
      <c r="X351" s="108"/>
      <c r="Y351" s="121">
        <f t="shared" si="225"/>
        <v>0</v>
      </c>
      <c r="Z351" s="121">
        <f t="shared" si="226"/>
        <v>0</v>
      </c>
      <c r="AA351" s="121">
        <f t="shared" si="227"/>
        <v>0</v>
      </c>
      <c r="AB351" s="124">
        <f t="shared" si="228"/>
        <v>0</v>
      </c>
      <c r="AC351" s="126">
        <f t="shared" si="204"/>
        <v>876667</v>
      </c>
      <c r="AD351" s="101">
        <f t="shared" si="216"/>
        <v>657500</v>
      </c>
      <c r="AE351" s="127">
        <f t="shared" si="205"/>
        <v>49591.755587216532</v>
      </c>
      <c r="AF351" s="128">
        <f t="shared" si="229"/>
        <v>5.6568520985980461E-2</v>
      </c>
      <c r="AG351" s="129">
        <f t="shared" si="206"/>
        <v>841600</v>
      </c>
      <c r="AH351" s="101">
        <f t="shared" si="218"/>
        <v>841600</v>
      </c>
      <c r="AI351" s="130">
        <f t="shared" si="230"/>
        <v>49591.755587216532</v>
      </c>
      <c r="AJ351" s="159">
        <f t="shared" si="231"/>
        <v>5.892556509887896E-2</v>
      </c>
      <c r="AK351" s="290" t="s">
        <v>1034</v>
      </c>
      <c r="AL351" s="291"/>
      <c r="AM351" s="292"/>
      <c r="AN351" s="160"/>
    </row>
    <row r="352" spans="1:40" ht="38.25" thickBot="1" x14ac:dyDescent="0.3">
      <c r="A352" s="84">
        <f t="shared" si="190"/>
        <v>3</v>
      </c>
      <c r="B352" s="198">
        <v>347</v>
      </c>
      <c r="C352" s="51" t="s">
        <v>791</v>
      </c>
      <c r="D352" s="205" t="s">
        <v>1048</v>
      </c>
      <c r="E352" s="60" t="s">
        <v>793</v>
      </c>
      <c r="F352" s="17">
        <v>1</v>
      </c>
      <c r="G352" s="17"/>
      <c r="H352" s="89" t="s">
        <v>1050</v>
      </c>
      <c r="I352" s="126">
        <v>999400</v>
      </c>
      <c r="J352" s="121">
        <f t="shared" si="191"/>
        <v>189886</v>
      </c>
      <c r="K352" s="130">
        <f t="shared" si="192"/>
        <v>1189286</v>
      </c>
      <c r="L352" s="121">
        <f t="shared" si="193"/>
        <v>999400</v>
      </c>
      <c r="M352" s="122">
        <f t="shared" si="194"/>
        <v>1189286</v>
      </c>
      <c r="N352" s="123">
        <v>999400</v>
      </c>
      <c r="O352" s="121">
        <f t="shared" si="195"/>
        <v>189886</v>
      </c>
      <c r="P352" s="110">
        <f t="shared" si="196"/>
        <v>1189286</v>
      </c>
      <c r="Q352" s="121">
        <f t="shared" si="197"/>
        <v>999400</v>
      </c>
      <c r="R352" s="124">
        <f t="shared" si="198"/>
        <v>1189286</v>
      </c>
      <c r="S352" s="125">
        <v>1052000</v>
      </c>
      <c r="T352" s="121">
        <f t="shared" si="221"/>
        <v>199880</v>
      </c>
      <c r="U352" s="110">
        <f t="shared" si="222"/>
        <v>1251880</v>
      </c>
      <c r="V352" s="121">
        <f t="shared" si="223"/>
        <v>1052000</v>
      </c>
      <c r="W352" s="122">
        <f t="shared" si="224"/>
        <v>1251880</v>
      </c>
      <c r="X352" s="108"/>
      <c r="Y352" s="121">
        <f t="shared" si="225"/>
        <v>0</v>
      </c>
      <c r="Z352" s="121">
        <f t="shared" si="226"/>
        <v>0</v>
      </c>
      <c r="AA352" s="121">
        <f t="shared" si="227"/>
        <v>0</v>
      </c>
      <c r="AB352" s="124">
        <f t="shared" si="228"/>
        <v>0</v>
      </c>
      <c r="AC352" s="126">
        <f t="shared" si="204"/>
        <v>1016933</v>
      </c>
      <c r="AD352" s="101">
        <f t="shared" si="216"/>
        <v>762700</v>
      </c>
      <c r="AE352" s="127">
        <f t="shared" si="205"/>
        <v>24795.877793608266</v>
      </c>
      <c r="AF352" s="128">
        <f t="shared" si="229"/>
        <v>2.4383000447038561E-2</v>
      </c>
      <c r="AG352" s="129">
        <f t="shared" si="206"/>
        <v>999400</v>
      </c>
      <c r="AH352" s="101">
        <f t="shared" si="218"/>
        <v>999400</v>
      </c>
      <c r="AI352" s="130">
        <f t="shared" si="230"/>
        <v>24795.877793608266</v>
      </c>
      <c r="AJ352" s="159">
        <f t="shared" si="231"/>
        <v>2.4810764252159563E-2</v>
      </c>
      <c r="AK352" s="290" t="s">
        <v>1034</v>
      </c>
      <c r="AL352" s="291"/>
      <c r="AM352" s="292"/>
      <c r="AN352" s="160"/>
    </row>
    <row r="353" spans="1:40" ht="38.25" thickBot="1" x14ac:dyDescent="0.3">
      <c r="A353" s="84">
        <f t="shared" si="190"/>
        <v>3</v>
      </c>
      <c r="B353" s="198">
        <v>348</v>
      </c>
      <c r="C353" s="51" t="s">
        <v>791</v>
      </c>
      <c r="D353" s="205" t="s">
        <v>1048</v>
      </c>
      <c r="E353" s="60" t="s">
        <v>794</v>
      </c>
      <c r="F353" s="17">
        <v>1</v>
      </c>
      <c r="G353" s="17"/>
      <c r="H353" s="89" t="s">
        <v>1050</v>
      </c>
      <c r="I353" s="126">
        <v>1209800</v>
      </c>
      <c r="J353" s="121">
        <f t="shared" si="191"/>
        <v>229862</v>
      </c>
      <c r="K353" s="130">
        <f t="shared" si="192"/>
        <v>1439662</v>
      </c>
      <c r="L353" s="121">
        <f t="shared" si="193"/>
        <v>1209800</v>
      </c>
      <c r="M353" s="122">
        <f t="shared" si="194"/>
        <v>1439662</v>
      </c>
      <c r="N353" s="123">
        <v>1209800</v>
      </c>
      <c r="O353" s="121">
        <f t="shared" si="195"/>
        <v>229862</v>
      </c>
      <c r="P353" s="110">
        <f t="shared" si="196"/>
        <v>1439662</v>
      </c>
      <c r="Q353" s="121">
        <f t="shared" si="197"/>
        <v>1209800</v>
      </c>
      <c r="R353" s="124">
        <f t="shared" si="198"/>
        <v>1439662</v>
      </c>
      <c r="S353" s="125">
        <v>1367600</v>
      </c>
      <c r="T353" s="121">
        <f t="shared" si="221"/>
        <v>259844</v>
      </c>
      <c r="U353" s="110">
        <f t="shared" si="222"/>
        <v>1627444</v>
      </c>
      <c r="V353" s="121">
        <f t="shared" si="223"/>
        <v>1367600</v>
      </c>
      <c r="W353" s="122">
        <f t="shared" si="224"/>
        <v>1627444</v>
      </c>
      <c r="X353" s="108"/>
      <c r="Y353" s="121">
        <f t="shared" si="225"/>
        <v>0</v>
      </c>
      <c r="Z353" s="121">
        <f t="shared" si="226"/>
        <v>0</v>
      </c>
      <c r="AA353" s="121">
        <f t="shared" si="227"/>
        <v>0</v>
      </c>
      <c r="AB353" s="124">
        <f t="shared" si="228"/>
        <v>0</v>
      </c>
      <c r="AC353" s="126">
        <f t="shared" si="204"/>
        <v>1262400</v>
      </c>
      <c r="AD353" s="101">
        <f t="shared" si="216"/>
        <v>946800</v>
      </c>
      <c r="AE353" s="127">
        <f t="shared" si="205"/>
        <v>74387.633380824802</v>
      </c>
      <c r="AF353" s="128">
        <f t="shared" si="229"/>
        <v>5.892556509887896E-2</v>
      </c>
      <c r="AG353" s="129">
        <f t="shared" si="206"/>
        <v>1209800</v>
      </c>
      <c r="AH353" s="101">
        <f t="shared" si="218"/>
        <v>1209800</v>
      </c>
      <c r="AI353" s="130">
        <f t="shared" si="230"/>
        <v>74387.633380824802</v>
      </c>
      <c r="AJ353" s="159">
        <f t="shared" si="231"/>
        <v>6.1487546190134572E-2</v>
      </c>
      <c r="AK353" s="290" t="s">
        <v>1034</v>
      </c>
      <c r="AL353" s="291"/>
      <c r="AM353" s="292"/>
      <c r="AN353" s="160"/>
    </row>
    <row r="354" spans="1:40" ht="38.25" thickBot="1" x14ac:dyDescent="0.3">
      <c r="A354" s="84">
        <f t="shared" si="190"/>
        <v>3</v>
      </c>
      <c r="B354" s="198">
        <v>349</v>
      </c>
      <c r="C354" s="51" t="s">
        <v>791</v>
      </c>
      <c r="D354" s="205" t="s">
        <v>1048</v>
      </c>
      <c r="E354" s="60" t="s">
        <v>795</v>
      </c>
      <c r="F354" s="17">
        <v>1</v>
      </c>
      <c r="G354" s="17"/>
      <c r="H354" s="89" t="s">
        <v>1050</v>
      </c>
      <c r="I354" s="126">
        <v>946800</v>
      </c>
      <c r="J354" s="121">
        <f t="shared" si="191"/>
        <v>179892</v>
      </c>
      <c r="K354" s="130">
        <f t="shared" si="192"/>
        <v>1126692</v>
      </c>
      <c r="L354" s="121">
        <f t="shared" si="193"/>
        <v>946800</v>
      </c>
      <c r="M354" s="122">
        <f t="shared" si="194"/>
        <v>1126692</v>
      </c>
      <c r="N354" s="123">
        <v>946800</v>
      </c>
      <c r="O354" s="121">
        <f t="shared" si="195"/>
        <v>179892</v>
      </c>
      <c r="P354" s="110">
        <f t="shared" si="196"/>
        <v>1126692</v>
      </c>
      <c r="Q354" s="121">
        <f t="shared" si="197"/>
        <v>946800</v>
      </c>
      <c r="R354" s="124">
        <f t="shared" si="198"/>
        <v>1126692</v>
      </c>
      <c r="S354" s="125">
        <v>946800</v>
      </c>
      <c r="T354" s="121">
        <f t="shared" si="221"/>
        <v>179892</v>
      </c>
      <c r="U354" s="110">
        <f t="shared" si="222"/>
        <v>1126692</v>
      </c>
      <c r="V354" s="121">
        <f t="shared" si="223"/>
        <v>946800</v>
      </c>
      <c r="W354" s="122">
        <f t="shared" si="224"/>
        <v>1126692</v>
      </c>
      <c r="X354" s="108"/>
      <c r="Y354" s="121">
        <f t="shared" si="225"/>
        <v>0</v>
      </c>
      <c r="Z354" s="121">
        <f t="shared" si="226"/>
        <v>0</v>
      </c>
      <c r="AA354" s="121">
        <f t="shared" si="227"/>
        <v>0</v>
      </c>
      <c r="AB354" s="124">
        <f t="shared" si="228"/>
        <v>0</v>
      </c>
      <c r="AC354" s="126">
        <f t="shared" si="204"/>
        <v>946800</v>
      </c>
      <c r="AD354" s="101">
        <f t="shared" si="216"/>
        <v>710100</v>
      </c>
      <c r="AE354" s="127">
        <f t="shared" si="205"/>
        <v>0</v>
      </c>
      <c r="AF354" s="128">
        <f t="shared" si="229"/>
        <v>0</v>
      </c>
      <c r="AG354" s="129">
        <f t="shared" si="206"/>
        <v>946800</v>
      </c>
      <c r="AH354" s="101">
        <f t="shared" si="218"/>
        <v>946800</v>
      </c>
      <c r="AI354" s="130">
        <f t="shared" si="230"/>
        <v>0</v>
      </c>
      <c r="AJ354" s="159">
        <f t="shared" si="231"/>
        <v>0</v>
      </c>
      <c r="AK354" s="290" t="s">
        <v>1034</v>
      </c>
      <c r="AL354" s="291"/>
      <c r="AM354" s="292"/>
      <c r="AN354" s="160"/>
    </row>
    <row r="355" spans="1:40" ht="38.25" thickBot="1" x14ac:dyDescent="0.3">
      <c r="A355" s="84">
        <f t="shared" si="190"/>
        <v>3</v>
      </c>
      <c r="B355" s="198">
        <v>350</v>
      </c>
      <c r="C355" s="51" t="s">
        <v>791</v>
      </c>
      <c r="D355" s="205" t="s">
        <v>1048</v>
      </c>
      <c r="E355" s="60" t="s">
        <v>796</v>
      </c>
      <c r="F355" s="17">
        <v>1</v>
      </c>
      <c r="G355" s="17"/>
      <c r="H355" s="89" t="s">
        <v>1050</v>
      </c>
      <c r="I355" s="126">
        <v>1262400</v>
      </c>
      <c r="J355" s="121">
        <f t="shared" si="191"/>
        <v>239856</v>
      </c>
      <c r="K355" s="130">
        <f t="shared" si="192"/>
        <v>1502256</v>
      </c>
      <c r="L355" s="121">
        <f t="shared" si="193"/>
        <v>1262400</v>
      </c>
      <c r="M355" s="122">
        <f t="shared" si="194"/>
        <v>1502256</v>
      </c>
      <c r="N355" s="123">
        <v>1262400</v>
      </c>
      <c r="O355" s="121">
        <f t="shared" si="195"/>
        <v>239856</v>
      </c>
      <c r="P355" s="110">
        <f t="shared" si="196"/>
        <v>1502256</v>
      </c>
      <c r="Q355" s="121">
        <f t="shared" si="197"/>
        <v>1262400</v>
      </c>
      <c r="R355" s="124">
        <f t="shared" si="198"/>
        <v>1502256</v>
      </c>
      <c r="S355" s="125">
        <v>1052000</v>
      </c>
      <c r="T355" s="121">
        <f t="shared" si="221"/>
        <v>199880</v>
      </c>
      <c r="U355" s="110">
        <f t="shared" si="222"/>
        <v>1251880</v>
      </c>
      <c r="V355" s="121">
        <f t="shared" si="223"/>
        <v>1052000</v>
      </c>
      <c r="W355" s="122">
        <f t="shared" si="224"/>
        <v>1251880</v>
      </c>
      <c r="X355" s="108"/>
      <c r="Y355" s="121">
        <f t="shared" si="225"/>
        <v>0</v>
      </c>
      <c r="Z355" s="121">
        <f t="shared" si="226"/>
        <v>0</v>
      </c>
      <c r="AA355" s="121">
        <f t="shared" si="227"/>
        <v>0</v>
      </c>
      <c r="AB355" s="124">
        <f t="shared" si="228"/>
        <v>0</v>
      </c>
      <c r="AC355" s="126">
        <f t="shared" si="204"/>
        <v>1192267</v>
      </c>
      <c r="AD355" s="101">
        <f t="shared" si="216"/>
        <v>894200</v>
      </c>
      <c r="AE355" s="127">
        <f t="shared" si="205"/>
        <v>99183.511174433064</v>
      </c>
      <c r="AF355" s="128">
        <f t="shared" si="229"/>
        <v>8.3189009822827495E-2</v>
      </c>
      <c r="AG355" s="129">
        <f t="shared" si="206"/>
        <v>1262400</v>
      </c>
      <c r="AH355" s="101">
        <f t="shared" si="218"/>
        <v>1157200</v>
      </c>
      <c r="AI355" s="130">
        <f t="shared" si="230"/>
        <v>99183.511174433064</v>
      </c>
      <c r="AJ355" s="159">
        <f t="shared" si="231"/>
        <v>7.8567420131838608E-2</v>
      </c>
      <c r="AK355" s="290" t="s">
        <v>1034</v>
      </c>
      <c r="AL355" s="291"/>
      <c r="AM355" s="292"/>
      <c r="AN355" s="160"/>
    </row>
    <row r="356" spans="1:40" ht="38.25" thickBot="1" x14ac:dyDescent="0.3">
      <c r="A356" s="84">
        <f t="shared" si="190"/>
        <v>3</v>
      </c>
      <c r="B356" s="198">
        <v>351</v>
      </c>
      <c r="C356" s="51" t="s">
        <v>791</v>
      </c>
      <c r="D356" s="205" t="s">
        <v>1048</v>
      </c>
      <c r="E356" s="60" t="s">
        <v>797</v>
      </c>
      <c r="F356" s="17">
        <v>1</v>
      </c>
      <c r="G356" s="17"/>
      <c r="H356" s="89" t="s">
        <v>1050</v>
      </c>
      <c r="I356" s="126">
        <v>1472800</v>
      </c>
      <c r="J356" s="121">
        <f t="shared" si="191"/>
        <v>279832</v>
      </c>
      <c r="K356" s="130">
        <f t="shared" si="192"/>
        <v>1752632</v>
      </c>
      <c r="L356" s="121">
        <f t="shared" si="193"/>
        <v>1472800</v>
      </c>
      <c r="M356" s="122">
        <f t="shared" si="194"/>
        <v>1752632</v>
      </c>
      <c r="N356" s="123">
        <v>1472800</v>
      </c>
      <c r="O356" s="121">
        <f t="shared" si="195"/>
        <v>279832</v>
      </c>
      <c r="P356" s="110">
        <f t="shared" si="196"/>
        <v>1752632</v>
      </c>
      <c r="Q356" s="121">
        <f t="shared" si="197"/>
        <v>1472800</v>
      </c>
      <c r="R356" s="124">
        <f t="shared" si="198"/>
        <v>1752632</v>
      </c>
      <c r="S356" s="125">
        <v>1367600</v>
      </c>
      <c r="T356" s="121">
        <f t="shared" si="221"/>
        <v>259844</v>
      </c>
      <c r="U356" s="110">
        <f t="shared" si="222"/>
        <v>1627444</v>
      </c>
      <c r="V356" s="121">
        <f t="shared" si="223"/>
        <v>1367600</v>
      </c>
      <c r="W356" s="122">
        <f t="shared" si="224"/>
        <v>1627444</v>
      </c>
      <c r="X356" s="108"/>
      <c r="Y356" s="121">
        <f t="shared" si="225"/>
        <v>0</v>
      </c>
      <c r="Z356" s="121">
        <f t="shared" si="226"/>
        <v>0</v>
      </c>
      <c r="AA356" s="121">
        <f t="shared" si="227"/>
        <v>0</v>
      </c>
      <c r="AB356" s="124">
        <f t="shared" si="228"/>
        <v>0</v>
      </c>
      <c r="AC356" s="126">
        <f t="shared" si="204"/>
        <v>1437733</v>
      </c>
      <c r="AD356" s="101">
        <f t="shared" si="216"/>
        <v>1078300</v>
      </c>
      <c r="AE356" s="127">
        <f t="shared" si="205"/>
        <v>49591.755587216532</v>
      </c>
      <c r="AF356" s="128">
        <f t="shared" si="229"/>
        <v>3.4493021713500722E-2</v>
      </c>
      <c r="AG356" s="129">
        <f t="shared" si="206"/>
        <v>1472800</v>
      </c>
      <c r="AH356" s="101">
        <f t="shared" si="218"/>
        <v>1420200</v>
      </c>
      <c r="AI356" s="130">
        <f t="shared" si="230"/>
        <v>49591.755587216532</v>
      </c>
      <c r="AJ356" s="159">
        <f t="shared" si="231"/>
        <v>3.3671751485073689E-2</v>
      </c>
      <c r="AK356" s="290" t="s">
        <v>1034</v>
      </c>
      <c r="AL356" s="291"/>
      <c r="AM356" s="292"/>
      <c r="AN356" s="160"/>
    </row>
    <row r="357" spans="1:40" ht="38.25" thickBot="1" x14ac:dyDescent="0.3">
      <c r="A357" s="84">
        <f t="shared" ref="A357:A420" si="232">COUNT(I357,N357,S357)</f>
        <v>3</v>
      </c>
      <c r="B357" s="198">
        <v>352</v>
      </c>
      <c r="C357" s="51" t="s">
        <v>791</v>
      </c>
      <c r="D357" s="205" t="s">
        <v>1048</v>
      </c>
      <c r="E357" s="60" t="s">
        <v>798</v>
      </c>
      <c r="F357" s="17">
        <v>1</v>
      </c>
      <c r="G357" s="17"/>
      <c r="H357" s="89" t="s">
        <v>1050</v>
      </c>
      <c r="I357" s="126">
        <v>1052000</v>
      </c>
      <c r="J357" s="121">
        <f t="shared" ref="J357:J420" si="233">I357*19%</f>
        <v>199880</v>
      </c>
      <c r="K357" s="130">
        <f t="shared" ref="K357:K420" si="234">I357+J357</f>
        <v>1251880</v>
      </c>
      <c r="L357" s="121">
        <f t="shared" ref="L357:L420" si="235">I357*F357</f>
        <v>1052000</v>
      </c>
      <c r="M357" s="122">
        <f t="shared" ref="M357:M420" si="236">K357*F357</f>
        <v>1251880</v>
      </c>
      <c r="N357" s="123">
        <v>1052000</v>
      </c>
      <c r="O357" s="121">
        <f t="shared" ref="O357:O420" si="237">N357*0.19</f>
        <v>199880</v>
      </c>
      <c r="P357" s="110">
        <f t="shared" ref="P357:P420" si="238">N357+O357</f>
        <v>1251880</v>
      </c>
      <c r="Q357" s="121">
        <f t="shared" ref="Q357:Q420" si="239">N357*F357</f>
        <v>1052000</v>
      </c>
      <c r="R357" s="124">
        <f t="shared" ref="R357:R420" si="240">P357*F357</f>
        <v>1251880</v>
      </c>
      <c r="S357" s="125">
        <v>1157200</v>
      </c>
      <c r="T357" s="121">
        <f t="shared" si="221"/>
        <v>219868</v>
      </c>
      <c r="U357" s="110">
        <f t="shared" si="222"/>
        <v>1377068</v>
      </c>
      <c r="V357" s="121">
        <f t="shared" si="223"/>
        <v>1157200</v>
      </c>
      <c r="W357" s="122">
        <f t="shared" si="224"/>
        <v>1377068</v>
      </c>
      <c r="X357" s="108"/>
      <c r="Y357" s="121">
        <f t="shared" si="225"/>
        <v>0</v>
      </c>
      <c r="Z357" s="121">
        <f t="shared" si="226"/>
        <v>0</v>
      </c>
      <c r="AA357" s="121">
        <f t="shared" si="227"/>
        <v>0</v>
      </c>
      <c r="AB357" s="124">
        <f t="shared" si="228"/>
        <v>0</v>
      </c>
      <c r="AC357" s="126">
        <f t="shared" ref="AC357:AC420" si="241">+IFERROR(ROUND(AVERAGE(I357,N357,S357,X357),0),0)</f>
        <v>1087067</v>
      </c>
      <c r="AD357" s="101">
        <f t="shared" si="216"/>
        <v>815300</v>
      </c>
      <c r="AE357" s="127">
        <f t="shared" ref="AE357:AE420" si="242">+IFERROR(_xlfn.STDEV.P(I357,N357,S357,X357),0)</f>
        <v>49591.755587216532</v>
      </c>
      <c r="AF357" s="128">
        <f t="shared" si="229"/>
        <v>4.5619778345968122E-2</v>
      </c>
      <c r="AG357" s="129">
        <f t="shared" ref="AG357:AG420" si="243">IFERROR(ROUND(MEDIAN(I357,N357,S357,X357),0),0)</f>
        <v>1052000</v>
      </c>
      <c r="AH357" s="101">
        <f t="shared" si="218"/>
        <v>1052000</v>
      </c>
      <c r="AI357" s="130">
        <f t="shared" si="230"/>
        <v>49591.755587216532</v>
      </c>
      <c r="AJ357" s="159">
        <f t="shared" si="231"/>
        <v>4.7140452079103168E-2</v>
      </c>
      <c r="AK357" s="290" t="s">
        <v>1034</v>
      </c>
      <c r="AL357" s="291"/>
      <c r="AM357" s="292"/>
      <c r="AN357" s="160"/>
    </row>
    <row r="358" spans="1:40" ht="38.25" thickBot="1" x14ac:dyDescent="0.3">
      <c r="A358" s="84">
        <f t="shared" si="232"/>
        <v>3</v>
      </c>
      <c r="B358" s="198">
        <v>353</v>
      </c>
      <c r="C358" s="51" t="s">
        <v>791</v>
      </c>
      <c r="D358" s="205" t="s">
        <v>1048</v>
      </c>
      <c r="E358" s="60" t="s">
        <v>799</v>
      </c>
      <c r="F358" s="17">
        <v>1</v>
      </c>
      <c r="G358" s="17"/>
      <c r="H358" s="89" t="s">
        <v>1050</v>
      </c>
      <c r="I358" s="126">
        <v>1420200</v>
      </c>
      <c r="J358" s="121">
        <f t="shared" si="233"/>
        <v>269838</v>
      </c>
      <c r="K358" s="130">
        <f t="shared" si="234"/>
        <v>1690038</v>
      </c>
      <c r="L358" s="121">
        <f t="shared" si="235"/>
        <v>1420200</v>
      </c>
      <c r="M358" s="122">
        <f t="shared" si="236"/>
        <v>1690038</v>
      </c>
      <c r="N358" s="123">
        <v>1420200</v>
      </c>
      <c r="O358" s="121">
        <f t="shared" si="237"/>
        <v>269838</v>
      </c>
      <c r="P358" s="110">
        <f t="shared" si="238"/>
        <v>1690038</v>
      </c>
      <c r="Q358" s="121">
        <f t="shared" si="239"/>
        <v>1420200</v>
      </c>
      <c r="R358" s="124">
        <f t="shared" si="240"/>
        <v>1690038</v>
      </c>
      <c r="S358" s="125">
        <v>1578000</v>
      </c>
      <c r="T358" s="121">
        <f t="shared" si="221"/>
        <v>299820</v>
      </c>
      <c r="U358" s="110">
        <f t="shared" si="222"/>
        <v>1877820</v>
      </c>
      <c r="V358" s="121">
        <f t="shared" si="223"/>
        <v>1578000</v>
      </c>
      <c r="W358" s="122">
        <f t="shared" si="224"/>
        <v>1877820</v>
      </c>
      <c r="X358" s="108"/>
      <c r="Y358" s="121">
        <f t="shared" si="225"/>
        <v>0</v>
      </c>
      <c r="Z358" s="121">
        <f t="shared" si="226"/>
        <v>0</v>
      </c>
      <c r="AA358" s="121">
        <f t="shared" si="227"/>
        <v>0</v>
      </c>
      <c r="AB358" s="124">
        <f t="shared" si="228"/>
        <v>0</v>
      </c>
      <c r="AC358" s="126">
        <f t="shared" si="241"/>
        <v>1472800</v>
      </c>
      <c r="AD358" s="101">
        <f t="shared" si="216"/>
        <v>1104600</v>
      </c>
      <c r="AE358" s="127">
        <f t="shared" si="242"/>
        <v>74387.633380824802</v>
      </c>
      <c r="AF358" s="128">
        <f t="shared" si="229"/>
        <v>5.0507627227610541E-2</v>
      </c>
      <c r="AG358" s="129">
        <f t="shared" si="243"/>
        <v>1420200</v>
      </c>
      <c r="AH358" s="101">
        <f t="shared" si="218"/>
        <v>1420200</v>
      </c>
      <c r="AI358" s="130">
        <f t="shared" si="230"/>
        <v>74387.633380824802</v>
      </c>
      <c r="AJ358" s="159">
        <f t="shared" si="231"/>
        <v>5.2378280087892408E-2</v>
      </c>
      <c r="AK358" s="290" t="s">
        <v>1034</v>
      </c>
      <c r="AL358" s="291"/>
      <c r="AM358" s="292"/>
      <c r="AN358" s="160"/>
    </row>
    <row r="359" spans="1:40" ht="38.25" thickBot="1" x14ac:dyDescent="0.3">
      <c r="A359" s="84">
        <f t="shared" si="232"/>
        <v>3</v>
      </c>
      <c r="B359" s="198">
        <v>354</v>
      </c>
      <c r="C359" s="51" t="s">
        <v>791</v>
      </c>
      <c r="D359" s="205" t="s">
        <v>1048</v>
      </c>
      <c r="E359" s="60" t="s">
        <v>800</v>
      </c>
      <c r="F359" s="17">
        <v>1</v>
      </c>
      <c r="G359" s="17"/>
      <c r="H359" s="89" t="s">
        <v>1050</v>
      </c>
      <c r="I359" s="126">
        <v>1630600</v>
      </c>
      <c r="J359" s="121">
        <f t="shared" si="233"/>
        <v>309814</v>
      </c>
      <c r="K359" s="130">
        <f t="shared" si="234"/>
        <v>1940414</v>
      </c>
      <c r="L359" s="121">
        <f t="shared" si="235"/>
        <v>1630600</v>
      </c>
      <c r="M359" s="122">
        <f t="shared" si="236"/>
        <v>1940414</v>
      </c>
      <c r="N359" s="123">
        <v>1630600</v>
      </c>
      <c r="O359" s="121">
        <f t="shared" si="237"/>
        <v>309814</v>
      </c>
      <c r="P359" s="110">
        <f t="shared" si="238"/>
        <v>1940414</v>
      </c>
      <c r="Q359" s="121">
        <f t="shared" si="239"/>
        <v>1630600</v>
      </c>
      <c r="R359" s="124">
        <f t="shared" si="240"/>
        <v>1940414</v>
      </c>
      <c r="S359" s="125">
        <v>1893600</v>
      </c>
      <c r="T359" s="121">
        <f t="shared" si="221"/>
        <v>359784</v>
      </c>
      <c r="U359" s="110">
        <f t="shared" si="222"/>
        <v>2253384</v>
      </c>
      <c r="V359" s="121">
        <f t="shared" si="223"/>
        <v>1893600</v>
      </c>
      <c r="W359" s="122">
        <f t="shared" si="224"/>
        <v>2253384</v>
      </c>
      <c r="X359" s="108"/>
      <c r="Y359" s="121">
        <f t="shared" si="225"/>
        <v>0</v>
      </c>
      <c r="Z359" s="121">
        <f t="shared" si="226"/>
        <v>0</v>
      </c>
      <c r="AA359" s="121">
        <f t="shared" si="227"/>
        <v>0</v>
      </c>
      <c r="AB359" s="124">
        <f t="shared" si="228"/>
        <v>0</v>
      </c>
      <c r="AC359" s="126">
        <f t="shared" si="241"/>
        <v>1718267</v>
      </c>
      <c r="AD359" s="101">
        <f t="shared" si="216"/>
        <v>1288700</v>
      </c>
      <c r="AE359" s="127">
        <f t="shared" si="242"/>
        <v>123979.38896804134</v>
      </c>
      <c r="AF359" s="128">
        <f t="shared" si="229"/>
        <v>7.2153739184912094E-2</v>
      </c>
      <c r="AG359" s="129">
        <f t="shared" si="243"/>
        <v>1630600</v>
      </c>
      <c r="AH359" s="101">
        <f t="shared" si="218"/>
        <v>1630600</v>
      </c>
      <c r="AI359" s="130">
        <f t="shared" si="230"/>
        <v>123979.38896804134</v>
      </c>
      <c r="AJ359" s="159">
        <f t="shared" si="231"/>
        <v>7.6032987224359957E-2</v>
      </c>
      <c r="AK359" s="290" t="s">
        <v>1034</v>
      </c>
      <c r="AL359" s="291"/>
      <c r="AM359" s="292"/>
      <c r="AN359" s="160"/>
    </row>
    <row r="360" spans="1:40" ht="38.25" thickBot="1" x14ac:dyDescent="0.3">
      <c r="A360" s="84">
        <f t="shared" si="232"/>
        <v>3</v>
      </c>
      <c r="B360" s="198">
        <v>355</v>
      </c>
      <c r="C360" s="51" t="s">
        <v>791</v>
      </c>
      <c r="D360" s="205" t="s">
        <v>1048</v>
      </c>
      <c r="E360" s="60" t="s">
        <v>801</v>
      </c>
      <c r="F360" s="17">
        <v>1</v>
      </c>
      <c r="G360" s="17"/>
      <c r="H360" s="89" t="s">
        <v>1050</v>
      </c>
      <c r="I360" s="126">
        <v>1367600</v>
      </c>
      <c r="J360" s="121">
        <f t="shared" si="233"/>
        <v>259844</v>
      </c>
      <c r="K360" s="130">
        <f t="shared" si="234"/>
        <v>1627444</v>
      </c>
      <c r="L360" s="121">
        <f t="shared" si="235"/>
        <v>1367600</v>
      </c>
      <c r="M360" s="122">
        <f t="shared" si="236"/>
        <v>1627444</v>
      </c>
      <c r="N360" s="123">
        <v>1367600</v>
      </c>
      <c r="O360" s="121">
        <f t="shared" si="237"/>
        <v>259844</v>
      </c>
      <c r="P360" s="110">
        <f t="shared" si="238"/>
        <v>1627444</v>
      </c>
      <c r="Q360" s="121">
        <f t="shared" si="239"/>
        <v>1367600</v>
      </c>
      <c r="R360" s="124">
        <f t="shared" si="240"/>
        <v>1627444</v>
      </c>
      <c r="S360" s="125">
        <v>1683200</v>
      </c>
      <c r="T360" s="121">
        <f t="shared" si="221"/>
        <v>319808</v>
      </c>
      <c r="U360" s="110">
        <f t="shared" si="222"/>
        <v>2003008</v>
      </c>
      <c r="V360" s="121">
        <f t="shared" si="223"/>
        <v>1683200</v>
      </c>
      <c r="W360" s="122">
        <f t="shared" si="224"/>
        <v>2003008</v>
      </c>
      <c r="X360" s="108"/>
      <c r="Y360" s="121">
        <f t="shared" si="225"/>
        <v>0</v>
      </c>
      <c r="Z360" s="121">
        <f t="shared" si="226"/>
        <v>0</v>
      </c>
      <c r="AA360" s="121">
        <f t="shared" si="227"/>
        <v>0</v>
      </c>
      <c r="AB360" s="124">
        <f t="shared" si="228"/>
        <v>0</v>
      </c>
      <c r="AC360" s="126">
        <f t="shared" si="241"/>
        <v>1472800</v>
      </c>
      <c r="AD360" s="101">
        <f t="shared" si="216"/>
        <v>1104600</v>
      </c>
      <c r="AE360" s="127">
        <f t="shared" si="242"/>
        <v>148775.2667616496</v>
      </c>
      <c r="AF360" s="128">
        <f t="shared" si="229"/>
        <v>0.10101525445522108</v>
      </c>
      <c r="AG360" s="129">
        <f t="shared" si="243"/>
        <v>1367600</v>
      </c>
      <c r="AH360" s="101">
        <f t="shared" si="218"/>
        <v>1367600</v>
      </c>
      <c r="AI360" s="130">
        <f t="shared" si="230"/>
        <v>148775.2667616496</v>
      </c>
      <c r="AJ360" s="159">
        <f t="shared" si="231"/>
        <v>0.10878565864408424</v>
      </c>
      <c r="AK360" s="290" t="s">
        <v>1034</v>
      </c>
      <c r="AL360" s="291"/>
      <c r="AM360" s="292"/>
      <c r="AN360" s="160"/>
    </row>
    <row r="361" spans="1:40" ht="38.25" thickBot="1" x14ac:dyDescent="0.3">
      <c r="A361" s="84">
        <f t="shared" si="232"/>
        <v>3</v>
      </c>
      <c r="B361" s="198">
        <v>356</v>
      </c>
      <c r="C361" s="51" t="s">
        <v>791</v>
      </c>
      <c r="D361" s="205" t="s">
        <v>1048</v>
      </c>
      <c r="E361" s="60" t="s">
        <v>802</v>
      </c>
      <c r="F361" s="17">
        <v>1</v>
      </c>
      <c r="G361" s="17"/>
      <c r="H361" s="89" t="s">
        <v>1050</v>
      </c>
      <c r="I361" s="126">
        <v>1604300</v>
      </c>
      <c r="J361" s="121">
        <f t="shared" si="233"/>
        <v>304817</v>
      </c>
      <c r="K361" s="130">
        <f t="shared" si="234"/>
        <v>1909117</v>
      </c>
      <c r="L361" s="121">
        <f t="shared" si="235"/>
        <v>1604300</v>
      </c>
      <c r="M361" s="122">
        <f t="shared" si="236"/>
        <v>1909117</v>
      </c>
      <c r="N361" s="123">
        <v>1604300</v>
      </c>
      <c r="O361" s="121">
        <f t="shared" si="237"/>
        <v>304817</v>
      </c>
      <c r="P361" s="110">
        <f t="shared" si="238"/>
        <v>1909117</v>
      </c>
      <c r="Q361" s="121">
        <f t="shared" si="239"/>
        <v>1604300</v>
      </c>
      <c r="R361" s="124">
        <f t="shared" si="240"/>
        <v>1909117</v>
      </c>
      <c r="S361" s="125">
        <v>1893600</v>
      </c>
      <c r="T361" s="121">
        <f t="shared" si="221"/>
        <v>359784</v>
      </c>
      <c r="U361" s="110">
        <f t="shared" si="222"/>
        <v>2253384</v>
      </c>
      <c r="V361" s="121">
        <f t="shared" si="223"/>
        <v>1893600</v>
      </c>
      <c r="W361" s="122">
        <f t="shared" si="224"/>
        <v>2253384</v>
      </c>
      <c r="X361" s="108"/>
      <c r="Y361" s="121">
        <f t="shared" si="225"/>
        <v>0</v>
      </c>
      <c r="Z361" s="121">
        <f t="shared" si="226"/>
        <v>0</v>
      </c>
      <c r="AA361" s="121">
        <f t="shared" si="227"/>
        <v>0</v>
      </c>
      <c r="AB361" s="124">
        <f t="shared" si="228"/>
        <v>0</v>
      </c>
      <c r="AC361" s="126">
        <f t="shared" si="241"/>
        <v>1700733</v>
      </c>
      <c r="AD361" s="101">
        <f t="shared" si="216"/>
        <v>1275550</v>
      </c>
      <c r="AE361" s="127">
        <f t="shared" si="242"/>
        <v>136377.32786484546</v>
      </c>
      <c r="AF361" s="128">
        <f t="shared" si="229"/>
        <v>8.0187382654917302E-2</v>
      </c>
      <c r="AG361" s="129">
        <f t="shared" si="243"/>
        <v>1604300</v>
      </c>
      <c r="AH361" s="101">
        <f t="shared" si="218"/>
        <v>1604300</v>
      </c>
      <c r="AI361" s="130">
        <f t="shared" si="230"/>
        <v>136377.32786484546</v>
      </c>
      <c r="AJ361" s="159">
        <f t="shared" si="231"/>
        <v>8.5007372601661441E-2</v>
      </c>
      <c r="AK361" s="290" t="s">
        <v>1034</v>
      </c>
      <c r="AL361" s="291"/>
      <c r="AM361" s="292"/>
      <c r="AN361" s="160"/>
    </row>
    <row r="362" spans="1:40" ht="38.25" thickBot="1" x14ac:dyDescent="0.3">
      <c r="A362" s="84">
        <f t="shared" si="232"/>
        <v>3</v>
      </c>
      <c r="B362" s="198">
        <v>357</v>
      </c>
      <c r="C362" s="51" t="s">
        <v>791</v>
      </c>
      <c r="D362" s="205" t="s">
        <v>1048</v>
      </c>
      <c r="E362" s="60" t="s">
        <v>803</v>
      </c>
      <c r="F362" s="17">
        <v>1</v>
      </c>
      <c r="G362" s="17"/>
      <c r="H362" s="89" t="s">
        <v>1050</v>
      </c>
      <c r="I362" s="126">
        <v>1998800</v>
      </c>
      <c r="J362" s="121">
        <f t="shared" si="233"/>
        <v>379772</v>
      </c>
      <c r="K362" s="130">
        <f t="shared" si="234"/>
        <v>2378572</v>
      </c>
      <c r="L362" s="121">
        <f t="shared" si="235"/>
        <v>1998800</v>
      </c>
      <c r="M362" s="122">
        <f t="shared" si="236"/>
        <v>2378572</v>
      </c>
      <c r="N362" s="123">
        <v>1998800</v>
      </c>
      <c r="O362" s="121">
        <f t="shared" si="237"/>
        <v>379772</v>
      </c>
      <c r="P362" s="110">
        <f t="shared" si="238"/>
        <v>2378572</v>
      </c>
      <c r="Q362" s="121">
        <f t="shared" si="239"/>
        <v>1998800</v>
      </c>
      <c r="R362" s="124">
        <f t="shared" si="240"/>
        <v>2378572</v>
      </c>
      <c r="S362" s="125">
        <v>2314400</v>
      </c>
      <c r="T362" s="121">
        <f t="shared" si="221"/>
        <v>439736</v>
      </c>
      <c r="U362" s="110">
        <f t="shared" si="222"/>
        <v>2754136</v>
      </c>
      <c r="V362" s="121">
        <f t="shared" si="223"/>
        <v>2314400</v>
      </c>
      <c r="W362" s="122">
        <f t="shared" si="224"/>
        <v>2754136</v>
      </c>
      <c r="X362" s="108"/>
      <c r="Y362" s="121">
        <f t="shared" si="225"/>
        <v>0</v>
      </c>
      <c r="Z362" s="121">
        <f t="shared" si="226"/>
        <v>0</v>
      </c>
      <c r="AA362" s="121">
        <f t="shared" si="227"/>
        <v>0</v>
      </c>
      <c r="AB362" s="124">
        <f t="shared" si="228"/>
        <v>0</v>
      </c>
      <c r="AC362" s="126">
        <f t="shared" si="241"/>
        <v>2104000</v>
      </c>
      <c r="AD362" s="101">
        <f t="shared" si="216"/>
        <v>1578000</v>
      </c>
      <c r="AE362" s="127">
        <f t="shared" si="242"/>
        <v>148775.2667616496</v>
      </c>
      <c r="AF362" s="128">
        <f t="shared" si="229"/>
        <v>7.0710678118654752E-2</v>
      </c>
      <c r="AG362" s="129">
        <f t="shared" si="243"/>
        <v>1998800</v>
      </c>
      <c r="AH362" s="101">
        <f t="shared" si="218"/>
        <v>1998800</v>
      </c>
      <c r="AI362" s="130">
        <f t="shared" si="230"/>
        <v>148775.2667616496</v>
      </c>
      <c r="AJ362" s="159">
        <f t="shared" si="231"/>
        <v>7.4432292756478682E-2</v>
      </c>
      <c r="AK362" s="290" t="s">
        <v>1034</v>
      </c>
      <c r="AL362" s="291"/>
      <c r="AM362" s="292"/>
      <c r="AN362" s="160"/>
    </row>
    <row r="363" spans="1:40" ht="38.25" thickBot="1" x14ac:dyDescent="0.3">
      <c r="A363" s="84">
        <f t="shared" si="232"/>
        <v>3</v>
      </c>
      <c r="B363" s="198">
        <v>358</v>
      </c>
      <c r="C363" s="51" t="s">
        <v>791</v>
      </c>
      <c r="D363" s="205" t="s">
        <v>1048</v>
      </c>
      <c r="E363" s="60" t="s">
        <v>804</v>
      </c>
      <c r="F363" s="17">
        <v>1</v>
      </c>
      <c r="G363" s="17"/>
      <c r="H363" s="89" t="s">
        <v>1050</v>
      </c>
      <c r="I363" s="126">
        <v>2347110.8880000003</v>
      </c>
      <c r="J363" s="121">
        <f t="shared" si="233"/>
        <v>445951.06872000004</v>
      </c>
      <c r="K363" s="130">
        <f t="shared" si="234"/>
        <v>2793061.9567200001</v>
      </c>
      <c r="L363" s="121">
        <f t="shared" si="235"/>
        <v>2347110.8880000003</v>
      </c>
      <c r="M363" s="122">
        <f t="shared" si="236"/>
        <v>2793061.9567200001</v>
      </c>
      <c r="N363" s="123">
        <v>2347110.8880000003</v>
      </c>
      <c r="O363" s="121">
        <f t="shared" si="237"/>
        <v>445951.06872000004</v>
      </c>
      <c r="P363" s="110">
        <f t="shared" si="238"/>
        <v>2793061.9567200001</v>
      </c>
      <c r="Q363" s="121">
        <f t="shared" si="239"/>
        <v>2347110.8880000003</v>
      </c>
      <c r="R363" s="124">
        <f t="shared" si="240"/>
        <v>2793061.9567200001</v>
      </c>
      <c r="S363" s="125">
        <v>2630000</v>
      </c>
      <c r="T363" s="121">
        <f t="shared" si="221"/>
        <v>499700</v>
      </c>
      <c r="U363" s="110">
        <f t="shared" si="222"/>
        <v>3129700</v>
      </c>
      <c r="V363" s="121">
        <f t="shared" si="223"/>
        <v>2630000</v>
      </c>
      <c r="W363" s="122">
        <f t="shared" si="224"/>
        <v>3129700</v>
      </c>
      <c r="X363" s="108"/>
      <c r="Y363" s="121">
        <f t="shared" si="225"/>
        <v>0</v>
      </c>
      <c r="Z363" s="121">
        <f t="shared" si="226"/>
        <v>0</v>
      </c>
      <c r="AA363" s="121">
        <f t="shared" si="227"/>
        <v>0</v>
      </c>
      <c r="AB363" s="124">
        <f t="shared" si="228"/>
        <v>0</v>
      </c>
      <c r="AC363" s="126">
        <f t="shared" si="241"/>
        <v>2441407</v>
      </c>
      <c r="AD363" s="101">
        <f t="shared" si="216"/>
        <v>1831055</v>
      </c>
      <c r="AE363" s="127">
        <f t="shared" si="242"/>
        <v>133355.20627936037</v>
      </c>
      <c r="AF363" s="128">
        <f t="shared" si="229"/>
        <v>5.4622275712062907E-2</v>
      </c>
      <c r="AG363" s="129">
        <f t="shared" si="243"/>
        <v>2347111</v>
      </c>
      <c r="AH363" s="101">
        <f t="shared" si="218"/>
        <v>2347111</v>
      </c>
      <c r="AI363" s="130">
        <f t="shared" si="230"/>
        <v>133355.20627936037</v>
      </c>
      <c r="AJ363" s="159">
        <f t="shared" si="231"/>
        <v>5.681674461896364E-2</v>
      </c>
      <c r="AK363" s="290" t="s">
        <v>1034</v>
      </c>
      <c r="AL363" s="291"/>
      <c r="AM363" s="292"/>
      <c r="AN363" s="160"/>
    </row>
    <row r="364" spans="1:40" ht="38.25" thickBot="1" x14ac:dyDescent="0.3">
      <c r="A364" s="84">
        <f t="shared" si="232"/>
        <v>3</v>
      </c>
      <c r="B364" s="198">
        <v>359</v>
      </c>
      <c r="C364" s="51" t="s">
        <v>791</v>
      </c>
      <c r="D364" s="205" t="s">
        <v>1048</v>
      </c>
      <c r="E364" s="60" t="s">
        <v>805</v>
      </c>
      <c r="F364" s="17">
        <v>1</v>
      </c>
      <c r="G364" s="17"/>
      <c r="H364" s="89" t="s">
        <v>1050</v>
      </c>
      <c r="I364" s="126">
        <v>2639952.9720000001</v>
      </c>
      <c r="J364" s="121">
        <f t="shared" si="233"/>
        <v>501591.06468000001</v>
      </c>
      <c r="K364" s="130">
        <f t="shared" si="234"/>
        <v>3141544.0366799999</v>
      </c>
      <c r="L364" s="121">
        <f t="shared" si="235"/>
        <v>2639952.9720000001</v>
      </c>
      <c r="M364" s="122">
        <f t="shared" si="236"/>
        <v>3141544.0366799999</v>
      </c>
      <c r="N364" s="123">
        <v>2639952.9720000001</v>
      </c>
      <c r="O364" s="121">
        <f t="shared" si="237"/>
        <v>501591.06468000001</v>
      </c>
      <c r="P364" s="110">
        <f t="shared" si="238"/>
        <v>3141544.0366799999</v>
      </c>
      <c r="Q364" s="121">
        <f t="shared" si="239"/>
        <v>2639952.9720000001</v>
      </c>
      <c r="R364" s="124">
        <f t="shared" si="240"/>
        <v>3141544.0366799999</v>
      </c>
      <c r="S364" s="125">
        <v>2945600</v>
      </c>
      <c r="T364" s="121">
        <f t="shared" si="221"/>
        <v>559664</v>
      </c>
      <c r="U364" s="110">
        <f t="shared" si="222"/>
        <v>3505264</v>
      </c>
      <c r="V364" s="121">
        <f t="shared" si="223"/>
        <v>2945600</v>
      </c>
      <c r="W364" s="122">
        <f t="shared" si="224"/>
        <v>3505264</v>
      </c>
      <c r="X364" s="108"/>
      <c r="Y364" s="121">
        <f t="shared" si="225"/>
        <v>0</v>
      </c>
      <c r="Z364" s="121">
        <f t="shared" si="226"/>
        <v>0</v>
      </c>
      <c r="AA364" s="121">
        <f t="shared" si="227"/>
        <v>0</v>
      </c>
      <c r="AB364" s="124">
        <f t="shared" si="228"/>
        <v>0</v>
      </c>
      <c r="AC364" s="126">
        <f t="shared" si="241"/>
        <v>2741835</v>
      </c>
      <c r="AD364" s="101">
        <f t="shared" si="216"/>
        <v>2056376</v>
      </c>
      <c r="AE364" s="127">
        <f t="shared" si="242"/>
        <v>144083.39076554301</v>
      </c>
      <c r="AF364" s="128">
        <f t="shared" si="229"/>
        <v>5.254998596397778E-2</v>
      </c>
      <c r="AG364" s="129">
        <f t="shared" si="243"/>
        <v>2639953</v>
      </c>
      <c r="AH364" s="101">
        <f t="shared" si="218"/>
        <v>2639953</v>
      </c>
      <c r="AI364" s="130">
        <f t="shared" si="230"/>
        <v>144083.39076554301</v>
      </c>
      <c r="AJ364" s="159">
        <f t="shared" si="231"/>
        <v>5.4578013610675269E-2</v>
      </c>
      <c r="AK364" s="290" t="s">
        <v>1034</v>
      </c>
      <c r="AL364" s="291"/>
      <c r="AM364" s="292"/>
      <c r="AN364" s="160"/>
    </row>
    <row r="365" spans="1:40" ht="38.25" thickBot="1" x14ac:dyDescent="0.3">
      <c r="A365" s="84">
        <f t="shared" si="232"/>
        <v>3</v>
      </c>
      <c r="B365" s="198">
        <v>360</v>
      </c>
      <c r="C365" s="51" t="s">
        <v>791</v>
      </c>
      <c r="D365" s="205" t="s">
        <v>1048</v>
      </c>
      <c r="E365" s="60" t="s">
        <v>806</v>
      </c>
      <c r="F365" s="17">
        <v>1</v>
      </c>
      <c r="G365" s="17"/>
      <c r="H365" s="89" t="s">
        <v>1050</v>
      </c>
      <c r="I365" s="126">
        <v>2735200</v>
      </c>
      <c r="J365" s="121">
        <f t="shared" si="233"/>
        <v>519688</v>
      </c>
      <c r="K365" s="130">
        <f t="shared" si="234"/>
        <v>3254888</v>
      </c>
      <c r="L365" s="121">
        <f t="shared" si="235"/>
        <v>2735200</v>
      </c>
      <c r="M365" s="122">
        <f t="shared" si="236"/>
        <v>3254888</v>
      </c>
      <c r="N365" s="123">
        <v>2735200</v>
      </c>
      <c r="O365" s="121">
        <f t="shared" si="237"/>
        <v>519688</v>
      </c>
      <c r="P365" s="110">
        <f t="shared" si="238"/>
        <v>3254888</v>
      </c>
      <c r="Q365" s="121">
        <f t="shared" si="239"/>
        <v>2735200</v>
      </c>
      <c r="R365" s="124">
        <f t="shared" si="240"/>
        <v>3254888</v>
      </c>
      <c r="S365" s="125">
        <v>3156000</v>
      </c>
      <c r="T365" s="121">
        <f t="shared" si="221"/>
        <v>599640</v>
      </c>
      <c r="U365" s="110">
        <f t="shared" si="222"/>
        <v>3755640</v>
      </c>
      <c r="V365" s="121">
        <f t="shared" si="223"/>
        <v>3156000</v>
      </c>
      <c r="W365" s="122">
        <f t="shared" si="224"/>
        <v>3755640</v>
      </c>
      <c r="X365" s="108"/>
      <c r="Y365" s="121">
        <f t="shared" si="225"/>
        <v>0</v>
      </c>
      <c r="Z365" s="121">
        <f t="shared" si="226"/>
        <v>0</v>
      </c>
      <c r="AA365" s="121">
        <f t="shared" si="227"/>
        <v>0</v>
      </c>
      <c r="AB365" s="124">
        <f t="shared" si="228"/>
        <v>0</v>
      </c>
      <c r="AC365" s="126">
        <f t="shared" si="241"/>
        <v>2875467</v>
      </c>
      <c r="AD365" s="101">
        <f t="shared" si="216"/>
        <v>2156600</v>
      </c>
      <c r="AE365" s="127">
        <f t="shared" si="242"/>
        <v>198367.02234886613</v>
      </c>
      <c r="AF365" s="128">
        <f t="shared" si="229"/>
        <v>6.8986019435752916E-2</v>
      </c>
      <c r="AG365" s="129">
        <f t="shared" si="243"/>
        <v>2735200</v>
      </c>
      <c r="AH365" s="101">
        <f t="shared" si="218"/>
        <v>2735200</v>
      </c>
      <c r="AI365" s="130">
        <f t="shared" si="230"/>
        <v>198367.02234886613</v>
      </c>
      <c r="AJ365" s="159">
        <f t="shared" si="231"/>
        <v>7.2523772429389483E-2</v>
      </c>
      <c r="AK365" s="290" t="s">
        <v>1034</v>
      </c>
      <c r="AL365" s="291"/>
      <c r="AM365" s="292"/>
      <c r="AN365" s="160"/>
    </row>
    <row r="366" spans="1:40" ht="38.25" thickBot="1" x14ac:dyDescent="0.3">
      <c r="A366" s="84">
        <f t="shared" si="232"/>
        <v>3</v>
      </c>
      <c r="B366" s="198">
        <v>361</v>
      </c>
      <c r="C366" s="51" t="s">
        <v>791</v>
      </c>
      <c r="D366" s="205" t="s">
        <v>1048</v>
      </c>
      <c r="E366" s="60" t="s">
        <v>807</v>
      </c>
      <c r="F366" s="17">
        <v>1</v>
      </c>
      <c r="G366" s="17"/>
      <c r="H366" s="89" t="s">
        <v>1050</v>
      </c>
      <c r="I366" s="126">
        <v>2577400</v>
      </c>
      <c r="J366" s="121">
        <f t="shared" si="233"/>
        <v>489706</v>
      </c>
      <c r="K366" s="130">
        <f t="shared" si="234"/>
        <v>3067106</v>
      </c>
      <c r="L366" s="121">
        <f t="shared" si="235"/>
        <v>2577400</v>
      </c>
      <c r="M366" s="122">
        <f t="shared" si="236"/>
        <v>3067106</v>
      </c>
      <c r="N366" s="123">
        <v>2577400</v>
      </c>
      <c r="O366" s="121">
        <f t="shared" si="237"/>
        <v>489706</v>
      </c>
      <c r="P366" s="110">
        <f t="shared" si="238"/>
        <v>3067106</v>
      </c>
      <c r="Q366" s="121">
        <f t="shared" si="239"/>
        <v>2577400</v>
      </c>
      <c r="R366" s="124">
        <f t="shared" si="240"/>
        <v>3067106</v>
      </c>
      <c r="S366" s="125">
        <v>2840400</v>
      </c>
      <c r="T366" s="121">
        <f t="shared" si="221"/>
        <v>539676</v>
      </c>
      <c r="U366" s="110">
        <f t="shared" si="222"/>
        <v>3380076</v>
      </c>
      <c r="V366" s="121">
        <f t="shared" si="223"/>
        <v>2840400</v>
      </c>
      <c r="W366" s="122">
        <f t="shared" si="224"/>
        <v>3380076</v>
      </c>
      <c r="X366" s="108"/>
      <c r="Y366" s="121">
        <f t="shared" si="225"/>
        <v>0</v>
      </c>
      <c r="Z366" s="121">
        <f t="shared" si="226"/>
        <v>0</v>
      </c>
      <c r="AA366" s="121">
        <f t="shared" si="227"/>
        <v>0</v>
      </c>
      <c r="AB366" s="124">
        <f t="shared" si="228"/>
        <v>0</v>
      </c>
      <c r="AC366" s="126">
        <f t="shared" si="241"/>
        <v>2665067</v>
      </c>
      <c r="AD366" s="101">
        <f t="shared" si="216"/>
        <v>1998800</v>
      </c>
      <c r="AE366" s="127">
        <f t="shared" si="242"/>
        <v>123979.38896804133</v>
      </c>
      <c r="AF366" s="128">
        <f t="shared" si="229"/>
        <v>4.6520177154285927E-2</v>
      </c>
      <c r="AG366" s="129">
        <f t="shared" si="243"/>
        <v>2577400</v>
      </c>
      <c r="AH366" s="101">
        <f t="shared" si="218"/>
        <v>2577400</v>
      </c>
      <c r="AI366" s="130">
        <f t="shared" si="230"/>
        <v>123979.38896804133</v>
      </c>
      <c r="AJ366" s="159">
        <f t="shared" si="231"/>
        <v>4.8102502121533844E-2</v>
      </c>
      <c r="AK366" s="290" t="s">
        <v>1034</v>
      </c>
      <c r="AL366" s="291"/>
      <c r="AM366" s="292"/>
      <c r="AN366" s="160"/>
    </row>
    <row r="367" spans="1:40" ht="38.25" thickBot="1" x14ac:dyDescent="0.3">
      <c r="A367" s="84">
        <f t="shared" si="232"/>
        <v>3</v>
      </c>
      <c r="B367" s="198">
        <v>362</v>
      </c>
      <c r="C367" s="51" t="s">
        <v>791</v>
      </c>
      <c r="D367" s="205" t="s">
        <v>1048</v>
      </c>
      <c r="E367" s="60" t="s">
        <v>808</v>
      </c>
      <c r="F367" s="17">
        <v>1</v>
      </c>
      <c r="G367" s="17"/>
      <c r="H367" s="89" t="s">
        <v>1050</v>
      </c>
      <c r="I367" s="126">
        <v>2735200</v>
      </c>
      <c r="J367" s="121">
        <f t="shared" si="233"/>
        <v>519688</v>
      </c>
      <c r="K367" s="130">
        <f t="shared" si="234"/>
        <v>3254888</v>
      </c>
      <c r="L367" s="121">
        <f t="shared" si="235"/>
        <v>2735200</v>
      </c>
      <c r="M367" s="122">
        <f t="shared" si="236"/>
        <v>3254888</v>
      </c>
      <c r="N367" s="123">
        <v>2735200</v>
      </c>
      <c r="O367" s="121">
        <f t="shared" si="237"/>
        <v>519688</v>
      </c>
      <c r="P367" s="110">
        <f t="shared" si="238"/>
        <v>3254888</v>
      </c>
      <c r="Q367" s="121">
        <f t="shared" si="239"/>
        <v>2735200</v>
      </c>
      <c r="R367" s="124">
        <f t="shared" si="240"/>
        <v>3254888</v>
      </c>
      <c r="S367" s="125">
        <v>3156000</v>
      </c>
      <c r="T367" s="121">
        <f t="shared" si="221"/>
        <v>599640</v>
      </c>
      <c r="U367" s="110">
        <f t="shared" si="222"/>
        <v>3755640</v>
      </c>
      <c r="V367" s="121">
        <f t="shared" si="223"/>
        <v>3156000</v>
      </c>
      <c r="W367" s="122">
        <f t="shared" si="224"/>
        <v>3755640</v>
      </c>
      <c r="X367" s="108"/>
      <c r="Y367" s="121">
        <f t="shared" si="225"/>
        <v>0</v>
      </c>
      <c r="Z367" s="121">
        <f t="shared" si="226"/>
        <v>0</v>
      </c>
      <c r="AA367" s="121">
        <f t="shared" si="227"/>
        <v>0</v>
      </c>
      <c r="AB367" s="124">
        <f t="shared" si="228"/>
        <v>0</v>
      </c>
      <c r="AC367" s="126">
        <f t="shared" si="241"/>
        <v>2875467</v>
      </c>
      <c r="AD367" s="101">
        <f t="shared" si="216"/>
        <v>2156600</v>
      </c>
      <c r="AE367" s="127">
        <f t="shared" si="242"/>
        <v>198367.02234886613</v>
      </c>
      <c r="AF367" s="128">
        <f t="shared" si="229"/>
        <v>6.8986019435752916E-2</v>
      </c>
      <c r="AG367" s="129">
        <f t="shared" si="243"/>
        <v>2735200</v>
      </c>
      <c r="AH367" s="101">
        <f t="shared" si="218"/>
        <v>2735200</v>
      </c>
      <c r="AI367" s="130">
        <f t="shared" si="230"/>
        <v>198367.02234886613</v>
      </c>
      <c r="AJ367" s="159">
        <f t="shared" si="231"/>
        <v>7.2523772429389483E-2</v>
      </c>
      <c r="AK367" s="290" t="s">
        <v>1034</v>
      </c>
      <c r="AL367" s="291"/>
      <c r="AM367" s="292"/>
      <c r="AN367" s="160"/>
    </row>
    <row r="368" spans="1:40" ht="38.25" thickBot="1" x14ac:dyDescent="0.3">
      <c r="A368" s="84">
        <f t="shared" si="232"/>
        <v>3</v>
      </c>
      <c r="B368" s="198">
        <v>363</v>
      </c>
      <c r="C368" s="51" t="s">
        <v>791</v>
      </c>
      <c r="D368" s="205" t="s">
        <v>1048</v>
      </c>
      <c r="E368" s="60" t="s">
        <v>809</v>
      </c>
      <c r="F368" s="17">
        <v>1</v>
      </c>
      <c r="G368" s="17"/>
      <c r="H368" s="89" t="s">
        <v>1050</v>
      </c>
      <c r="I368" s="126">
        <v>2840400</v>
      </c>
      <c r="J368" s="121">
        <f t="shared" si="233"/>
        <v>539676</v>
      </c>
      <c r="K368" s="130">
        <f t="shared" si="234"/>
        <v>3380076</v>
      </c>
      <c r="L368" s="121">
        <f t="shared" si="235"/>
        <v>2840400</v>
      </c>
      <c r="M368" s="122">
        <f t="shared" si="236"/>
        <v>3380076</v>
      </c>
      <c r="N368" s="123">
        <v>2840400</v>
      </c>
      <c r="O368" s="121">
        <f t="shared" si="237"/>
        <v>539676</v>
      </c>
      <c r="P368" s="110">
        <f t="shared" si="238"/>
        <v>3380076</v>
      </c>
      <c r="Q368" s="121">
        <f t="shared" si="239"/>
        <v>2840400</v>
      </c>
      <c r="R368" s="124">
        <f t="shared" si="240"/>
        <v>3380076</v>
      </c>
      <c r="S368" s="125">
        <v>3261200</v>
      </c>
      <c r="T368" s="121">
        <f t="shared" si="221"/>
        <v>619628</v>
      </c>
      <c r="U368" s="110">
        <f t="shared" si="222"/>
        <v>3880828</v>
      </c>
      <c r="V368" s="121">
        <f t="shared" si="223"/>
        <v>3261200</v>
      </c>
      <c r="W368" s="122">
        <f t="shared" si="224"/>
        <v>3880828</v>
      </c>
      <c r="X368" s="108"/>
      <c r="Y368" s="121">
        <f t="shared" si="225"/>
        <v>0</v>
      </c>
      <c r="Z368" s="121">
        <f t="shared" si="226"/>
        <v>0</v>
      </c>
      <c r="AA368" s="121">
        <f t="shared" si="227"/>
        <v>0</v>
      </c>
      <c r="AB368" s="124">
        <f t="shared" si="228"/>
        <v>0</v>
      </c>
      <c r="AC368" s="126">
        <f t="shared" si="241"/>
        <v>2980667</v>
      </c>
      <c r="AD368" s="101">
        <f t="shared" si="216"/>
        <v>2235500</v>
      </c>
      <c r="AE368" s="127">
        <f t="shared" si="242"/>
        <v>198367.02234886613</v>
      </c>
      <c r="AF368" s="128">
        <f t="shared" si="229"/>
        <v>6.6551219022073296E-2</v>
      </c>
      <c r="AG368" s="129">
        <f t="shared" si="243"/>
        <v>2840400</v>
      </c>
      <c r="AH368" s="101">
        <f t="shared" si="218"/>
        <v>2840400</v>
      </c>
      <c r="AI368" s="130">
        <f t="shared" si="230"/>
        <v>198367.02234886613</v>
      </c>
      <c r="AJ368" s="159">
        <f t="shared" si="231"/>
        <v>6.9837706783856549E-2</v>
      </c>
      <c r="AK368" s="290" t="s">
        <v>1034</v>
      </c>
      <c r="AL368" s="291"/>
      <c r="AM368" s="292"/>
      <c r="AN368" s="160"/>
    </row>
    <row r="369" spans="1:40" ht="38.25" thickBot="1" x14ac:dyDescent="0.3">
      <c r="A369" s="84">
        <f t="shared" si="232"/>
        <v>3</v>
      </c>
      <c r="B369" s="198">
        <v>364</v>
      </c>
      <c r="C369" s="51" t="s">
        <v>791</v>
      </c>
      <c r="D369" s="205" t="s">
        <v>1048</v>
      </c>
      <c r="E369" s="60" t="s">
        <v>810</v>
      </c>
      <c r="F369" s="17">
        <v>1</v>
      </c>
      <c r="G369" s="17"/>
      <c r="H369" s="89" t="s">
        <v>1050</v>
      </c>
      <c r="I369" s="126">
        <v>2840400</v>
      </c>
      <c r="J369" s="121">
        <f t="shared" si="233"/>
        <v>539676</v>
      </c>
      <c r="K369" s="130">
        <f t="shared" si="234"/>
        <v>3380076</v>
      </c>
      <c r="L369" s="121">
        <f t="shared" si="235"/>
        <v>2840400</v>
      </c>
      <c r="M369" s="122">
        <f t="shared" si="236"/>
        <v>3380076</v>
      </c>
      <c r="N369" s="123">
        <v>2840400</v>
      </c>
      <c r="O369" s="121">
        <f t="shared" si="237"/>
        <v>539676</v>
      </c>
      <c r="P369" s="110">
        <f t="shared" si="238"/>
        <v>3380076</v>
      </c>
      <c r="Q369" s="121">
        <f t="shared" si="239"/>
        <v>2840400</v>
      </c>
      <c r="R369" s="124">
        <f t="shared" si="240"/>
        <v>3380076</v>
      </c>
      <c r="S369" s="125">
        <v>3156000</v>
      </c>
      <c r="T369" s="121">
        <f t="shared" si="221"/>
        <v>599640</v>
      </c>
      <c r="U369" s="110">
        <f t="shared" si="222"/>
        <v>3755640</v>
      </c>
      <c r="V369" s="121">
        <f t="shared" si="223"/>
        <v>3156000</v>
      </c>
      <c r="W369" s="122">
        <f t="shared" si="224"/>
        <v>3755640</v>
      </c>
      <c r="X369" s="108"/>
      <c r="Y369" s="121">
        <f t="shared" si="225"/>
        <v>0</v>
      </c>
      <c r="Z369" s="121">
        <f t="shared" si="226"/>
        <v>0</v>
      </c>
      <c r="AA369" s="121">
        <f t="shared" si="227"/>
        <v>0</v>
      </c>
      <c r="AB369" s="124">
        <f t="shared" si="228"/>
        <v>0</v>
      </c>
      <c r="AC369" s="126">
        <f t="shared" si="241"/>
        <v>2945600</v>
      </c>
      <c r="AD369" s="101">
        <f t="shared" si="216"/>
        <v>2209200</v>
      </c>
      <c r="AE369" s="127">
        <f t="shared" si="242"/>
        <v>148775.2667616496</v>
      </c>
      <c r="AF369" s="128">
        <f t="shared" si="229"/>
        <v>5.0507627227610541E-2</v>
      </c>
      <c r="AG369" s="129">
        <f t="shared" si="243"/>
        <v>2840400</v>
      </c>
      <c r="AH369" s="101">
        <f t="shared" si="218"/>
        <v>2840400</v>
      </c>
      <c r="AI369" s="130">
        <f t="shared" si="230"/>
        <v>148775.2667616496</v>
      </c>
      <c r="AJ369" s="159">
        <f t="shared" si="231"/>
        <v>5.2378280087892408E-2</v>
      </c>
      <c r="AK369" s="290" t="s">
        <v>1034</v>
      </c>
      <c r="AL369" s="291"/>
      <c r="AM369" s="292"/>
      <c r="AN369" s="160"/>
    </row>
    <row r="370" spans="1:40" ht="38.25" thickBot="1" x14ac:dyDescent="0.3">
      <c r="A370" s="84">
        <f t="shared" si="232"/>
        <v>3</v>
      </c>
      <c r="B370" s="198">
        <v>365</v>
      </c>
      <c r="C370" s="51" t="s">
        <v>791</v>
      </c>
      <c r="D370" s="205" t="s">
        <v>1048</v>
      </c>
      <c r="E370" s="60" t="s">
        <v>811</v>
      </c>
      <c r="F370" s="17">
        <v>1</v>
      </c>
      <c r="G370" s="17"/>
      <c r="H370" s="89" t="s">
        <v>1050</v>
      </c>
      <c r="I370" s="126">
        <v>3050800</v>
      </c>
      <c r="J370" s="121">
        <f t="shared" si="233"/>
        <v>579652</v>
      </c>
      <c r="K370" s="130">
        <f t="shared" si="234"/>
        <v>3630452</v>
      </c>
      <c r="L370" s="121">
        <f t="shared" si="235"/>
        <v>3050800</v>
      </c>
      <c r="M370" s="122">
        <f t="shared" si="236"/>
        <v>3630452</v>
      </c>
      <c r="N370" s="123">
        <v>3050800</v>
      </c>
      <c r="O370" s="121">
        <f t="shared" si="237"/>
        <v>579652</v>
      </c>
      <c r="P370" s="110">
        <f t="shared" si="238"/>
        <v>3630452</v>
      </c>
      <c r="Q370" s="121">
        <f t="shared" si="239"/>
        <v>3050800</v>
      </c>
      <c r="R370" s="124">
        <f t="shared" si="240"/>
        <v>3630452</v>
      </c>
      <c r="S370" s="125">
        <v>3576800</v>
      </c>
      <c r="T370" s="121">
        <f t="shared" si="221"/>
        <v>679592</v>
      </c>
      <c r="U370" s="110">
        <f t="shared" si="222"/>
        <v>4256392</v>
      </c>
      <c r="V370" s="121">
        <f t="shared" si="223"/>
        <v>3576800</v>
      </c>
      <c r="W370" s="122">
        <f t="shared" si="224"/>
        <v>4256392</v>
      </c>
      <c r="X370" s="108"/>
      <c r="Y370" s="121">
        <f t="shared" si="225"/>
        <v>0</v>
      </c>
      <c r="Z370" s="121">
        <f t="shared" si="226"/>
        <v>0</v>
      </c>
      <c r="AA370" s="121">
        <f t="shared" si="227"/>
        <v>0</v>
      </c>
      <c r="AB370" s="124">
        <f t="shared" si="228"/>
        <v>0</v>
      </c>
      <c r="AC370" s="126">
        <f t="shared" si="241"/>
        <v>3226133</v>
      </c>
      <c r="AD370" s="101">
        <f t="shared" si="216"/>
        <v>2419600</v>
      </c>
      <c r="AE370" s="127">
        <f t="shared" si="242"/>
        <v>247958.77793608268</v>
      </c>
      <c r="AF370" s="128">
        <f t="shared" si="229"/>
        <v>7.68594406790057E-2</v>
      </c>
      <c r="AG370" s="129">
        <f t="shared" si="243"/>
        <v>3050800</v>
      </c>
      <c r="AH370" s="101">
        <f t="shared" si="218"/>
        <v>3050800</v>
      </c>
      <c r="AI370" s="130">
        <f t="shared" si="230"/>
        <v>247958.77793608268</v>
      </c>
      <c r="AJ370" s="159">
        <f t="shared" si="231"/>
        <v>8.1276641515695122E-2</v>
      </c>
      <c r="AK370" s="290" t="s">
        <v>1034</v>
      </c>
      <c r="AL370" s="291"/>
      <c r="AM370" s="292"/>
      <c r="AN370" s="160"/>
    </row>
    <row r="371" spans="1:40" ht="38.25" thickBot="1" x14ac:dyDescent="0.3">
      <c r="A371" s="84">
        <f t="shared" si="232"/>
        <v>3</v>
      </c>
      <c r="B371" s="198">
        <v>366</v>
      </c>
      <c r="C371" s="51" t="s">
        <v>791</v>
      </c>
      <c r="D371" s="205" t="s">
        <v>1048</v>
      </c>
      <c r="E371" s="60" t="s">
        <v>812</v>
      </c>
      <c r="F371" s="17">
        <v>1</v>
      </c>
      <c r="G371" s="17"/>
      <c r="H371" s="89" t="s">
        <v>1050</v>
      </c>
      <c r="I371" s="126">
        <v>3313800</v>
      </c>
      <c r="J371" s="121">
        <f t="shared" si="233"/>
        <v>629622</v>
      </c>
      <c r="K371" s="130">
        <f t="shared" si="234"/>
        <v>3943422</v>
      </c>
      <c r="L371" s="121">
        <f t="shared" si="235"/>
        <v>3313800</v>
      </c>
      <c r="M371" s="122">
        <f t="shared" si="236"/>
        <v>3943422</v>
      </c>
      <c r="N371" s="123">
        <v>3313800</v>
      </c>
      <c r="O371" s="121">
        <f t="shared" si="237"/>
        <v>629622</v>
      </c>
      <c r="P371" s="110">
        <f t="shared" si="238"/>
        <v>3943422</v>
      </c>
      <c r="Q371" s="121">
        <f t="shared" si="239"/>
        <v>3313800</v>
      </c>
      <c r="R371" s="124">
        <f t="shared" si="240"/>
        <v>3943422</v>
      </c>
      <c r="S371" s="125">
        <v>3892400</v>
      </c>
      <c r="T371" s="121">
        <f t="shared" si="221"/>
        <v>739556</v>
      </c>
      <c r="U371" s="110">
        <f t="shared" si="222"/>
        <v>4631956</v>
      </c>
      <c r="V371" s="121">
        <f t="shared" si="223"/>
        <v>3892400</v>
      </c>
      <c r="W371" s="122">
        <f t="shared" si="224"/>
        <v>4631956</v>
      </c>
      <c r="X371" s="108"/>
      <c r="Y371" s="121">
        <f t="shared" si="225"/>
        <v>0</v>
      </c>
      <c r="Z371" s="121">
        <f t="shared" si="226"/>
        <v>0</v>
      </c>
      <c r="AA371" s="121">
        <f t="shared" si="227"/>
        <v>0</v>
      </c>
      <c r="AB371" s="124">
        <f t="shared" si="228"/>
        <v>0</v>
      </c>
      <c r="AC371" s="126">
        <f t="shared" si="241"/>
        <v>3506667</v>
      </c>
      <c r="AD371" s="101">
        <f t="shared" si="216"/>
        <v>2630000</v>
      </c>
      <c r="AE371" s="127">
        <f t="shared" si="242"/>
        <v>272754.65572969092</v>
      </c>
      <c r="AF371" s="128">
        <f t="shared" si="229"/>
        <v>7.7781738536818842E-2</v>
      </c>
      <c r="AG371" s="129">
        <f t="shared" si="243"/>
        <v>3313800</v>
      </c>
      <c r="AH371" s="101">
        <f t="shared" si="218"/>
        <v>3313800</v>
      </c>
      <c r="AI371" s="130">
        <f t="shared" si="230"/>
        <v>272754.65572969092</v>
      </c>
      <c r="AJ371" s="159">
        <f t="shared" si="231"/>
        <v>8.2308725852402356E-2</v>
      </c>
      <c r="AK371" s="290" t="s">
        <v>1034</v>
      </c>
      <c r="AL371" s="291"/>
      <c r="AM371" s="292"/>
      <c r="AN371" s="160"/>
    </row>
    <row r="372" spans="1:40" ht="38.25" thickBot="1" x14ac:dyDescent="0.3">
      <c r="A372" s="84">
        <f t="shared" si="232"/>
        <v>3</v>
      </c>
      <c r="B372" s="198">
        <v>367</v>
      </c>
      <c r="C372" s="51" t="s">
        <v>791</v>
      </c>
      <c r="D372" s="205" t="s">
        <v>1048</v>
      </c>
      <c r="E372" s="60" t="s">
        <v>813</v>
      </c>
      <c r="F372" s="17">
        <v>1</v>
      </c>
      <c r="G372" s="17"/>
      <c r="H372" s="89" t="s">
        <v>1050</v>
      </c>
      <c r="I372" s="126">
        <v>3156000</v>
      </c>
      <c r="J372" s="121">
        <f t="shared" si="233"/>
        <v>599640</v>
      </c>
      <c r="K372" s="130">
        <f t="shared" si="234"/>
        <v>3755640</v>
      </c>
      <c r="L372" s="121">
        <f t="shared" si="235"/>
        <v>3156000</v>
      </c>
      <c r="M372" s="122">
        <f t="shared" si="236"/>
        <v>3755640</v>
      </c>
      <c r="N372" s="123">
        <v>3156000</v>
      </c>
      <c r="O372" s="121">
        <f t="shared" si="237"/>
        <v>599640</v>
      </c>
      <c r="P372" s="110">
        <f t="shared" si="238"/>
        <v>3755640</v>
      </c>
      <c r="Q372" s="121">
        <f t="shared" si="239"/>
        <v>3156000</v>
      </c>
      <c r="R372" s="124">
        <f t="shared" si="240"/>
        <v>3755640</v>
      </c>
      <c r="S372" s="125">
        <v>3576800</v>
      </c>
      <c r="T372" s="121">
        <f t="shared" si="221"/>
        <v>679592</v>
      </c>
      <c r="U372" s="110">
        <f t="shared" si="222"/>
        <v>4256392</v>
      </c>
      <c r="V372" s="121">
        <f t="shared" si="223"/>
        <v>3576800</v>
      </c>
      <c r="W372" s="122">
        <f t="shared" si="224"/>
        <v>4256392</v>
      </c>
      <c r="X372" s="108"/>
      <c r="Y372" s="121">
        <f t="shared" si="225"/>
        <v>0</v>
      </c>
      <c r="Z372" s="121">
        <f t="shared" si="226"/>
        <v>0</v>
      </c>
      <c r="AA372" s="121">
        <f t="shared" si="227"/>
        <v>0</v>
      </c>
      <c r="AB372" s="124">
        <f t="shared" si="228"/>
        <v>0</v>
      </c>
      <c r="AC372" s="126">
        <f t="shared" si="241"/>
        <v>3296267</v>
      </c>
      <c r="AD372" s="101">
        <f t="shared" si="216"/>
        <v>2472200</v>
      </c>
      <c r="AE372" s="127">
        <f t="shared" si="242"/>
        <v>198367.02234886613</v>
      </c>
      <c r="AF372" s="128">
        <f t="shared" si="229"/>
        <v>6.0179294440913349E-2</v>
      </c>
      <c r="AG372" s="129">
        <f t="shared" si="243"/>
        <v>3156000</v>
      </c>
      <c r="AH372" s="101">
        <f t="shared" si="218"/>
        <v>3156000</v>
      </c>
      <c r="AI372" s="130">
        <f t="shared" si="230"/>
        <v>198367.02234886613</v>
      </c>
      <c r="AJ372" s="159">
        <f t="shared" si="231"/>
        <v>6.2853936105470895E-2</v>
      </c>
      <c r="AK372" s="290" t="s">
        <v>1034</v>
      </c>
      <c r="AL372" s="291"/>
      <c r="AM372" s="292"/>
      <c r="AN372" s="160"/>
    </row>
    <row r="373" spans="1:40" ht="38.25" thickBot="1" x14ac:dyDescent="0.3">
      <c r="A373" s="84">
        <f t="shared" si="232"/>
        <v>3</v>
      </c>
      <c r="B373" s="198">
        <v>368</v>
      </c>
      <c r="C373" s="51" t="s">
        <v>791</v>
      </c>
      <c r="D373" s="205" t="s">
        <v>1048</v>
      </c>
      <c r="E373" s="60" t="s">
        <v>814</v>
      </c>
      <c r="F373" s="17">
        <v>1</v>
      </c>
      <c r="G373" s="17"/>
      <c r="H373" s="89" t="s">
        <v>1050</v>
      </c>
      <c r="I373" s="126">
        <v>3576800</v>
      </c>
      <c r="J373" s="121">
        <f t="shared" si="233"/>
        <v>679592</v>
      </c>
      <c r="K373" s="130">
        <f t="shared" si="234"/>
        <v>4256392</v>
      </c>
      <c r="L373" s="121">
        <f t="shared" si="235"/>
        <v>3576800</v>
      </c>
      <c r="M373" s="122">
        <f t="shared" si="236"/>
        <v>4256392</v>
      </c>
      <c r="N373" s="123">
        <v>3576800</v>
      </c>
      <c r="O373" s="121">
        <f t="shared" si="237"/>
        <v>679592</v>
      </c>
      <c r="P373" s="110">
        <f t="shared" si="238"/>
        <v>4256392</v>
      </c>
      <c r="Q373" s="121">
        <f t="shared" si="239"/>
        <v>3576800</v>
      </c>
      <c r="R373" s="124">
        <f t="shared" si="240"/>
        <v>4256392</v>
      </c>
      <c r="S373" s="125">
        <v>3997600</v>
      </c>
      <c r="T373" s="121">
        <f t="shared" si="221"/>
        <v>759544</v>
      </c>
      <c r="U373" s="110">
        <f t="shared" si="222"/>
        <v>4757144</v>
      </c>
      <c r="V373" s="121">
        <f t="shared" si="223"/>
        <v>3997600</v>
      </c>
      <c r="W373" s="122">
        <f t="shared" si="224"/>
        <v>4757144</v>
      </c>
      <c r="X373" s="108"/>
      <c r="Y373" s="121">
        <f t="shared" si="225"/>
        <v>0</v>
      </c>
      <c r="Z373" s="121">
        <f t="shared" si="226"/>
        <v>0</v>
      </c>
      <c r="AA373" s="121">
        <f t="shared" si="227"/>
        <v>0</v>
      </c>
      <c r="AB373" s="124">
        <f t="shared" si="228"/>
        <v>0</v>
      </c>
      <c r="AC373" s="126">
        <f t="shared" si="241"/>
        <v>3717067</v>
      </c>
      <c r="AD373" s="101">
        <f t="shared" si="216"/>
        <v>2787800</v>
      </c>
      <c r="AE373" s="127">
        <f t="shared" si="242"/>
        <v>198367.02234886613</v>
      </c>
      <c r="AF373" s="128">
        <f t="shared" si="229"/>
        <v>5.3366544737790879E-2</v>
      </c>
      <c r="AG373" s="129">
        <f t="shared" si="243"/>
        <v>3576800</v>
      </c>
      <c r="AH373" s="101">
        <f t="shared" si="218"/>
        <v>3576800</v>
      </c>
      <c r="AI373" s="130">
        <f t="shared" si="230"/>
        <v>198367.02234886613</v>
      </c>
      <c r="AJ373" s="159">
        <f t="shared" si="231"/>
        <v>5.5459355387180199E-2</v>
      </c>
      <c r="AK373" s="290" t="s">
        <v>1034</v>
      </c>
      <c r="AL373" s="291"/>
      <c r="AM373" s="292"/>
      <c r="AN373" s="160"/>
    </row>
    <row r="374" spans="1:40" ht="38.25" thickBot="1" x14ac:dyDescent="0.3">
      <c r="A374" s="84">
        <f t="shared" si="232"/>
        <v>3</v>
      </c>
      <c r="B374" s="198">
        <v>369</v>
      </c>
      <c r="C374" s="51" t="s">
        <v>791</v>
      </c>
      <c r="D374" s="205" t="s">
        <v>1048</v>
      </c>
      <c r="E374" s="60" t="s">
        <v>815</v>
      </c>
      <c r="F374" s="17">
        <v>1</v>
      </c>
      <c r="G374" s="17"/>
      <c r="H374" s="89" t="s">
        <v>1050</v>
      </c>
      <c r="I374" s="126">
        <v>3680632.4000000004</v>
      </c>
      <c r="J374" s="121">
        <f t="shared" si="233"/>
        <v>699320.15600000008</v>
      </c>
      <c r="K374" s="130">
        <f t="shared" si="234"/>
        <v>4379952.5560000008</v>
      </c>
      <c r="L374" s="121">
        <f t="shared" si="235"/>
        <v>3680632.4000000004</v>
      </c>
      <c r="M374" s="122">
        <f t="shared" si="236"/>
        <v>4379952.5560000008</v>
      </c>
      <c r="N374" s="123">
        <v>3680632.4000000004</v>
      </c>
      <c r="O374" s="121">
        <f t="shared" si="237"/>
        <v>699320.15600000008</v>
      </c>
      <c r="P374" s="110">
        <f t="shared" si="238"/>
        <v>4379952.5560000008</v>
      </c>
      <c r="Q374" s="121">
        <f t="shared" si="239"/>
        <v>3680632.4000000004</v>
      </c>
      <c r="R374" s="124">
        <f t="shared" si="240"/>
        <v>4379952.5560000008</v>
      </c>
      <c r="S374" s="125">
        <v>4523600</v>
      </c>
      <c r="T374" s="121">
        <f t="shared" si="221"/>
        <v>859484</v>
      </c>
      <c r="U374" s="110">
        <f t="shared" si="222"/>
        <v>5383084</v>
      </c>
      <c r="V374" s="121">
        <f t="shared" si="223"/>
        <v>4523600</v>
      </c>
      <c r="W374" s="122">
        <f t="shared" si="224"/>
        <v>5383084</v>
      </c>
      <c r="X374" s="108"/>
      <c r="Y374" s="121">
        <f t="shared" si="225"/>
        <v>0</v>
      </c>
      <c r="Z374" s="121">
        <f t="shared" si="226"/>
        <v>0</v>
      </c>
      <c r="AA374" s="121">
        <f t="shared" si="227"/>
        <v>0</v>
      </c>
      <c r="AB374" s="124">
        <f t="shared" si="228"/>
        <v>0</v>
      </c>
      <c r="AC374" s="126">
        <f t="shared" si="241"/>
        <v>3961622</v>
      </c>
      <c r="AD374" s="101">
        <f t="shared" si="216"/>
        <v>2971216</v>
      </c>
      <c r="AE374" s="127">
        <f t="shared" si="242"/>
        <v>397378.73752036592</v>
      </c>
      <c r="AF374" s="128">
        <f t="shared" si="229"/>
        <v>0.10030708066553698</v>
      </c>
      <c r="AG374" s="129">
        <f t="shared" si="243"/>
        <v>3680632</v>
      </c>
      <c r="AH374" s="101">
        <f t="shared" si="218"/>
        <v>3680632</v>
      </c>
      <c r="AI374" s="130">
        <f t="shared" si="230"/>
        <v>397378.73752036592</v>
      </c>
      <c r="AJ374" s="159">
        <f t="shared" si="231"/>
        <v>0.10796481080433086</v>
      </c>
      <c r="AK374" s="290" t="s">
        <v>1034</v>
      </c>
      <c r="AL374" s="291"/>
      <c r="AM374" s="292"/>
      <c r="AN374" s="160"/>
    </row>
    <row r="375" spans="1:40" ht="38.25" thickBot="1" x14ac:dyDescent="0.3">
      <c r="A375" s="84">
        <f t="shared" si="232"/>
        <v>3</v>
      </c>
      <c r="B375" s="198">
        <v>370</v>
      </c>
      <c r="C375" s="51" t="s">
        <v>791</v>
      </c>
      <c r="D375" s="205" t="s">
        <v>1048</v>
      </c>
      <c r="E375" s="60" t="s">
        <v>816</v>
      </c>
      <c r="F375" s="17">
        <v>1</v>
      </c>
      <c r="G375" s="17"/>
      <c r="H375" s="89" t="s">
        <v>1050</v>
      </c>
      <c r="I375" s="126">
        <v>4102800</v>
      </c>
      <c r="J375" s="121">
        <f t="shared" si="233"/>
        <v>779532</v>
      </c>
      <c r="K375" s="130">
        <f t="shared" si="234"/>
        <v>4882332</v>
      </c>
      <c r="L375" s="121">
        <f t="shared" si="235"/>
        <v>4102800</v>
      </c>
      <c r="M375" s="122">
        <f t="shared" si="236"/>
        <v>4882332</v>
      </c>
      <c r="N375" s="123">
        <v>4102800</v>
      </c>
      <c r="O375" s="121">
        <f t="shared" si="237"/>
        <v>779532</v>
      </c>
      <c r="P375" s="110">
        <f t="shared" si="238"/>
        <v>4882332</v>
      </c>
      <c r="Q375" s="121">
        <f t="shared" si="239"/>
        <v>4102800</v>
      </c>
      <c r="R375" s="124">
        <f t="shared" si="240"/>
        <v>4882332</v>
      </c>
      <c r="S375" s="125">
        <v>4839200</v>
      </c>
      <c r="T375" s="121">
        <f t="shared" si="221"/>
        <v>919448</v>
      </c>
      <c r="U375" s="110">
        <f t="shared" si="222"/>
        <v>5758648</v>
      </c>
      <c r="V375" s="121">
        <f t="shared" si="223"/>
        <v>4839200</v>
      </c>
      <c r="W375" s="122">
        <f t="shared" si="224"/>
        <v>5758648</v>
      </c>
      <c r="X375" s="108"/>
      <c r="Y375" s="121">
        <f t="shared" si="225"/>
        <v>0</v>
      </c>
      <c r="Z375" s="121">
        <f t="shared" si="226"/>
        <v>0</v>
      </c>
      <c r="AA375" s="121">
        <f t="shared" si="227"/>
        <v>0</v>
      </c>
      <c r="AB375" s="124">
        <f t="shared" si="228"/>
        <v>0</v>
      </c>
      <c r="AC375" s="126">
        <f t="shared" si="241"/>
        <v>4348267</v>
      </c>
      <c r="AD375" s="101">
        <f t="shared" si="216"/>
        <v>3261200</v>
      </c>
      <c r="AE375" s="127">
        <f t="shared" si="242"/>
        <v>347142.28911051573</v>
      </c>
      <c r="AF375" s="128">
        <f t="shared" si="229"/>
        <v>7.9834630465543108E-2</v>
      </c>
      <c r="AG375" s="129">
        <f t="shared" si="243"/>
        <v>4102800</v>
      </c>
      <c r="AH375" s="101">
        <f t="shared" si="218"/>
        <v>4102800</v>
      </c>
      <c r="AI375" s="130">
        <f t="shared" si="230"/>
        <v>347142.28911051573</v>
      </c>
      <c r="AJ375" s="159">
        <f t="shared" si="231"/>
        <v>8.4611067834287734E-2</v>
      </c>
      <c r="AK375" s="290" t="s">
        <v>1034</v>
      </c>
      <c r="AL375" s="291"/>
      <c r="AM375" s="292"/>
      <c r="AN375" s="160"/>
    </row>
    <row r="376" spans="1:40" ht="38.25" thickBot="1" x14ac:dyDescent="0.3">
      <c r="A376" s="84">
        <f t="shared" si="232"/>
        <v>3</v>
      </c>
      <c r="B376" s="198">
        <v>371</v>
      </c>
      <c r="C376" s="51" t="s">
        <v>791</v>
      </c>
      <c r="D376" s="205" t="s">
        <v>1048</v>
      </c>
      <c r="E376" s="60" t="s">
        <v>817</v>
      </c>
      <c r="F376" s="17">
        <v>1</v>
      </c>
      <c r="G376" s="17"/>
      <c r="H376" s="89" t="s">
        <v>1050</v>
      </c>
      <c r="I376" s="126">
        <v>4734000</v>
      </c>
      <c r="J376" s="121">
        <f t="shared" si="233"/>
        <v>899460</v>
      </c>
      <c r="K376" s="130">
        <f t="shared" si="234"/>
        <v>5633460</v>
      </c>
      <c r="L376" s="121">
        <f t="shared" si="235"/>
        <v>4734000</v>
      </c>
      <c r="M376" s="122">
        <f t="shared" si="236"/>
        <v>5633460</v>
      </c>
      <c r="N376" s="123">
        <v>4734000</v>
      </c>
      <c r="O376" s="121">
        <f t="shared" si="237"/>
        <v>899460</v>
      </c>
      <c r="P376" s="110">
        <f t="shared" si="238"/>
        <v>5633460</v>
      </c>
      <c r="Q376" s="121">
        <f t="shared" si="239"/>
        <v>4734000</v>
      </c>
      <c r="R376" s="124">
        <f t="shared" si="240"/>
        <v>5633460</v>
      </c>
      <c r="S376" s="125">
        <v>5154800</v>
      </c>
      <c r="T376" s="121">
        <f t="shared" si="221"/>
        <v>979412</v>
      </c>
      <c r="U376" s="110">
        <f t="shared" si="222"/>
        <v>6134212</v>
      </c>
      <c r="V376" s="121">
        <f t="shared" si="223"/>
        <v>5154800</v>
      </c>
      <c r="W376" s="122">
        <f t="shared" si="224"/>
        <v>6134212</v>
      </c>
      <c r="X376" s="108"/>
      <c r="Y376" s="121">
        <f t="shared" si="225"/>
        <v>0</v>
      </c>
      <c r="Z376" s="121">
        <f t="shared" si="226"/>
        <v>0</v>
      </c>
      <c r="AA376" s="121">
        <f t="shared" si="227"/>
        <v>0</v>
      </c>
      <c r="AB376" s="124">
        <f t="shared" si="228"/>
        <v>0</v>
      </c>
      <c r="AC376" s="126">
        <f t="shared" si="241"/>
        <v>4874267</v>
      </c>
      <c r="AD376" s="101">
        <f t="shared" si="216"/>
        <v>3655700</v>
      </c>
      <c r="AE376" s="127">
        <f t="shared" si="242"/>
        <v>198367.02234886613</v>
      </c>
      <c r="AF376" s="128">
        <f t="shared" si="229"/>
        <v>4.0696790378710504E-2</v>
      </c>
      <c r="AG376" s="129">
        <f t="shared" si="243"/>
        <v>4734000</v>
      </c>
      <c r="AH376" s="101">
        <f t="shared" si="218"/>
        <v>4734000</v>
      </c>
      <c r="AI376" s="130">
        <f t="shared" si="230"/>
        <v>198367.02234886613</v>
      </c>
      <c r="AJ376" s="159">
        <f t="shared" si="231"/>
        <v>4.1902624070313928E-2</v>
      </c>
      <c r="AK376" s="290" t="s">
        <v>1034</v>
      </c>
      <c r="AL376" s="291"/>
      <c r="AM376" s="292"/>
      <c r="AN376" s="160"/>
    </row>
    <row r="377" spans="1:40" ht="38.25" thickBot="1" x14ac:dyDescent="0.3">
      <c r="A377" s="84">
        <f t="shared" si="232"/>
        <v>3</v>
      </c>
      <c r="B377" s="198">
        <v>372</v>
      </c>
      <c r="C377" s="51" t="s">
        <v>791</v>
      </c>
      <c r="D377" s="205" t="s">
        <v>1048</v>
      </c>
      <c r="E377" s="60" t="s">
        <v>818</v>
      </c>
      <c r="F377" s="17">
        <v>1</v>
      </c>
      <c r="G377" s="17"/>
      <c r="H377" s="89" t="s">
        <v>1050</v>
      </c>
      <c r="I377" s="126">
        <v>5891200</v>
      </c>
      <c r="J377" s="121">
        <f t="shared" si="233"/>
        <v>1119328</v>
      </c>
      <c r="K377" s="130">
        <f t="shared" si="234"/>
        <v>7010528</v>
      </c>
      <c r="L377" s="121">
        <f t="shared" si="235"/>
        <v>5891200</v>
      </c>
      <c r="M377" s="122">
        <f t="shared" si="236"/>
        <v>7010528</v>
      </c>
      <c r="N377" s="123">
        <v>5891200</v>
      </c>
      <c r="O377" s="121">
        <f t="shared" si="237"/>
        <v>1119328</v>
      </c>
      <c r="P377" s="110">
        <f t="shared" si="238"/>
        <v>7010528</v>
      </c>
      <c r="Q377" s="121">
        <f t="shared" si="239"/>
        <v>5891200</v>
      </c>
      <c r="R377" s="124">
        <f t="shared" si="240"/>
        <v>7010528</v>
      </c>
      <c r="S377" s="125">
        <v>6206800</v>
      </c>
      <c r="T377" s="121">
        <f t="shared" si="221"/>
        <v>1179292</v>
      </c>
      <c r="U377" s="110">
        <f t="shared" si="222"/>
        <v>7386092</v>
      </c>
      <c r="V377" s="121">
        <f t="shared" si="223"/>
        <v>6206800</v>
      </c>
      <c r="W377" s="122">
        <f t="shared" si="224"/>
        <v>7386092</v>
      </c>
      <c r="X377" s="108"/>
      <c r="Y377" s="121">
        <f t="shared" si="225"/>
        <v>0</v>
      </c>
      <c r="Z377" s="121">
        <f t="shared" si="226"/>
        <v>0</v>
      </c>
      <c r="AA377" s="121">
        <f t="shared" si="227"/>
        <v>0</v>
      </c>
      <c r="AB377" s="124">
        <f t="shared" si="228"/>
        <v>0</v>
      </c>
      <c r="AC377" s="126">
        <f t="shared" si="241"/>
        <v>5996400</v>
      </c>
      <c r="AD377" s="101">
        <f t="shared" si="216"/>
        <v>4497300</v>
      </c>
      <c r="AE377" s="127">
        <f t="shared" si="242"/>
        <v>148775.2667616496</v>
      </c>
      <c r="AF377" s="128">
        <f t="shared" si="229"/>
        <v>2.4810764252159563E-2</v>
      </c>
      <c r="AG377" s="129">
        <f t="shared" si="243"/>
        <v>5891200</v>
      </c>
      <c r="AH377" s="101">
        <f t="shared" si="218"/>
        <v>5891200</v>
      </c>
      <c r="AI377" s="130">
        <f t="shared" si="230"/>
        <v>148775.2667616496</v>
      </c>
      <c r="AJ377" s="159">
        <f t="shared" si="231"/>
        <v>2.525381361380527E-2</v>
      </c>
      <c r="AK377" s="290" t="s">
        <v>1034</v>
      </c>
      <c r="AL377" s="291"/>
      <c r="AM377" s="292"/>
      <c r="AN377" s="160"/>
    </row>
    <row r="378" spans="1:40" ht="38.25" thickBot="1" x14ac:dyDescent="0.3">
      <c r="A378" s="84">
        <f t="shared" si="232"/>
        <v>3</v>
      </c>
      <c r="B378" s="198">
        <v>373</v>
      </c>
      <c r="C378" s="51" t="s">
        <v>791</v>
      </c>
      <c r="D378" s="205" t="s">
        <v>1048</v>
      </c>
      <c r="E378" s="60" t="s">
        <v>819</v>
      </c>
      <c r="F378" s="17">
        <v>1</v>
      </c>
      <c r="G378" s="17"/>
      <c r="H378" s="89" t="s">
        <v>1050</v>
      </c>
      <c r="I378" s="126">
        <v>5260000</v>
      </c>
      <c r="J378" s="121">
        <f t="shared" si="233"/>
        <v>999400</v>
      </c>
      <c r="K378" s="130">
        <f t="shared" si="234"/>
        <v>6259400</v>
      </c>
      <c r="L378" s="121">
        <f t="shared" si="235"/>
        <v>5260000</v>
      </c>
      <c r="M378" s="122">
        <f t="shared" si="236"/>
        <v>6259400</v>
      </c>
      <c r="N378" s="123">
        <v>5260000</v>
      </c>
      <c r="O378" s="121">
        <f t="shared" si="237"/>
        <v>999400</v>
      </c>
      <c r="P378" s="110">
        <f t="shared" si="238"/>
        <v>6259400</v>
      </c>
      <c r="Q378" s="121">
        <f t="shared" si="239"/>
        <v>5260000</v>
      </c>
      <c r="R378" s="124">
        <f t="shared" si="240"/>
        <v>6259400</v>
      </c>
      <c r="S378" s="125">
        <v>5680800</v>
      </c>
      <c r="T378" s="121">
        <f t="shared" si="221"/>
        <v>1079352</v>
      </c>
      <c r="U378" s="110">
        <f t="shared" si="222"/>
        <v>6760152</v>
      </c>
      <c r="V378" s="121">
        <f t="shared" si="223"/>
        <v>5680800</v>
      </c>
      <c r="W378" s="122">
        <f t="shared" si="224"/>
        <v>6760152</v>
      </c>
      <c r="X378" s="108"/>
      <c r="Y378" s="121">
        <f t="shared" si="225"/>
        <v>0</v>
      </c>
      <c r="Z378" s="121">
        <f t="shared" si="226"/>
        <v>0</v>
      </c>
      <c r="AA378" s="121">
        <f t="shared" si="227"/>
        <v>0</v>
      </c>
      <c r="AB378" s="124">
        <f t="shared" si="228"/>
        <v>0</v>
      </c>
      <c r="AC378" s="126">
        <f t="shared" si="241"/>
        <v>5400267</v>
      </c>
      <c r="AD378" s="101">
        <f t="shared" si="216"/>
        <v>4050200</v>
      </c>
      <c r="AE378" s="127">
        <f t="shared" si="242"/>
        <v>198367.02234886613</v>
      </c>
      <c r="AF378" s="128">
        <f t="shared" si="229"/>
        <v>3.6732817534552667E-2</v>
      </c>
      <c r="AG378" s="129">
        <f t="shared" si="243"/>
        <v>5260000</v>
      </c>
      <c r="AH378" s="101">
        <f t="shared" si="218"/>
        <v>5260000</v>
      </c>
      <c r="AI378" s="130">
        <f t="shared" si="230"/>
        <v>198367.02234886613</v>
      </c>
      <c r="AJ378" s="159">
        <f t="shared" si="231"/>
        <v>3.7712361663282533E-2</v>
      </c>
      <c r="AK378" s="290" t="s">
        <v>1034</v>
      </c>
      <c r="AL378" s="291"/>
      <c r="AM378" s="292"/>
      <c r="AN378" s="160"/>
    </row>
    <row r="379" spans="1:40" ht="38.25" thickBot="1" x14ac:dyDescent="0.3">
      <c r="A379" s="84">
        <f t="shared" si="232"/>
        <v>3</v>
      </c>
      <c r="B379" s="198">
        <v>374</v>
      </c>
      <c r="C379" s="51" t="s">
        <v>791</v>
      </c>
      <c r="D379" s="205" t="s">
        <v>1048</v>
      </c>
      <c r="E379" s="60" t="s">
        <v>820</v>
      </c>
      <c r="F379" s="17">
        <v>1</v>
      </c>
      <c r="G379" s="17"/>
      <c r="H379" s="89" t="s">
        <v>1050</v>
      </c>
      <c r="I379" s="126">
        <v>6312000</v>
      </c>
      <c r="J379" s="121">
        <f t="shared" si="233"/>
        <v>1199280</v>
      </c>
      <c r="K379" s="130">
        <f t="shared" si="234"/>
        <v>7511280</v>
      </c>
      <c r="L379" s="121">
        <f t="shared" si="235"/>
        <v>6312000</v>
      </c>
      <c r="M379" s="122">
        <f t="shared" si="236"/>
        <v>7511280</v>
      </c>
      <c r="N379" s="123">
        <v>6312000</v>
      </c>
      <c r="O379" s="121">
        <f t="shared" si="237"/>
        <v>1199280</v>
      </c>
      <c r="P379" s="110">
        <f t="shared" si="238"/>
        <v>7511280</v>
      </c>
      <c r="Q379" s="121">
        <f t="shared" si="239"/>
        <v>6312000</v>
      </c>
      <c r="R379" s="124">
        <f t="shared" si="240"/>
        <v>7511280</v>
      </c>
      <c r="S379" s="125">
        <v>6732800</v>
      </c>
      <c r="T379" s="121">
        <f t="shared" si="221"/>
        <v>1279232</v>
      </c>
      <c r="U379" s="110">
        <f t="shared" si="222"/>
        <v>8012032</v>
      </c>
      <c r="V379" s="121">
        <f t="shared" si="223"/>
        <v>6732800</v>
      </c>
      <c r="W379" s="122">
        <f t="shared" si="224"/>
        <v>8012032</v>
      </c>
      <c r="X379" s="108"/>
      <c r="Y379" s="121">
        <f t="shared" si="225"/>
        <v>0</v>
      </c>
      <c r="Z379" s="121">
        <f t="shared" si="226"/>
        <v>0</v>
      </c>
      <c r="AA379" s="121">
        <f t="shared" si="227"/>
        <v>0</v>
      </c>
      <c r="AB379" s="124">
        <f t="shared" si="228"/>
        <v>0</v>
      </c>
      <c r="AC379" s="126">
        <f t="shared" si="241"/>
        <v>6452267</v>
      </c>
      <c r="AD379" s="101">
        <f t="shared" si="216"/>
        <v>4839200</v>
      </c>
      <c r="AE379" s="127">
        <f t="shared" si="242"/>
        <v>198367.02234886613</v>
      </c>
      <c r="AF379" s="128">
        <f t="shared" si="229"/>
        <v>3.0743771506800032E-2</v>
      </c>
      <c r="AG379" s="129">
        <f t="shared" si="243"/>
        <v>6312000</v>
      </c>
      <c r="AH379" s="101">
        <f t="shared" si="218"/>
        <v>6312000</v>
      </c>
      <c r="AI379" s="130">
        <f t="shared" si="230"/>
        <v>198367.02234886613</v>
      </c>
      <c r="AJ379" s="159">
        <f t="shared" si="231"/>
        <v>3.1426968052735448E-2</v>
      </c>
      <c r="AK379" s="290" t="s">
        <v>1034</v>
      </c>
      <c r="AL379" s="291"/>
      <c r="AM379" s="292"/>
      <c r="AN379" s="160"/>
    </row>
    <row r="380" spans="1:40" ht="38.25" thickBot="1" x14ac:dyDescent="0.3">
      <c r="A380" s="84">
        <f t="shared" si="232"/>
        <v>3</v>
      </c>
      <c r="B380" s="198">
        <v>375</v>
      </c>
      <c r="C380" s="51" t="s">
        <v>791</v>
      </c>
      <c r="D380" s="205" t="s">
        <v>1048</v>
      </c>
      <c r="E380" s="60" t="s">
        <v>821</v>
      </c>
      <c r="F380" s="17">
        <v>1</v>
      </c>
      <c r="G380" s="17"/>
      <c r="H380" s="89" t="s">
        <v>1050</v>
      </c>
      <c r="I380" s="126">
        <v>7574400</v>
      </c>
      <c r="J380" s="121">
        <f t="shared" si="233"/>
        <v>1439136</v>
      </c>
      <c r="K380" s="130">
        <f t="shared" si="234"/>
        <v>9013536</v>
      </c>
      <c r="L380" s="121">
        <f t="shared" si="235"/>
        <v>7574400</v>
      </c>
      <c r="M380" s="122">
        <f t="shared" si="236"/>
        <v>9013536</v>
      </c>
      <c r="N380" s="123">
        <v>7574400</v>
      </c>
      <c r="O380" s="121">
        <f t="shared" si="237"/>
        <v>1439136</v>
      </c>
      <c r="P380" s="110">
        <f t="shared" si="238"/>
        <v>9013536</v>
      </c>
      <c r="Q380" s="121">
        <f t="shared" si="239"/>
        <v>7574400</v>
      </c>
      <c r="R380" s="124">
        <f t="shared" si="240"/>
        <v>9013536</v>
      </c>
      <c r="S380" s="125">
        <v>7995200</v>
      </c>
      <c r="T380" s="121">
        <f t="shared" si="221"/>
        <v>1519088</v>
      </c>
      <c r="U380" s="110">
        <f t="shared" si="222"/>
        <v>9514288</v>
      </c>
      <c r="V380" s="121">
        <f t="shared" si="223"/>
        <v>7995200</v>
      </c>
      <c r="W380" s="122">
        <f t="shared" si="224"/>
        <v>9514288</v>
      </c>
      <c r="X380" s="108"/>
      <c r="Y380" s="121">
        <f t="shared" si="225"/>
        <v>0</v>
      </c>
      <c r="Z380" s="121">
        <f t="shared" si="226"/>
        <v>0</v>
      </c>
      <c r="AA380" s="121">
        <f t="shared" si="227"/>
        <v>0</v>
      </c>
      <c r="AB380" s="124">
        <f t="shared" si="228"/>
        <v>0</v>
      </c>
      <c r="AC380" s="126">
        <f t="shared" si="241"/>
        <v>7714667</v>
      </c>
      <c r="AD380" s="101">
        <f t="shared" si="216"/>
        <v>5786000</v>
      </c>
      <c r="AE380" s="127">
        <f t="shared" si="242"/>
        <v>198367.02234886613</v>
      </c>
      <c r="AF380" s="128">
        <f t="shared" si="229"/>
        <v>2.5712972750329487E-2</v>
      </c>
      <c r="AG380" s="129">
        <f t="shared" si="243"/>
        <v>7574400</v>
      </c>
      <c r="AH380" s="101">
        <f t="shared" si="218"/>
        <v>7574400</v>
      </c>
      <c r="AI380" s="130">
        <f t="shared" si="230"/>
        <v>198367.02234886613</v>
      </c>
      <c r="AJ380" s="159">
        <f t="shared" si="231"/>
        <v>2.6189140043946204E-2</v>
      </c>
      <c r="AK380" s="290" t="s">
        <v>1034</v>
      </c>
      <c r="AL380" s="291"/>
      <c r="AM380" s="292"/>
      <c r="AN380" s="160"/>
    </row>
    <row r="381" spans="1:40" ht="38.25" thickBot="1" x14ac:dyDescent="0.3">
      <c r="A381" s="84">
        <f t="shared" si="232"/>
        <v>3</v>
      </c>
      <c r="B381" s="198">
        <v>376</v>
      </c>
      <c r="C381" s="51" t="s">
        <v>791</v>
      </c>
      <c r="D381" s="205" t="s">
        <v>1048</v>
      </c>
      <c r="E381" s="60" t="s">
        <v>822</v>
      </c>
      <c r="F381" s="17">
        <v>1</v>
      </c>
      <c r="G381" s="17"/>
      <c r="H381" s="89" t="s">
        <v>1050</v>
      </c>
      <c r="I381" s="126">
        <v>7779361.6860000007</v>
      </c>
      <c r="J381" s="121">
        <f t="shared" si="233"/>
        <v>1478078.7203400002</v>
      </c>
      <c r="K381" s="130">
        <f t="shared" si="234"/>
        <v>9257440.4063400012</v>
      </c>
      <c r="L381" s="121">
        <f t="shared" si="235"/>
        <v>7779361.6860000007</v>
      </c>
      <c r="M381" s="122">
        <f t="shared" si="236"/>
        <v>9257440.4063400012</v>
      </c>
      <c r="N381" s="123">
        <v>7779361.6860000007</v>
      </c>
      <c r="O381" s="121">
        <f t="shared" si="237"/>
        <v>1478078.7203400002</v>
      </c>
      <c r="P381" s="110">
        <f t="shared" si="238"/>
        <v>9257440.4063400012</v>
      </c>
      <c r="Q381" s="121">
        <f t="shared" si="239"/>
        <v>7779361.6860000007</v>
      </c>
      <c r="R381" s="124">
        <f t="shared" si="240"/>
        <v>9257440.4063400012</v>
      </c>
      <c r="S381" s="125">
        <v>8310800</v>
      </c>
      <c r="T381" s="121">
        <f t="shared" si="221"/>
        <v>1579052</v>
      </c>
      <c r="U381" s="110">
        <f t="shared" si="222"/>
        <v>9889852</v>
      </c>
      <c r="V381" s="121">
        <f t="shared" si="223"/>
        <v>8310800</v>
      </c>
      <c r="W381" s="122">
        <f t="shared" si="224"/>
        <v>9889852</v>
      </c>
      <c r="X381" s="108"/>
      <c r="Y381" s="121">
        <f t="shared" si="225"/>
        <v>0</v>
      </c>
      <c r="Z381" s="121">
        <f t="shared" si="226"/>
        <v>0</v>
      </c>
      <c r="AA381" s="121">
        <f t="shared" si="227"/>
        <v>0</v>
      </c>
      <c r="AB381" s="124">
        <f t="shared" si="228"/>
        <v>0</v>
      </c>
      <c r="AC381" s="126">
        <f t="shared" si="241"/>
        <v>7956508</v>
      </c>
      <c r="AD381" s="101">
        <f t="shared" si="216"/>
        <v>5967381</v>
      </c>
      <c r="AE381" s="127">
        <f t="shared" si="242"/>
        <v>250522.42374116351</v>
      </c>
      <c r="AF381" s="128">
        <f t="shared" si="229"/>
        <v>3.148647921188083E-2</v>
      </c>
      <c r="AG381" s="129">
        <f t="shared" si="243"/>
        <v>7779362</v>
      </c>
      <c r="AH381" s="101">
        <f t="shared" si="218"/>
        <v>7779362</v>
      </c>
      <c r="AI381" s="130">
        <f t="shared" si="230"/>
        <v>250522.42374116351</v>
      </c>
      <c r="AJ381" s="159">
        <f t="shared" si="231"/>
        <v>3.220346652349685E-2</v>
      </c>
      <c r="AK381" s="290" t="s">
        <v>1034</v>
      </c>
      <c r="AL381" s="291"/>
      <c r="AM381" s="292"/>
      <c r="AN381" s="160"/>
    </row>
    <row r="382" spans="1:40" ht="38.25" thickBot="1" x14ac:dyDescent="0.3">
      <c r="A382" s="84">
        <f t="shared" si="232"/>
        <v>3</v>
      </c>
      <c r="B382" s="198">
        <v>377</v>
      </c>
      <c r="C382" s="51" t="s">
        <v>791</v>
      </c>
      <c r="D382" s="205" t="s">
        <v>1048</v>
      </c>
      <c r="E382" s="60" t="s">
        <v>823</v>
      </c>
      <c r="F382" s="17">
        <v>1</v>
      </c>
      <c r="G382" s="17"/>
      <c r="H382" s="89" t="s">
        <v>1050</v>
      </c>
      <c r="I382" s="126">
        <v>9184987.8039999995</v>
      </c>
      <c r="J382" s="121">
        <f t="shared" si="233"/>
        <v>1745147.68276</v>
      </c>
      <c r="K382" s="130">
        <f t="shared" si="234"/>
        <v>10930135.48676</v>
      </c>
      <c r="L382" s="121">
        <f t="shared" si="235"/>
        <v>9184987.8039999995</v>
      </c>
      <c r="M382" s="122">
        <f t="shared" si="236"/>
        <v>10930135.48676</v>
      </c>
      <c r="N382" s="123">
        <v>9184987.8039999995</v>
      </c>
      <c r="O382" s="121">
        <f t="shared" si="237"/>
        <v>1745147.68276</v>
      </c>
      <c r="P382" s="110">
        <f t="shared" si="238"/>
        <v>10930135.48676</v>
      </c>
      <c r="Q382" s="121">
        <f t="shared" si="239"/>
        <v>9184987.8039999995</v>
      </c>
      <c r="R382" s="124">
        <f t="shared" si="240"/>
        <v>10930135.48676</v>
      </c>
      <c r="S382" s="125">
        <v>9678400</v>
      </c>
      <c r="T382" s="121">
        <f t="shared" ref="T382:T413" si="244">S382*0.19</f>
        <v>1838896</v>
      </c>
      <c r="U382" s="110">
        <f t="shared" ref="U382:U413" si="245">S382+T382</f>
        <v>11517296</v>
      </c>
      <c r="V382" s="121">
        <f t="shared" ref="V382:V413" si="246">S382*F382</f>
        <v>9678400</v>
      </c>
      <c r="W382" s="122">
        <f t="shared" ref="W382:W413" si="247">U382*F382</f>
        <v>11517296</v>
      </c>
      <c r="X382" s="108"/>
      <c r="Y382" s="121">
        <f t="shared" ref="Y382:Y413" si="248">X382*0.19</f>
        <v>0</v>
      </c>
      <c r="Z382" s="121">
        <f t="shared" ref="Z382:Z413" si="249">X382+Y382</f>
        <v>0</v>
      </c>
      <c r="AA382" s="121">
        <f t="shared" ref="AA382:AA413" si="250">X382*F382</f>
        <v>0</v>
      </c>
      <c r="AB382" s="124">
        <f t="shared" ref="AB382:AB413" si="251">Z382*F382</f>
        <v>0</v>
      </c>
      <c r="AC382" s="126">
        <f t="shared" si="241"/>
        <v>9349459</v>
      </c>
      <c r="AD382" s="101">
        <f t="shared" si="216"/>
        <v>7012094</v>
      </c>
      <c r="AE382" s="127">
        <f t="shared" si="242"/>
        <v>232596.73980783083</v>
      </c>
      <c r="AF382" s="128">
        <f t="shared" ref="AF382:AF413" si="252">AE382/AC382</f>
        <v>2.4878096134528301E-2</v>
      </c>
      <c r="AG382" s="129">
        <f t="shared" si="243"/>
        <v>9184988</v>
      </c>
      <c r="AH382" s="101">
        <f t="shared" si="218"/>
        <v>9184988</v>
      </c>
      <c r="AI382" s="130">
        <f t="shared" ref="AI382:AI413" si="253">AE382</f>
        <v>232596.73980783083</v>
      </c>
      <c r="AJ382" s="159">
        <f t="shared" ref="AJ382:AJ413" si="254">AI382/AG382</f>
        <v>2.5323575796487793E-2</v>
      </c>
      <c r="AK382" s="290" t="s">
        <v>1034</v>
      </c>
      <c r="AL382" s="291"/>
      <c r="AM382" s="292"/>
      <c r="AN382" s="160"/>
    </row>
    <row r="383" spans="1:40" ht="38.25" thickBot="1" x14ac:dyDescent="0.3">
      <c r="A383" s="84">
        <f t="shared" si="232"/>
        <v>3</v>
      </c>
      <c r="B383" s="198">
        <v>378</v>
      </c>
      <c r="C383" s="51" t="s">
        <v>791</v>
      </c>
      <c r="D383" s="205" t="s">
        <v>1048</v>
      </c>
      <c r="E383" s="60" t="s">
        <v>824</v>
      </c>
      <c r="F383" s="17">
        <v>1</v>
      </c>
      <c r="G383" s="17"/>
      <c r="H383" s="89" t="s">
        <v>1050</v>
      </c>
      <c r="I383" s="126">
        <v>11147064.588000001</v>
      </c>
      <c r="J383" s="121">
        <f t="shared" si="233"/>
        <v>2117942.2717200001</v>
      </c>
      <c r="K383" s="130">
        <f t="shared" si="234"/>
        <v>13265006.859720001</v>
      </c>
      <c r="L383" s="121">
        <f t="shared" si="235"/>
        <v>11147064.588000001</v>
      </c>
      <c r="M383" s="122">
        <f t="shared" si="236"/>
        <v>13265006.859720001</v>
      </c>
      <c r="N383" s="123">
        <v>11147064.588000001</v>
      </c>
      <c r="O383" s="121">
        <f t="shared" si="237"/>
        <v>2117942.2717200001</v>
      </c>
      <c r="P383" s="110">
        <f t="shared" si="238"/>
        <v>13265006.859720001</v>
      </c>
      <c r="Q383" s="121">
        <f t="shared" si="239"/>
        <v>11147064.588000001</v>
      </c>
      <c r="R383" s="124">
        <f t="shared" si="240"/>
        <v>13265006.859720001</v>
      </c>
      <c r="S383" s="125">
        <v>13676000</v>
      </c>
      <c r="T383" s="121">
        <f t="shared" si="244"/>
        <v>2598440</v>
      </c>
      <c r="U383" s="110">
        <f t="shared" si="245"/>
        <v>16274440</v>
      </c>
      <c r="V383" s="121">
        <f t="shared" si="246"/>
        <v>13676000</v>
      </c>
      <c r="W383" s="122">
        <f t="shared" si="247"/>
        <v>16274440</v>
      </c>
      <c r="X383" s="108"/>
      <c r="Y383" s="121">
        <f t="shared" si="248"/>
        <v>0</v>
      </c>
      <c r="Z383" s="121">
        <f t="shared" si="249"/>
        <v>0</v>
      </c>
      <c r="AA383" s="121">
        <f t="shared" si="250"/>
        <v>0</v>
      </c>
      <c r="AB383" s="124">
        <f t="shared" si="251"/>
        <v>0</v>
      </c>
      <c r="AC383" s="126">
        <f t="shared" si="241"/>
        <v>11990043</v>
      </c>
      <c r="AD383" s="101">
        <f t="shared" si="216"/>
        <v>8992532</v>
      </c>
      <c r="AE383" s="127">
        <f t="shared" si="242"/>
        <v>1192151.5860053296</v>
      </c>
      <c r="AF383" s="128">
        <f t="shared" si="252"/>
        <v>9.9428466270331944E-2</v>
      </c>
      <c r="AG383" s="129">
        <f t="shared" si="243"/>
        <v>11147065</v>
      </c>
      <c r="AH383" s="101">
        <f t="shared" si="218"/>
        <v>11147065</v>
      </c>
      <c r="AI383" s="130">
        <f t="shared" si="253"/>
        <v>1192151.5860053296</v>
      </c>
      <c r="AJ383" s="159">
        <f t="shared" si="254"/>
        <v>0.10694757642530385</v>
      </c>
      <c r="AK383" s="290" t="s">
        <v>1034</v>
      </c>
      <c r="AL383" s="291"/>
      <c r="AM383" s="292"/>
      <c r="AN383" s="160"/>
    </row>
    <row r="384" spans="1:40" ht="38.25" thickBot="1" x14ac:dyDescent="0.3">
      <c r="A384" s="84">
        <f t="shared" si="232"/>
        <v>3</v>
      </c>
      <c r="B384" s="198">
        <v>379</v>
      </c>
      <c r="C384" s="51" t="s">
        <v>791</v>
      </c>
      <c r="D384" s="205" t="s">
        <v>1048</v>
      </c>
      <c r="E384" s="60" t="s">
        <v>825</v>
      </c>
      <c r="F384" s="17">
        <v>1</v>
      </c>
      <c r="G384" s="17"/>
      <c r="H384" s="89" t="s">
        <v>1050</v>
      </c>
      <c r="I384" s="126">
        <v>12624000</v>
      </c>
      <c r="J384" s="121">
        <f t="shared" si="233"/>
        <v>2398560</v>
      </c>
      <c r="K384" s="130">
        <f t="shared" si="234"/>
        <v>15022560</v>
      </c>
      <c r="L384" s="121">
        <f t="shared" si="235"/>
        <v>12624000</v>
      </c>
      <c r="M384" s="122">
        <f t="shared" si="236"/>
        <v>15022560</v>
      </c>
      <c r="N384" s="123">
        <v>12624000</v>
      </c>
      <c r="O384" s="121">
        <f t="shared" si="237"/>
        <v>2398560</v>
      </c>
      <c r="P384" s="110">
        <f t="shared" si="238"/>
        <v>15022560</v>
      </c>
      <c r="Q384" s="121">
        <f t="shared" si="239"/>
        <v>12624000</v>
      </c>
      <c r="R384" s="124">
        <f t="shared" si="240"/>
        <v>15022560</v>
      </c>
      <c r="S384" s="125">
        <v>15780000</v>
      </c>
      <c r="T384" s="121">
        <f t="shared" si="244"/>
        <v>2998200</v>
      </c>
      <c r="U384" s="110">
        <f t="shared" si="245"/>
        <v>18778200</v>
      </c>
      <c r="V384" s="121">
        <f t="shared" si="246"/>
        <v>15780000</v>
      </c>
      <c r="W384" s="122">
        <f t="shared" si="247"/>
        <v>18778200</v>
      </c>
      <c r="X384" s="108"/>
      <c r="Y384" s="121">
        <f t="shared" si="248"/>
        <v>0</v>
      </c>
      <c r="Z384" s="121">
        <f t="shared" si="249"/>
        <v>0</v>
      </c>
      <c r="AA384" s="121">
        <f t="shared" si="250"/>
        <v>0</v>
      </c>
      <c r="AB384" s="124">
        <f t="shared" si="251"/>
        <v>0</v>
      </c>
      <c r="AC384" s="126">
        <f t="shared" si="241"/>
        <v>13676000</v>
      </c>
      <c r="AD384" s="101">
        <f t="shared" si="216"/>
        <v>10257000</v>
      </c>
      <c r="AE384" s="127">
        <f t="shared" si="242"/>
        <v>1487752.6676164961</v>
      </c>
      <c r="AF384" s="128">
        <f t="shared" si="252"/>
        <v>0.10878565864408424</v>
      </c>
      <c r="AG384" s="129">
        <f t="shared" si="243"/>
        <v>12624000</v>
      </c>
      <c r="AH384" s="101">
        <f t="shared" si="218"/>
        <v>12624000</v>
      </c>
      <c r="AI384" s="130">
        <f t="shared" si="253"/>
        <v>1487752.6676164961</v>
      </c>
      <c r="AJ384" s="159">
        <f t="shared" si="254"/>
        <v>0.11785113019775793</v>
      </c>
      <c r="AK384" s="290" t="s">
        <v>1034</v>
      </c>
      <c r="AL384" s="291"/>
      <c r="AM384" s="292"/>
      <c r="AN384" s="160"/>
    </row>
    <row r="385" spans="1:40" ht="38.25" thickBot="1" x14ac:dyDescent="0.3">
      <c r="A385" s="84">
        <f t="shared" si="232"/>
        <v>3</v>
      </c>
      <c r="B385" s="198">
        <v>380</v>
      </c>
      <c r="C385" s="51" t="s">
        <v>791</v>
      </c>
      <c r="D385" s="205" t="s">
        <v>1048</v>
      </c>
      <c r="E385" s="60" t="s">
        <v>826</v>
      </c>
      <c r="F385" s="17">
        <v>1</v>
      </c>
      <c r="G385" s="17"/>
      <c r="H385" s="89" t="s">
        <v>1050</v>
      </c>
      <c r="I385" s="126">
        <v>14412400</v>
      </c>
      <c r="J385" s="121">
        <f t="shared" si="233"/>
        <v>2738356</v>
      </c>
      <c r="K385" s="130">
        <f t="shared" si="234"/>
        <v>17150756</v>
      </c>
      <c r="L385" s="121">
        <f t="shared" si="235"/>
        <v>14412400</v>
      </c>
      <c r="M385" s="122">
        <f t="shared" si="236"/>
        <v>17150756</v>
      </c>
      <c r="N385" s="123">
        <v>14412400</v>
      </c>
      <c r="O385" s="121">
        <f t="shared" si="237"/>
        <v>2738356</v>
      </c>
      <c r="P385" s="110">
        <f t="shared" si="238"/>
        <v>17150756</v>
      </c>
      <c r="Q385" s="121">
        <f t="shared" si="239"/>
        <v>14412400</v>
      </c>
      <c r="R385" s="124">
        <f t="shared" si="240"/>
        <v>17150756</v>
      </c>
      <c r="S385" s="125">
        <v>17884000</v>
      </c>
      <c r="T385" s="121">
        <f t="shared" si="244"/>
        <v>3397960</v>
      </c>
      <c r="U385" s="110">
        <f t="shared" si="245"/>
        <v>21281960</v>
      </c>
      <c r="V385" s="121">
        <f t="shared" si="246"/>
        <v>17884000</v>
      </c>
      <c r="W385" s="122">
        <f t="shared" si="247"/>
        <v>21281960</v>
      </c>
      <c r="X385" s="108"/>
      <c r="Y385" s="121">
        <f t="shared" si="248"/>
        <v>0</v>
      </c>
      <c r="Z385" s="121">
        <f t="shared" si="249"/>
        <v>0</v>
      </c>
      <c r="AA385" s="121">
        <f t="shared" si="250"/>
        <v>0</v>
      </c>
      <c r="AB385" s="124">
        <f t="shared" si="251"/>
        <v>0</v>
      </c>
      <c r="AC385" s="126">
        <f t="shared" si="241"/>
        <v>15569600</v>
      </c>
      <c r="AD385" s="101">
        <f t="shared" si="216"/>
        <v>11677200</v>
      </c>
      <c r="AE385" s="127">
        <f t="shared" si="242"/>
        <v>1636527.9343781455</v>
      </c>
      <c r="AF385" s="128">
        <f t="shared" si="252"/>
        <v>0.10511046747367597</v>
      </c>
      <c r="AG385" s="129">
        <f t="shared" si="243"/>
        <v>14412400</v>
      </c>
      <c r="AH385" s="101">
        <f t="shared" si="218"/>
        <v>14412400</v>
      </c>
      <c r="AI385" s="130">
        <f t="shared" si="253"/>
        <v>1636527.9343781455</v>
      </c>
      <c r="AJ385" s="159">
        <f t="shared" si="254"/>
        <v>0.11354999405915361</v>
      </c>
      <c r="AK385" s="290" t="s">
        <v>1034</v>
      </c>
      <c r="AL385" s="291"/>
      <c r="AM385" s="292"/>
      <c r="AN385" s="160"/>
    </row>
    <row r="386" spans="1:40" ht="38.25" thickBot="1" x14ac:dyDescent="0.3">
      <c r="A386" s="84">
        <f t="shared" si="232"/>
        <v>3</v>
      </c>
      <c r="B386" s="198">
        <v>381</v>
      </c>
      <c r="C386" s="51" t="s">
        <v>791</v>
      </c>
      <c r="D386" s="205" t="s">
        <v>1048</v>
      </c>
      <c r="E386" s="60" t="s">
        <v>827</v>
      </c>
      <c r="F386" s="17">
        <v>1</v>
      </c>
      <c r="G386" s="17"/>
      <c r="H386" s="89" t="s">
        <v>1050</v>
      </c>
      <c r="I386" s="126">
        <v>16726800</v>
      </c>
      <c r="J386" s="121">
        <f t="shared" si="233"/>
        <v>3178092</v>
      </c>
      <c r="K386" s="130">
        <f t="shared" si="234"/>
        <v>19904892</v>
      </c>
      <c r="L386" s="121">
        <f t="shared" si="235"/>
        <v>16726800</v>
      </c>
      <c r="M386" s="122">
        <f t="shared" si="236"/>
        <v>19904892</v>
      </c>
      <c r="N386" s="123">
        <v>16726800</v>
      </c>
      <c r="O386" s="121">
        <f t="shared" si="237"/>
        <v>3178092</v>
      </c>
      <c r="P386" s="110">
        <f t="shared" si="238"/>
        <v>19904892</v>
      </c>
      <c r="Q386" s="121">
        <f t="shared" si="239"/>
        <v>16726800</v>
      </c>
      <c r="R386" s="124">
        <f t="shared" si="240"/>
        <v>19904892</v>
      </c>
      <c r="S386" s="125">
        <v>18936000</v>
      </c>
      <c r="T386" s="121">
        <f t="shared" si="244"/>
        <v>3597840</v>
      </c>
      <c r="U386" s="110">
        <f t="shared" si="245"/>
        <v>22533840</v>
      </c>
      <c r="V386" s="121">
        <f t="shared" si="246"/>
        <v>18936000</v>
      </c>
      <c r="W386" s="122">
        <f t="shared" si="247"/>
        <v>22533840</v>
      </c>
      <c r="X386" s="108"/>
      <c r="Y386" s="121">
        <f t="shared" si="248"/>
        <v>0</v>
      </c>
      <c r="Z386" s="121">
        <f t="shared" si="249"/>
        <v>0</v>
      </c>
      <c r="AA386" s="121">
        <f t="shared" si="250"/>
        <v>0</v>
      </c>
      <c r="AB386" s="124">
        <f t="shared" si="251"/>
        <v>0</v>
      </c>
      <c r="AC386" s="126">
        <f t="shared" si="241"/>
        <v>17463200</v>
      </c>
      <c r="AD386" s="101">
        <f t="shared" si="216"/>
        <v>13097400</v>
      </c>
      <c r="AE386" s="127">
        <f t="shared" si="242"/>
        <v>1041426.8673315472</v>
      </c>
      <c r="AF386" s="128">
        <f t="shared" si="252"/>
        <v>5.9635511666335336E-2</v>
      </c>
      <c r="AG386" s="129">
        <f t="shared" si="243"/>
        <v>16726800</v>
      </c>
      <c r="AH386" s="101">
        <f t="shared" si="218"/>
        <v>16726800</v>
      </c>
      <c r="AI386" s="130">
        <f t="shared" si="253"/>
        <v>1041426.8673315472</v>
      </c>
      <c r="AJ386" s="159">
        <f t="shared" si="254"/>
        <v>6.2260974444098525E-2</v>
      </c>
      <c r="AK386" s="290" t="s">
        <v>1034</v>
      </c>
      <c r="AL386" s="291"/>
      <c r="AM386" s="292"/>
      <c r="AN386" s="160"/>
    </row>
    <row r="387" spans="1:40" ht="38.25" thickBot="1" x14ac:dyDescent="0.3">
      <c r="A387" s="84">
        <f t="shared" si="232"/>
        <v>3</v>
      </c>
      <c r="B387" s="198">
        <v>382</v>
      </c>
      <c r="C387" s="51" t="s">
        <v>791</v>
      </c>
      <c r="D387" s="205" t="s">
        <v>1048</v>
      </c>
      <c r="E387" s="60" t="s">
        <v>828</v>
      </c>
      <c r="F387" s="17">
        <v>1</v>
      </c>
      <c r="G387" s="17"/>
      <c r="H387" s="89" t="s">
        <v>1050</v>
      </c>
      <c r="I387" s="126">
        <v>14728000</v>
      </c>
      <c r="J387" s="121">
        <f t="shared" si="233"/>
        <v>2798320</v>
      </c>
      <c r="K387" s="130">
        <f t="shared" si="234"/>
        <v>17526320</v>
      </c>
      <c r="L387" s="121">
        <f t="shared" si="235"/>
        <v>14728000</v>
      </c>
      <c r="M387" s="122">
        <f t="shared" si="236"/>
        <v>17526320</v>
      </c>
      <c r="N387" s="123">
        <v>14728000</v>
      </c>
      <c r="O387" s="121">
        <f t="shared" si="237"/>
        <v>2798320</v>
      </c>
      <c r="P387" s="110">
        <f t="shared" si="238"/>
        <v>17526320</v>
      </c>
      <c r="Q387" s="121">
        <f t="shared" si="239"/>
        <v>14728000</v>
      </c>
      <c r="R387" s="124">
        <f t="shared" si="240"/>
        <v>17526320</v>
      </c>
      <c r="S387" s="125">
        <v>19988000</v>
      </c>
      <c r="T387" s="121">
        <f t="shared" si="244"/>
        <v>3797720</v>
      </c>
      <c r="U387" s="110">
        <f t="shared" si="245"/>
        <v>23785720</v>
      </c>
      <c r="V387" s="121">
        <f t="shared" si="246"/>
        <v>19988000</v>
      </c>
      <c r="W387" s="122">
        <f t="shared" si="247"/>
        <v>23785720</v>
      </c>
      <c r="X387" s="108"/>
      <c r="Y387" s="121">
        <f t="shared" si="248"/>
        <v>0</v>
      </c>
      <c r="Z387" s="121">
        <f t="shared" si="249"/>
        <v>0</v>
      </c>
      <c r="AA387" s="121">
        <f t="shared" si="250"/>
        <v>0</v>
      </c>
      <c r="AB387" s="124">
        <f t="shared" si="251"/>
        <v>0</v>
      </c>
      <c r="AC387" s="126">
        <f t="shared" si="241"/>
        <v>16481333</v>
      </c>
      <c r="AD387" s="101">
        <f t="shared" si="216"/>
        <v>12361000</v>
      </c>
      <c r="AE387" s="127">
        <f t="shared" si="242"/>
        <v>2479587.7793608266</v>
      </c>
      <c r="AF387" s="128">
        <f t="shared" si="252"/>
        <v>0.15044825435908774</v>
      </c>
      <c r="AG387" s="129">
        <f t="shared" si="243"/>
        <v>14728000</v>
      </c>
      <c r="AH387" s="101">
        <f t="shared" si="218"/>
        <v>14728000</v>
      </c>
      <c r="AI387" s="130">
        <f t="shared" si="253"/>
        <v>2479587.7793608266</v>
      </c>
      <c r="AJ387" s="159">
        <f t="shared" si="254"/>
        <v>0.16835875742536846</v>
      </c>
      <c r="AK387" s="290" t="s">
        <v>1034</v>
      </c>
      <c r="AL387" s="291"/>
      <c r="AM387" s="292"/>
      <c r="AN387" s="160"/>
    </row>
    <row r="388" spans="1:40" ht="38.25" thickBot="1" x14ac:dyDescent="0.3">
      <c r="A388" s="84">
        <f t="shared" si="232"/>
        <v>3</v>
      </c>
      <c r="B388" s="198">
        <v>383</v>
      </c>
      <c r="C388" s="51" t="s">
        <v>791</v>
      </c>
      <c r="D388" s="205" t="s">
        <v>1048</v>
      </c>
      <c r="E388" s="60" t="s">
        <v>829</v>
      </c>
      <c r="F388" s="17">
        <v>1</v>
      </c>
      <c r="G388" s="17"/>
      <c r="H388" s="89" t="s">
        <v>1050</v>
      </c>
      <c r="I388" s="126">
        <v>17252800</v>
      </c>
      <c r="J388" s="121">
        <f t="shared" si="233"/>
        <v>3278032</v>
      </c>
      <c r="K388" s="130">
        <f t="shared" si="234"/>
        <v>20530832</v>
      </c>
      <c r="L388" s="121">
        <f t="shared" si="235"/>
        <v>17252800</v>
      </c>
      <c r="M388" s="122">
        <f t="shared" si="236"/>
        <v>20530832</v>
      </c>
      <c r="N388" s="123">
        <v>17252800</v>
      </c>
      <c r="O388" s="121">
        <f t="shared" si="237"/>
        <v>3278032</v>
      </c>
      <c r="P388" s="110">
        <f t="shared" si="238"/>
        <v>20530832</v>
      </c>
      <c r="Q388" s="121">
        <f t="shared" si="239"/>
        <v>17252800</v>
      </c>
      <c r="R388" s="124">
        <f t="shared" si="240"/>
        <v>20530832</v>
      </c>
      <c r="S388" s="125">
        <v>21040000</v>
      </c>
      <c r="T388" s="121">
        <f t="shared" si="244"/>
        <v>3997600</v>
      </c>
      <c r="U388" s="110">
        <f t="shared" si="245"/>
        <v>25037600</v>
      </c>
      <c r="V388" s="121">
        <f t="shared" si="246"/>
        <v>21040000</v>
      </c>
      <c r="W388" s="122">
        <f t="shared" si="247"/>
        <v>25037600</v>
      </c>
      <c r="X388" s="108"/>
      <c r="Y388" s="121">
        <f t="shared" si="248"/>
        <v>0</v>
      </c>
      <c r="Z388" s="121">
        <f t="shared" si="249"/>
        <v>0</v>
      </c>
      <c r="AA388" s="121">
        <f t="shared" si="250"/>
        <v>0</v>
      </c>
      <c r="AB388" s="124">
        <f t="shared" si="251"/>
        <v>0</v>
      </c>
      <c r="AC388" s="126">
        <f t="shared" si="241"/>
        <v>18515200</v>
      </c>
      <c r="AD388" s="101">
        <f t="shared" si="216"/>
        <v>13886400</v>
      </c>
      <c r="AE388" s="127">
        <f t="shared" si="242"/>
        <v>1785303.2011397951</v>
      </c>
      <c r="AF388" s="128">
        <f t="shared" si="252"/>
        <v>9.6423651979983746E-2</v>
      </c>
      <c r="AG388" s="129">
        <f t="shared" si="243"/>
        <v>17252800</v>
      </c>
      <c r="AH388" s="101">
        <f t="shared" si="218"/>
        <v>17252800</v>
      </c>
      <c r="AI388" s="130">
        <f t="shared" si="253"/>
        <v>1785303.2011397951</v>
      </c>
      <c r="AJ388" s="159">
        <f t="shared" si="254"/>
        <v>0.10347904114925086</v>
      </c>
      <c r="AK388" s="290" t="s">
        <v>1034</v>
      </c>
      <c r="AL388" s="291"/>
      <c r="AM388" s="292"/>
      <c r="AN388" s="160"/>
    </row>
    <row r="389" spans="1:40" ht="38.25" thickBot="1" x14ac:dyDescent="0.3">
      <c r="A389" s="84">
        <f t="shared" si="232"/>
        <v>3</v>
      </c>
      <c r="B389" s="198">
        <v>384</v>
      </c>
      <c r="C389" s="51" t="s">
        <v>791</v>
      </c>
      <c r="D389" s="205" t="s">
        <v>1048</v>
      </c>
      <c r="E389" s="60" t="s">
        <v>830</v>
      </c>
      <c r="F389" s="17">
        <v>1</v>
      </c>
      <c r="G389" s="17"/>
      <c r="H389" s="89" t="s">
        <v>1050</v>
      </c>
      <c r="I389" s="126">
        <v>19882800</v>
      </c>
      <c r="J389" s="121">
        <f t="shared" si="233"/>
        <v>3777732</v>
      </c>
      <c r="K389" s="130">
        <f t="shared" si="234"/>
        <v>23660532</v>
      </c>
      <c r="L389" s="121">
        <f t="shared" si="235"/>
        <v>19882800</v>
      </c>
      <c r="M389" s="122">
        <f t="shared" si="236"/>
        <v>23660532</v>
      </c>
      <c r="N389" s="123">
        <v>19882800</v>
      </c>
      <c r="O389" s="121">
        <f t="shared" si="237"/>
        <v>3777732</v>
      </c>
      <c r="P389" s="110">
        <f t="shared" si="238"/>
        <v>23660532</v>
      </c>
      <c r="Q389" s="121">
        <f t="shared" si="239"/>
        <v>19882800</v>
      </c>
      <c r="R389" s="124">
        <f t="shared" si="240"/>
        <v>23660532</v>
      </c>
      <c r="S389" s="125">
        <v>23144000</v>
      </c>
      <c r="T389" s="121">
        <f t="shared" si="244"/>
        <v>4397360</v>
      </c>
      <c r="U389" s="110">
        <f t="shared" si="245"/>
        <v>27541360</v>
      </c>
      <c r="V389" s="121">
        <f t="shared" si="246"/>
        <v>23144000</v>
      </c>
      <c r="W389" s="122">
        <f t="shared" si="247"/>
        <v>27541360</v>
      </c>
      <c r="X389" s="108"/>
      <c r="Y389" s="121">
        <f t="shared" si="248"/>
        <v>0</v>
      </c>
      <c r="Z389" s="121">
        <f t="shared" si="249"/>
        <v>0</v>
      </c>
      <c r="AA389" s="121">
        <f t="shared" si="250"/>
        <v>0</v>
      </c>
      <c r="AB389" s="124">
        <f t="shared" si="251"/>
        <v>0</v>
      </c>
      <c r="AC389" s="126">
        <f t="shared" si="241"/>
        <v>20969867</v>
      </c>
      <c r="AD389" s="101">
        <f t="shared" si="216"/>
        <v>15727400</v>
      </c>
      <c r="AE389" s="127">
        <f t="shared" si="242"/>
        <v>1537344.4232037123</v>
      </c>
      <c r="AF389" s="128">
        <f t="shared" si="252"/>
        <v>7.3312073138266085E-2</v>
      </c>
      <c r="AG389" s="129">
        <f t="shared" si="243"/>
        <v>19882800</v>
      </c>
      <c r="AH389" s="101">
        <f t="shared" si="218"/>
        <v>19882800</v>
      </c>
      <c r="AI389" s="130">
        <f t="shared" si="253"/>
        <v>1537344.4232037123</v>
      </c>
      <c r="AJ389" s="159">
        <f t="shared" si="254"/>
        <v>7.7320318224984017E-2</v>
      </c>
      <c r="AK389" s="290" t="s">
        <v>1034</v>
      </c>
      <c r="AL389" s="291"/>
      <c r="AM389" s="292"/>
      <c r="AN389" s="160"/>
    </row>
    <row r="390" spans="1:40" ht="38.25" thickBot="1" x14ac:dyDescent="0.3">
      <c r="A390" s="84">
        <f t="shared" si="232"/>
        <v>3</v>
      </c>
      <c r="B390" s="198">
        <v>385</v>
      </c>
      <c r="C390" s="51" t="s">
        <v>831</v>
      </c>
      <c r="D390" s="205" t="s">
        <v>1048</v>
      </c>
      <c r="E390" s="60" t="s">
        <v>832</v>
      </c>
      <c r="F390" s="17">
        <v>1</v>
      </c>
      <c r="G390" s="17"/>
      <c r="H390" s="89" t="s">
        <v>1050</v>
      </c>
      <c r="I390" s="126">
        <v>19988</v>
      </c>
      <c r="J390" s="121">
        <f t="shared" si="233"/>
        <v>3797.7200000000003</v>
      </c>
      <c r="K390" s="130">
        <f t="shared" si="234"/>
        <v>23785.72</v>
      </c>
      <c r="L390" s="121">
        <f t="shared" si="235"/>
        <v>19988</v>
      </c>
      <c r="M390" s="122">
        <f t="shared" si="236"/>
        <v>23785.72</v>
      </c>
      <c r="N390" s="123">
        <v>19540.900000000001</v>
      </c>
      <c r="O390" s="121">
        <f t="shared" si="237"/>
        <v>3712.7710000000002</v>
      </c>
      <c r="P390" s="110">
        <f t="shared" si="238"/>
        <v>23253.671000000002</v>
      </c>
      <c r="Q390" s="121">
        <f t="shared" si="239"/>
        <v>19540.900000000001</v>
      </c>
      <c r="R390" s="124">
        <f t="shared" si="240"/>
        <v>23253.671000000002</v>
      </c>
      <c r="S390" s="125">
        <v>27352</v>
      </c>
      <c r="T390" s="121">
        <f t="shared" si="244"/>
        <v>5196.88</v>
      </c>
      <c r="U390" s="110">
        <f t="shared" si="245"/>
        <v>32548.880000000001</v>
      </c>
      <c r="V390" s="121">
        <f t="shared" si="246"/>
        <v>27352</v>
      </c>
      <c r="W390" s="122">
        <f t="shared" si="247"/>
        <v>32548.880000000001</v>
      </c>
      <c r="X390" s="108"/>
      <c r="Y390" s="121">
        <f t="shared" si="248"/>
        <v>0</v>
      </c>
      <c r="Z390" s="121">
        <f t="shared" si="249"/>
        <v>0</v>
      </c>
      <c r="AA390" s="121">
        <f t="shared" si="250"/>
        <v>0</v>
      </c>
      <c r="AB390" s="124">
        <f t="shared" si="251"/>
        <v>0</v>
      </c>
      <c r="AC390" s="126">
        <f t="shared" si="241"/>
        <v>22294</v>
      </c>
      <c r="AD390" s="101">
        <f t="shared" si="216"/>
        <v>16720</v>
      </c>
      <c r="AE390" s="127">
        <f t="shared" si="242"/>
        <v>3581.4596282645689</v>
      </c>
      <c r="AF390" s="128">
        <f t="shared" si="252"/>
        <v>0.1606467941268758</v>
      </c>
      <c r="AG390" s="129">
        <f t="shared" si="243"/>
        <v>19988</v>
      </c>
      <c r="AH390" s="101">
        <f t="shared" si="218"/>
        <v>19764</v>
      </c>
      <c r="AI390" s="130">
        <f t="shared" si="253"/>
        <v>3581.4596282645689</v>
      </c>
      <c r="AJ390" s="159">
        <f t="shared" si="254"/>
        <v>0.17918048970705266</v>
      </c>
      <c r="AK390" s="290" t="s">
        <v>1034</v>
      </c>
      <c r="AL390" s="291"/>
      <c r="AM390" s="292"/>
      <c r="AN390" s="160"/>
    </row>
    <row r="391" spans="1:40" ht="38.25" thickBot="1" x14ac:dyDescent="0.3">
      <c r="A391" s="84">
        <f t="shared" si="232"/>
        <v>3</v>
      </c>
      <c r="B391" s="198">
        <v>386</v>
      </c>
      <c r="C391" s="51" t="s">
        <v>831</v>
      </c>
      <c r="D391" s="205" t="s">
        <v>1048</v>
      </c>
      <c r="E391" s="60" t="s">
        <v>833</v>
      </c>
      <c r="F391" s="17">
        <v>1</v>
      </c>
      <c r="G391" s="17"/>
      <c r="H391" s="89" t="s">
        <v>1050</v>
      </c>
      <c r="I391" s="126">
        <v>22092</v>
      </c>
      <c r="J391" s="121">
        <f t="shared" si="233"/>
        <v>4197.4800000000005</v>
      </c>
      <c r="K391" s="130">
        <f t="shared" si="234"/>
        <v>26289.48</v>
      </c>
      <c r="L391" s="121">
        <f t="shared" si="235"/>
        <v>22092</v>
      </c>
      <c r="M391" s="122">
        <f t="shared" si="236"/>
        <v>26289.48</v>
      </c>
      <c r="N391" s="123">
        <v>24571.038</v>
      </c>
      <c r="O391" s="121">
        <f t="shared" si="237"/>
        <v>4668.4972200000002</v>
      </c>
      <c r="P391" s="110">
        <f t="shared" si="238"/>
        <v>29239.535220000002</v>
      </c>
      <c r="Q391" s="121">
        <f t="shared" si="239"/>
        <v>24571.038</v>
      </c>
      <c r="R391" s="124">
        <f t="shared" si="240"/>
        <v>29239.535220000002</v>
      </c>
      <c r="S391" s="125">
        <v>30508</v>
      </c>
      <c r="T391" s="121">
        <f t="shared" si="244"/>
        <v>5796.52</v>
      </c>
      <c r="U391" s="110">
        <f t="shared" si="245"/>
        <v>36304.520000000004</v>
      </c>
      <c r="V391" s="121">
        <f t="shared" si="246"/>
        <v>30508</v>
      </c>
      <c r="W391" s="122">
        <f t="shared" si="247"/>
        <v>36304.520000000004</v>
      </c>
      <c r="X391" s="108"/>
      <c r="Y391" s="121">
        <f t="shared" si="248"/>
        <v>0</v>
      </c>
      <c r="Z391" s="121">
        <f t="shared" si="249"/>
        <v>0</v>
      </c>
      <c r="AA391" s="121">
        <f t="shared" si="250"/>
        <v>0</v>
      </c>
      <c r="AB391" s="124">
        <f t="shared" si="251"/>
        <v>0</v>
      </c>
      <c r="AC391" s="126">
        <f t="shared" si="241"/>
        <v>25724</v>
      </c>
      <c r="AD391" s="101">
        <f t="shared" si="216"/>
        <v>19293</v>
      </c>
      <c r="AE391" s="127">
        <f t="shared" si="242"/>
        <v>3531.1660522157408</v>
      </c>
      <c r="AF391" s="128">
        <f t="shared" si="252"/>
        <v>0.13727126621892943</v>
      </c>
      <c r="AG391" s="129">
        <f t="shared" si="243"/>
        <v>24571</v>
      </c>
      <c r="AH391" s="101">
        <f t="shared" si="218"/>
        <v>23332</v>
      </c>
      <c r="AI391" s="130">
        <f t="shared" si="253"/>
        <v>3531.1660522157408</v>
      </c>
      <c r="AJ391" s="159">
        <f t="shared" si="254"/>
        <v>0.14371275292888938</v>
      </c>
      <c r="AK391" s="290" t="s">
        <v>1034</v>
      </c>
      <c r="AL391" s="291"/>
      <c r="AM391" s="292"/>
      <c r="AN391" s="160"/>
    </row>
    <row r="392" spans="1:40" ht="38.25" thickBot="1" x14ac:dyDescent="0.3">
      <c r="A392" s="84">
        <f t="shared" si="232"/>
        <v>3</v>
      </c>
      <c r="B392" s="198">
        <v>387</v>
      </c>
      <c r="C392" s="51" t="s">
        <v>831</v>
      </c>
      <c r="D392" s="205" t="s">
        <v>1048</v>
      </c>
      <c r="E392" s="60" t="s">
        <v>834</v>
      </c>
      <c r="F392" s="17">
        <v>1</v>
      </c>
      <c r="G392" s="17"/>
      <c r="H392" s="89" t="s">
        <v>1050</v>
      </c>
      <c r="I392" s="126">
        <v>23144</v>
      </c>
      <c r="J392" s="121">
        <f t="shared" si="233"/>
        <v>4397.3599999999997</v>
      </c>
      <c r="K392" s="130">
        <f t="shared" si="234"/>
        <v>27541.360000000001</v>
      </c>
      <c r="L392" s="121">
        <f t="shared" si="235"/>
        <v>23144</v>
      </c>
      <c r="M392" s="122">
        <f t="shared" si="236"/>
        <v>27541.360000000001</v>
      </c>
      <c r="N392" s="123">
        <v>26668.2</v>
      </c>
      <c r="O392" s="121">
        <f t="shared" si="237"/>
        <v>5066.9580000000005</v>
      </c>
      <c r="P392" s="110">
        <f t="shared" si="238"/>
        <v>31735.158000000003</v>
      </c>
      <c r="Q392" s="121">
        <f t="shared" si="239"/>
        <v>26668.2</v>
      </c>
      <c r="R392" s="124">
        <f t="shared" si="240"/>
        <v>31735.158000000003</v>
      </c>
      <c r="S392" s="125">
        <v>32612</v>
      </c>
      <c r="T392" s="121">
        <f t="shared" si="244"/>
        <v>6196.28</v>
      </c>
      <c r="U392" s="110">
        <f t="shared" si="245"/>
        <v>38808.28</v>
      </c>
      <c r="V392" s="121">
        <f t="shared" si="246"/>
        <v>32612</v>
      </c>
      <c r="W392" s="122">
        <f t="shared" si="247"/>
        <v>38808.28</v>
      </c>
      <c r="X392" s="108"/>
      <c r="Y392" s="121">
        <f t="shared" si="248"/>
        <v>0</v>
      </c>
      <c r="Z392" s="121">
        <f t="shared" si="249"/>
        <v>0</v>
      </c>
      <c r="AA392" s="121">
        <f t="shared" si="250"/>
        <v>0</v>
      </c>
      <c r="AB392" s="124">
        <f t="shared" si="251"/>
        <v>0</v>
      </c>
      <c r="AC392" s="126">
        <f t="shared" si="241"/>
        <v>27475</v>
      </c>
      <c r="AD392" s="101">
        <f t="shared" si="216"/>
        <v>20606</v>
      </c>
      <c r="AE392" s="127">
        <f t="shared" si="242"/>
        <v>3907.1411554855399</v>
      </c>
      <c r="AF392" s="128">
        <f t="shared" si="252"/>
        <v>0.14220713941712612</v>
      </c>
      <c r="AG392" s="129">
        <f t="shared" si="243"/>
        <v>26668</v>
      </c>
      <c r="AH392" s="101">
        <f t="shared" si="218"/>
        <v>24906</v>
      </c>
      <c r="AI392" s="130">
        <f t="shared" si="253"/>
        <v>3907.1411554855399</v>
      </c>
      <c r="AJ392" s="159">
        <f t="shared" si="254"/>
        <v>0.14651046780731738</v>
      </c>
      <c r="AK392" s="290" t="s">
        <v>1034</v>
      </c>
      <c r="AL392" s="291"/>
      <c r="AM392" s="292"/>
      <c r="AN392" s="160"/>
    </row>
    <row r="393" spans="1:40" ht="38.25" thickBot="1" x14ac:dyDescent="0.3">
      <c r="A393" s="84">
        <f t="shared" si="232"/>
        <v>3</v>
      </c>
      <c r="B393" s="198">
        <v>388</v>
      </c>
      <c r="C393" s="51" t="s">
        <v>831</v>
      </c>
      <c r="D393" s="205" t="s">
        <v>1048</v>
      </c>
      <c r="E393" s="60" t="s">
        <v>835</v>
      </c>
      <c r="F393" s="17">
        <v>1</v>
      </c>
      <c r="G393" s="17"/>
      <c r="H393" s="89" t="s">
        <v>1050</v>
      </c>
      <c r="I393" s="126">
        <v>34716</v>
      </c>
      <c r="J393" s="121">
        <f t="shared" si="233"/>
        <v>6596.04</v>
      </c>
      <c r="K393" s="130">
        <f t="shared" si="234"/>
        <v>41312.04</v>
      </c>
      <c r="L393" s="121">
        <f t="shared" si="235"/>
        <v>34716</v>
      </c>
      <c r="M393" s="122">
        <f t="shared" si="236"/>
        <v>41312.04</v>
      </c>
      <c r="N393" s="123">
        <v>36581.196000000004</v>
      </c>
      <c r="O393" s="121">
        <f t="shared" si="237"/>
        <v>6950.4272400000009</v>
      </c>
      <c r="P393" s="110">
        <f t="shared" si="238"/>
        <v>43531.623240000001</v>
      </c>
      <c r="Q393" s="121">
        <f t="shared" si="239"/>
        <v>36581.196000000004</v>
      </c>
      <c r="R393" s="124">
        <f t="shared" si="240"/>
        <v>43531.623240000001</v>
      </c>
      <c r="S393" s="125">
        <v>37872</v>
      </c>
      <c r="T393" s="121">
        <f t="shared" si="244"/>
        <v>7195.68</v>
      </c>
      <c r="U393" s="110">
        <f t="shared" si="245"/>
        <v>45067.68</v>
      </c>
      <c r="V393" s="121">
        <f t="shared" si="246"/>
        <v>37872</v>
      </c>
      <c r="W393" s="122">
        <f t="shared" si="247"/>
        <v>45067.68</v>
      </c>
      <c r="X393" s="108"/>
      <c r="Y393" s="121">
        <f t="shared" si="248"/>
        <v>0</v>
      </c>
      <c r="Z393" s="121">
        <f t="shared" si="249"/>
        <v>0</v>
      </c>
      <c r="AA393" s="121">
        <f t="shared" si="250"/>
        <v>0</v>
      </c>
      <c r="AB393" s="124">
        <f t="shared" si="251"/>
        <v>0</v>
      </c>
      <c r="AC393" s="126">
        <f t="shared" si="241"/>
        <v>36390</v>
      </c>
      <c r="AD393" s="101">
        <f t="shared" si="216"/>
        <v>27292</v>
      </c>
      <c r="AE393" s="127">
        <f t="shared" si="242"/>
        <v>1295.5250795133225</v>
      </c>
      <c r="AF393" s="128">
        <f t="shared" si="252"/>
        <v>3.5601128868186935E-2</v>
      </c>
      <c r="AG393" s="129">
        <f t="shared" si="243"/>
        <v>36581</v>
      </c>
      <c r="AH393" s="101">
        <f t="shared" si="218"/>
        <v>35649</v>
      </c>
      <c r="AI393" s="130">
        <f t="shared" si="253"/>
        <v>1295.5250795133225</v>
      </c>
      <c r="AJ393" s="159">
        <f t="shared" si="254"/>
        <v>3.5415245059274555E-2</v>
      </c>
      <c r="AK393" s="290" t="s">
        <v>1034</v>
      </c>
      <c r="AL393" s="291"/>
      <c r="AM393" s="292"/>
      <c r="AN393" s="160"/>
    </row>
    <row r="394" spans="1:40" ht="38.25" thickBot="1" x14ac:dyDescent="0.3">
      <c r="A394" s="84">
        <f t="shared" si="232"/>
        <v>3</v>
      </c>
      <c r="B394" s="198">
        <v>389</v>
      </c>
      <c r="C394" s="51" t="s">
        <v>831</v>
      </c>
      <c r="D394" s="205" t="s">
        <v>1048</v>
      </c>
      <c r="E394" s="60" t="s">
        <v>836</v>
      </c>
      <c r="F394" s="17">
        <v>1</v>
      </c>
      <c r="G394" s="17"/>
      <c r="H394" s="89" t="s">
        <v>1050</v>
      </c>
      <c r="I394" s="126">
        <v>36820</v>
      </c>
      <c r="J394" s="121">
        <f t="shared" si="233"/>
        <v>6995.8</v>
      </c>
      <c r="K394" s="130">
        <f t="shared" si="234"/>
        <v>43815.8</v>
      </c>
      <c r="L394" s="121">
        <f t="shared" si="235"/>
        <v>36820</v>
      </c>
      <c r="M394" s="122">
        <f t="shared" si="236"/>
        <v>43815.8</v>
      </c>
      <c r="N394" s="123">
        <v>40278.976000000002</v>
      </c>
      <c r="O394" s="121">
        <f t="shared" si="237"/>
        <v>7653.0054400000008</v>
      </c>
      <c r="P394" s="110">
        <f t="shared" si="238"/>
        <v>47931.981440000003</v>
      </c>
      <c r="Q394" s="121">
        <f t="shared" si="239"/>
        <v>40278.976000000002</v>
      </c>
      <c r="R394" s="124">
        <f t="shared" si="240"/>
        <v>47931.981440000003</v>
      </c>
      <c r="S394" s="125">
        <v>39976</v>
      </c>
      <c r="T394" s="121">
        <f t="shared" si="244"/>
        <v>7595.4400000000005</v>
      </c>
      <c r="U394" s="110">
        <f t="shared" si="245"/>
        <v>47571.44</v>
      </c>
      <c r="V394" s="121">
        <f t="shared" si="246"/>
        <v>39976</v>
      </c>
      <c r="W394" s="122">
        <f t="shared" si="247"/>
        <v>47571.44</v>
      </c>
      <c r="X394" s="108"/>
      <c r="Y394" s="121">
        <f t="shared" si="248"/>
        <v>0</v>
      </c>
      <c r="Z394" s="121">
        <f t="shared" si="249"/>
        <v>0</v>
      </c>
      <c r="AA394" s="121">
        <f t="shared" si="250"/>
        <v>0</v>
      </c>
      <c r="AB394" s="124">
        <f t="shared" si="251"/>
        <v>0</v>
      </c>
      <c r="AC394" s="126">
        <f t="shared" si="241"/>
        <v>39025</v>
      </c>
      <c r="AD394" s="101">
        <f t="shared" ref="AD394:AD457" si="255">+IFERROR(ROUND(AVERAGE(L394,Q394,V394,AA394),0),0)</f>
        <v>29269</v>
      </c>
      <c r="AE394" s="127">
        <f t="shared" si="242"/>
        <v>1564.063277533234</v>
      </c>
      <c r="AF394" s="128">
        <f t="shared" si="252"/>
        <v>4.0078495260300676E-2</v>
      </c>
      <c r="AG394" s="129">
        <f t="shared" si="243"/>
        <v>39976</v>
      </c>
      <c r="AH394" s="101">
        <f t="shared" ref="AH394:AH457" si="256">+IFERROR(ROUND(MEDIAN(L394,Q394,V394,AA394),0),0)</f>
        <v>38398</v>
      </c>
      <c r="AI394" s="130">
        <f t="shared" si="253"/>
        <v>1564.063277533234</v>
      </c>
      <c r="AJ394" s="159">
        <f t="shared" si="254"/>
        <v>3.9125056972514359E-2</v>
      </c>
      <c r="AK394" s="290" t="s">
        <v>1034</v>
      </c>
      <c r="AL394" s="291"/>
      <c r="AM394" s="292"/>
      <c r="AN394" s="160"/>
    </row>
    <row r="395" spans="1:40" ht="38.25" thickBot="1" x14ac:dyDescent="0.3">
      <c r="A395" s="84">
        <f t="shared" si="232"/>
        <v>3</v>
      </c>
      <c r="B395" s="198">
        <v>390</v>
      </c>
      <c r="C395" s="51" t="s">
        <v>831</v>
      </c>
      <c r="D395" s="205" t="s">
        <v>1048</v>
      </c>
      <c r="E395" s="60" t="s">
        <v>837</v>
      </c>
      <c r="F395" s="17">
        <v>1</v>
      </c>
      <c r="G395" s="17"/>
      <c r="H395" s="89" t="s">
        <v>1050</v>
      </c>
      <c r="I395" s="126">
        <v>34716</v>
      </c>
      <c r="J395" s="121">
        <f t="shared" si="233"/>
        <v>6596.04</v>
      </c>
      <c r="K395" s="130">
        <f t="shared" si="234"/>
        <v>41312.04</v>
      </c>
      <c r="L395" s="121">
        <f t="shared" si="235"/>
        <v>34716</v>
      </c>
      <c r="M395" s="122">
        <f t="shared" si="236"/>
        <v>41312.04</v>
      </c>
      <c r="N395" s="123">
        <v>37685.796000000002</v>
      </c>
      <c r="O395" s="121">
        <f t="shared" si="237"/>
        <v>7160.3012400000007</v>
      </c>
      <c r="P395" s="110">
        <f t="shared" si="238"/>
        <v>44846.097240000003</v>
      </c>
      <c r="Q395" s="121">
        <f t="shared" si="239"/>
        <v>37685.796000000002</v>
      </c>
      <c r="R395" s="124">
        <f t="shared" si="240"/>
        <v>44846.097240000003</v>
      </c>
      <c r="S395" s="125">
        <v>41028</v>
      </c>
      <c r="T395" s="121">
        <f t="shared" si="244"/>
        <v>7795.32</v>
      </c>
      <c r="U395" s="110">
        <f t="shared" si="245"/>
        <v>48823.32</v>
      </c>
      <c r="V395" s="121">
        <f t="shared" si="246"/>
        <v>41028</v>
      </c>
      <c r="W395" s="122">
        <f t="shared" si="247"/>
        <v>48823.32</v>
      </c>
      <c r="X395" s="108"/>
      <c r="Y395" s="121">
        <f t="shared" si="248"/>
        <v>0</v>
      </c>
      <c r="Z395" s="121">
        <f t="shared" si="249"/>
        <v>0</v>
      </c>
      <c r="AA395" s="121">
        <f t="shared" si="250"/>
        <v>0</v>
      </c>
      <c r="AB395" s="124">
        <f t="shared" si="251"/>
        <v>0</v>
      </c>
      <c r="AC395" s="126">
        <f t="shared" si="241"/>
        <v>37810</v>
      </c>
      <c r="AD395" s="101">
        <f t="shared" si="255"/>
        <v>28357</v>
      </c>
      <c r="AE395" s="127">
        <f t="shared" si="242"/>
        <v>2578.3577861204599</v>
      </c>
      <c r="AF395" s="128">
        <f t="shared" si="252"/>
        <v>6.8192483102894996E-2</v>
      </c>
      <c r="AG395" s="129">
        <f t="shared" si="243"/>
        <v>37686</v>
      </c>
      <c r="AH395" s="101">
        <f t="shared" si="256"/>
        <v>36201</v>
      </c>
      <c r="AI395" s="130">
        <f t="shared" si="253"/>
        <v>2578.3577861204599</v>
      </c>
      <c r="AJ395" s="159">
        <f t="shared" si="254"/>
        <v>6.8416860004257812E-2</v>
      </c>
      <c r="AK395" s="290" t="s">
        <v>1034</v>
      </c>
      <c r="AL395" s="291"/>
      <c r="AM395" s="292"/>
      <c r="AN395" s="160"/>
    </row>
    <row r="396" spans="1:40" ht="38.25" thickBot="1" x14ac:dyDescent="0.3">
      <c r="A396" s="84">
        <f t="shared" si="232"/>
        <v>3</v>
      </c>
      <c r="B396" s="198">
        <v>391</v>
      </c>
      <c r="C396" s="51" t="s">
        <v>831</v>
      </c>
      <c r="D396" s="205" t="s">
        <v>1048</v>
      </c>
      <c r="E396" s="60" t="s">
        <v>838</v>
      </c>
      <c r="F396" s="17">
        <v>1</v>
      </c>
      <c r="G396" s="17"/>
      <c r="H396" s="89" t="s">
        <v>1050</v>
      </c>
      <c r="I396" s="126">
        <v>35768</v>
      </c>
      <c r="J396" s="121">
        <f t="shared" si="233"/>
        <v>6795.92</v>
      </c>
      <c r="K396" s="130">
        <f t="shared" si="234"/>
        <v>42563.92</v>
      </c>
      <c r="L396" s="121">
        <f t="shared" si="235"/>
        <v>35768</v>
      </c>
      <c r="M396" s="122">
        <f t="shared" si="236"/>
        <v>42563.92</v>
      </c>
      <c r="N396" s="123">
        <v>38669.942000000003</v>
      </c>
      <c r="O396" s="121">
        <f t="shared" si="237"/>
        <v>7347.2889800000003</v>
      </c>
      <c r="P396" s="110">
        <f t="shared" si="238"/>
        <v>46017.23098</v>
      </c>
      <c r="Q396" s="121">
        <f t="shared" si="239"/>
        <v>38669.942000000003</v>
      </c>
      <c r="R396" s="124">
        <f t="shared" si="240"/>
        <v>46017.23098</v>
      </c>
      <c r="S396" s="125">
        <v>42080</v>
      </c>
      <c r="T396" s="121">
        <f t="shared" si="244"/>
        <v>7995.2</v>
      </c>
      <c r="U396" s="110">
        <f t="shared" si="245"/>
        <v>50075.199999999997</v>
      </c>
      <c r="V396" s="121">
        <f t="shared" si="246"/>
        <v>42080</v>
      </c>
      <c r="W396" s="122">
        <f t="shared" si="247"/>
        <v>50075.199999999997</v>
      </c>
      <c r="X396" s="108"/>
      <c r="Y396" s="121">
        <f t="shared" si="248"/>
        <v>0</v>
      </c>
      <c r="Z396" s="121">
        <f t="shared" si="249"/>
        <v>0</v>
      </c>
      <c r="AA396" s="121">
        <f t="shared" si="250"/>
        <v>0</v>
      </c>
      <c r="AB396" s="124">
        <f t="shared" si="251"/>
        <v>0</v>
      </c>
      <c r="AC396" s="126">
        <f t="shared" si="241"/>
        <v>38839</v>
      </c>
      <c r="AD396" s="101">
        <f t="shared" si="255"/>
        <v>29129</v>
      </c>
      <c r="AE396" s="127">
        <f t="shared" si="242"/>
        <v>2579.6448277218319</v>
      </c>
      <c r="AF396" s="128">
        <f t="shared" si="252"/>
        <v>6.6418930140370036E-2</v>
      </c>
      <c r="AG396" s="129">
        <f t="shared" si="243"/>
        <v>38670</v>
      </c>
      <c r="AH396" s="101">
        <f t="shared" si="256"/>
        <v>37219</v>
      </c>
      <c r="AI396" s="130">
        <f t="shared" si="253"/>
        <v>2579.6448277218319</v>
      </c>
      <c r="AJ396" s="159">
        <f t="shared" si="254"/>
        <v>6.6709201647836364E-2</v>
      </c>
      <c r="AK396" s="290" t="s">
        <v>1034</v>
      </c>
      <c r="AL396" s="291"/>
      <c r="AM396" s="292"/>
      <c r="AN396" s="160"/>
    </row>
    <row r="397" spans="1:40" ht="38.25" thickBot="1" x14ac:dyDescent="0.3">
      <c r="A397" s="84">
        <f t="shared" si="232"/>
        <v>3</v>
      </c>
      <c r="B397" s="198">
        <v>392</v>
      </c>
      <c r="C397" s="51" t="s">
        <v>831</v>
      </c>
      <c r="D397" s="205" t="s">
        <v>1048</v>
      </c>
      <c r="E397" s="60" t="s">
        <v>839</v>
      </c>
      <c r="F397" s="17">
        <v>1</v>
      </c>
      <c r="G397" s="17"/>
      <c r="H397" s="89" t="s">
        <v>1050</v>
      </c>
      <c r="I397" s="126">
        <v>35873.200000000004</v>
      </c>
      <c r="J397" s="121">
        <f t="shared" si="233"/>
        <v>6815.9080000000013</v>
      </c>
      <c r="K397" s="130">
        <f t="shared" si="234"/>
        <v>42689.108000000007</v>
      </c>
      <c r="L397" s="121">
        <f t="shared" si="235"/>
        <v>35873.200000000004</v>
      </c>
      <c r="M397" s="122">
        <f t="shared" si="236"/>
        <v>42689.108000000007</v>
      </c>
      <c r="N397" s="123">
        <v>36653.784</v>
      </c>
      <c r="O397" s="121">
        <f t="shared" si="237"/>
        <v>6964.2189600000002</v>
      </c>
      <c r="P397" s="110">
        <f t="shared" si="238"/>
        <v>43618.002959999998</v>
      </c>
      <c r="Q397" s="121">
        <f t="shared" si="239"/>
        <v>36653.784</v>
      </c>
      <c r="R397" s="124">
        <f t="shared" si="240"/>
        <v>43618.002959999998</v>
      </c>
      <c r="S397" s="125">
        <v>43132</v>
      </c>
      <c r="T397" s="121">
        <f t="shared" si="244"/>
        <v>8195.08</v>
      </c>
      <c r="U397" s="110">
        <f t="shared" si="245"/>
        <v>51327.08</v>
      </c>
      <c r="V397" s="121">
        <f t="shared" si="246"/>
        <v>43132</v>
      </c>
      <c r="W397" s="122">
        <f t="shared" si="247"/>
        <v>51327.08</v>
      </c>
      <c r="X397" s="108"/>
      <c r="Y397" s="121">
        <f t="shared" si="248"/>
        <v>0</v>
      </c>
      <c r="Z397" s="121">
        <f t="shared" si="249"/>
        <v>0</v>
      </c>
      <c r="AA397" s="121">
        <f t="shared" si="250"/>
        <v>0</v>
      </c>
      <c r="AB397" s="124">
        <f t="shared" si="251"/>
        <v>0</v>
      </c>
      <c r="AC397" s="126">
        <f t="shared" si="241"/>
        <v>38553</v>
      </c>
      <c r="AD397" s="101">
        <f t="shared" si="255"/>
        <v>28915</v>
      </c>
      <c r="AE397" s="127">
        <f t="shared" si="242"/>
        <v>3253.4899443812969</v>
      </c>
      <c r="AF397" s="128">
        <f t="shared" si="252"/>
        <v>8.4390058993626879E-2</v>
      </c>
      <c r="AG397" s="129">
        <f t="shared" si="243"/>
        <v>36654</v>
      </c>
      <c r="AH397" s="101">
        <f t="shared" si="256"/>
        <v>36263</v>
      </c>
      <c r="AI397" s="130">
        <f t="shared" si="253"/>
        <v>3253.4899443812969</v>
      </c>
      <c r="AJ397" s="159">
        <f t="shared" si="254"/>
        <v>8.8762207245629318E-2</v>
      </c>
      <c r="AK397" s="290" t="s">
        <v>1034</v>
      </c>
      <c r="AL397" s="291"/>
      <c r="AM397" s="292"/>
      <c r="AN397" s="160"/>
    </row>
    <row r="398" spans="1:40" ht="38.25" thickBot="1" x14ac:dyDescent="0.3">
      <c r="A398" s="84">
        <f t="shared" si="232"/>
        <v>3</v>
      </c>
      <c r="B398" s="198">
        <v>393</v>
      </c>
      <c r="C398" s="51" t="s">
        <v>831</v>
      </c>
      <c r="D398" s="205" t="s">
        <v>1048</v>
      </c>
      <c r="E398" s="60" t="s">
        <v>840</v>
      </c>
      <c r="F398" s="17">
        <v>1</v>
      </c>
      <c r="G398" s="17"/>
      <c r="H398" s="89" t="s">
        <v>1050</v>
      </c>
      <c r="I398" s="126">
        <v>38924</v>
      </c>
      <c r="J398" s="121">
        <f t="shared" si="233"/>
        <v>7395.56</v>
      </c>
      <c r="K398" s="130">
        <f t="shared" si="234"/>
        <v>46319.56</v>
      </c>
      <c r="L398" s="121">
        <f t="shared" si="235"/>
        <v>38924</v>
      </c>
      <c r="M398" s="122">
        <f t="shared" si="236"/>
        <v>46319.56</v>
      </c>
      <c r="N398" s="123">
        <v>40467.284</v>
      </c>
      <c r="O398" s="121">
        <f t="shared" si="237"/>
        <v>7688.7839599999998</v>
      </c>
      <c r="P398" s="110">
        <f t="shared" si="238"/>
        <v>48156.06796</v>
      </c>
      <c r="Q398" s="121">
        <f t="shared" si="239"/>
        <v>40467.284</v>
      </c>
      <c r="R398" s="124">
        <f t="shared" si="240"/>
        <v>48156.06796</v>
      </c>
      <c r="S398" s="125">
        <v>44184</v>
      </c>
      <c r="T398" s="121">
        <f t="shared" si="244"/>
        <v>8394.9600000000009</v>
      </c>
      <c r="U398" s="110">
        <f t="shared" si="245"/>
        <v>52578.96</v>
      </c>
      <c r="V398" s="121">
        <f t="shared" si="246"/>
        <v>44184</v>
      </c>
      <c r="W398" s="122">
        <f t="shared" si="247"/>
        <v>52578.96</v>
      </c>
      <c r="X398" s="108"/>
      <c r="Y398" s="121">
        <f t="shared" si="248"/>
        <v>0</v>
      </c>
      <c r="Z398" s="121">
        <f t="shared" si="249"/>
        <v>0</v>
      </c>
      <c r="AA398" s="121">
        <f t="shared" si="250"/>
        <v>0</v>
      </c>
      <c r="AB398" s="124">
        <f t="shared" si="251"/>
        <v>0</v>
      </c>
      <c r="AC398" s="126">
        <f t="shared" si="241"/>
        <v>41192</v>
      </c>
      <c r="AD398" s="101">
        <f t="shared" si="255"/>
        <v>30894</v>
      </c>
      <c r="AE398" s="127">
        <f t="shared" si="242"/>
        <v>2207.645888706691</v>
      </c>
      <c r="AF398" s="128">
        <f t="shared" si="252"/>
        <v>5.3594044686023766E-2</v>
      </c>
      <c r="AG398" s="129">
        <f t="shared" si="243"/>
        <v>40467</v>
      </c>
      <c r="AH398" s="101">
        <f t="shared" si="256"/>
        <v>39696</v>
      </c>
      <c r="AI398" s="130">
        <f t="shared" si="253"/>
        <v>2207.645888706691</v>
      </c>
      <c r="AJ398" s="159">
        <f t="shared" si="254"/>
        <v>5.4554226621857098E-2</v>
      </c>
      <c r="AK398" s="290" t="s">
        <v>1034</v>
      </c>
      <c r="AL398" s="291"/>
      <c r="AM398" s="292"/>
      <c r="AN398" s="160"/>
    </row>
    <row r="399" spans="1:40" ht="38.25" thickBot="1" x14ac:dyDescent="0.3">
      <c r="A399" s="84">
        <f t="shared" si="232"/>
        <v>3</v>
      </c>
      <c r="B399" s="198">
        <v>394</v>
      </c>
      <c r="C399" s="51" t="s">
        <v>831</v>
      </c>
      <c r="D399" s="205" t="s">
        <v>1048</v>
      </c>
      <c r="E399" s="60" t="s">
        <v>841</v>
      </c>
      <c r="F399" s="17">
        <v>1</v>
      </c>
      <c r="G399" s="17"/>
      <c r="H399" s="89" t="s">
        <v>1050</v>
      </c>
      <c r="I399" s="126">
        <v>42080</v>
      </c>
      <c r="J399" s="121">
        <f t="shared" si="233"/>
        <v>7995.2</v>
      </c>
      <c r="K399" s="130">
        <f t="shared" si="234"/>
        <v>50075.199999999997</v>
      </c>
      <c r="L399" s="121">
        <f t="shared" si="235"/>
        <v>42080</v>
      </c>
      <c r="M399" s="122">
        <f t="shared" si="236"/>
        <v>50075.199999999997</v>
      </c>
      <c r="N399" s="123">
        <v>44054.078000000001</v>
      </c>
      <c r="O399" s="121">
        <f t="shared" si="237"/>
        <v>8370.2748200000005</v>
      </c>
      <c r="P399" s="110">
        <f t="shared" si="238"/>
        <v>52424.35282</v>
      </c>
      <c r="Q399" s="121">
        <f t="shared" si="239"/>
        <v>44054.078000000001</v>
      </c>
      <c r="R399" s="124">
        <f t="shared" si="240"/>
        <v>52424.35282</v>
      </c>
      <c r="S399" s="125">
        <v>46288</v>
      </c>
      <c r="T399" s="121">
        <f t="shared" si="244"/>
        <v>8794.7199999999993</v>
      </c>
      <c r="U399" s="110">
        <f t="shared" si="245"/>
        <v>55082.720000000001</v>
      </c>
      <c r="V399" s="121">
        <f t="shared" si="246"/>
        <v>46288</v>
      </c>
      <c r="W399" s="122">
        <f t="shared" si="247"/>
        <v>55082.720000000001</v>
      </c>
      <c r="X399" s="108"/>
      <c r="Y399" s="121">
        <f t="shared" si="248"/>
        <v>0</v>
      </c>
      <c r="Z399" s="121">
        <f t="shared" si="249"/>
        <v>0</v>
      </c>
      <c r="AA399" s="121">
        <f t="shared" si="250"/>
        <v>0</v>
      </c>
      <c r="AB399" s="124">
        <f t="shared" si="251"/>
        <v>0</v>
      </c>
      <c r="AC399" s="126">
        <f t="shared" si="241"/>
        <v>44141</v>
      </c>
      <c r="AD399" s="101">
        <f t="shared" si="255"/>
        <v>33106</v>
      </c>
      <c r="AE399" s="127">
        <f t="shared" si="242"/>
        <v>1719.0002085245817</v>
      </c>
      <c r="AF399" s="128">
        <f t="shared" si="252"/>
        <v>3.8943390691751019E-2</v>
      </c>
      <c r="AG399" s="129">
        <f t="shared" si="243"/>
        <v>44054</v>
      </c>
      <c r="AH399" s="101">
        <f t="shared" si="256"/>
        <v>43067</v>
      </c>
      <c r="AI399" s="130">
        <f t="shared" si="253"/>
        <v>1719.0002085245817</v>
      </c>
      <c r="AJ399" s="159">
        <f t="shared" si="254"/>
        <v>3.9020298009819349E-2</v>
      </c>
      <c r="AK399" s="290" t="s">
        <v>1034</v>
      </c>
      <c r="AL399" s="291"/>
      <c r="AM399" s="292"/>
      <c r="AN399" s="160"/>
    </row>
    <row r="400" spans="1:40" ht="38.25" thickBot="1" x14ac:dyDescent="0.3">
      <c r="A400" s="84">
        <f t="shared" si="232"/>
        <v>3</v>
      </c>
      <c r="B400" s="198">
        <v>395</v>
      </c>
      <c r="C400" s="51" t="s">
        <v>831</v>
      </c>
      <c r="D400" s="205" t="s">
        <v>1048</v>
      </c>
      <c r="E400" s="60" t="s">
        <v>842</v>
      </c>
      <c r="F400" s="17">
        <v>1</v>
      </c>
      <c r="G400" s="17"/>
      <c r="H400" s="89" t="s">
        <v>1050</v>
      </c>
      <c r="I400" s="126">
        <v>46288</v>
      </c>
      <c r="J400" s="121">
        <f t="shared" si="233"/>
        <v>8794.7199999999993</v>
      </c>
      <c r="K400" s="130">
        <f t="shared" si="234"/>
        <v>55082.720000000001</v>
      </c>
      <c r="L400" s="121">
        <f t="shared" si="235"/>
        <v>46288</v>
      </c>
      <c r="M400" s="122">
        <f t="shared" si="236"/>
        <v>55082.720000000001</v>
      </c>
      <c r="N400" s="123">
        <v>48608.712</v>
      </c>
      <c r="O400" s="121">
        <f t="shared" si="237"/>
        <v>9235.6552800000009</v>
      </c>
      <c r="P400" s="110">
        <f t="shared" si="238"/>
        <v>57844.367279999999</v>
      </c>
      <c r="Q400" s="121">
        <f t="shared" si="239"/>
        <v>48608.712</v>
      </c>
      <c r="R400" s="124">
        <f t="shared" si="240"/>
        <v>57844.367279999999</v>
      </c>
      <c r="S400" s="125">
        <v>49444</v>
      </c>
      <c r="T400" s="121">
        <f t="shared" si="244"/>
        <v>9394.36</v>
      </c>
      <c r="U400" s="110">
        <f t="shared" si="245"/>
        <v>58838.36</v>
      </c>
      <c r="V400" s="121">
        <f t="shared" si="246"/>
        <v>49444</v>
      </c>
      <c r="W400" s="122">
        <f t="shared" si="247"/>
        <v>58838.36</v>
      </c>
      <c r="X400" s="108"/>
      <c r="Y400" s="121">
        <f t="shared" si="248"/>
        <v>0</v>
      </c>
      <c r="Z400" s="121">
        <f t="shared" si="249"/>
        <v>0</v>
      </c>
      <c r="AA400" s="121">
        <f t="shared" si="250"/>
        <v>0</v>
      </c>
      <c r="AB400" s="124">
        <f t="shared" si="251"/>
        <v>0</v>
      </c>
      <c r="AC400" s="126">
        <f t="shared" si="241"/>
        <v>48114</v>
      </c>
      <c r="AD400" s="101">
        <f t="shared" si="255"/>
        <v>36085</v>
      </c>
      <c r="AE400" s="127">
        <f t="shared" si="242"/>
        <v>1335.1548486926733</v>
      </c>
      <c r="AF400" s="128">
        <f t="shared" si="252"/>
        <v>2.7749820191475941E-2</v>
      </c>
      <c r="AG400" s="129">
        <f t="shared" si="243"/>
        <v>48609</v>
      </c>
      <c r="AH400" s="101">
        <f t="shared" si="256"/>
        <v>47448</v>
      </c>
      <c r="AI400" s="130">
        <f t="shared" si="253"/>
        <v>1335.1548486926733</v>
      </c>
      <c r="AJ400" s="159">
        <f t="shared" si="254"/>
        <v>2.7467235464475166E-2</v>
      </c>
      <c r="AK400" s="290" t="s">
        <v>1034</v>
      </c>
      <c r="AL400" s="291"/>
      <c r="AM400" s="292"/>
      <c r="AN400" s="160"/>
    </row>
    <row r="401" spans="1:40" ht="45.75" thickBot="1" x14ac:dyDescent="0.3">
      <c r="A401" s="84">
        <f t="shared" si="232"/>
        <v>3</v>
      </c>
      <c r="B401" s="198">
        <v>396</v>
      </c>
      <c r="C401" s="51" t="s">
        <v>831</v>
      </c>
      <c r="D401" s="205" t="s">
        <v>1048</v>
      </c>
      <c r="E401" s="60" t="s">
        <v>843</v>
      </c>
      <c r="F401" s="17">
        <v>1</v>
      </c>
      <c r="G401" s="17"/>
      <c r="H401" s="89" t="s">
        <v>1050</v>
      </c>
      <c r="I401" s="126">
        <v>284040</v>
      </c>
      <c r="J401" s="121">
        <f t="shared" si="233"/>
        <v>53967.6</v>
      </c>
      <c r="K401" s="130">
        <f t="shared" si="234"/>
        <v>338007.6</v>
      </c>
      <c r="L401" s="121">
        <f t="shared" si="235"/>
        <v>284040</v>
      </c>
      <c r="M401" s="122">
        <f t="shared" si="236"/>
        <v>338007.6</v>
      </c>
      <c r="N401" s="123">
        <v>247220</v>
      </c>
      <c r="O401" s="121">
        <f t="shared" si="237"/>
        <v>46971.8</v>
      </c>
      <c r="P401" s="110">
        <f t="shared" si="238"/>
        <v>294191.8</v>
      </c>
      <c r="Q401" s="121">
        <f t="shared" si="239"/>
        <v>247220</v>
      </c>
      <c r="R401" s="124">
        <f t="shared" si="240"/>
        <v>294191.8</v>
      </c>
      <c r="S401" s="125">
        <v>326120</v>
      </c>
      <c r="T401" s="121">
        <f t="shared" si="244"/>
        <v>61962.8</v>
      </c>
      <c r="U401" s="110">
        <f t="shared" si="245"/>
        <v>388082.8</v>
      </c>
      <c r="V401" s="121">
        <f t="shared" si="246"/>
        <v>326120</v>
      </c>
      <c r="W401" s="122">
        <f t="shared" si="247"/>
        <v>388082.8</v>
      </c>
      <c r="X401" s="108"/>
      <c r="Y401" s="121">
        <f t="shared" si="248"/>
        <v>0</v>
      </c>
      <c r="Z401" s="121">
        <f t="shared" si="249"/>
        <v>0</v>
      </c>
      <c r="AA401" s="121">
        <f t="shared" si="250"/>
        <v>0</v>
      </c>
      <c r="AB401" s="124">
        <f t="shared" si="251"/>
        <v>0</v>
      </c>
      <c r="AC401" s="126">
        <f t="shared" si="241"/>
        <v>285793</v>
      </c>
      <c r="AD401" s="101">
        <f t="shared" si="255"/>
        <v>214345</v>
      </c>
      <c r="AE401" s="127">
        <f t="shared" si="242"/>
        <v>32234.641131690747</v>
      </c>
      <c r="AF401" s="128">
        <f t="shared" si="252"/>
        <v>0.11279017026900851</v>
      </c>
      <c r="AG401" s="129">
        <f t="shared" si="243"/>
        <v>284040</v>
      </c>
      <c r="AH401" s="101">
        <f t="shared" si="256"/>
        <v>265630</v>
      </c>
      <c r="AI401" s="130">
        <f t="shared" si="253"/>
        <v>32234.641131690747</v>
      </c>
      <c r="AJ401" s="159">
        <f t="shared" si="254"/>
        <v>0.11348627352376689</v>
      </c>
      <c r="AK401" s="290" t="s">
        <v>1034</v>
      </c>
      <c r="AL401" s="291"/>
      <c r="AM401" s="292"/>
      <c r="AN401" s="160"/>
    </row>
    <row r="402" spans="1:40" ht="38.25" thickBot="1" x14ac:dyDescent="0.3">
      <c r="A402" s="84">
        <f t="shared" si="232"/>
        <v>3</v>
      </c>
      <c r="B402" s="198">
        <v>397</v>
      </c>
      <c r="C402" s="51" t="s">
        <v>831</v>
      </c>
      <c r="D402" s="205" t="s">
        <v>1048</v>
      </c>
      <c r="E402" s="60" t="s">
        <v>844</v>
      </c>
      <c r="F402" s="17">
        <v>1</v>
      </c>
      <c r="G402" s="17"/>
      <c r="H402" s="89" t="s">
        <v>1050</v>
      </c>
      <c r="I402" s="126">
        <v>19988</v>
      </c>
      <c r="J402" s="121">
        <f t="shared" si="233"/>
        <v>3797.7200000000003</v>
      </c>
      <c r="K402" s="130">
        <f t="shared" si="234"/>
        <v>23785.72</v>
      </c>
      <c r="L402" s="121">
        <f t="shared" si="235"/>
        <v>19988</v>
      </c>
      <c r="M402" s="122">
        <f t="shared" si="236"/>
        <v>23785.72</v>
      </c>
      <c r="N402" s="123">
        <v>19244.762000000002</v>
      </c>
      <c r="O402" s="121">
        <f t="shared" si="237"/>
        <v>3656.5047800000007</v>
      </c>
      <c r="P402" s="110">
        <f t="shared" si="238"/>
        <v>22901.266780000002</v>
      </c>
      <c r="Q402" s="121">
        <f t="shared" si="239"/>
        <v>19244.762000000002</v>
      </c>
      <c r="R402" s="124">
        <f t="shared" si="240"/>
        <v>22901.266780000002</v>
      </c>
      <c r="S402" s="125">
        <v>23144</v>
      </c>
      <c r="T402" s="121">
        <f t="shared" si="244"/>
        <v>4397.3599999999997</v>
      </c>
      <c r="U402" s="110">
        <f t="shared" si="245"/>
        <v>27541.360000000001</v>
      </c>
      <c r="V402" s="121">
        <f t="shared" si="246"/>
        <v>23144</v>
      </c>
      <c r="W402" s="122">
        <f t="shared" si="247"/>
        <v>27541.360000000001</v>
      </c>
      <c r="X402" s="108"/>
      <c r="Y402" s="121">
        <f t="shared" si="248"/>
        <v>0</v>
      </c>
      <c r="Z402" s="121">
        <f t="shared" si="249"/>
        <v>0</v>
      </c>
      <c r="AA402" s="121">
        <f t="shared" si="250"/>
        <v>0</v>
      </c>
      <c r="AB402" s="124">
        <f t="shared" si="251"/>
        <v>0</v>
      </c>
      <c r="AC402" s="126">
        <f t="shared" si="241"/>
        <v>20792</v>
      </c>
      <c r="AD402" s="101">
        <f t="shared" si="255"/>
        <v>15594</v>
      </c>
      <c r="AE402" s="127">
        <f t="shared" si="242"/>
        <v>1690.3910035941381</v>
      </c>
      <c r="AF402" s="128">
        <f t="shared" si="252"/>
        <v>8.1300067506451426E-2</v>
      </c>
      <c r="AG402" s="129">
        <f t="shared" si="243"/>
        <v>19988</v>
      </c>
      <c r="AH402" s="101">
        <f t="shared" si="256"/>
        <v>19616</v>
      </c>
      <c r="AI402" s="130">
        <f t="shared" si="253"/>
        <v>1690.3910035941381</v>
      </c>
      <c r="AJ402" s="159">
        <f t="shared" si="254"/>
        <v>8.457029235511998E-2</v>
      </c>
      <c r="AK402" s="290" t="s">
        <v>1034</v>
      </c>
      <c r="AL402" s="291"/>
      <c r="AM402" s="292"/>
      <c r="AN402" s="160"/>
    </row>
    <row r="403" spans="1:40" ht="38.25" thickBot="1" x14ac:dyDescent="0.3">
      <c r="A403" s="84">
        <f t="shared" si="232"/>
        <v>3</v>
      </c>
      <c r="B403" s="198">
        <v>398</v>
      </c>
      <c r="C403" s="51" t="s">
        <v>845</v>
      </c>
      <c r="D403" s="205" t="s">
        <v>1048</v>
      </c>
      <c r="E403" s="60" t="s">
        <v>846</v>
      </c>
      <c r="F403" s="17">
        <v>1</v>
      </c>
      <c r="G403" s="17"/>
      <c r="H403" s="89" t="s">
        <v>1050</v>
      </c>
      <c r="I403" s="126">
        <v>25248</v>
      </c>
      <c r="J403" s="121">
        <f t="shared" si="233"/>
        <v>4797.12</v>
      </c>
      <c r="K403" s="130">
        <f t="shared" si="234"/>
        <v>30045.119999999999</v>
      </c>
      <c r="L403" s="121">
        <f t="shared" si="235"/>
        <v>25248</v>
      </c>
      <c r="M403" s="122">
        <f t="shared" si="236"/>
        <v>30045.119999999999</v>
      </c>
      <c r="N403" s="123">
        <v>26720.800000000003</v>
      </c>
      <c r="O403" s="121">
        <f t="shared" si="237"/>
        <v>5076.9520000000002</v>
      </c>
      <c r="P403" s="110">
        <f t="shared" si="238"/>
        <v>31797.752000000004</v>
      </c>
      <c r="Q403" s="121">
        <f t="shared" si="239"/>
        <v>26720.800000000003</v>
      </c>
      <c r="R403" s="124">
        <f t="shared" si="240"/>
        <v>31797.752000000004</v>
      </c>
      <c r="S403" s="125">
        <v>28404</v>
      </c>
      <c r="T403" s="121">
        <f t="shared" si="244"/>
        <v>5396.76</v>
      </c>
      <c r="U403" s="110">
        <f t="shared" si="245"/>
        <v>33800.76</v>
      </c>
      <c r="V403" s="121">
        <f t="shared" si="246"/>
        <v>28404</v>
      </c>
      <c r="W403" s="122">
        <f t="shared" si="247"/>
        <v>33800.76</v>
      </c>
      <c r="X403" s="108"/>
      <c r="Y403" s="121">
        <f t="shared" si="248"/>
        <v>0</v>
      </c>
      <c r="Z403" s="121">
        <f t="shared" si="249"/>
        <v>0</v>
      </c>
      <c r="AA403" s="121">
        <f t="shared" si="250"/>
        <v>0</v>
      </c>
      <c r="AB403" s="124">
        <f t="shared" si="251"/>
        <v>0</v>
      </c>
      <c r="AC403" s="126">
        <f t="shared" si="241"/>
        <v>26791</v>
      </c>
      <c r="AD403" s="101">
        <f t="shared" si="255"/>
        <v>20093</v>
      </c>
      <c r="AE403" s="127">
        <f t="shared" si="242"/>
        <v>1289.3856452676298</v>
      </c>
      <c r="AF403" s="128">
        <f t="shared" si="252"/>
        <v>4.8127566916786602E-2</v>
      </c>
      <c r="AG403" s="129">
        <f t="shared" si="243"/>
        <v>26721</v>
      </c>
      <c r="AH403" s="101">
        <f t="shared" si="256"/>
        <v>25984</v>
      </c>
      <c r="AI403" s="130">
        <f t="shared" si="253"/>
        <v>1289.3856452676298</v>
      </c>
      <c r="AJ403" s="159">
        <f t="shared" si="254"/>
        <v>4.8253644896060398E-2</v>
      </c>
      <c r="AK403" s="290" t="s">
        <v>1034</v>
      </c>
      <c r="AL403" s="291"/>
      <c r="AM403" s="292"/>
      <c r="AN403" s="160"/>
    </row>
    <row r="404" spans="1:40" ht="38.25" thickBot="1" x14ac:dyDescent="0.3">
      <c r="A404" s="84">
        <f t="shared" si="232"/>
        <v>3</v>
      </c>
      <c r="B404" s="198">
        <v>399</v>
      </c>
      <c r="C404" s="51" t="s">
        <v>845</v>
      </c>
      <c r="D404" s="205" t="s">
        <v>1048</v>
      </c>
      <c r="E404" s="60" t="s">
        <v>847</v>
      </c>
      <c r="F404" s="17">
        <v>1</v>
      </c>
      <c r="G404" s="17"/>
      <c r="H404" s="89" t="s">
        <v>1050</v>
      </c>
      <c r="I404" s="126">
        <v>21040</v>
      </c>
      <c r="J404" s="121">
        <f t="shared" si="233"/>
        <v>3997.6</v>
      </c>
      <c r="K404" s="130">
        <f t="shared" si="234"/>
        <v>25037.599999999999</v>
      </c>
      <c r="L404" s="121">
        <f t="shared" si="235"/>
        <v>21040</v>
      </c>
      <c r="M404" s="122">
        <f t="shared" si="236"/>
        <v>25037.599999999999</v>
      </c>
      <c r="N404" s="123">
        <v>23144</v>
      </c>
      <c r="O404" s="121">
        <f t="shared" si="237"/>
        <v>4397.3599999999997</v>
      </c>
      <c r="P404" s="110">
        <f t="shared" si="238"/>
        <v>27541.360000000001</v>
      </c>
      <c r="Q404" s="121">
        <f t="shared" si="239"/>
        <v>23144</v>
      </c>
      <c r="R404" s="124">
        <f t="shared" si="240"/>
        <v>27541.360000000001</v>
      </c>
      <c r="S404" s="125">
        <v>23144</v>
      </c>
      <c r="T404" s="121">
        <f t="shared" si="244"/>
        <v>4397.3599999999997</v>
      </c>
      <c r="U404" s="110">
        <f t="shared" si="245"/>
        <v>27541.360000000001</v>
      </c>
      <c r="V404" s="121">
        <f t="shared" si="246"/>
        <v>23144</v>
      </c>
      <c r="W404" s="122">
        <f t="shared" si="247"/>
        <v>27541.360000000001</v>
      </c>
      <c r="X404" s="108"/>
      <c r="Y404" s="121">
        <f t="shared" si="248"/>
        <v>0</v>
      </c>
      <c r="Z404" s="121">
        <f t="shared" si="249"/>
        <v>0</v>
      </c>
      <c r="AA404" s="121">
        <f t="shared" si="250"/>
        <v>0</v>
      </c>
      <c r="AB404" s="124">
        <f t="shared" si="251"/>
        <v>0</v>
      </c>
      <c r="AC404" s="126">
        <f t="shared" si="241"/>
        <v>22443</v>
      </c>
      <c r="AD404" s="101">
        <f t="shared" si="255"/>
        <v>16832</v>
      </c>
      <c r="AE404" s="127">
        <f t="shared" si="242"/>
        <v>991.83511174433067</v>
      </c>
      <c r="AF404" s="128">
        <f t="shared" si="252"/>
        <v>4.4193517432800013E-2</v>
      </c>
      <c r="AG404" s="129">
        <f t="shared" si="243"/>
        <v>23144</v>
      </c>
      <c r="AH404" s="101">
        <f t="shared" si="256"/>
        <v>22092</v>
      </c>
      <c r="AI404" s="130">
        <f t="shared" si="253"/>
        <v>991.83511174433067</v>
      </c>
      <c r="AJ404" s="159">
        <f t="shared" si="254"/>
        <v>4.2854956435548333E-2</v>
      </c>
      <c r="AK404" s="290" t="s">
        <v>1034</v>
      </c>
      <c r="AL404" s="291"/>
      <c r="AM404" s="292"/>
      <c r="AN404" s="160"/>
    </row>
    <row r="405" spans="1:40" ht="38.25" thickBot="1" x14ac:dyDescent="0.3">
      <c r="A405" s="84">
        <f t="shared" si="232"/>
        <v>3</v>
      </c>
      <c r="B405" s="198">
        <v>400</v>
      </c>
      <c r="C405" s="51" t="s">
        <v>845</v>
      </c>
      <c r="D405" s="205" t="s">
        <v>1048</v>
      </c>
      <c r="E405" s="60" t="s">
        <v>848</v>
      </c>
      <c r="F405" s="17">
        <v>1</v>
      </c>
      <c r="G405" s="17"/>
      <c r="H405" s="89" t="s">
        <v>1050</v>
      </c>
      <c r="I405" s="126">
        <v>30508</v>
      </c>
      <c r="J405" s="121">
        <f t="shared" si="233"/>
        <v>5796.52</v>
      </c>
      <c r="K405" s="130">
        <f t="shared" si="234"/>
        <v>36304.520000000004</v>
      </c>
      <c r="L405" s="121">
        <f t="shared" si="235"/>
        <v>30508</v>
      </c>
      <c r="M405" s="122">
        <f t="shared" si="236"/>
        <v>36304.520000000004</v>
      </c>
      <c r="N405" s="123">
        <v>31189.170000000002</v>
      </c>
      <c r="O405" s="121">
        <f t="shared" si="237"/>
        <v>5925.9423000000006</v>
      </c>
      <c r="P405" s="110">
        <f t="shared" si="238"/>
        <v>37115.112300000001</v>
      </c>
      <c r="Q405" s="121">
        <f t="shared" si="239"/>
        <v>31189.170000000002</v>
      </c>
      <c r="R405" s="124">
        <f t="shared" si="240"/>
        <v>37115.112300000001</v>
      </c>
      <c r="S405" s="125">
        <v>32612</v>
      </c>
      <c r="T405" s="121">
        <f t="shared" si="244"/>
        <v>6196.28</v>
      </c>
      <c r="U405" s="110">
        <f t="shared" si="245"/>
        <v>38808.28</v>
      </c>
      <c r="V405" s="121">
        <f t="shared" si="246"/>
        <v>32612</v>
      </c>
      <c r="W405" s="122">
        <f t="shared" si="247"/>
        <v>38808.28</v>
      </c>
      <c r="X405" s="108"/>
      <c r="Y405" s="121">
        <f t="shared" si="248"/>
        <v>0</v>
      </c>
      <c r="Z405" s="121">
        <f t="shared" si="249"/>
        <v>0</v>
      </c>
      <c r="AA405" s="121">
        <f t="shared" si="250"/>
        <v>0</v>
      </c>
      <c r="AB405" s="124">
        <f t="shared" si="251"/>
        <v>0</v>
      </c>
      <c r="AC405" s="126">
        <f t="shared" si="241"/>
        <v>31436</v>
      </c>
      <c r="AD405" s="101">
        <f t="shared" si="255"/>
        <v>23577</v>
      </c>
      <c r="AE405" s="127">
        <f t="shared" si="242"/>
        <v>876.56233712535607</v>
      </c>
      <c r="AF405" s="128">
        <f t="shared" si="252"/>
        <v>2.7884029047122918E-2</v>
      </c>
      <c r="AG405" s="129">
        <f t="shared" si="243"/>
        <v>31189</v>
      </c>
      <c r="AH405" s="101">
        <f t="shared" si="256"/>
        <v>30849</v>
      </c>
      <c r="AI405" s="130">
        <f t="shared" si="253"/>
        <v>876.56233712535607</v>
      </c>
      <c r="AJ405" s="159">
        <f t="shared" si="254"/>
        <v>2.8104855465880794E-2</v>
      </c>
      <c r="AK405" s="290" t="s">
        <v>1034</v>
      </c>
      <c r="AL405" s="291"/>
      <c r="AM405" s="292"/>
      <c r="AN405" s="160"/>
    </row>
    <row r="406" spans="1:40" ht="38.25" thickBot="1" x14ac:dyDescent="0.3">
      <c r="A406" s="84">
        <f t="shared" si="232"/>
        <v>3</v>
      </c>
      <c r="B406" s="198">
        <v>401</v>
      </c>
      <c r="C406" s="51" t="s">
        <v>845</v>
      </c>
      <c r="D406" s="205" t="s">
        <v>1048</v>
      </c>
      <c r="E406" s="60" t="s">
        <v>849</v>
      </c>
      <c r="F406" s="17">
        <v>1</v>
      </c>
      <c r="G406" s="17"/>
      <c r="H406" s="89" t="s">
        <v>1050</v>
      </c>
      <c r="I406" s="126">
        <v>36820</v>
      </c>
      <c r="J406" s="121">
        <f t="shared" si="233"/>
        <v>6995.8</v>
      </c>
      <c r="K406" s="130">
        <f t="shared" si="234"/>
        <v>43815.8</v>
      </c>
      <c r="L406" s="121">
        <f t="shared" si="235"/>
        <v>36820</v>
      </c>
      <c r="M406" s="122">
        <f t="shared" si="236"/>
        <v>43815.8</v>
      </c>
      <c r="N406" s="123">
        <v>37145.594000000005</v>
      </c>
      <c r="O406" s="121">
        <f t="shared" si="237"/>
        <v>7057.6628600000013</v>
      </c>
      <c r="P406" s="110">
        <f t="shared" si="238"/>
        <v>44203.256860000009</v>
      </c>
      <c r="Q406" s="121">
        <f t="shared" si="239"/>
        <v>37145.594000000005</v>
      </c>
      <c r="R406" s="124">
        <f t="shared" si="240"/>
        <v>44203.256860000009</v>
      </c>
      <c r="S406" s="125">
        <v>39976</v>
      </c>
      <c r="T406" s="121">
        <f t="shared" si="244"/>
        <v>7595.4400000000005</v>
      </c>
      <c r="U406" s="110">
        <f t="shared" si="245"/>
        <v>47571.44</v>
      </c>
      <c r="V406" s="121">
        <f t="shared" si="246"/>
        <v>39976</v>
      </c>
      <c r="W406" s="122">
        <f t="shared" si="247"/>
        <v>47571.44</v>
      </c>
      <c r="X406" s="108"/>
      <c r="Y406" s="121">
        <f t="shared" si="248"/>
        <v>0</v>
      </c>
      <c r="Z406" s="121">
        <f t="shared" si="249"/>
        <v>0</v>
      </c>
      <c r="AA406" s="121">
        <f t="shared" si="250"/>
        <v>0</v>
      </c>
      <c r="AB406" s="124">
        <f t="shared" si="251"/>
        <v>0</v>
      </c>
      <c r="AC406" s="126">
        <f t="shared" si="241"/>
        <v>37981</v>
      </c>
      <c r="AD406" s="101">
        <f t="shared" si="255"/>
        <v>28485</v>
      </c>
      <c r="AE406" s="127">
        <f t="shared" si="242"/>
        <v>1417.2565665033578</v>
      </c>
      <c r="AF406" s="128">
        <f t="shared" si="252"/>
        <v>3.7314882875736761E-2</v>
      </c>
      <c r="AG406" s="129">
        <f t="shared" si="243"/>
        <v>37146</v>
      </c>
      <c r="AH406" s="101">
        <f t="shared" si="256"/>
        <v>36983</v>
      </c>
      <c r="AI406" s="130">
        <f t="shared" si="253"/>
        <v>1417.2565665033578</v>
      </c>
      <c r="AJ406" s="159">
        <f t="shared" si="254"/>
        <v>3.8153679171468204E-2</v>
      </c>
      <c r="AK406" s="290" t="s">
        <v>1034</v>
      </c>
      <c r="AL406" s="291"/>
      <c r="AM406" s="292"/>
      <c r="AN406" s="160"/>
    </row>
    <row r="407" spans="1:40" ht="38.25" thickBot="1" x14ac:dyDescent="0.3">
      <c r="A407" s="84">
        <f t="shared" si="232"/>
        <v>3</v>
      </c>
      <c r="B407" s="198">
        <v>402</v>
      </c>
      <c r="C407" s="51" t="s">
        <v>845</v>
      </c>
      <c r="D407" s="205" t="s">
        <v>1048</v>
      </c>
      <c r="E407" s="60" t="s">
        <v>850</v>
      </c>
      <c r="F407" s="17">
        <v>1</v>
      </c>
      <c r="G407" s="17"/>
      <c r="H407" s="89" t="s">
        <v>1050</v>
      </c>
      <c r="I407" s="126">
        <v>42080</v>
      </c>
      <c r="J407" s="121">
        <f t="shared" si="233"/>
        <v>7995.2</v>
      </c>
      <c r="K407" s="130">
        <f t="shared" si="234"/>
        <v>50075.199999999997</v>
      </c>
      <c r="L407" s="121">
        <f t="shared" si="235"/>
        <v>42080</v>
      </c>
      <c r="M407" s="122">
        <f t="shared" si="236"/>
        <v>50075.199999999997</v>
      </c>
      <c r="N407" s="123">
        <v>44009.368000000002</v>
      </c>
      <c r="O407" s="121">
        <f t="shared" si="237"/>
        <v>8361.7799200000009</v>
      </c>
      <c r="P407" s="110">
        <f t="shared" si="238"/>
        <v>52371.147920000003</v>
      </c>
      <c r="Q407" s="121">
        <f t="shared" si="239"/>
        <v>44009.368000000002</v>
      </c>
      <c r="R407" s="124">
        <f t="shared" si="240"/>
        <v>52371.147920000003</v>
      </c>
      <c r="S407" s="125">
        <v>44184</v>
      </c>
      <c r="T407" s="121">
        <f t="shared" si="244"/>
        <v>8394.9600000000009</v>
      </c>
      <c r="U407" s="110">
        <f t="shared" si="245"/>
        <v>52578.96</v>
      </c>
      <c r="V407" s="121">
        <f t="shared" si="246"/>
        <v>44184</v>
      </c>
      <c r="W407" s="122">
        <f t="shared" si="247"/>
        <v>52578.96</v>
      </c>
      <c r="X407" s="108"/>
      <c r="Y407" s="121">
        <f t="shared" si="248"/>
        <v>0</v>
      </c>
      <c r="Z407" s="121">
        <f t="shared" si="249"/>
        <v>0</v>
      </c>
      <c r="AA407" s="121">
        <f t="shared" si="250"/>
        <v>0</v>
      </c>
      <c r="AB407" s="124">
        <f t="shared" si="251"/>
        <v>0</v>
      </c>
      <c r="AC407" s="126">
        <f t="shared" si="241"/>
        <v>43424</v>
      </c>
      <c r="AD407" s="101">
        <f t="shared" si="255"/>
        <v>32568</v>
      </c>
      <c r="AE407" s="127">
        <f t="shared" si="242"/>
        <v>953.34342738525629</v>
      </c>
      <c r="AF407" s="128">
        <f t="shared" si="252"/>
        <v>2.1954297793507192E-2</v>
      </c>
      <c r="AG407" s="129">
        <f t="shared" si="243"/>
        <v>44009</v>
      </c>
      <c r="AH407" s="101">
        <f t="shared" si="256"/>
        <v>43045</v>
      </c>
      <c r="AI407" s="130">
        <f t="shared" si="253"/>
        <v>953.34342738525629</v>
      </c>
      <c r="AJ407" s="159">
        <f t="shared" si="254"/>
        <v>2.1662465118163474E-2</v>
      </c>
      <c r="AK407" s="290" t="s">
        <v>1034</v>
      </c>
      <c r="AL407" s="291"/>
      <c r="AM407" s="292"/>
      <c r="AN407" s="160"/>
    </row>
    <row r="408" spans="1:40" ht="38.25" thickBot="1" x14ac:dyDescent="0.3">
      <c r="A408" s="84">
        <f t="shared" si="232"/>
        <v>3</v>
      </c>
      <c r="B408" s="198">
        <v>403</v>
      </c>
      <c r="C408" s="51" t="s">
        <v>845</v>
      </c>
      <c r="D408" s="205" t="s">
        <v>1048</v>
      </c>
      <c r="E408" s="60" t="s">
        <v>851</v>
      </c>
      <c r="F408" s="17">
        <v>1</v>
      </c>
      <c r="G408" s="17"/>
      <c r="H408" s="89" t="s">
        <v>1050</v>
      </c>
      <c r="I408" s="126">
        <v>42080</v>
      </c>
      <c r="J408" s="121">
        <f t="shared" si="233"/>
        <v>7995.2</v>
      </c>
      <c r="K408" s="130">
        <f t="shared" si="234"/>
        <v>50075.199999999997</v>
      </c>
      <c r="L408" s="121">
        <f t="shared" si="235"/>
        <v>42080</v>
      </c>
      <c r="M408" s="122">
        <f t="shared" si="236"/>
        <v>50075.199999999997</v>
      </c>
      <c r="N408" s="123">
        <v>43542.28</v>
      </c>
      <c r="O408" s="121">
        <f t="shared" si="237"/>
        <v>8273.0331999999999</v>
      </c>
      <c r="P408" s="110">
        <f t="shared" si="238"/>
        <v>51815.313199999997</v>
      </c>
      <c r="Q408" s="121">
        <f t="shared" si="239"/>
        <v>43542.28</v>
      </c>
      <c r="R408" s="124">
        <f t="shared" si="240"/>
        <v>51815.313199999997</v>
      </c>
      <c r="S408" s="125">
        <v>46288</v>
      </c>
      <c r="T408" s="121">
        <f t="shared" si="244"/>
        <v>8794.7199999999993</v>
      </c>
      <c r="U408" s="110">
        <f t="shared" si="245"/>
        <v>55082.720000000001</v>
      </c>
      <c r="V408" s="121">
        <f t="shared" si="246"/>
        <v>46288</v>
      </c>
      <c r="W408" s="122">
        <f t="shared" si="247"/>
        <v>55082.720000000001</v>
      </c>
      <c r="X408" s="108"/>
      <c r="Y408" s="121">
        <f t="shared" si="248"/>
        <v>0</v>
      </c>
      <c r="Z408" s="121">
        <f t="shared" si="249"/>
        <v>0</v>
      </c>
      <c r="AA408" s="121">
        <f t="shared" si="250"/>
        <v>0</v>
      </c>
      <c r="AB408" s="124">
        <f t="shared" si="251"/>
        <v>0</v>
      </c>
      <c r="AC408" s="126">
        <f t="shared" si="241"/>
        <v>43970</v>
      </c>
      <c r="AD408" s="101">
        <f t="shared" si="255"/>
        <v>32978</v>
      </c>
      <c r="AE408" s="127">
        <f t="shared" si="242"/>
        <v>1744.3402164588065</v>
      </c>
      <c r="AF408" s="128">
        <f t="shared" si="252"/>
        <v>3.967114433611113E-2</v>
      </c>
      <c r="AG408" s="129">
        <f t="shared" si="243"/>
        <v>43542</v>
      </c>
      <c r="AH408" s="101">
        <f t="shared" si="256"/>
        <v>42811</v>
      </c>
      <c r="AI408" s="130">
        <f t="shared" si="253"/>
        <v>1744.3402164588065</v>
      </c>
      <c r="AJ408" s="159">
        <f t="shared" si="254"/>
        <v>4.0061095412677564E-2</v>
      </c>
      <c r="AK408" s="290" t="s">
        <v>1034</v>
      </c>
      <c r="AL408" s="291"/>
      <c r="AM408" s="292"/>
      <c r="AN408" s="160"/>
    </row>
    <row r="409" spans="1:40" ht="38.25" thickBot="1" x14ac:dyDescent="0.3">
      <c r="A409" s="84">
        <f t="shared" si="232"/>
        <v>3</v>
      </c>
      <c r="B409" s="198">
        <v>404</v>
      </c>
      <c r="C409" s="51" t="s">
        <v>845</v>
      </c>
      <c r="D409" s="205" t="s">
        <v>1048</v>
      </c>
      <c r="E409" s="60" t="s">
        <v>852</v>
      </c>
      <c r="F409" s="17">
        <v>1</v>
      </c>
      <c r="G409" s="17"/>
      <c r="H409" s="89" t="s">
        <v>1050</v>
      </c>
      <c r="I409" s="126">
        <v>23144</v>
      </c>
      <c r="J409" s="121">
        <f t="shared" si="233"/>
        <v>4397.3599999999997</v>
      </c>
      <c r="K409" s="130">
        <f t="shared" si="234"/>
        <v>27541.360000000001</v>
      </c>
      <c r="L409" s="121">
        <f t="shared" si="235"/>
        <v>23144</v>
      </c>
      <c r="M409" s="122">
        <f t="shared" si="236"/>
        <v>27541.360000000001</v>
      </c>
      <c r="N409" s="123">
        <v>25353.200000000001</v>
      </c>
      <c r="O409" s="121">
        <f t="shared" si="237"/>
        <v>4817.1080000000002</v>
      </c>
      <c r="P409" s="110">
        <f t="shared" si="238"/>
        <v>30170.308000000001</v>
      </c>
      <c r="Q409" s="121">
        <f t="shared" si="239"/>
        <v>25353.200000000001</v>
      </c>
      <c r="R409" s="124">
        <f t="shared" si="240"/>
        <v>30170.308000000001</v>
      </c>
      <c r="S409" s="125">
        <v>26300</v>
      </c>
      <c r="T409" s="121">
        <f t="shared" si="244"/>
        <v>4997</v>
      </c>
      <c r="U409" s="110">
        <f t="shared" si="245"/>
        <v>31297</v>
      </c>
      <c r="V409" s="121">
        <f t="shared" si="246"/>
        <v>26300</v>
      </c>
      <c r="W409" s="122">
        <f t="shared" si="247"/>
        <v>31297</v>
      </c>
      <c r="X409" s="108"/>
      <c r="Y409" s="121">
        <f t="shared" si="248"/>
        <v>0</v>
      </c>
      <c r="Z409" s="121">
        <f t="shared" si="249"/>
        <v>0</v>
      </c>
      <c r="AA409" s="121">
        <f t="shared" si="250"/>
        <v>0</v>
      </c>
      <c r="AB409" s="124">
        <f t="shared" si="251"/>
        <v>0</v>
      </c>
      <c r="AC409" s="126">
        <f t="shared" si="241"/>
        <v>24932</v>
      </c>
      <c r="AD409" s="101">
        <f t="shared" si="255"/>
        <v>18699</v>
      </c>
      <c r="AE409" s="127">
        <f t="shared" si="242"/>
        <v>1322.3434954655315</v>
      </c>
      <c r="AF409" s="128">
        <f t="shared" si="252"/>
        <v>5.303800318729069E-2</v>
      </c>
      <c r="AG409" s="129">
        <f t="shared" si="243"/>
        <v>25353</v>
      </c>
      <c r="AH409" s="101">
        <f t="shared" si="256"/>
        <v>24249</v>
      </c>
      <c r="AI409" s="130">
        <f t="shared" si="253"/>
        <v>1322.3434954655315</v>
      </c>
      <c r="AJ409" s="159">
        <f t="shared" si="254"/>
        <v>5.215727903859628E-2</v>
      </c>
      <c r="AK409" s="290" t="s">
        <v>1034</v>
      </c>
      <c r="AL409" s="291"/>
      <c r="AM409" s="292"/>
      <c r="AN409" s="160"/>
    </row>
    <row r="410" spans="1:40" ht="38.25" thickBot="1" x14ac:dyDescent="0.3">
      <c r="A410" s="84">
        <f t="shared" si="232"/>
        <v>3</v>
      </c>
      <c r="B410" s="198">
        <v>405</v>
      </c>
      <c r="C410" s="51" t="s">
        <v>845</v>
      </c>
      <c r="D410" s="205" t="s">
        <v>1048</v>
      </c>
      <c r="E410" s="60" t="s">
        <v>853</v>
      </c>
      <c r="F410" s="17">
        <v>1</v>
      </c>
      <c r="G410" s="17"/>
      <c r="H410" s="89" t="s">
        <v>1050</v>
      </c>
      <c r="I410" s="126">
        <v>41028</v>
      </c>
      <c r="J410" s="121">
        <f t="shared" si="233"/>
        <v>7795.32</v>
      </c>
      <c r="K410" s="130">
        <f t="shared" si="234"/>
        <v>48823.32</v>
      </c>
      <c r="L410" s="121">
        <f t="shared" si="235"/>
        <v>41028</v>
      </c>
      <c r="M410" s="122">
        <f t="shared" si="236"/>
        <v>48823.32</v>
      </c>
      <c r="N410" s="123">
        <v>41445.644</v>
      </c>
      <c r="O410" s="121">
        <f t="shared" si="237"/>
        <v>7874.6723600000005</v>
      </c>
      <c r="P410" s="110">
        <f t="shared" si="238"/>
        <v>49320.316359999997</v>
      </c>
      <c r="Q410" s="121">
        <f t="shared" si="239"/>
        <v>41445.644</v>
      </c>
      <c r="R410" s="124">
        <f t="shared" si="240"/>
        <v>49320.316359999997</v>
      </c>
      <c r="S410" s="125">
        <v>43132</v>
      </c>
      <c r="T410" s="121">
        <f t="shared" si="244"/>
        <v>8195.08</v>
      </c>
      <c r="U410" s="110">
        <f t="shared" si="245"/>
        <v>51327.08</v>
      </c>
      <c r="V410" s="121">
        <f t="shared" si="246"/>
        <v>43132</v>
      </c>
      <c r="W410" s="122">
        <f t="shared" si="247"/>
        <v>51327.08</v>
      </c>
      <c r="X410" s="108"/>
      <c r="Y410" s="121">
        <f t="shared" si="248"/>
        <v>0</v>
      </c>
      <c r="Z410" s="121">
        <f t="shared" si="249"/>
        <v>0</v>
      </c>
      <c r="AA410" s="121">
        <f t="shared" si="250"/>
        <v>0</v>
      </c>
      <c r="AB410" s="124">
        <f t="shared" si="251"/>
        <v>0</v>
      </c>
      <c r="AC410" s="126">
        <f t="shared" si="241"/>
        <v>41869</v>
      </c>
      <c r="AD410" s="101">
        <f t="shared" si="255"/>
        <v>31401</v>
      </c>
      <c r="AE410" s="127">
        <f t="shared" si="242"/>
        <v>909.51996309848346</v>
      </c>
      <c r="AF410" s="128">
        <f t="shared" si="252"/>
        <v>2.1722992263929958E-2</v>
      </c>
      <c r="AG410" s="129">
        <f t="shared" si="243"/>
        <v>41446</v>
      </c>
      <c r="AH410" s="101">
        <f t="shared" si="256"/>
        <v>41237</v>
      </c>
      <c r="AI410" s="130">
        <f t="shared" si="253"/>
        <v>909.51996309848346</v>
      </c>
      <c r="AJ410" s="159">
        <f t="shared" si="254"/>
        <v>2.1944698236222637E-2</v>
      </c>
      <c r="AK410" s="290" t="s">
        <v>1034</v>
      </c>
      <c r="AL410" s="291"/>
      <c r="AM410" s="292"/>
      <c r="AN410" s="160"/>
    </row>
    <row r="411" spans="1:40" ht="38.25" thickBot="1" x14ac:dyDescent="0.3">
      <c r="A411" s="84">
        <f t="shared" si="232"/>
        <v>3</v>
      </c>
      <c r="B411" s="198">
        <v>406</v>
      </c>
      <c r="C411" s="51" t="s">
        <v>845</v>
      </c>
      <c r="D411" s="205" t="s">
        <v>1048</v>
      </c>
      <c r="E411" s="60" t="s">
        <v>854</v>
      </c>
      <c r="F411" s="17">
        <v>1</v>
      </c>
      <c r="G411" s="17"/>
      <c r="H411" s="89" t="s">
        <v>1050</v>
      </c>
      <c r="I411" s="126">
        <v>22092</v>
      </c>
      <c r="J411" s="121">
        <f t="shared" si="233"/>
        <v>4197.4800000000005</v>
      </c>
      <c r="K411" s="130">
        <f t="shared" si="234"/>
        <v>26289.48</v>
      </c>
      <c r="L411" s="121">
        <f t="shared" si="235"/>
        <v>22092</v>
      </c>
      <c r="M411" s="122">
        <f t="shared" si="236"/>
        <v>26289.48</v>
      </c>
      <c r="N411" s="123">
        <v>23798.344000000001</v>
      </c>
      <c r="O411" s="121">
        <f t="shared" si="237"/>
        <v>4521.6853600000004</v>
      </c>
      <c r="P411" s="110">
        <f t="shared" si="238"/>
        <v>28320.02936</v>
      </c>
      <c r="Q411" s="121">
        <f t="shared" si="239"/>
        <v>23798.344000000001</v>
      </c>
      <c r="R411" s="124">
        <f t="shared" si="240"/>
        <v>28320.02936</v>
      </c>
      <c r="S411" s="125">
        <v>25248</v>
      </c>
      <c r="T411" s="121">
        <f t="shared" si="244"/>
        <v>4797.12</v>
      </c>
      <c r="U411" s="110">
        <f t="shared" si="245"/>
        <v>30045.119999999999</v>
      </c>
      <c r="V411" s="121">
        <f t="shared" si="246"/>
        <v>25248</v>
      </c>
      <c r="W411" s="122">
        <f t="shared" si="247"/>
        <v>30045.119999999999</v>
      </c>
      <c r="X411" s="108"/>
      <c r="Y411" s="121">
        <f t="shared" si="248"/>
        <v>0</v>
      </c>
      <c r="Z411" s="121">
        <f t="shared" si="249"/>
        <v>0</v>
      </c>
      <c r="AA411" s="121">
        <f t="shared" si="250"/>
        <v>0</v>
      </c>
      <c r="AB411" s="124">
        <f t="shared" si="251"/>
        <v>0</v>
      </c>
      <c r="AC411" s="126">
        <f t="shared" si="241"/>
        <v>23713</v>
      </c>
      <c r="AD411" s="101">
        <f t="shared" si="255"/>
        <v>17785</v>
      </c>
      <c r="AE411" s="127">
        <f t="shared" si="242"/>
        <v>1289.8513421955088</v>
      </c>
      <c r="AF411" s="128">
        <f t="shared" si="252"/>
        <v>5.4394270745814904E-2</v>
      </c>
      <c r="AG411" s="129">
        <f t="shared" si="243"/>
        <v>23798</v>
      </c>
      <c r="AH411" s="101">
        <f t="shared" si="256"/>
        <v>22945</v>
      </c>
      <c r="AI411" s="130">
        <f t="shared" si="253"/>
        <v>1289.8513421955088</v>
      </c>
      <c r="AJ411" s="159">
        <f t="shared" si="254"/>
        <v>5.4199989166968179E-2</v>
      </c>
      <c r="AK411" s="290" t="s">
        <v>1034</v>
      </c>
      <c r="AL411" s="291"/>
      <c r="AM411" s="292"/>
      <c r="AN411" s="160"/>
    </row>
    <row r="412" spans="1:40" ht="38.25" thickBot="1" x14ac:dyDescent="0.3">
      <c r="A412" s="84">
        <f t="shared" si="232"/>
        <v>3</v>
      </c>
      <c r="B412" s="198">
        <v>407</v>
      </c>
      <c r="C412" s="51" t="s">
        <v>845</v>
      </c>
      <c r="D412" s="205" t="s">
        <v>1048</v>
      </c>
      <c r="E412" s="60" t="s">
        <v>855</v>
      </c>
      <c r="F412" s="17">
        <v>1</v>
      </c>
      <c r="G412" s="17"/>
      <c r="H412" s="89" t="s">
        <v>1050</v>
      </c>
      <c r="I412" s="126">
        <v>22092</v>
      </c>
      <c r="J412" s="121">
        <f t="shared" si="233"/>
        <v>4197.4800000000005</v>
      </c>
      <c r="K412" s="130">
        <f t="shared" si="234"/>
        <v>26289.48</v>
      </c>
      <c r="L412" s="121">
        <f t="shared" si="235"/>
        <v>22092</v>
      </c>
      <c r="M412" s="122">
        <f t="shared" si="236"/>
        <v>26289.48</v>
      </c>
      <c r="N412" s="123">
        <v>24162.335999999999</v>
      </c>
      <c r="O412" s="121">
        <f t="shared" si="237"/>
        <v>4590.8438399999995</v>
      </c>
      <c r="P412" s="110">
        <f t="shared" si="238"/>
        <v>28753.179839999997</v>
      </c>
      <c r="Q412" s="121">
        <f t="shared" si="239"/>
        <v>24162.335999999999</v>
      </c>
      <c r="R412" s="124">
        <f t="shared" si="240"/>
        <v>28753.179839999997</v>
      </c>
      <c r="S412" s="125">
        <v>25248</v>
      </c>
      <c r="T412" s="121">
        <f t="shared" si="244"/>
        <v>4797.12</v>
      </c>
      <c r="U412" s="110">
        <f t="shared" si="245"/>
        <v>30045.119999999999</v>
      </c>
      <c r="V412" s="121">
        <f t="shared" si="246"/>
        <v>25248</v>
      </c>
      <c r="W412" s="122">
        <f t="shared" si="247"/>
        <v>30045.119999999999</v>
      </c>
      <c r="X412" s="108"/>
      <c r="Y412" s="121">
        <f t="shared" si="248"/>
        <v>0</v>
      </c>
      <c r="Z412" s="121">
        <f t="shared" si="249"/>
        <v>0</v>
      </c>
      <c r="AA412" s="121">
        <f t="shared" si="250"/>
        <v>0</v>
      </c>
      <c r="AB412" s="124">
        <f t="shared" si="251"/>
        <v>0</v>
      </c>
      <c r="AC412" s="126">
        <f t="shared" si="241"/>
        <v>23834</v>
      </c>
      <c r="AD412" s="101">
        <f t="shared" si="255"/>
        <v>17876</v>
      </c>
      <c r="AE412" s="127">
        <f t="shared" si="242"/>
        <v>1309.1682462876954</v>
      </c>
      <c r="AF412" s="128">
        <f t="shared" si="252"/>
        <v>5.4928599743546844E-2</v>
      </c>
      <c r="AG412" s="129">
        <f t="shared" si="243"/>
        <v>24162</v>
      </c>
      <c r="AH412" s="101">
        <f t="shared" si="256"/>
        <v>23127</v>
      </c>
      <c r="AI412" s="130">
        <f t="shared" si="253"/>
        <v>1309.1682462876954</v>
      </c>
      <c r="AJ412" s="159">
        <f t="shared" si="254"/>
        <v>5.4182942069683611E-2</v>
      </c>
      <c r="AK412" s="290" t="s">
        <v>1034</v>
      </c>
      <c r="AL412" s="291"/>
      <c r="AM412" s="292"/>
      <c r="AN412" s="160"/>
    </row>
    <row r="413" spans="1:40" ht="38.25" thickBot="1" x14ac:dyDescent="0.3">
      <c r="A413" s="84">
        <f t="shared" si="232"/>
        <v>3</v>
      </c>
      <c r="B413" s="198">
        <v>408</v>
      </c>
      <c r="C413" s="51" t="s">
        <v>845</v>
      </c>
      <c r="D413" s="205" t="s">
        <v>1048</v>
      </c>
      <c r="E413" s="60" t="s">
        <v>856</v>
      </c>
      <c r="F413" s="17">
        <v>1</v>
      </c>
      <c r="G413" s="17"/>
      <c r="H413" s="89" t="s">
        <v>1050</v>
      </c>
      <c r="I413" s="126">
        <v>28404</v>
      </c>
      <c r="J413" s="121">
        <f t="shared" si="233"/>
        <v>5396.76</v>
      </c>
      <c r="K413" s="130">
        <f t="shared" si="234"/>
        <v>33800.76</v>
      </c>
      <c r="L413" s="121">
        <f t="shared" si="235"/>
        <v>28404</v>
      </c>
      <c r="M413" s="122">
        <f t="shared" si="236"/>
        <v>33800.76</v>
      </c>
      <c r="N413" s="123">
        <v>30567.964</v>
      </c>
      <c r="O413" s="121">
        <f t="shared" si="237"/>
        <v>5807.9131600000001</v>
      </c>
      <c r="P413" s="110">
        <f t="shared" si="238"/>
        <v>36375.877160000004</v>
      </c>
      <c r="Q413" s="121">
        <f t="shared" si="239"/>
        <v>30567.964</v>
      </c>
      <c r="R413" s="124">
        <f t="shared" si="240"/>
        <v>36375.877160000004</v>
      </c>
      <c r="S413" s="125">
        <v>32612</v>
      </c>
      <c r="T413" s="121">
        <f t="shared" si="244"/>
        <v>6196.28</v>
      </c>
      <c r="U413" s="110">
        <f t="shared" si="245"/>
        <v>38808.28</v>
      </c>
      <c r="V413" s="121">
        <f t="shared" si="246"/>
        <v>32612</v>
      </c>
      <c r="W413" s="122">
        <f t="shared" si="247"/>
        <v>38808.28</v>
      </c>
      <c r="X413" s="108"/>
      <c r="Y413" s="121">
        <f t="shared" si="248"/>
        <v>0</v>
      </c>
      <c r="Z413" s="121">
        <f t="shared" si="249"/>
        <v>0</v>
      </c>
      <c r="AA413" s="121">
        <f t="shared" si="250"/>
        <v>0</v>
      </c>
      <c r="AB413" s="124">
        <f t="shared" si="251"/>
        <v>0</v>
      </c>
      <c r="AC413" s="126">
        <f t="shared" si="241"/>
        <v>30528</v>
      </c>
      <c r="AD413" s="101">
        <f t="shared" si="255"/>
        <v>22896</v>
      </c>
      <c r="AE413" s="127">
        <f t="shared" si="242"/>
        <v>1718.1413524371815</v>
      </c>
      <c r="AF413" s="128">
        <f t="shared" si="252"/>
        <v>5.6280835706144568E-2</v>
      </c>
      <c r="AG413" s="129">
        <f t="shared" si="243"/>
        <v>30568</v>
      </c>
      <c r="AH413" s="101">
        <f t="shared" si="256"/>
        <v>29486</v>
      </c>
      <c r="AI413" s="130">
        <f t="shared" si="253"/>
        <v>1718.1413524371815</v>
      </c>
      <c r="AJ413" s="159">
        <f t="shared" si="254"/>
        <v>5.6207188970072673E-2</v>
      </c>
      <c r="AK413" s="290" t="s">
        <v>1034</v>
      </c>
      <c r="AL413" s="291"/>
      <c r="AM413" s="292"/>
      <c r="AN413" s="160"/>
    </row>
    <row r="414" spans="1:40" ht="38.25" thickBot="1" x14ac:dyDescent="0.3">
      <c r="A414" s="84">
        <f t="shared" si="232"/>
        <v>3</v>
      </c>
      <c r="B414" s="198">
        <v>409</v>
      </c>
      <c r="C414" s="51" t="s">
        <v>845</v>
      </c>
      <c r="D414" s="205" t="s">
        <v>1048</v>
      </c>
      <c r="E414" s="60" t="s">
        <v>857</v>
      </c>
      <c r="F414" s="17">
        <v>1</v>
      </c>
      <c r="G414" s="17"/>
      <c r="H414" s="89" t="s">
        <v>1050</v>
      </c>
      <c r="I414" s="126">
        <v>30508</v>
      </c>
      <c r="J414" s="121">
        <f t="shared" si="233"/>
        <v>5796.52</v>
      </c>
      <c r="K414" s="130">
        <f t="shared" si="234"/>
        <v>36304.520000000004</v>
      </c>
      <c r="L414" s="121">
        <f t="shared" si="235"/>
        <v>30508</v>
      </c>
      <c r="M414" s="122">
        <f t="shared" si="236"/>
        <v>36304.520000000004</v>
      </c>
      <c r="N414" s="123">
        <v>33487.79</v>
      </c>
      <c r="O414" s="121">
        <f t="shared" si="237"/>
        <v>6362.6801000000005</v>
      </c>
      <c r="P414" s="110">
        <f t="shared" si="238"/>
        <v>39850.470099999999</v>
      </c>
      <c r="Q414" s="121">
        <f t="shared" si="239"/>
        <v>33487.79</v>
      </c>
      <c r="R414" s="124">
        <f t="shared" si="240"/>
        <v>39850.470099999999</v>
      </c>
      <c r="S414" s="125">
        <v>33664</v>
      </c>
      <c r="T414" s="121">
        <f t="shared" ref="T414:T445" si="257">S414*0.19</f>
        <v>6396.16</v>
      </c>
      <c r="U414" s="110">
        <f t="shared" ref="U414:U445" si="258">S414+T414</f>
        <v>40060.160000000003</v>
      </c>
      <c r="V414" s="121">
        <f t="shared" ref="V414:V445" si="259">S414*F414</f>
        <v>33664</v>
      </c>
      <c r="W414" s="122">
        <f t="shared" ref="W414:W445" si="260">U414*F414</f>
        <v>40060.160000000003</v>
      </c>
      <c r="X414" s="108"/>
      <c r="Y414" s="121">
        <f t="shared" ref="Y414:Y445" si="261">X414*0.19</f>
        <v>0</v>
      </c>
      <c r="Z414" s="121">
        <f t="shared" ref="Z414:Z445" si="262">X414+Y414</f>
        <v>0</v>
      </c>
      <c r="AA414" s="121">
        <f t="shared" ref="AA414:AA445" si="263">X414*F414</f>
        <v>0</v>
      </c>
      <c r="AB414" s="124">
        <f t="shared" ref="AB414:AB445" si="264">Z414*F414</f>
        <v>0</v>
      </c>
      <c r="AC414" s="126">
        <f t="shared" si="241"/>
        <v>32553</v>
      </c>
      <c r="AD414" s="101">
        <f t="shared" si="255"/>
        <v>24415</v>
      </c>
      <c r="AE414" s="127">
        <f t="shared" si="242"/>
        <v>1448.0076123265223</v>
      </c>
      <c r="AF414" s="128">
        <f t="shared" ref="AF414:AF445" si="265">AE414/AC414</f>
        <v>4.4481541250469152E-2</v>
      </c>
      <c r="AG414" s="129">
        <f t="shared" si="243"/>
        <v>33488</v>
      </c>
      <c r="AH414" s="101">
        <f t="shared" si="256"/>
        <v>31998</v>
      </c>
      <c r="AI414" s="130">
        <f t="shared" ref="AI414:AI445" si="266">AE414</f>
        <v>1448.0076123265223</v>
      </c>
      <c r="AJ414" s="159">
        <f t="shared" ref="AJ414:AJ445" si="267">AI414/AG414</f>
        <v>4.323959664137967E-2</v>
      </c>
      <c r="AK414" s="290" t="s">
        <v>1034</v>
      </c>
      <c r="AL414" s="291"/>
      <c r="AM414" s="292"/>
      <c r="AN414" s="160"/>
    </row>
    <row r="415" spans="1:40" ht="38.25" thickBot="1" x14ac:dyDescent="0.3">
      <c r="A415" s="84">
        <f t="shared" si="232"/>
        <v>3</v>
      </c>
      <c r="B415" s="198">
        <v>410</v>
      </c>
      <c r="C415" s="51" t="s">
        <v>845</v>
      </c>
      <c r="D415" s="205" t="s">
        <v>1048</v>
      </c>
      <c r="E415" s="60" t="s">
        <v>858</v>
      </c>
      <c r="F415" s="17">
        <v>1</v>
      </c>
      <c r="G415" s="17"/>
      <c r="H415" s="89" t="s">
        <v>1050</v>
      </c>
      <c r="I415" s="126">
        <v>32612</v>
      </c>
      <c r="J415" s="121">
        <f t="shared" si="233"/>
        <v>6196.28</v>
      </c>
      <c r="K415" s="130">
        <f t="shared" si="234"/>
        <v>38808.28</v>
      </c>
      <c r="L415" s="121">
        <f t="shared" si="235"/>
        <v>32612</v>
      </c>
      <c r="M415" s="122">
        <f t="shared" si="236"/>
        <v>38808.28</v>
      </c>
      <c r="N415" s="123">
        <v>34444.058000000005</v>
      </c>
      <c r="O415" s="121">
        <f t="shared" si="237"/>
        <v>6544.3710200000005</v>
      </c>
      <c r="P415" s="110">
        <f t="shared" si="238"/>
        <v>40988.429020000003</v>
      </c>
      <c r="Q415" s="121">
        <f t="shared" si="239"/>
        <v>34444.058000000005</v>
      </c>
      <c r="R415" s="124">
        <f t="shared" si="240"/>
        <v>40988.429020000003</v>
      </c>
      <c r="S415" s="125">
        <v>35768</v>
      </c>
      <c r="T415" s="121">
        <f t="shared" si="257"/>
        <v>6795.92</v>
      </c>
      <c r="U415" s="110">
        <f t="shared" si="258"/>
        <v>42563.92</v>
      </c>
      <c r="V415" s="121">
        <f t="shared" si="259"/>
        <v>35768</v>
      </c>
      <c r="W415" s="122">
        <f t="shared" si="260"/>
        <v>42563.92</v>
      </c>
      <c r="X415" s="108"/>
      <c r="Y415" s="121">
        <f t="shared" si="261"/>
        <v>0</v>
      </c>
      <c r="Z415" s="121">
        <f t="shared" si="262"/>
        <v>0</v>
      </c>
      <c r="AA415" s="121">
        <f t="shared" si="263"/>
        <v>0</v>
      </c>
      <c r="AB415" s="124">
        <f t="shared" si="264"/>
        <v>0</v>
      </c>
      <c r="AC415" s="126">
        <f t="shared" si="241"/>
        <v>34275</v>
      </c>
      <c r="AD415" s="101">
        <f t="shared" si="255"/>
        <v>25706</v>
      </c>
      <c r="AE415" s="127">
        <f t="shared" si="242"/>
        <v>1293.9858720990737</v>
      </c>
      <c r="AF415" s="128">
        <f t="shared" si="265"/>
        <v>3.7753052431774577E-2</v>
      </c>
      <c r="AG415" s="129">
        <f t="shared" si="243"/>
        <v>34444</v>
      </c>
      <c r="AH415" s="101">
        <f t="shared" si="256"/>
        <v>33528</v>
      </c>
      <c r="AI415" s="130">
        <f t="shared" si="266"/>
        <v>1293.9858720990737</v>
      </c>
      <c r="AJ415" s="159">
        <f t="shared" si="267"/>
        <v>3.7567816516637841E-2</v>
      </c>
      <c r="AK415" s="290" t="s">
        <v>1034</v>
      </c>
      <c r="AL415" s="291"/>
      <c r="AM415" s="292"/>
      <c r="AN415" s="160"/>
    </row>
    <row r="416" spans="1:40" ht="38.25" thickBot="1" x14ac:dyDescent="0.3">
      <c r="A416" s="84">
        <f t="shared" si="232"/>
        <v>3</v>
      </c>
      <c r="B416" s="198">
        <v>411</v>
      </c>
      <c r="C416" s="51" t="s">
        <v>845</v>
      </c>
      <c r="D416" s="205" t="s">
        <v>1048</v>
      </c>
      <c r="E416" s="60" t="s">
        <v>859</v>
      </c>
      <c r="F416" s="17">
        <v>1</v>
      </c>
      <c r="G416" s="17"/>
      <c r="H416" s="89" t="s">
        <v>1050</v>
      </c>
      <c r="I416" s="126">
        <v>34716</v>
      </c>
      <c r="J416" s="121">
        <f t="shared" si="233"/>
        <v>6596.04</v>
      </c>
      <c r="K416" s="130">
        <f t="shared" si="234"/>
        <v>41312.04</v>
      </c>
      <c r="L416" s="121">
        <f t="shared" si="235"/>
        <v>34716</v>
      </c>
      <c r="M416" s="122">
        <f t="shared" si="236"/>
        <v>41312.04</v>
      </c>
      <c r="N416" s="123">
        <v>37515.372000000003</v>
      </c>
      <c r="O416" s="121">
        <f t="shared" si="237"/>
        <v>7127.9206800000011</v>
      </c>
      <c r="P416" s="110">
        <f t="shared" si="238"/>
        <v>44643.292680000006</v>
      </c>
      <c r="Q416" s="121">
        <f t="shared" si="239"/>
        <v>37515.372000000003</v>
      </c>
      <c r="R416" s="124">
        <f t="shared" si="240"/>
        <v>44643.292680000006</v>
      </c>
      <c r="S416" s="125">
        <v>38924</v>
      </c>
      <c r="T416" s="121">
        <f t="shared" si="257"/>
        <v>7395.56</v>
      </c>
      <c r="U416" s="110">
        <f t="shared" si="258"/>
        <v>46319.56</v>
      </c>
      <c r="V416" s="121">
        <f t="shared" si="259"/>
        <v>38924</v>
      </c>
      <c r="W416" s="122">
        <f t="shared" si="260"/>
        <v>46319.56</v>
      </c>
      <c r="X416" s="108"/>
      <c r="Y416" s="121">
        <f t="shared" si="261"/>
        <v>0</v>
      </c>
      <c r="Z416" s="121">
        <f t="shared" si="262"/>
        <v>0</v>
      </c>
      <c r="AA416" s="121">
        <f t="shared" si="263"/>
        <v>0</v>
      </c>
      <c r="AB416" s="124">
        <f t="shared" si="264"/>
        <v>0</v>
      </c>
      <c r="AC416" s="126">
        <f t="shared" si="241"/>
        <v>37052</v>
      </c>
      <c r="AD416" s="101">
        <f t="shared" si="255"/>
        <v>27789</v>
      </c>
      <c r="AE416" s="127">
        <f t="shared" si="242"/>
        <v>1748.9037975183835</v>
      </c>
      <c r="AF416" s="128">
        <f t="shared" si="265"/>
        <v>4.7201333194385825E-2</v>
      </c>
      <c r="AG416" s="129">
        <f t="shared" si="243"/>
        <v>37515</v>
      </c>
      <c r="AH416" s="101">
        <f t="shared" si="256"/>
        <v>36116</v>
      </c>
      <c r="AI416" s="130">
        <f t="shared" si="266"/>
        <v>1748.9037975183835</v>
      </c>
      <c r="AJ416" s="159">
        <f t="shared" si="267"/>
        <v>4.6618787085655963E-2</v>
      </c>
      <c r="AK416" s="290" t="s">
        <v>1034</v>
      </c>
      <c r="AL416" s="291"/>
      <c r="AM416" s="292"/>
      <c r="AN416" s="160"/>
    </row>
    <row r="417" spans="1:40" ht="38.25" thickBot="1" x14ac:dyDescent="0.3">
      <c r="A417" s="84">
        <f t="shared" si="232"/>
        <v>3</v>
      </c>
      <c r="B417" s="198">
        <v>412</v>
      </c>
      <c r="C417" s="51" t="s">
        <v>845</v>
      </c>
      <c r="D417" s="205" t="s">
        <v>1048</v>
      </c>
      <c r="E417" s="60" t="s">
        <v>860</v>
      </c>
      <c r="F417" s="17">
        <v>1</v>
      </c>
      <c r="G417" s="17"/>
      <c r="H417" s="89" t="s">
        <v>1050</v>
      </c>
      <c r="I417" s="126">
        <v>41028</v>
      </c>
      <c r="J417" s="121">
        <f t="shared" si="233"/>
        <v>7795.32</v>
      </c>
      <c r="K417" s="130">
        <f t="shared" si="234"/>
        <v>48823.32</v>
      </c>
      <c r="L417" s="121">
        <f t="shared" si="235"/>
        <v>41028</v>
      </c>
      <c r="M417" s="122">
        <f t="shared" si="236"/>
        <v>48823.32</v>
      </c>
      <c r="N417" s="123">
        <v>43338.718000000001</v>
      </c>
      <c r="O417" s="121">
        <f t="shared" si="237"/>
        <v>8234.3564200000001</v>
      </c>
      <c r="P417" s="110">
        <f t="shared" si="238"/>
        <v>51573.074420000004</v>
      </c>
      <c r="Q417" s="121">
        <f t="shared" si="239"/>
        <v>43338.718000000001</v>
      </c>
      <c r="R417" s="124">
        <f t="shared" si="240"/>
        <v>51573.074420000004</v>
      </c>
      <c r="S417" s="125">
        <v>43132</v>
      </c>
      <c r="T417" s="121">
        <f t="shared" si="257"/>
        <v>8195.08</v>
      </c>
      <c r="U417" s="110">
        <f t="shared" si="258"/>
        <v>51327.08</v>
      </c>
      <c r="V417" s="121">
        <f t="shared" si="259"/>
        <v>43132</v>
      </c>
      <c r="W417" s="122">
        <f t="shared" si="260"/>
        <v>51327.08</v>
      </c>
      <c r="X417" s="108"/>
      <c r="Y417" s="121">
        <f t="shared" si="261"/>
        <v>0</v>
      </c>
      <c r="Z417" s="121">
        <f t="shared" si="262"/>
        <v>0</v>
      </c>
      <c r="AA417" s="121">
        <f t="shared" si="263"/>
        <v>0</v>
      </c>
      <c r="AB417" s="124">
        <f t="shared" si="264"/>
        <v>0</v>
      </c>
      <c r="AC417" s="126">
        <f t="shared" si="241"/>
        <v>42500</v>
      </c>
      <c r="AD417" s="101">
        <f t="shared" si="255"/>
        <v>31875</v>
      </c>
      <c r="AE417" s="127">
        <f t="shared" si="242"/>
        <v>1043.975628017351</v>
      </c>
      <c r="AF417" s="128">
        <f t="shared" si="265"/>
        <v>2.4564132423937672E-2</v>
      </c>
      <c r="AG417" s="129">
        <f t="shared" si="243"/>
        <v>43132</v>
      </c>
      <c r="AH417" s="101">
        <f t="shared" si="256"/>
        <v>42080</v>
      </c>
      <c r="AI417" s="130">
        <f t="shared" si="266"/>
        <v>1043.975628017351</v>
      </c>
      <c r="AJ417" s="159">
        <f t="shared" si="267"/>
        <v>2.4204201706791963E-2</v>
      </c>
      <c r="AK417" s="290" t="s">
        <v>1034</v>
      </c>
      <c r="AL417" s="291"/>
      <c r="AM417" s="292"/>
      <c r="AN417" s="160"/>
    </row>
    <row r="418" spans="1:40" ht="38.25" thickBot="1" x14ac:dyDescent="0.3">
      <c r="A418" s="84">
        <f t="shared" si="232"/>
        <v>3</v>
      </c>
      <c r="B418" s="198">
        <v>413</v>
      </c>
      <c r="C418" s="51" t="s">
        <v>845</v>
      </c>
      <c r="D418" s="205" t="s">
        <v>1048</v>
      </c>
      <c r="E418" s="60" t="s">
        <v>861</v>
      </c>
      <c r="F418" s="17">
        <v>1</v>
      </c>
      <c r="G418" s="17"/>
      <c r="H418" s="89" t="s">
        <v>1050</v>
      </c>
      <c r="I418" s="126">
        <v>45236</v>
      </c>
      <c r="J418" s="121">
        <f t="shared" si="233"/>
        <v>8594.84</v>
      </c>
      <c r="K418" s="130">
        <f t="shared" si="234"/>
        <v>53830.84</v>
      </c>
      <c r="L418" s="121">
        <f t="shared" si="235"/>
        <v>45236</v>
      </c>
      <c r="M418" s="122">
        <f t="shared" si="236"/>
        <v>53830.84</v>
      </c>
      <c r="N418" s="123">
        <v>47618.254000000001</v>
      </c>
      <c r="O418" s="121">
        <f t="shared" si="237"/>
        <v>9047.4682599999996</v>
      </c>
      <c r="P418" s="110">
        <f t="shared" si="238"/>
        <v>56665.722260000002</v>
      </c>
      <c r="Q418" s="121">
        <f t="shared" si="239"/>
        <v>47618.254000000001</v>
      </c>
      <c r="R418" s="124">
        <f t="shared" si="240"/>
        <v>56665.722260000002</v>
      </c>
      <c r="S418" s="125">
        <v>47340</v>
      </c>
      <c r="T418" s="121">
        <f t="shared" si="257"/>
        <v>8994.6</v>
      </c>
      <c r="U418" s="110">
        <f t="shared" si="258"/>
        <v>56334.6</v>
      </c>
      <c r="V418" s="121">
        <f t="shared" si="259"/>
        <v>47340</v>
      </c>
      <c r="W418" s="122">
        <f t="shared" si="260"/>
        <v>56334.6</v>
      </c>
      <c r="X418" s="108"/>
      <c r="Y418" s="121">
        <f t="shared" si="261"/>
        <v>0</v>
      </c>
      <c r="Z418" s="121">
        <f t="shared" si="262"/>
        <v>0</v>
      </c>
      <c r="AA418" s="121">
        <f t="shared" si="263"/>
        <v>0</v>
      </c>
      <c r="AB418" s="124">
        <f t="shared" si="264"/>
        <v>0</v>
      </c>
      <c r="AC418" s="126">
        <f t="shared" si="241"/>
        <v>46731</v>
      </c>
      <c r="AD418" s="101">
        <f t="shared" si="255"/>
        <v>35049</v>
      </c>
      <c r="AE418" s="127">
        <f t="shared" si="242"/>
        <v>1063.504448563647</v>
      </c>
      <c r="AF418" s="128">
        <f t="shared" si="265"/>
        <v>2.2758007501736469E-2</v>
      </c>
      <c r="AG418" s="129">
        <f t="shared" si="243"/>
        <v>47340</v>
      </c>
      <c r="AH418" s="101">
        <f t="shared" si="256"/>
        <v>46288</v>
      </c>
      <c r="AI418" s="130">
        <f t="shared" si="266"/>
        <v>1063.504448563647</v>
      </c>
      <c r="AJ418" s="159">
        <f t="shared" si="267"/>
        <v>2.2465239724622877E-2</v>
      </c>
      <c r="AK418" s="290" t="s">
        <v>1034</v>
      </c>
      <c r="AL418" s="291"/>
      <c r="AM418" s="292"/>
      <c r="AN418" s="160"/>
    </row>
    <row r="419" spans="1:40" ht="38.25" thickBot="1" x14ac:dyDescent="0.3">
      <c r="A419" s="84">
        <f t="shared" si="232"/>
        <v>3</v>
      </c>
      <c r="B419" s="198">
        <v>414</v>
      </c>
      <c r="C419" s="51" t="s">
        <v>845</v>
      </c>
      <c r="D419" s="205" t="s">
        <v>1048</v>
      </c>
      <c r="E419" s="60" t="s">
        <v>862</v>
      </c>
      <c r="F419" s="17">
        <v>1</v>
      </c>
      <c r="G419" s="17"/>
      <c r="H419" s="89" t="s">
        <v>1050</v>
      </c>
      <c r="I419" s="126">
        <v>37872</v>
      </c>
      <c r="J419" s="121">
        <f t="shared" si="233"/>
        <v>7195.68</v>
      </c>
      <c r="K419" s="130">
        <f t="shared" si="234"/>
        <v>45067.68</v>
      </c>
      <c r="L419" s="121">
        <f t="shared" si="235"/>
        <v>37872</v>
      </c>
      <c r="M419" s="122">
        <f t="shared" si="236"/>
        <v>45067.68</v>
      </c>
      <c r="N419" s="123">
        <v>38271.760000000002</v>
      </c>
      <c r="O419" s="121">
        <f t="shared" si="237"/>
        <v>7271.6344000000008</v>
      </c>
      <c r="P419" s="110">
        <f t="shared" si="238"/>
        <v>45543.394400000005</v>
      </c>
      <c r="Q419" s="121">
        <f t="shared" si="239"/>
        <v>38271.760000000002</v>
      </c>
      <c r="R419" s="124">
        <f t="shared" si="240"/>
        <v>45543.394400000005</v>
      </c>
      <c r="S419" s="125">
        <v>39976</v>
      </c>
      <c r="T419" s="121">
        <f t="shared" si="257"/>
        <v>7595.4400000000005</v>
      </c>
      <c r="U419" s="110">
        <f t="shared" si="258"/>
        <v>47571.44</v>
      </c>
      <c r="V419" s="121">
        <f t="shared" si="259"/>
        <v>39976</v>
      </c>
      <c r="W419" s="122">
        <f t="shared" si="260"/>
        <v>47571.44</v>
      </c>
      <c r="X419" s="108"/>
      <c r="Y419" s="121">
        <f t="shared" si="261"/>
        <v>0</v>
      </c>
      <c r="Z419" s="121">
        <f t="shared" si="262"/>
        <v>0</v>
      </c>
      <c r="AA419" s="121">
        <f t="shared" si="263"/>
        <v>0</v>
      </c>
      <c r="AB419" s="124">
        <f t="shared" si="264"/>
        <v>0</v>
      </c>
      <c r="AC419" s="126">
        <f t="shared" si="241"/>
        <v>38707</v>
      </c>
      <c r="AD419" s="101">
        <f t="shared" si="255"/>
        <v>29030</v>
      </c>
      <c r="AE419" s="127">
        <f t="shared" si="242"/>
        <v>912.32657622634679</v>
      </c>
      <c r="AF419" s="128">
        <f t="shared" si="265"/>
        <v>2.3570066815468697E-2</v>
      </c>
      <c r="AG419" s="129">
        <f t="shared" si="243"/>
        <v>38272</v>
      </c>
      <c r="AH419" s="101">
        <f t="shared" si="256"/>
        <v>38072</v>
      </c>
      <c r="AI419" s="130">
        <f t="shared" si="266"/>
        <v>912.32657622634679</v>
      </c>
      <c r="AJ419" s="159">
        <f t="shared" si="267"/>
        <v>2.3837964470797106E-2</v>
      </c>
      <c r="AK419" s="290" t="s">
        <v>1034</v>
      </c>
      <c r="AL419" s="291"/>
      <c r="AM419" s="292"/>
      <c r="AN419" s="160"/>
    </row>
    <row r="420" spans="1:40" ht="38.25" thickBot="1" x14ac:dyDescent="0.3">
      <c r="A420" s="84">
        <f t="shared" si="232"/>
        <v>3</v>
      </c>
      <c r="B420" s="198">
        <v>415</v>
      </c>
      <c r="C420" s="51" t="s">
        <v>845</v>
      </c>
      <c r="D420" s="205" t="s">
        <v>1048</v>
      </c>
      <c r="E420" s="60" t="s">
        <v>863</v>
      </c>
      <c r="F420" s="17">
        <v>1</v>
      </c>
      <c r="G420" s="17"/>
      <c r="H420" s="89" t="s">
        <v>1050</v>
      </c>
      <c r="I420" s="126">
        <v>42080</v>
      </c>
      <c r="J420" s="121">
        <f t="shared" si="233"/>
        <v>7995.2</v>
      </c>
      <c r="K420" s="130">
        <f t="shared" si="234"/>
        <v>50075.199999999997</v>
      </c>
      <c r="L420" s="121">
        <f t="shared" si="235"/>
        <v>42080</v>
      </c>
      <c r="M420" s="122">
        <f t="shared" si="236"/>
        <v>50075.199999999997</v>
      </c>
      <c r="N420" s="123">
        <v>43317.678</v>
      </c>
      <c r="O420" s="121">
        <f t="shared" si="237"/>
        <v>8230.3588199999995</v>
      </c>
      <c r="P420" s="110">
        <f t="shared" si="238"/>
        <v>51548.036820000001</v>
      </c>
      <c r="Q420" s="121">
        <f t="shared" si="239"/>
        <v>43317.678</v>
      </c>
      <c r="R420" s="124">
        <f t="shared" si="240"/>
        <v>51548.036820000001</v>
      </c>
      <c r="S420" s="125">
        <v>44184</v>
      </c>
      <c r="T420" s="121">
        <f t="shared" si="257"/>
        <v>8394.9600000000009</v>
      </c>
      <c r="U420" s="110">
        <f t="shared" si="258"/>
        <v>52578.96</v>
      </c>
      <c r="V420" s="121">
        <f t="shared" si="259"/>
        <v>44184</v>
      </c>
      <c r="W420" s="122">
        <f t="shared" si="260"/>
        <v>52578.96</v>
      </c>
      <c r="X420" s="108"/>
      <c r="Y420" s="121">
        <f t="shared" si="261"/>
        <v>0</v>
      </c>
      <c r="Z420" s="121">
        <f t="shared" si="262"/>
        <v>0</v>
      </c>
      <c r="AA420" s="121">
        <f t="shared" si="263"/>
        <v>0</v>
      </c>
      <c r="AB420" s="124">
        <f t="shared" si="264"/>
        <v>0</v>
      </c>
      <c r="AC420" s="126">
        <f t="shared" si="241"/>
        <v>43194</v>
      </c>
      <c r="AD420" s="101">
        <f t="shared" si="255"/>
        <v>32395</v>
      </c>
      <c r="AE420" s="127">
        <f t="shared" si="242"/>
        <v>863.40261236626384</v>
      </c>
      <c r="AF420" s="128">
        <f t="shared" si="265"/>
        <v>1.9988947825305917E-2</v>
      </c>
      <c r="AG420" s="129">
        <f t="shared" si="243"/>
        <v>43318</v>
      </c>
      <c r="AH420" s="101">
        <f t="shared" si="256"/>
        <v>42699</v>
      </c>
      <c r="AI420" s="130">
        <f t="shared" si="266"/>
        <v>863.40261236626384</v>
      </c>
      <c r="AJ420" s="159">
        <f t="shared" si="267"/>
        <v>1.9931728435437088E-2</v>
      </c>
      <c r="AK420" s="290" t="s">
        <v>1034</v>
      </c>
      <c r="AL420" s="291"/>
      <c r="AM420" s="292"/>
      <c r="AN420" s="160"/>
    </row>
    <row r="421" spans="1:40" ht="38.25" thickBot="1" x14ac:dyDescent="0.3">
      <c r="A421" s="84">
        <f t="shared" ref="A421:A484" si="268">COUNT(I421,N421,S421)</f>
        <v>3</v>
      </c>
      <c r="B421" s="198">
        <v>416</v>
      </c>
      <c r="C421" s="51" t="s">
        <v>845</v>
      </c>
      <c r="D421" s="205" t="s">
        <v>1048</v>
      </c>
      <c r="E421" s="60" t="s">
        <v>864</v>
      </c>
      <c r="F421" s="17">
        <v>1</v>
      </c>
      <c r="G421" s="17"/>
      <c r="H421" s="89" t="s">
        <v>1050</v>
      </c>
      <c r="I421" s="126">
        <v>44184</v>
      </c>
      <c r="J421" s="121">
        <f t="shared" ref="J421:J484" si="269">I421*19%</f>
        <v>8394.9600000000009</v>
      </c>
      <c r="K421" s="130">
        <f t="shared" ref="K421:K484" si="270">I421+J421</f>
        <v>52578.96</v>
      </c>
      <c r="L421" s="121">
        <f t="shared" ref="L421:L484" si="271">I421*F421</f>
        <v>44184</v>
      </c>
      <c r="M421" s="122">
        <f t="shared" ref="M421:M484" si="272">K421*F421</f>
        <v>52578.96</v>
      </c>
      <c r="N421" s="123">
        <v>47332.11</v>
      </c>
      <c r="O421" s="121">
        <f t="shared" ref="O421:O484" si="273">N421*0.19</f>
        <v>8993.1008999999995</v>
      </c>
      <c r="P421" s="110">
        <f t="shared" ref="P421:P484" si="274">N421+O421</f>
        <v>56325.210899999998</v>
      </c>
      <c r="Q421" s="121">
        <f t="shared" ref="Q421:Q484" si="275">N421*F421</f>
        <v>47332.11</v>
      </c>
      <c r="R421" s="124">
        <f t="shared" ref="R421:R484" si="276">P421*F421</f>
        <v>56325.210899999998</v>
      </c>
      <c r="S421" s="125">
        <v>44184</v>
      </c>
      <c r="T421" s="121">
        <f t="shared" si="257"/>
        <v>8394.9600000000009</v>
      </c>
      <c r="U421" s="110">
        <f t="shared" si="258"/>
        <v>52578.96</v>
      </c>
      <c r="V421" s="121">
        <f t="shared" si="259"/>
        <v>44184</v>
      </c>
      <c r="W421" s="122">
        <f t="shared" si="260"/>
        <v>52578.96</v>
      </c>
      <c r="X421" s="108"/>
      <c r="Y421" s="121">
        <f t="shared" si="261"/>
        <v>0</v>
      </c>
      <c r="Z421" s="121">
        <f t="shared" si="262"/>
        <v>0</v>
      </c>
      <c r="AA421" s="121">
        <f t="shared" si="263"/>
        <v>0</v>
      </c>
      <c r="AB421" s="124">
        <f t="shared" si="264"/>
        <v>0</v>
      </c>
      <c r="AC421" s="126">
        <f t="shared" ref="AC421:AC484" si="277">+IFERROR(ROUND(AVERAGE(I421,N421,S421,X421),0),0)</f>
        <v>45233</v>
      </c>
      <c r="AD421" s="101">
        <f t="shared" si="255"/>
        <v>33925</v>
      </c>
      <c r="AE421" s="127">
        <f t="shared" ref="AE421:AE484" si="278">+IFERROR(_xlfn.STDEV.P(I421,N421,S421,X421),0)</f>
        <v>1484.0332859474549</v>
      </c>
      <c r="AF421" s="128">
        <f t="shared" si="265"/>
        <v>3.2808641610051398E-2</v>
      </c>
      <c r="AG421" s="129">
        <f t="shared" ref="AG421:AG484" si="279">IFERROR(ROUND(MEDIAN(I421,N421,S421,X421),0),0)</f>
        <v>44184</v>
      </c>
      <c r="AH421" s="101">
        <f t="shared" si="256"/>
        <v>44184</v>
      </c>
      <c r="AI421" s="130">
        <f t="shared" si="266"/>
        <v>1484.0332859474549</v>
      </c>
      <c r="AJ421" s="159">
        <f t="shared" si="267"/>
        <v>3.3587572106361013E-2</v>
      </c>
      <c r="AK421" s="290" t="s">
        <v>1034</v>
      </c>
      <c r="AL421" s="291"/>
      <c r="AM421" s="292"/>
      <c r="AN421" s="160"/>
    </row>
    <row r="422" spans="1:40" ht="38.25" thickBot="1" x14ac:dyDescent="0.3">
      <c r="A422" s="84">
        <f t="shared" si="268"/>
        <v>3</v>
      </c>
      <c r="B422" s="198">
        <v>417</v>
      </c>
      <c r="C422" s="51" t="s">
        <v>845</v>
      </c>
      <c r="D422" s="205" t="s">
        <v>1048</v>
      </c>
      <c r="E422" s="60" t="s">
        <v>865</v>
      </c>
      <c r="F422" s="17">
        <v>1</v>
      </c>
      <c r="G422" s="17"/>
      <c r="H422" s="89" t="s">
        <v>1050</v>
      </c>
      <c r="I422" s="126">
        <v>16832</v>
      </c>
      <c r="J422" s="121">
        <f t="shared" si="269"/>
        <v>3198.08</v>
      </c>
      <c r="K422" s="130">
        <f t="shared" si="270"/>
        <v>20030.080000000002</v>
      </c>
      <c r="L422" s="121">
        <f t="shared" si="271"/>
        <v>16832</v>
      </c>
      <c r="M422" s="122">
        <f t="shared" si="272"/>
        <v>20030.080000000002</v>
      </c>
      <c r="N422" s="123">
        <v>17327.492000000002</v>
      </c>
      <c r="O422" s="121">
        <f t="shared" si="273"/>
        <v>3292.2234800000006</v>
      </c>
      <c r="P422" s="110">
        <f t="shared" si="274"/>
        <v>20619.715480000003</v>
      </c>
      <c r="Q422" s="121">
        <f t="shared" si="275"/>
        <v>17327.492000000002</v>
      </c>
      <c r="R422" s="124">
        <f t="shared" si="276"/>
        <v>20619.715480000003</v>
      </c>
      <c r="S422" s="125">
        <v>18936</v>
      </c>
      <c r="T422" s="121">
        <f t="shared" si="257"/>
        <v>3597.84</v>
      </c>
      <c r="U422" s="110">
        <f t="shared" si="258"/>
        <v>22533.84</v>
      </c>
      <c r="V422" s="121">
        <f t="shared" si="259"/>
        <v>18936</v>
      </c>
      <c r="W422" s="122">
        <f t="shared" si="260"/>
        <v>22533.84</v>
      </c>
      <c r="X422" s="108"/>
      <c r="Y422" s="121">
        <f t="shared" si="261"/>
        <v>0</v>
      </c>
      <c r="Z422" s="121">
        <f t="shared" si="262"/>
        <v>0</v>
      </c>
      <c r="AA422" s="121">
        <f t="shared" si="263"/>
        <v>0</v>
      </c>
      <c r="AB422" s="124">
        <f t="shared" si="264"/>
        <v>0</v>
      </c>
      <c r="AC422" s="126">
        <f t="shared" si="277"/>
        <v>17698</v>
      </c>
      <c r="AD422" s="101">
        <f t="shared" si="255"/>
        <v>13274</v>
      </c>
      <c r="AE422" s="127">
        <f t="shared" si="278"/>
        <v>898.12312371275414</v>
      </c>
      <c r="AF422" s="128">
        <f t="shared" si="265"/>
        <v>5.0747153560444916E-2</v>
      </c>
      <c r="AG422" s="129">
        <f t="shared" si="279"/>
        <v>17327</v>
      </c>
      <c r="AH422" s="101">
        <f t="shared" si="256"/>
        <v>17080</v>
      </c>
      <c r="AI422" s="130">
        <f t="shared" si="266"/>
        <v>898.12312371275414</v>
      </c>
      <c r="AJ422" s="159">
        <f t="shared" si="267"/>
        <v>5.1833734848084151E-2</v>
      </c>
      <c r="AK422" s="290" t="s">
        <v>1034</v>
      </c>
      <c r="AL422" s="291"/>
      <c r="AM422" s="292"/>
      <c r="AN422" s="160"/>
    </row>
    <row r="423" spans="1:40" ht="38.25" thickBot="1" x14ac:dyDescent="0.3">
      <c r="A423" s="84">
        <f t="shared" si="268"/>
        <v>3</v>
      </c>
      <c r="B423" s="198">
        <v>418</v>
      </c>
      <c r="C423" s="51" t="s">
        <v>845</v>
      </c>
      <c r="D423" s="205" t="s">
        <v>1048</v>
      </c>
      <c r="E423" s="60" t="s">
        <v>866</v>
      </c>
      <c r="F423" s="17">
        <v>1</v>
      </c>
      <c r="G423" s="17"/>
      <c r="H423" s="89" t="s">
        <v>1050</v>
      </c>
      <c r="I423" s="126">
        <v>18936</v>
      </c>
      <c r="J423" s="121">
        <f t="shared" si="269"/>
        <v>3597.84</v>
      </c>
      <c r="K423" s="130">
        <f t="shared" si="270"/>
        <v>22533.84</v>
      </c>
      <c r="L423" s="121">
        <f t="shared" si="271"/>
        <v>18936</v>
      </c>
      <c r="M423" s="122">
        <f t="shared" si="272"/>
        <v>22533.84</v>
      </c>
      <c r="N423" s="123">
        <v>19792.853999999999</v>
      </c>
      <c r="O423" s="121">
        <f t="shared" si="273"/>
        <v>3760.6422600000001</v>
      </c>
      <c r="P423" s="110">
        <f t="shared" si="274"/>
        <v>23553.49626</v>
      </c>
      <c r="Q423" s="121">
        <f t="shared" si="275"/>
        <v>19792.853999999999</v>
      </c>
      <c r="R423" s="124">
        <f t="shared" si="276"/>
        <v>23553.49626</v>
      </c>
      <c r="S423" s="125">
        <v>21040</v>
      </c>
      <c r="T423" s="121">
        <f t="shared" si="257"/>
        <v>3997.6</v>
      </c>
      <c r="U423" s="110">
        <f t="shared" si="258"/>
        <v>25037.599999999999</v>
      </c>
      <c r="V423" s="121">
        <f t="shared" si="259"/>
        <v>21040</v>
      </c>
      <c r="W423" s="122">
        <f t="shared" si="260"/>
        <v>25037.599999999999</v>
      </c>
      <c r="X423" s="108"/>
      <c r="Y423" s="121">
        <f t="shared" si="261"/>
        <v>0</v>
      </c>
      <c r="Z423" s="121">
        <f t="shared" si="262"/>
        <v>0</v>
      </c>
      <c r="AA423" s="121">
        <f t="shared" si="263"/>
        <v>0</v>
      </c>
      <c r="AB423" s="124">
        <f t="shared" si="264"/>
        <v>0</v>
      </c>
      <c r="AC423" s="126">
        <f t="shared" si="277"/>
        <v>19923</v>
      </c>
      <c r="AD423" s="101">
        <f t="shared" si="255"/>
        <v>14942</v>
      </c>
      <c r="AE423" s="127">
        <f t="shared" si="278"/>
        <v>863.86649705662796</v>
      </c>
      <c r="AF423" s="128">
        <f t="shared" si="265"/>
        <v>4.3360261860996237E-2</v>
      </c>
      <c r="AG423" s="129">
        <f t="shared" si="279"/>
        <v>19793</v>
      </c>
      <c r="AH423" s="101">
        <f t="shared" si="256"/>
        <v>19364</v>
      </c>
      <c r="AI423" s="130">
        <f t="shared" si="266"/>
        <v>863.86649705662796</v>
      </c>
      <c r="AJ423" s="159">
        <f t="shared" si="267"/>
        <v>4.3645051132048099E-2</v>
      </c>
      <c r="AK423" s="290" t="s">
        <v>1034</v>
      </c>
      <c r="AL423" s="291"/>
      <c r="AM423" s="292"/>
      <c r="AN423" s="160"/>
    </row>
    <row r="424" spans="1:40" ht="38.25" thickBot="1" x14ac:dyDescent="0.3">
      <c r="A424" s="84">
        <f t="shared" si="268"/>
        <v>3</v>
      </c>
      <c r="B424" s="198">
        <v>419</v>
      </c>
      <c r="C424" s="51" t="s">
        <v>845</v>
      </c>
      <c r="D424" s="205" t="s">
        <v>1048</v>
      </c>
      <c r="E424" s="60" t="s">
        <v>867</v>
      </c>
      <c r="F424" s="17">
        <v>1</v>
      </c>
      <c r="G424" s="17"/>
      <c r="H424" s="89" t="s">
        <v>1050</v>
      </c>
      <c r="I424" s="126">
        <v>24196</v>
      </c>
      <c r="J424" s="121">
        <f t="shared" si="269"/>
        <v>4597.24</v>
      </c>
      <c r="K424" s="130">
        <f t="shared" si="270"/>
        <v>28793.239999999998</v>
      </c>
      <c r="L424" s="121">
        <f t="shared" si="271"/>
        <v>24196</v>
      </c>
      <c r="M424" s="122">
        <f t="shared" si="272"/>
        <v>28793.239999999998</v>
      </c>
      <c r="N424" s="123">
        <v>24911.886000000002</v>
      </c>
      <c r="O424" s="121">
        <f t="shared" si="273"/>
        <v>4733.2583400000003</v>
      </c>
      <c r="P424" s="110">
        <f t="shared" si="274"/>
        <v>29645.144340000003</v>
      </c>
      <c r="Q424" s="121">
        <f t="shared" si="275"/>
        <v>24911.886000000002</v>
      </c>
      <c r="R424" s="124">
        <f t="shared" si="276"/>
        <v>29645.144340000003</v>
      </c>
      <c r="S424" s="125">
        <v>26300</v>
      </c>
      <c r="T424" s="121">
        <f t="shared" si="257"/>
        <v>4997</v>
      </c>
      <c r="U424" s="110">
        <f t="shared" si="258"/>
        <v>31297</v>
      </c>
      <c r="V424" s="121">
        <f t="shared" si="259"/>
        <v>26300</v>
      </c>
      <c r="W424" s="122">
        <f t="shared" si="260"/>
        <v>31297</v>
      </c>
      <c r="X424" s="108"/>
      <c r="Y424" s="121">
        <f t="shared" si="261"/>
        <v>0</v>
      </c>
      <c r="Z424" s="121">
        <f t="shared" si="262"/>
        <v>0</v>
      </c>
      <c r="AA424" s="121">
        <f t="shared" si="263"/>
        <v>0</v>
      </c>
      <c r="AB424" s="124">
        <f t="shared" si="264"/>
        <v>0</v>
      </c>
      <c r="AC424" s="126">
        <f t="shared" si="277"/>
        <v>25136</v>
      </c>
      <c r="AD424" s="101">
        <f t="shared" si="255"/>
        <v>18852</v>
      </c>
      <c r="AE424" s="127">
        <f t="shared" si="278"/>
        <v>873.44587328275031</v>
      </c>
      <c r="AF424" s="128">
        <f t="shared" si="265"/>
        <v>3.4748801451414318E-2</v>
      </c>
      <c r="AG424" s="129">
        <f t="shared" si="279"/>
        <v>24912</v>
      </c>
      <c r="AH424" s="101">
        <f t="shared" si="256"/>
        <v>24554</v>
      </c>
      <c r="AI424" s="130">
        <f t="shared" si="266"/>
        <v>873.44587328275031</v>
      </c>
      <c r="AJ424" s="159">
        <f t="shared" si="267"/>
        <v>3.506125053318683E-2</v>
      </c>
      <c r="AK424" s="290" t="s">
        <v>1034</v>
      </c>
      <c r="AL424" s="291"/>
      <c r="AM424" s="292"/>
      <c r="AN424" s="160"/>
    </row>
    <row r="425" spans="1:40" ht="38.25" thickBot="1" x14ac:dyDescent="0.3">
      <c r="A425" s="84">
        <f t="shared" si="268"/>
        <v>3</v>
      </c>
      <c r="B425" s="198">
        <v>420</v>
      </c>
      <c r="C425" s="51" t="s">
        <v>845</v>
      </c>
      <c r="D425" s="205" t="s">
        <v>1048</v>
      </c>
      <c r="E425" s="60" t="s">
        <v>868</v>
      </c>
      <c r="F425" s="17">
        <v>1</v>
      </c>
      <c r="G425" s="17"/>
      <c r="H425" s="89" t="s">
        <v>1050</v>
      </c>
      <c r="I425" s="126">
        <v>32612</v>
      </c>
      <c r="J425" s="121">
        <f t="shared" si="269"/>
        <v>6196.28</v>
      </c>
      <c r="K425" s="130">
        <f t="shared" si="270"/>
        <v>38808.28</v>
      </c>
      <c r="L425" s="121">
        <f t="shared" si="271"/>
        <v>32612</v>
      </c>
      <c r="M425" s="122">
        <f t="shared" si="272"/>
        <v>38808.28</v>
      </c>
      <c r="N425" s="123">
        <v>32956.53</v>
      </c>
      <c r="O425" s="121">
        <f t="shared" si="273"/>
        <v>6261.7407000000003</v>
      </c>
      <c r="P425" s="110">
        <f t="shared" si="274"/>
        <v>39218.270700000001</v>
      </c>
      <c r="Q425" s="121">
        <f t="shared" si="275"/>
        <v>32956.53</v>
      </c>
      <c r="R425" s="124">
        <f t="shared" si="276"/>
        <v>39218.270700000001</v>
      </c>
      <c r="S425" s="125">
        <v>34716</v>
      </c>
      <c r="T425" s="121">
        <f t="shared" si="257"/>
        <v>6596.04</v>
      </c>
      <c r="U425" s="110">
        <f t="shared" si="258"/>
        <v>41312.04</v>
      </c>
      <c r="V425" s="121">
        <f t="shared" si="259"/>
        <v>34716</v>
      </c>
      <c r="W425" s="122">
        <f t="shared" si="260"/>
        <v>41312.04</v>
      </c>
      <c r="X425" s="108"/>
      <c r="Y425" s="121">
        <f t="shared" si="261"/>
        <v>0</v>
      </c>
      <c r="Z425" s="121">
        <f t="shared" si="262"/>
        <v>0</v>
      </c>
      <c r="AA425" s="121">
        <f t="shared" si="263"/>
        <v>0</v>
      </c>
      <c r="AB425" s="124">
        <f t="shared" si="264"/>
        <v>0</v>
      </c>
      <c r="AC425" s="126">
        <f t="shared" si="277"/>
        <v>33428</v>
      </c>
      <c r="AD425" s="101">
        <f t="shared" si="255"/>
        <v>25071</v>
      </c>
      <c r="AE425" s="127">
        <f t="shared" si="278"/>
        <v>921.42712992159932</v>
      </c>
      <c r="AF425" s="128">
        <f t="shared" si="265"/>
        <v>2.7564530630656912E-2</v>
      </c>
      <c r="AG425" s="129">
        <f t="shared" si="279"/>
        <v>32957</v>
      </c>
      <c r="AH425" s="101">
        <f t="shared" si="256"/>
        <v>32784</v>
      </c>
      <c r="AI425" s="130">
        <f t="shared" si="266"/>
        <v>921.42712992159932</v>
      </c>
      <c r="AJ425" s="159">
        <f t="shared" si="267"/>
        <v>2.7958464967126843E-2</v>
      </c>
      <c r="AK425" s="290" t="s">
        <v>1034</v>
      </c>
      <c r="AL425" s="291"/>
      <c r="AM425" s="292"/>
      <c r="AN425" s="160"/>
    </row>
    <row r="426" spans="1:40" ht="38.25" thickBot="1" x14ac:dyDescent="0.3">
      <c r="A426" s="84">
        <f t="shared" si="268"/>
        <v>3</v>
      </c>
      <c r="B426" s="198">
        <v>421</v>
      </c>
      <c r="C426" s="51" t="s">
        <v>845</v>
      </c>
      <c r="D426" s="205" t="s">
        <v>1048</v>
      </c>
      <c r="E426" s="60" t="s">
        <v>869</v>
      </c>
      <c r="F426" s="17">
        <v>1</v>
      </c>
      <c r="G426" s="17"/>
      <c r="H426" s="89" t="s">
        <v>1050</v>
      </c>
      <c r="I426" s="126">
        <v>49444</v>
      </c>
      <c r="J426" s="121">
        <f t="shared" si="269"/>
        <v>9394.36</v>
      </c>
      <c r="K426" s="130">
        <f t="shared" si="270"/>
        <v>58838.36</v>
      </c>
      <c r="L426" s="121">
        <f t="shared" si="271"/>
        <v>49444</v>
      </c>
      <c r="M426" s="122">
        <f t="shared" si="272"/>
        <v>58838.36</v>
      </c>
      <c r="N426" s="123">
        <v>49761.178</v>
      </c>
      <c r="O426" s="121">
        <f t="shared" si="273"/>
        <v>9454.6238200000007</v>
      </c>
      <c r="P426" s="110">
        <f t="shared" si="274"/>
        <v>59215.801820000001</v>
      </c>
      <c r="Q426" s="121">
        <f t="shared" si="275"/>
        <v>49761.178</v>
      </c>
      <c r="R426" s="124">
        <f t="shared" si="276"/>
        <v>59215.801820000001</v>
      </c>
      <c r="S426" s="125">
        <v>51548</v>
      </c>
      <c r="T426" s="121">
        <f t="shared" si="257"/>
        <v>9794.1200000000008</v>
      </c>
      <c r="U426" s="110">
        <f t="shared" si="258"/>
        <v>61342.12</v>
      </c>
      <c r="V426" s="121">
        <f t="shared" si="259"/>
        <v>51548</v>
      </c>
      <c r="W426" s="122">
        <f t="shared" si="260"/>
        <v>61342.12</v>
      </c>
      <c r="X426" s="108"/>
      <c r="Y426" s="121">
        <f t="shared" si="261"/>
        <v>0</v>
      </c>
      <c r="Z426" s="121">
        <f t="shared" si="262"/>
        <v>0</v>
      </c>
      <c r="AA426" s="121">
        <f t="shared" si="263"/>
        <v>0</v>
      </c>
      <c r="AB426" s="124">
        <f t="shared" si="264"/>
        <v>0</v>
      </c>
      <c r="AC426" s="126">
        <f t="shared" si="277"/>
        <v>50251</v>
      </c>
      <c r="AD426" s="101">
        <f t="shared" si="255"/>
        <v>37688</v>
      </c>
      <c r="AE426" s="127">
        <f t="shared" si="278"/>
        <v>926.17197487339729</v>
      </c>
      <c r="AF426" s="128">
        <f t="shared" si="265"/>
        <v>1.8430916297653723E-2</v>
      </c>
      <c r="AG426" s="129">
        <f t="shared" si="279"/>
        <v>49761</v>
      </c>
      <c r="AH426" s="101">
        <f t="shared" si="256"/>
        <v>49603</v>
      </c>
      <c r="AI426" s="130">
        <f t="shared" si="266"/>
        <v>926.17197487339729</v>
      </c>
      <c r="AJ426" s="159">
        <f t="shared" si="267"/>
        <v>1.8612406801981417E-2</v>
      </c>
      <c r="AK426" s="290" t="s">
        <v>1034</v>
      </c>
      <c r="AL426" s="291"/>
      <c r="AM426" s="292"/>
      <c r="AN426" s="160"/>
    </row>
    <row r="427" spans="1:40" ht="38.25" thickBot="1" x14ac:dyDescent="0.3">
      <c r="A427" s="84">
        <f t="shared" si="268"/>
        <v>3</v>
      </c>
      <c r="B427" s="198">
        <v>422</v>
      </c>
      <c r="C427" s="51" t="s">
        <v>845</v>
      </c>
      <c r="D427" s="205" t="s">
        <v>1048</v>
      </c>
      <c r="E427" s="60" t="s">
        <v>870</v>
      </c>
      <c r="F427" s="17">
        <v>1</v>
      </c>
      <c r="G427" s="17"/>
      <c r="H427" s="89" t="s">
        <v>1050</v>
      </c>
      <c r="I427" s="126">
        <v>22828.400000000001</v>
      </c>
      <c r="J427" s="121">
        <f t="shared" si="269"/>
        <v>4337.3960000000006</v>
      </c>
      <c r="K427" s="130">
        <f t="shared" si="270"/>
        <v>27165.796000000002</v>
      </c>
      <c r="L427" s="121">
        <f t="shared" si="271"/>
        <v>22828.400000000001</v>
      </c>
      <c r="M427" s="122">
        <f t="shared" si="272"/>
        <v>27165.796000000002</v>
      </c>
      <c r="N427" s="123">
        <v>22930.97</v>
      </c>
      <c r="O427" s="121">
        <f t="shared" si="273"/>
        <v>4356.8843000000006</v>
      </c>
      <c r="P427" s="110">
        <f t="shared" si="274"/>
        <v>27287.854300000003</v>
      </c>
      <c r="Q427" s="121">
        <f t="shared" si="275"/>
        <v>22930.97</v>
      </c>
      <c r="R427" s="124">
        <f t="shared" si="276"/>
        <v>27287.854300000003</v>
      </c>
      <c r="S427" s="125">
        <v>25248</v>
      </c>
      <c r="T427" s="121">
        <f t="shared" si="257"/>
        <v>4797.12</v>
      </c>
      <c r="U427" s="110">
        <f t="shared" si="258"/>
        <v>30045.119999999999</v>
      </c>
      <c r="V427" s="121">
        <f t="shared" si="259"/>
        <v>25248</v>
      </c>
      <c r="W427" s="122">
        <f t="shared" si="260"/>
        <v>30045.119999999999</v>
      </c>
      <c r="X427" s="108"/>
      <c r="Y427" s="121">
        <f t="shared" si="261"/>
        <v>0</v>
      </c>
      <c r="Z427" s="121">
        <f t="shared" si="262"/>
        <v>0</v>
      </c>
      <c r="AA427" s="121">
        <f t="shared" si="263"/>
        <v>0</v>
      </c>
      <c r="AB427" s="124">
        <f t="shared" si="264"/>
        <v>0</v>
      </c>
      <c r="AC427" s="126">
        <f t="shared" si="277"/>
        <v>23669</v>
      </c>
      <c r="AD427" s="101">
        <f t="shared" si="255"/>
        <v>17752</v>
      </c>
      <c r="AE427" s="127">
        <f t="shared" si="278"/>
        <v>1117.2194047823466</v>
      </c>
      <c r="AF427" s="128">
        <f t="shared" si="265"/>
        <v>4.7201800024603766E-2</v>
      </c>
      <c r="AG427" s="129">
        <f t="shared" si="279"/>
        <v>22931</v>
      </c>
      <c r="AH427" s="101">
        <f t="shared" si="256"/>
        <v>22880</v>
      </c>
      <c r="AI427" s="130">
        <f t="shared" si="266"/>
        <v>1117.2194047823466</v>
      </c>
      <c r="AJ427" s="159">
        <f t="shared" si="267"/>
        <v>4.8720919488131641E-2</v>
      </c>
      <c r="AK427" s="290" t="s">
        <v>1034</v>
      </c>
      <c r="AL427" s="291"/>
      <c r="AM427" s="292"/>
      <c r="AN427" s="160"/>
    </row>
    <row r="428" spans="1:40" ht="45.75" thickBot="1" x14ac:dyDescent="0.3">
      <c r="A428" s="84">
        <f t="shared" si="268"/>
        <v>3</v>
      </c>
      <c r="B428" s="198">
        <v>423</v>
      </c>
      <c r="C428" s="51" t="s">
        <v>845</v>
      </c>
      <c r="D428" s="205" t="s">
        <v>1048</v>
      </c>
      <c r="E428" s="60" t="s">
        <v>871</v>
      </c>
      <c r="F428" s="17">
        <v>1</v>
      </c>
      <c r="G428" s="17"/>
      <c r="H428" s="89" t="s">
        <v>1050</v>
      </c>
      <c r="I428" s="126">
        <v>73640</v>
      </c>
      <c r="J428" s="121">
        <f t="shared" si="269"/>
        <v>13991.6</v>
      </c>
      <c r="K428" s="130">
        <f t="shared" si="270"/>
        <v>87631.6</v>
      </c>
      <c r="L428" s="121">
        <f t="shared" si="271"/>
        <v>73640</v>
      </c>
      <c r="M428" s="122">
        <f t="shared" si="272"/>
        <v>87631.6</v>
      </c>
      <c r="N428" s="123">
        <v>73692.600000000006</v>
      </c>
      <c r="O428" s="121">
        <f t="shared" si="273"/>
        <v>14001.594000000001</v>
      </c>
      <c r="P428" s="110">
        <f t="shared" si="274"/>
        <v>87694.194000000003</v>
      </c>
      <c r="Q428" s="121">
        <f t="shared" si="275"/>
        <v>73692.600000000006</v>
      </c>
      <c r="R428" s="124">
        <f t="shared" si="276"/>
        <v>87694.194000000003</v>
      </c>
      <c r="S428" s="125">
        <v>94680</v>
      </c>
      <c r="T428" s="121">
        <f t="shared" si="257"/>
        <v>17989.2</v>
      </c>
      <c r="U428" s="110">
        <f t="shared" si="258"/>
        <v>112669.2</v>
      </c>
      <c r="V428" s="121">
        <f t="shared" si="259"/>
        <v>94680</v>
      </c>
      <c r="W428" s="122">
        <f t="shared" si="260"/>
        <v>112669.2</v>
      </c>
      <c r="X428" s="108"/>
      <c r="Y428" s="121">
        <f t="shared" si="261"/>
        <v>0</v>
      </c>
      <c r="Z428" s="121">
        <f t="shared" si="262"/>
        <v>0</v>
      </c>
      <c r="AA428" s="121">
        <f t="shared" si="263"/>
        <v>0</v>
      </c>
      <c r="AB428" s="124">
        <f t="shared" si="264"/>
        <v>0</v>
      </c>
      <c r="AC428" s="126">
        <f t="shared" si="277"/>
        <v>80671</v>
      </c>
      <c r="AD428" s="101">
        <f t="shared" si="255"/>
        <v>60503</v>
      </c>
      <c r="AE428" s="127">
        <f t="shared" si="278"/>
        <v>9905.9764537486517</v>
      </c>
      <c r="AF428" s="128">
        <f t="shared" si="265"/>
        <v>0.1227947645839106</v>
      </c>
      <c r="AG428" s="129">
        <f t="shared" si="279"/>
        <v>73693</v>
      </c>
      <c r="AH428" s="101">
        <f t="shared" si="256"/>
        <v>73666</v>
      </c>
      <c r="AI428" s="130">
        <f t="shared" si="266"/>
        <v>9905.9764537486517</v>
      </c>
      <c r="AJ428" s="159">
        <f t="shared" si="267"/>
        <v>0.13442221722210593</v>
      </c>
      <c r="AK428" s="290" t="s">
        <v>1034</v>
      </c>
      <c r="AL428" s="291"/>
      <c r="AM428" s="292"/>
      <c r="AN428" s="160"/>
    </row>
    <row r="429" spans="1:40" ht="38.25" thickBot="1" x14ac:dyDescent="0.3">
      <c r="A429" s="84">
        <f t="shared" si="268"/>
        <v>3</v>
      </c>
      <c r="B429" s="198">
        <v>424</v>
      </c>
      <c r="C429" s="51" t="s">
        <v>845</v>
      </c>
      <c r="D429" s="205" t="s">
        <v>1048</v>
      </c>
      <c r="E429" s="60" t="s">
        <v>872</v>
      </c>
      <c r="F429" s="17">
        <v>1</v>
      </c>
      <c r="G429" s="17"/>
      <c r="H429" s="89" t="s">
        <v>1050</v>
      </c>
      <c r="I429" s="126">
        <v>5786</v>
      </c>
      <c r="J429" s="121">
        <f t="shared" si="269"/>
        <v>1099.3399999999999</v>
      </c>
      <c r="K429" s="130">
        <f t="shared" si="270"/>
        <v>6885.34</v>
      </c>
      <c r="L429" s="121">
        <f t="shared" si="271"/>
        <v>5786</v>
      </c>
      <c r="M429" s="122">
        <f t="shared" si="272"/>
        <v>6885.34</v>
      </c>
      <c r="N429" s="123">
        <v>5260</v>
      </c>
      <c r="O429" s="121">
        <f t="shared" si="273"/>
        <v>999.4</v>
      </c>
      <c r="P429" s="110">
        <f t="shared" si="274"/>
        <v>6259.4</v>
      </c>
      <c r="Q429" s="121">
        <f t="shared" si="275"/>
        <v>5260</v>
      </c>
      <c r="R429" s="124">
        <f t="shared" si="276"/>
        <v>6259.4</v>
      </c>
      <c r="S429" s="125">
        <v>6312</v>
      </c>
      <c r="T429" s="121">
        <f t="shared" si="257"/>
        <v>1199.28</v>
      </c>
      <c r="U429" s="110">
        <f t="shared" si="258"/>
        <v>7511.28</v>
      </c>
      <c r="V429" s="121">
        <f t="shared" si="259"/>
        <v>6312</v>
      </c>
      <c r="W429" s="122">
        <f t="shared" si="260"/>
        <v>7511.28</v>
      </c>
      <c r="X429" s="108"/>
      <c r="Y429" s="121">
        <f t="shared" si="261"/>
        <v>0</v>
      </c>
      <c r="Z429" s="121">
        <f t="shared" si="262"/>
        <v>0</v>
      </c>
      <c r="AA429" s="121">
        <f t="shared" si="263"/>
        <v>0</v>
      </c>
      <c r="AB429" s="124">
        <f t="shared" si="264"/>
        <v>0</v>
      </c>
      <c r="AC429" s="126">
        <f t="shared" si="277"/>
        <v>5786</v>
      </c>
      <c r="AD429" s="101">
        <f t="shared" si="255"/>
        <v>4340</v>
      </c>
      <c r="AE429" s="127">
        <f t="shared" si="278"/>
        <v>429.47720156798385</v>
      </c>
      <c r="AF429" s="128">
        <f t="shared" si="265"/>
        <v>7.4226961902520538E-2</v>
      </c>
      <c r="AG429" s="129">
        <f t="shared" si="279"/>
        <v>5786</v>
      </c>
      <c r="AH429" s="101">
        <f t="shared" si="256"/>
        <v>5523</v>
      </c>
      <c r="AI429" s="130">
        <f t="shared" si="266"/>
        <v>429.47720156798385</v>
      </c>
      <c r="AJ429" s="159">
        <f t="shared" si="267"/>
        <v>7.4226961902520538E-2</v>
      </c>
      <c r="AK429" s="290" t="s">
        <v>1034</v>
      </c>
      <c r="AL429" s="291"/>
      <c r="AM429" s="292"/>
      <c r="AN429" s="160"/>
    </row>
    <row r="430" spans="1:40" ht="38.25" thickBot="1" x14ac:dyDescent="0.3">
      <c r="A430" s="84">
        <f t="shared" si="268"/>
        <v>3</v>
      </c>
      <c r="B430" s="198">
        <v>425</v>
      </c>
      <c r="C430" s="51" t="s">
        <v>845</v>
      </c>
      <c r="D430" s="205" t="s">
        <v>1048</v>
      </c>
      <c r="E430" s="60" t="s">
        <v>873</v>
      </c>
      <c r="F430" s="17">
        <v>1</v>
      </c>
      <c r="G430" s="17"/>
      <c r="H430" s="89" t="s">
        <v>1050</v>
      </c>
      <c r="I430" s="126">
        <v>8416</v>
      </c>
      <c r="J430" s="121">
        <f t="shared" si="269"/>
        <v>1599.04</v>
      </c>
      <c r="K430" s="130">
        <f t="shared" si="270"/>
        <v>10015.040000000001</v>
      </c>
      <c r="L430" s="121">
        <f t="shared" si="271"/>
        <v>8416</v>
      </c>
      <c r="M430" s="122">
        <f t="shared" si="272"/>
        <v>10015.040000000001</v>
      </c>
      <c r="N430" s="123">
        <v>8205.6</v>
      </c>
      <c r="O430" s="121">
        <f t="shared" si="273"/>
        <v>1559.0640000000001</v>
      </c>
      <c r="P430" s="110">
        <f t="shared" si="274"/>
        <v>9764.6640000000007</v>
      </c>
      <c r="Q430" s="121">
        <f t="shared" si="275"/>
        <v>8205.6</v>
      </c>
      <c r="R430" s="124">
        <f t="shared" si="276"/>
        <v>9764.6640000000007</v>
      </c>
      <c r="S430" s="125">
        <v>9468</v>
      </c>
      <c r="T430" s="121">
        <f t="shared" si="257"/>
        <v>1798.92</v>
      </c>
      <c r="U430" s="110">
        <f t="shared" si="258"/>
        <v>11266.92</v>
      </c>
      <c r="V430" s="121">
        <f t="shared" si="259"/>
        <v>9468</v>
      </c>
      <c r="W430" s="122">
        <f t="shared" si="260"/>
        <v>11266.92</v>
      </c>
      <c r="X430" s="108"/>
      <c r="Y430" s="121">
        <f t="shared" si="261"/>
        <v>0</v>
      </c>
      <c r="Z430" s="121">
        <f t="shared" si="262"/>
        <v>0</v>
      </c>
      <c r="AA430" s="121">
        <f t="shared" si="263"/>
        <v>0</v>
      </c>
      <c r="AB430" s="124">
        <f t="shared" si="264"/>
        <v>0</v>
      </c>
      <c r="AC430" s="126">
        <f t="shared" si="277"/>
        <v>8697</v>
      </c>
      <c r="AD430" s="101">
        <f t="shared" si="255"/>
        <v>6522</v>
      </c>
      <c r="AE430" s="127">
        <f t="shared" si="278"/>
        <v>552.23041889736157</v>
      </c>
      <c r="AF430" s="128">
        <f t="shared" si="265"/>
        <v>6.3496656191486894E-2</v>
      </c>
      <c r="AG430" s="129">
        <f t="shared" si="279"/>
        <v>8416</v>
      </c>
      <c r="AH430" s="101">
        <f t="shared" si="256"/>
        <v>8311</v>
      </c>
      <c r="AI430" s="130">
        <f t="shared" si="266"/>
        <v>552.23041889736157</v>
      </c>
      <c r="AJ430" s="159">
        <f t="shared" si="267"/>
        <v>6.5616732283431747E-2</v>
      </c>
      <c r="AK430" s="290" t="s">
        <v>1034</v>
      </c>
      <c r="AL430" s="291"/>
      <c r="AM430" s="292"/>
      <c r="AN430" s="160"/>
    </row>
    <row r="431" spans="1:40" ht="30.75" thickBot="1" x14ac:dyDescent="0.3">
      <c r="A431" s="84">
        <f t="shared" si="268"/>
        <v>3</v>
      </c>
      <c r="B431" s="198">
        <v>426</v>
      </c>
      <c r="C431" s="51" t="s">
        <v>874</v>
      </c>
      <c r="D431" s="204" t="s">
        <v>1044</v>
      </c>
      <c r="E431" s="60" t="s">
        <v>875</v>
      </c>
      <c r="F431" s="17">
        <v>1</v>
      </c>
      <c r="G431" s="17"/>
      <c r="H431" s="89" t="s">
        <v>781</v>
      </c>
      <c r="I431" s="126">
        <v>273520</v>
      </c>
      <c r="J431" s="121">
        <f t="shared" si="269"/>
        <v>51968.800000000003</v>
      </c>
      <c r="K431" s="130">
        <f t="shared" si="270"/>
        <v>325488.8</v>
      </c>
      <c r="L431" s="121">
        <f t="shared" si="271"/>
        <v>273520</v>
      </c>
      <c r="M431" s="122">
        <f t="shared" si="272"/>
        <v>325488.8</v>
      </c>
      <c r="N431" s="123">
        <v>241960</v>
      </c>
      <c r="O431" s="121">
        <f t="shared" si="273"/>
        <v>45972.4</v>
      </c>
      <c r="P431" s="110">
        <f t="shared" si="274"/>
        <v>287932.40000000002</v>
      </c>
      <c r="Q431" s="121">
        <f t="shared" si="275"/>
        <v>241960</v>
      </c>
      <c r="R431" s="124">
        <f t="shared" si="276"/>
        <v>287932.40000000002</v>
      </c>
      <c r="S431" s="125">
        <v>294560</v>
      </c>
      <c r="T431" s="121">
        <f t="shared" si="257"/>
        <v>55966.400000000001</v>
      </c>
      <c r="U431" s="110">
        <f t="shared" si="258"/>
        <v>350526.4</v>
      </c>
      <c r="V431" s="121">
        <f t="shared" si="259"/>
        <v>294560</v>
      </c>
      <c r="W431" s="122">
        <f t="shared" si="260"/>
        <v>350526.4</v>
      </c>
      <c r="X431" s="108"/>
      <c r="Y431" s="121">
        <f t="shared" si="261"/>
        <v>0</v>
      </c>
      <c r="Z431" s="121">
        <f t="shared" si="262"/>
        <v>0</v>
      </c>
      <c r="AA431" s="121">
        <f t="shared" si="263"/>
        <v>0</v>
      </c>
      <c r="AB431" s="124">
        <f t="shared" si="264"/>
        <v>0</v>
      </c>
      <c r="AC431" s="126">
        <f t="shared" si="277"/>
        <v>270013</v>
      </c>
      <c r="AD431" s="101">
        <f t="shared" si="255"/>
        <v>202510</v>
      </c>
      <c r="AE431" s="127">
        <f t="shared" si="278"/>
        <v>21616.545103744542</v>
      </c>
      <c r="AF431" s="128">
        <f t="shared" si="265"/>
        <v>8.0057423545327605E-2</v>
      </c>
      <c r="AG431" s="129">
        <f t="shared" si="279"/>
        <v>273520</v>
      </c>
      <c r="AH431" s="101">
        <f t="shared" si="256"/>
        <v>257740</v>
      </c>
      <c r="AI431" s="130">
        <f t="shared" si="266"/>
        <v>21616.545103744542</v>
      </c>
      <c r="AJ431" s="159">
        <f t="shared" si="267"/>
        <v>7.9030948756012506E-2</v>
      </c>
      <c r="AK431" s="290" t="s">
        <v>1034</v>
      </c>
      <c r="AL431" s="291"/>
      <c r="AM431" s="292"/>
      <c r="AN431" s="160"/>
    </row>
    <row r="432" spans="1:40" ht="19.5" thickBot="1" x14ac:dyDescent="0.3">
      <c r="A432" s="84">
        <f t="shared" si="268"/>
        <v>3</v>
      </c>
      <c r="B432" s="198">
        <v>427</v>
      </c>
      <c r="C432" s="51" t="s">
        <v>876</v>
      </c>
      <c r="D432" s="204" t="s">
        <v>1044</v>
      </c>
      <c r="E432" s="60" t="s">
        <v>877</v>
      </c>
      <c r="F432" s="17">
        <v>1</v>
      </c>
      <c r="G432" s="17"/>
      <c r="H432" s="89" t="s">
        <v>781</v>
      </c>
      <c r="I432" s="126">
        <v>2209200</v>
      </c>
      <c r="J432" s="121">
        <f t="shared" si="269"/>
        <v>419748</v>
      </c>
      <c r="K432" s="130">
        <f t="shared" si="270"/>
        <v>2628948</v>
      </c>
      <c r="L432" s="121">
        <f t="shared" si="271"/>
        <v>2209200</v>
      </c>
      <c r="M432" s="122">
        <f t="shared" si="272"/>
        <v>2628948</v>
      </c>
      <c r="N432" s="123">
        <v>2193711.4040000001</v>
      </c>
      <c r="O432" s="121">
        <f t="shared" si="273"/>
        <v>416805.16676000005</v>
      </c>
      <c r="P432" s="110">
        <f t="shared" si="274"/>
        <v>2610516.57076</v>
      </c>
      <c r="Q432" s="121">
        <f t="shared" si="275"/>
        <v>2193711.4040000001</v>
      </c>
      <c r="R432" s="124">
        <f t="shared" si="276"/>
        <v>2610516.57076</v>
      </c>
      <c r="S432" s="125">
        <v>2314400</v>
      </c>
      <c r="T432" s="121">
        <f t="shared" si="257"/>
        <v>439736</v>
      </c>
      <c r="U432" s="110">
        <f t="shared" si="258"/>
        <v>2754136</v>
      </c>
      <c r="V432" s="121">
        <f t="shared" si="259"/>
        <v>2314400</v>
      </c>
      <c r="W432" s="122">
        <f t="shared" si="260"/>
        <v>2754136</v>
      </c>
      <c r="X432" s="108"/>
      <c r="Y432" s="121">
        <f t="shared" si="261"/>
        <v>0</v>
      </c>
      <c r="Z432" s="121">
        <f t="shared" si="262"/>
        <v>0</v>
      </c>
      <c r="AA432" s="121">
        <f t="shared" si="263"/>
        <v>0</v>
      </c>
      <c r="AB432" s="124">
        <f t="shared" si="264"/>
        <v>0</v>
      </c>
      <c r="AC432" s="126">
        <f t="shared" si="277"/>
        <v>2239104</v>
      </c>
      <c r="AD432" s="101">
        <f t="shared" si="255"/>
        <v>1679328</v>
      </c>
      <c r="AE432" s="127">
        <f t="shared" si="278"/>
        <v>53616.616216433009</v>
      </c>
      <c r="AF432" s="128">
        <f t="shared" si="265"/>
        <v>2.3945567609379916E-2</v>
      </c>
      <c r="AG432" s="129">
        <f t="shared" si="279"/>
        <v>2209200</v>
      </c>
      <c r="AH432" s="101">
        <f t="shared" si="256"/>
        <v>2201456</v>
      </c>
      <c r="AI432" s="130">
        <f t="shared" si="266"/>
        <v>53616.616216433009</v>
      </c>
      <c r="AJ432" s="159">
        <f t="shared" si="267"/>
        <v>2.4269697726069621E-2</v>
      </c>
      <c r="AK432" s="290" t="s">
        <v>1034</v>
      </c>
      <c r="AL432" s="291"/>
      <c r="AM432" s="292"/>
      <c r="AN432" s="160"/>
    </row>
    <row r="433" spans="1:40" ht="19.5" thickBot="1" x14ac:dyDescent="0.3">
      <c r="A433" s="84">
        <f t="shared" si="268"/>
        <v>3</v>
      </c>
      <c r="B433" s="198">
        <v>428</v>
      </c>
      <c r="C433" s="51" t="s">
        <v>876</v>
      </c>
      <c r="D433" s="204" t="s">
        <v>1044</v>
      </c>
      <c r="E433" s="60" t="s">
        <v>878</v>
      </c>
      <c r="F433" s="17">
        <v>1</v>
      </c>
      <c r="G433" s="17"/>
      <c r="H433" s="89" t="s">
        <v>28</v>
      </c>
      <c r="I433" s="126">
        <v>1157200</v>
      </c>
      <c r="J433" s="121">
        <f t="shared" si="269"/>
        <v>219868</v>
      </c>
      <c r="K433" s="130">
        <f t="shared" si="270"/>
        <v>1377068</v>
      </c>
      <c r="L433" s="121">
        <f t="shared" si="271"/>
        <v>1157200</v>
      </c>
      <c r="M433" s="122">
        <f t="shared" si="272"/>
        <v>1377068</v>
      </c>
      <c r="N433" s="123">
        <v>1113327.9180000001</v>
      </c>
      <c r="O433" s="121">
        <f t="shared" si="273"/>
        <v>211532.30442</v>
      </c>
      <c r="P433" s="110">
        <f t="shared" si="274"/>
        <v>1324860.22242</v>
      </c>
      <c r="Q433" s="121">
        <f t="shared" si="275"/>
        <v>1113327.9180000001</v>
      </c>
      <c r="R433" s="124">
        <f t="shared" si="276"/>
        <v>1324860.22242</v>
      </c>
      <c r="S433" s="125">
        <v>1262400</v>
      </c>
      <c r="T433" s="121">
        <f t="shared" si="257"/>
        <v>239856</v>
      </c>
      <c r="U433" s="110">
        <f t="shared" si="258"/>
        <v>1502256</v>
      </c>
      <c r="V433" s="121">
        <f t="shared" si="259"/>
        <v>1262400</v>
      </c>
      <c r="W433" s="122">
        <f t="shared" si="260"/>
        <v>1502256</v>
      </c>
      <c r="X433" s="108"/>
      <c r="Y433" s="121">
        <f t="shared" si="261"/>
        <v>0</v>
      </c>
      <c r="Z433" s="121">
        <f t="shared" si="262"/>
        <v>0</v>
      </c>
      <c r="AA433" s="121">
        <f t="shared" si="263"/>
        <v>0</v>
      </c>
      <c r="AB433" s="124">
        <f t="shared" si="264"/>
        <v>0</v>
      </c>
      <c r="AC433" s="126">
        <f t="shared" si="277"/>
        <v>1177643</v>
      </c>
      <c r="AD433" s="101">
        <f t="shared" si="255"/>
        <v>883232</v>
      </c>
      <c r="AE433" s="127">
        <f t="shared" si="278"/>
        <v>62551.565581996627</v>
      </c>
      <c r="AF433" s="128">
        <f t="shared" si="265"/>
        <v>5.3115898096449114E-2</v>
      </c>
      <c r="AG433" s="129">
        <f t="shared" si="279"/>
        <v>1157200</v>
      </c>
      <c r="AH433" s="101">
        <f t="shared" si="256"/>
        <v>1135264</v>
      </c>
      <c r="AI433" s="130">
        <f t="shared" si="266"/>
        <v>62551.565581996627</v>
      </c>
      <c r="AJ433" s="159">
        <f t="shared" si="267"/>
        <v>5.405423918250659E-2</v>
      </c>
      <c r="AK433" s="290" t="s">
        <v>1034</v>
      </c>
      <c r="AL433" s="291"/>
      <c r="AM433" s="292"/>
      <c r="AN433" s="160"/>
    </row>
    <row r="434" spans="1:40" ht="90.75" thickBot="1" x14ac:dyDescent="0.3">
      <c r="A434" s="84">
        <f t="shared" si="268"/>
        <v>3</v>
      </c>
      <c r="B434" s="198">
        <v>429</v>
      </c>
      <c r="C434" s="51" t="s">
        <v>876</v>
      </c>
      <c r="D434" s="204" t="s">
        <v>1044</v>
      </c>
      <c r="E434" s="60" t="s">
        <v>879</v>
      </c>
      <c r="F434" s="17">
        <v>1</v>
      </c>
      <c r="G434" s="17"/>
      <c r="H434" s="89" t="s">
        <v>28</v>
      </c>
      <c r="I434" s="126">
        <v>9994000</v>
      </c>
      <c r="J434" s="121">
        <f t="shared" si="269"/>
        <v>1898860</v>
      </c>
      <c r="K434" s="130">
        <f t="shared" si="270"/>
        <v>11892860</v>
      </c>
      <c r="L434" s="121">
        <f t="shared" si="271"/>
        <v>9994000</v>
      </c>
      <c r="M434" s="122">
        <f t="shared" si="272"/>
        <v>11892860</v>
      </c>
      <c r="N434" s="123">
        <v>7890000</v>
      </c>
      <c r="O434" s="121">
        <f t="shared" si="273"/>
        <v>1499100</v>
      </c>
      <c r="P434" s="110">
        <f t="shared" si="274"/>
        <v>9389100</v>
      </c>
      <c r="Q434" s="121">
        <f t="shared" si="275"/>
        <v>7890000</v>
      </c>
      <c r="R434" s="124">
        <f t="shared" si="276"/>
        <v>9389100</v>
      </c>
      <c r="S434" s="125">
        <v>10520000</v>
      </c>
      <c r="T434" s="121">
        <f t="shared" si="257"/>
        <v>1998800</v>
      </c>
      <c r="U434" s="110">
        <f t="shared" si="258"/>
        <v>12518800</v>
      </c>
      <c r="V434" s="121">
        <f t="shared" si="259"/>
        <v>10520000</v>
      </c>
      <c r="W434" s="122">
        <f t="shared" si="260"/>
        <v>12518800</v>
      </c>
      <c r="X434" s="108"/>
      <c r="Y434" s="121">
        <f t="shared" si="261"/>
        <v>0</v>
      </c>
      <c r="Z434" s="121">
        <f t="shared" si="262"/>
        <v>0</v>
      </c>
      <c r="AA434" s="121">
        <f t="shared" si="263"/>
        <v>0</v>
      </c>
      <c r="AB434" s="124">
        <f t="shared" si="264"/>
        <v>0</v>
      </c>
      <c r="AC434" s="126">
        <f t="shared" si="277"/>
        <v>9468000</v>
      </c>
      <c r="AD434" s="101">
        <f t="shared" si="255"/>
        <v>7101000</v>
      </c>
      <c r="AE434" s="127">
        <f t="shared" si="278"/>
        <v>1136289.8691208449</v>
      </c>
      <c r="AF434" s="128">
        <f t="shared" si="265"/>
        <v>0.1200137166371826</v>
      </c>
      <c r="AG434" s="129">
        <f t="shared" si="279"/>
        <v>9994000</v>
      </c>
      <c r="AH434" s="101">
        <f t="shared" si="256"/>
        <v>8942000</v>
      </c>
      <c r="AI434" s="130">
        <f t="shared" si="266"/>
        <v>1136289.8691208449</v>
      </c>
      <c r="AJ434" s="159">
        <f t="shared" si="267"/>
        <v>0.11369720523522563</v>
      </c>
      <c r="AK434" s="290" t="s">
        <v>1034</v>
      </c>
      <c r="AL434" s="291"/>
      <c r="AM434" s="292"/>
      <c r="AN434" s="160"/>
    </row>
    <row r="435" spans="1:40" ht="30.75" thickBot="1" x14ac:dyDescent="0.3">
      <c r="A435" s="84">
        <f t="shared" si="268"/>
        <v>3</v>
      </c>
      <c r="B435" s="198">
        <v>430</v>
      </c>
      <c r="C435" s="51" t="s">
        <v>876</v>
      </c>
      <c r="D435" s="204" t="s">
        <v>1044</v>
      </c>
      <c r="E435" s="60" t="s">
        <v>880</v>
      </c>
      <c r="F435" s="17">
        <v>1</v>
      </c>
      <c r="G435" s="17"/>
      <c r="H435" s="89" t="s">
        <v>28</v>
      </c>
      <c r="I435" s="126">
        <v>210400</v>
      </c>
      <c r="J435" s="121">
        <f t="shared" si="269"/>
        <v>39976</v>
      </c>
      <c r="K435" s="130">
        <f t="shared" si="270"/>
        <v>250376</v>
      </c>
      <c r="L435" s="121">
        <f t="shared" si="271"/>
        <v>210400</v>
      </c>
      <c r="M435" s="122">
        <f t="shared" si="272"/>
        <v>250376</v>
      </c>
      <c r="N435" s="123">
        <v>199880</v>
      </c>
      <c r="O435" s="121">
        <f t="shared" si="273"/>
        <v>37977.199999999997</v>
      </c>
      <c r="P435" s="110">
        <f t="shared" si="274"/>
        <v>237857.2</v>
      </c>
      <c r="Q435" s="121">
        <f t="shared" si="275"/>
        <v>199880</v>
      </c>
      <c r="R435" s="124">
        <f t="shared" si="276"/>
        <v>237857.2</v>
      </c>
      <c r="S435" s="125">
        <v>231440</v>
      </c>
      <c r="T435" s="121">
        <f t="shared" si="257"/>
        <v>43973.599999999999</v>
      </c>
      <c r="U435" s="110">
        <f t="shared" si="258"/>
        <v>275413.59999999998</v>
      </c>
      <c r="V435" s="121">
        <f t="shared" si="259"/>
        <v>231440</v>
      </c>
      <c r="W435" s="122">
        <f t="shared" si="260"/>
        <v>275413.59999999998</v>
      </c>
      <c r="X435" s="108"/>
      <c r="Y435" s="121">
        <f t="shared" si="261"/>
        <v>0</v>
      </c>
      <c r="Z435" s="121">
        <f t="shared" si="262"/>
        <v>0</v>
      </c>
      <c r="AA435" s="121">
        <f t="shared" si="263"/>
        <v>0</v>
      </c>
      <c r="AB435" s="124">
        <f t="shared" si="264"/>
        <v>0</v>
      </c>
      <c r="AC435" s="126">
        <f t="shared" si="277"/>
        <v>213907</v>
      </c>
      <c r="AD435" s="101">
        <f t="shared" si="255"/>
        <v>160430</v>
      </c>
      <c r="AE435" s="127">
        <f t="shared" si="278"/>
        <v>13120.745236287288</v>
      </c>
      <c r="AF435" s="128">
        <f t="shared" si="265"/>
        <v>6.1338550100217798E-2</v>
      </c>
      <c r="AG435" s="129">
        <f t="shared" si="279"/>
        <v>210400</v>
      </c>
      <c r="AH435" s="101">
        <f t="shared" si="256"/>
        <v>205140</v>
      </c>
      <c r="AI435" s="130">
        <f t="shared" si="266"/>
        <v>13120.745236287288</v>
      </c>
      <c r="AJ435" s="159">
        <f t="shared" si="267"/>
        <v>6.2360956446232359E-2</v>
      </c>
      <c r="AK435" s="290" t="s">
        <v>1034</v>
      </c>
      <c r="AL435" s="291"/>
      <c r="AM435" s="292"/>
      <c r="AN435" s="160"/>
    </row>
    <row r="436" spans="1:40" ht="60.75" thickBot="1" x14ac:dyDescent="0.3">
      <c r="A436" s="84">
        <f t="shared" si="268"/>
        <v>3</v>
      </c>
      <c r="B436" s="198">
        <v>431</v>
      </c>
      <c r="C436" s="51" t="s">
        <v>881</v>
      </c>
      <c r="D436" s="204" t="s">
        <v>1044</v>
      </c>
      <c r="E436" s="60" t="s">
        <v>882</v>
      </c>
      <c r="F436" s="17">
        <v>1</v>
      </c>
      <c r="G436" s="17"/>
      <c r="H436" s="89" t="s">
        <v>28</v>
      </c>
      <c r="I436" s="126">
        <v>53652</v>
      </c>
      <c r="J436" s="121">
        <f t="shared" si="269"/>
        <v>10193.880000000001</v>
      </c>
      <c r="K436" s="130">
        <f t="shared" si="270"/>
        <v>63845.880000000005</v>
      </c>
      <c r="L436" s="121">
        <f t="shared" si="271"/>
        <v>53652</v>
      </c>
      <c r="M436" s="122">
        <f t="shared" si="272"/>
        <v>63845.880000000005</v>
      </c>
      <c r="N436" s="123">
        <v>53967.600000000006</v>
      </c>
      <c r="O436" s="121">
        <f t="shared" si="273"/>
        <v>10253.844000000001</v>
      </c>
      <c r="P436" s="110">
        <f t="shared" si="274"/>
        <v>64221.444000000003</v>
      </c>
      <c r="Q436" s="121">
        <f t="shared" si="275"/>
        <v>53967.600000000006</v>
      </c>
      <c r="R436" s="124">
        <f t="shared" si="276"/>
        <v>64221.444000000003</v>
      </c>
      <c r="S436" s="125">
        <v>63120</v>
      </c>
      <c r="T436" s="121">
        <f t="shared" si="257"/>
        <v>11992.8</v>
      </c>
      <c r="U436" s="110">
        <f t="shared" si="258"/>
        <v>75112.800000000003</v>
      </c>
      <c r="V436" s="121">
        <f t="shared" si="259"/>
        <v>63120</v>
      </c>
      <c r="W436" s="122">
        <f t="shared" si="260"/>
        <v>75112.800000000003</v>
      </c>
      <c r="X436" s="108"/>
      <c r="Y436" s="121">
        <f t="shared" si="261"/>
        <v>0</v>
      </c>
      <c r="Z436" s="121">
        <f t="shared" si="262"/>
        <v>0</v>
      </c>
      <c r="AA436" s="121">
        <f t="shared" si="263"/>
        <v>0</v>
      </c>
      <c r="AB436" s="124">
        <f t="shared" si="264"/>
        <v>0</v>
      </c>
      <c r="AC436" s="126">
        <f t="shared" si="277"/>
        <v>56913</v>
      </c>
      <c r="AD436" s="101">
        <f t="shared" si="255"/>
        <v>42685</v>
      </c>
      <c r="AE436" s="127">
        <f t="shared" si="278"/>
        <v>4390.7611731908155</v>
      </c>
      <c r="AF436" s="128">
        <f t="shared" si="265"/>
        <v>7.7148650979403918E-2</v>
      </c>
      <c r="AG436" s="129">
        <f t="shared" si="279"/>
        <v>53968</v>
      </c>
      <c r="AH436" s="101">
        <f t="shared" si="256"/>
        <v>53810</v>
      </c>
      <c r="AI436" s="130">
        <f t="shared" si="266"/>
        <v>4390.7611731908155</v>
      </c>
      <c r="AJ436" s="159">
        <f t="shared" si="267"/>
        <v>8.1358604602557352E-2</v>
      </c>
      <c r="AK436" s="290" t="s">
        <v>1034</v>
      </c>
      <c r="AL436" s="291"/>
      <c r="AM436" s="292"/>
      <c r="AN436" s="160"/>
    </row>
    <row r="437" spans="1:40" ht="45.75" thickBot="1" x14ac:dyDescent="0.3">
      <c r="A437" s="84">
        <f t="shared" si="268"/>
        <v>3</v>
      </c>
      <c r="B437" s="198">
        <v>432</v>
      </c>
      <c r="C437" s="51" t="s">
        <v>883</v>
      </c>
      <c r="D437" s="204" t="s">
        <v>1044</v>
      </c>
      <c r="E437" s="60" t="s">
        <v>884</v>
      </c>
      <c r="F437" s="17">
        <v>1</v>
      </c>
      <c r="G437" s="17"/>
      <c r="H437" s="89" t="s">
        <v>781</v>
      </c>
      <c r="I437" s="126">
        <v>357680</v>
      </c>
      <c r="J437" s="121">
        <f t="shared" si="269"/>
        <v>67959.199999999997</v>
      </c>
      <c r="K437" s="130">
        <f t="shared" si="270"/>
        <v>425639.2</v>
      </c>
      <c r="L437" s="121">
        <f t="shared" si="271"/>
        <v>357680</v>
      </c>
      <c r="M437" s="122">
        <f t="shared" si="272"/>
        <v>425639.2</v>
      </c>
      <c r="N437" s="123">
        <v>358258.60000000003</v>
      </c>
      <c r="O437" s="121">
        <f t="shared" si="273"/>
        <v>68069.134000000005</v>
      </c>
      <c r="P437" s="110">
        <f t="shared" si="274"/>
        <v>426327.73400000005</v>
      </c>
      <c r="Q437" s="121">
        <f t="shared" si="275"/>
        <v>358258.60000000003</v>
      </c>
      <c r="R437" s="124">
        <f t="shared" si="276"/>
        <v>426327.73400000005</v>
      </c>
      <c r="S437" s="125">
        <v>336640</v>
      </c>
      <c r="T437" s="121">
        <f t="shared" si="257"/>
        <v>63961.599999999999</v>
      </c>
      <c r="U437" s="110">
        <f t="shared" si="258"/>
        <v>400601.59999999998</v>
      </c>
      <c r="V437" s="121">
        <f t="shared" si="259"/>
        <v>336640</v>
      </c>
      <c r="W437" s="122">
        <f t="shared" si="260"/>
        <v>400601.59999999998</v>
      </c>
      <c r="X437" s="108"/>
      <c r="Y437" s="121">
        <f t="shared" si="261"/>
        <v>0</v>
      </c>
      <c r="Z437" s="121">
        <f t="shared" si="262"/>
        <v>0</v>
      </c>
      <c r="AA437" s="121">
        <f t="shared" si="263"/>
        <v>0</v>
      </c>
      <c r="AB437" s="124">
        <f t="shared" si="264"/>
        <v>0</v>
      </c>
      <c r="AC437" s="126">
        <f t="shared" si="277"/>
        <v>350860</v>
      </c>
      <c r="AD437" s="101">
        <f t="shared" si="255"/>
        <v>263145</v>
      </c>
      <c r="AE437" s="127">
        <f t="shared" si="278"/>
        <v>10057.502693788143</v>
      </c>
      <c r="AF437" s="128">
        <f t="shared" si="265"/>
        <v>2.8665287276372749E-2</v>
      </c>
      <c r="AG437" s="129">
        <f t="shared" si="279"/>
        <v>357680</v>
      </c>
      <c r="AH437" s="101">
        <f t="shared" si="256"/>
        <v>347160</v>
      </c>
      <c r="AI437" s="130">
        <f t="shared" si="266"/>
        <v>10057.502693788143</v>
      </c>
      <c r="AJ437" s="159">
        <f t="shared" si="267"/>
        <v>2.8118716992250457E-2</v>
      </c>
      <c r="AK437" s="290" t="s">
        <v>1034</v>
      </c>
      <c r="AL437" s="291"/>
      <c r="AM437" s="292"/>
      <c r="AN437" s="160"/>
    </row>
    <row r="438" spans="1:40" ht="120" customHeight="1" thickBot="1" x14ac:dyDescent="0.3">
      <c r="A438" s="84">
        <f t="shared" si="268"/>
        <v>3</v>
      </c>
      <c r="B438" s="198">
        <v>433</v>
      </c>
      <c r="C438" s="51" t="s">
        <v>885</v>
      </c>
      <c r="D438" s="204" t="s">
        <v>1044</v>
      </c>
      <c r="E438" s="64" t="s">
        <v>886</v>
      </c>
      <c r="F438" s="17">
        <v>1</v>
      </c>
      <c r="G438" s="17"/>
      <c r="H438" s="89" t="s">
        <v>28</v>
      </c>
      <c r="I438" s="126">
        <v>473400</v>
      </c>
      <c r="J438" s="121">
        <f t="shared" si="269"/>
        <v>89946</v>
      </c>
      <c r="K438" s="130">
        <f t="shared" si="270"/>
        <v>563346</v>
      </c>
      <c r="L438" s="121">
        <f t="shared" si="271"/>
        <v>473400</v>
      </c>
      <c r="M438" s="122">
        <f t="shared" si="272"/>
        <v>563346</v>
      </c>
      <c r="N438" s="123">
        <v>467614</v>
      </c>
      <c r="O438" s="121">
        <f t="shared" si="273"/>
        <v>88846.66</v>
      </c>
      <c r="P438" s="110">
        <f t="shared" si="274"/>
        <v>556460.66</v>
      </c>
      <c r="Q438" s="121">
        <f t="shared" si="275"/>
        <v>467614</v>
      </c>
      <c r="R438" s="124">
        <f t="shared" si="276"/>
        <v>556460.66</v>
      </c>
      <c r="S438" s="125">
        <v>441840</v>
      </c>
      <c r="T438" s="121">
        <f t="shared" si="257"/>
        <v>83949.6</v>
      </c>
      <c r="U438" s="110">
        <f t="shared" si="258"/>
        <v>525789.6</v>
      </c>
      <c r="V438" s="121">
        <f t="shared" si="259"/>
        <v>441840</v>
      </c>
      <c r="W438" s="122">
        <f t="shared" si="260"/>
        <v>525789.6</v>
      </c>
      <c r="X438" s="108"/>
      <c r="Y438" s="121">
        <f t="shared" si="261"/>
        <v>0</v>
      </c>
      <c r="Z438" s="121">
        <f t="shared" si="262"/>
        <v>0</v>
      </c>
      <c r="AA438" s="121">
        <f t="shared" si="263"/>
        <v>0</v>
      </c>
      <c r="AB438" s="124">
        <f t="shared" si="264"/>
        <v>0</v>
      </c>
      <c r="AC438" s="126">
        <f t="shared" si="277"/>
        <v>460951</v>
      </c>
      <c r="AD438" s="101">
        <f t="shared" si="255"/>
        <v>345714</v>
      </c>
      <c r="AE438" s="127">
        <f t="shared" si="278"/>
        <v>13718.642919602346</v>
      </c>
      <c r="AF438" s="128">
        <f t="shared" si="265"/>
        <v>2.9761607892384107E-2</v>
      </c>
      <c r="AG438" s="129">
        <f t="shared" si="279"/>
        <v>467614</v>
      </c>
      <c r="AH438" s="101">
        <f t="shared" si="256"/>
        <v>454727</v>
      </c>
      <c r="AI438" s="130">
        <f t="shared" si="266"/>
        <v>13718.642919602346</v>
      </c>
      <c r="AJ438" s="159">
        <f t="shared" si="267"/>
        <v>2.9337536770931465E-2</v>
      </c>
      <c r="AK438" s="290" t="s">
        <v>1034</v>
      </c>
      <c r="AL438" s="291"/>
      <c r="AM438" s="292"/>
      <c r="AN438" s="160"/>
    </row>
    <row r="439" spans="1:40" ht="130.5" customHeight="1" thickBot="1" x14ac:dyDescent="0.3">
      <c r="A439" s="84">
        <f t="shared" si="268"/>
        <v>3</v>
      </c>
      <c r="B439" s="198">
        <v>434</v>
      </c>
      <c r="C439" s="51" t="s">
        <v>885</v>
      </c>
      <c r="D439" s="204" t="s">
        <v>1044</v>
      </c>
      <c r="E439" s="64" t="s">
        <v>887</v>
      </c>
      <c r="F439" s="17">
        <v>1</v>
      </c>
      <c r="G439" s="17"/>
      <c r="H439" s="89" t="s">
        <v>28</v>
      </c>
      <c r="I439" s="126">
        <v>220920</v>
      </c>
      <c r="J439" s="121">
        <f t="shared" si="269"/>
        <v>41974.8</v>
      </c>
      <c r="K439" s="130">
        <f t="shared" si="270"/>
        <v>262894.8</v>
      </c>
      <c r="L439" s="121">
        <f t="shared" si="271"/>
        <v>220920</v>
      </c>
      <c r="M439" s="122">
        <f t="shared" si="272"/>
        <v>262894.8</v>
      </c>
      <c r="N439" s="123">
        <v>221235.6</v>
      </c>
      <c r="O439" s="121">
        <f t="shared" si="273"/>
        <v>42034.764000000003</v>
      </c>
      <c r="P439" s="110">
        <f t="shared" si="274"/>
        <v>263270.364</v>
      </c>
      <c r="Q439" s="121">
        <f t="shared" si="275"/>
        <v>221235.6</v>
      </c>
      <c r="R439" s="124">
        <f t="shared" si="276"/>
        <v>263270.364</v>
      </c>
      <c r="S439" s="125">
        <v>241960</v>
      </c>
      <c r="T439" s="121">
        <f t="shared" si="257"/>
        <v>45972.4</v>
      </c>
      <c r="U439" s="110">
        <f t="shared" si="258"/>
        <v>287932.40000000002</v>
      </c>
      <c r="V439" s="121">
        <f t="shared" si="259"/>
        <v>241960</v>
      </c>
      <c r="W439" s="122">
        <f t="shared" si="260"/>
        <v>287932.40000000002</v>
      </c>
      <c r="X439" s="108"/>
      <c r="Y439" s="121">
        <f t="shared" si="261"/>
        <v>0</v>
      </c>
      <c r="Z439" s="121">
        <f t="shared" si="262"/>
        <v>0</v>
      </c>
      <c r="AA439" s="121">
        <f t="shared" si="263"/>
        <v>0</v>
      </c>
      <c r="AB439" s="124">
        <f t="shared" si="264"/>
        <v>0</v>
      </c>
      <c r="AC439" s="126">
        <f t="shared" si="277"/>
        <v>228039</v>
      </c>
      <c r="AD439" s="101">
        <f t="shared" si="255"/>
        <v>171029</v>
      </c>
      <c r="AE439" s="127">
        <f t="shared" si="278"/>
        <v>9844.8066327153192</v>
      </c>
      <c r="AF439" s="128">
        <f t="shared" si="265"/>
        <v>4.3171591844883193E-2</v>
      </c>
      <c r="AG439" s="129">
        <f t="shared" si="279"/>
        <v>221236</v>
      </c>
      <c r="AH439" s="101">
        <f t="shared" si="256"/>
        <v>221078</v>
      </c>
      <c r="AI439" s="130">
        <f t="shared" si="266"/>
        <v>9844.8066327153192</v>
      </c>
      <c r="AJ439" s="159">
        <f t="shared" si="267"/>
        <v>4.4499116928146051E-2</v>
      </c>
      <c r="AK439" s="290" t="s">
        <v>1034</v>
      </c>
      <c r="AL439" s="291"/>
      <c r="AM439" s="292"/>
      <c r="AN439" s="160"/>
    </row>
    <row r="440" spans="1:40" ht="26.25" thickBot="1" x14ac:dyDescent="0.3">
      <c r="A440" s="84">
        <f t="shared" si="268"/>
        <v>3</v>
      </c>
      <c r="B440" s="198">
        <v>435</v>
      </c>
      <c r="C440" s="51" t="s">
        <v>888</v>
      </c>
      <c r="D440" s="204" t="s">
        <v>1044</v>
      </c>
      <c r="E440" s="63" t="s">
        <v>889</v>
      </c>
      <c r="F440" s="17">
        <v>1</v>
      </c>
      <c r="G440" s="17"/>
      <c r="H440" s="89" t="s">
        <v>28</v>
      </c>
      <c r="I440" s="126">
        <v>526000</v>
      </c>
      <c r="J440" s="121">
        <f t="shared" si="269"/>
        <v>99940</v>
      </c>
      <c r="K440" s="130">
        <f t="shared" si="270"/>
        <v>625940</v>
      </c>
      <c r="L440" s="121">
        <f t="shared" si="271"/>
        <v>526000</v>
      </c>
      <c r="M440" s="122">
        <f t="shared" si="272"/>
        <v>625940</v>
      </c>
      <c r="N440" s="123">
        <v>515625.17600000004</v>
      </c>
      <c r="O440" s="121">
        <f t="shared" si="273"/>
        <v>97968.783440000014</v>
      </c>
      <c r="P440" s="110">
        <f t="shared" si="274"/>
        <v>613593.95944000001</v>
      </c>
      <c r="Q440" s="121">
        <f t="shared" si="275"/>
        <v>515625.17600000004</v>
      </c>
      <c r="R440" s="124">
        <f t="shared" si="276"/>
        <v>613593.95944000001</v>
      </c>
      <c r="S440" s="125">
        <v>568080</v>
      </c>
      <c r="T440" s="121">
        <f t="shared" si="257"/>
        <v>107935.2</v>
      </c>
      <c r="U440" s="110">
        <f t="shared" si="258"/>
        <v>676015.2</v>
      </c>
      <c r="V440" s="121">
        <f t="shared" si="259"/>
        <v>568080</v>
      </c>
      <c r="W440" s="122">
        <f t="shared" si="260"/>
        <v>676015.2</v>
      </c>
      <c r="X440" s="108"/>
      <c r="Y440" s="121">
        <f t="shared" si="261"/>
        <v>0</v>
      </c>
      <c r="Z440" s="121">
        <f t="shared" si="262"/>
        <v>0</v>
      </c>
      <c r="AA440" s="121">
        <f t="shared" si="263"/>
        <v>0</v>
      </c>
      <c r="AB440" s="124">
        <f t="shared" si="264"/>
        <v>0</v>
      </c>
      <c r="AC440" s="126">
        <f t="shared" si="277"/>
        <v>536568</v>
      </c>
      <c r="AD440" s="101">
        <f t="shared" si="255"/>
        <v>402426</v>
      </c>
      <c r="AE440" s="127">
        <f t="shared" si="278"/>
        <v>22681.054095389707</v>
      </c>
      <c r="AF440" s="128">
        <f t="shared" si="265"/>
        <v>4.2270605208267559E-2</v>
      </c>
      <c r="AG440" s="129">
        <f t="shared" si="279"/>
        <v>526000</v>
      </c>
      <c r="AH440" s="101">
        <f t="shared" si="256"/>
        <v>520813</v>
      </c>
      <c r="AI440" s="130">
        <f t="shared" si="266"/>
        <v>22681.054095389707</v>
      </c>
      <c r="AJ440" s="159">
        <f t="shared" si="267"/>
        <v>4.3119874706064085E-2</v>
      </c>
      <c r="AK440" s="290" t="s">
        <v>1034</v>
      </c>
      <c r="AL440" s="291"/>
      <c r="AM440" s="292"/>
      <c r="AN440" s="160"/>
    </row>
    <row r="441" spans="1:40" ht="51.75" thickBot="1" x14ac:dyDescent="0.3">
      <c r="A441" s="84">
        <f t="shared" si="268"/>
        <v>3</v>
      </c>
      <c r="B441" s="198">
        <v>436</v>
      </c>
      <c r="C441" s="51" t="s">
        <v>888</v>
      </c>
      <c r="D441" s="204" t="s">
        <v>1044</v>
      </c>
      <c r="E441" s="63" t="s">
        <v>890</v>
      </c>
      <c r="F441" s="17">
        <v>1</v>
      </c>
      <c r="G441" s="17"/>
      <c r="H441" s="89" t="s">
        <v>28</v>
      </c>
      <c r="I441" s="126">
        <v>378720</v>
      </c>
      <c r="J441" s="121">
        <f t="shared" si="269"/>
        <v>71956.800000000003</v>
      </c>
      <c r="K441" s="130">
        <f t="shared" si="270"/>
        <v>450676.8</v>
      </c>
      <c r="L441" s="121">
        <f t="shared" si="271"/>
        <v>378720</v>
      </c>
      <c r="M441" s="122">
        <f t="shared" si="272"/>
        <v>450676.8</v>
      </c>
      <c r="N441" s="123">
        <v>360862.3</v>
      </c>
      <c r="O441" s="121">
        <f t="shared" si="273"/>
        <v>68563.837</v>
      </c>
      <c r="P441" s="110">
        <f t="shared" si="274"/>
        <v>429426.13699999999</v>
      </c>
      <c r="Q441" s="121">
        <f t="shared" si="275"/>
        <v>360862.3</v>
      </c>
      <c r="R441" s="124">
        <f t="shared" si="276"/>
        <v>429426.13699999999</v>
      </c>
      <c r="S441" s="125">
        <v>357680</v>
      </c>
      <c r="T441" s="121">
        <f t="shared" si="257"/>
        <v>67959.199999999997</v>
      </c>
      <c r="U441" s="110">
        <f t="shared" si="258"/>
        <v>425639.2</v>
      </c>
      <c r="V441" s="121">
        <f t="shared" si="259"/>
        <v>357680</v>
      </c>
      <c r="W441" s="122">
        <f t="shared" si="260"/>
        <v>425639.2</v>
      </c>
      <c r="X441" s="108"/>
      <c r="Y441" s="121">
        <f t="shared" si="261"/>
        <v>0</v>
      </c>
      <c r="Z441" s="121">
        <f t="shared" si="262"/>
        <v>0</v>
      </c>
      <c r="AA441" s="121">
        <f t="shared" si="263"/>
        <v>0</v>
      </c>
      <c r="AB441" s="124">
        <f t="shared" si="264"/>
        <v>0</v>
      </c>
      <c r="AC441" s="126">
        <f t="shared" si="277"/>
        <v>365754</v>
      </c>
      <c r="AD441" s="101">
        <f t="shared" si="255"/>
        <v>274316</v>
      </c>
      <c r="AE441" s="127">
        <f t="shared" si="278"/>
        <v>9259.866105223482</v>
      </c>
      <c r="AF441" s="128">
        <f t="shared" si="265"/>
        <v>2.5317197092098738E-2</v>
      </c>
      <c r="AG441" s="129">
        <f t="shared" si="279"/>
        <v>360862</v>
      </c>
      <c r="AH441" s="101">
        <f t="shared" si="256"/>
        <v>359271</v>
      </c>
      <c r="AI441" s="130">
        <f t="shared" si="266"/>
        <v>9259.866105223482</v>
      </c>
      <c r="AJ441" s="159">
        <f t="shared" si="267"/>
        <v>2.5660407871218035E-2</v>
      </c>
      <c r="AK441" s="290" t="s">
        <v>1034</v>
      </c>
      <c r="AL441" s="291"/>
      <c r="AM441" s="292"/>
      <c r="AN441" s="160"/>
    </row>
    <row r="442" spans="1:40" ht="90" thickBot="1" x14ac:dyDescent="0.3">
      <c r="A442" s="84">
        <f t="shared" si="268"/>
        <v>3</v>
      </c>
      <c r="B442" s="198">
        <v>437</v>
      </c>
      <c r="C442" s="51" t="s">
        <v>891</v>
      </c>
      <c r="D442" s="204" t="s">
        <v>1044</v>
      </c>
      <c r="E442" s="63" t="s">
        <v>892</v>
      </c>
      <c r="F442" s="17">
        <v>1</v>
      </c>
      <c r="G442" s="17"/>
      <c r="H442" s="89" t="s">
        <v>28</v>
      </c>
      <c r="I442" s="126">
        <v>63120</v>
      </c>
      <c r="J442" s="121">
        <f t="shared" si="269"/>
        <v>11992.8</v>
      </c>
      <c r="K442" s="130">
        <f t="shared" si="270"/>
        <v>75112.800000000003</v>
      </c>
      <c r="L442" s="121">
        <f t="shared" si="271"/>
        <v>63120</v>
      </c>
      <c r="M442" s="122">
        <f t="shared" si="272"/>
        <v>75112.800000000003</v>
      </c>
      <c r="N442" s="123">
        <v>50496</v>
      </c>
      <c r="O442" s="121">
        <f t="shared" si="273"/>
        <v>9594.24</v>
      </c>
      <c r="P442" s="110">
        <f t="shared" si="274"/>
        <v>60090.239999999998</v>
      </c>
      <c r="Q442" s="121">
        <f t="shared" si="275"/>
        <v>50496</v>
      </c>
      <c r="R442" s="124">
        <f t="shared" si="276"/>
        <v>60090.239999999998</v>
      </c>
      <c r="S442" s="125">
        <v>84160</v>
      </c>
      <c r="T442" s="121">
        <f t="shared" si="257"/>
        <v>15990.4</v>
      </c>
      <c r="U442" s="110">
        <f t="shared" si="258"/>
        <v>100150.39999999999</v>
      </c>
      <c r="V442" s="121">
        <f t="shared" si="259"/>
        <v>84160</v>
      </c>
      <c r="W442" s="122">
        <f t="shared" si="260"/>
        <v>100150.39999999999</v>
      </c>
      <c r="X442" s="108"/>
      <c r="Y442" s="121">
        <f t="shared" si="261"/>
        <v>0</v>
      </c>
      <c r="Z442" s="121">
        <f t="shared" si="262"/>
        <v>0</v>
      </c>
      <c r="AA442" s="121">
        <f t="shared" si="263"/>
        <v>0</v>
      </c>
      <c r="AB442" s="124">
        <f t="shared" si="264"/>
        <v>0</v>
      </c>
      <c r="AC442" s="126">
        <f t="shared" si="277"/>
        <v>65925</v>
      </c>
      <c r="AD442" s="101">
        <f t="shared" si="255"/>
        <v>49444</v>
      </c>
      <c r="AE442" s="127">
        <f t="shared" si="278"/>
        <v>13885.691564420629</v>
      </c>
      <c r="AF442" s="128">
        <f t="shared" si="265"/>
        <v>0.21062861682852679</v>
      </c>
      <c r="AG442" s="129">
        <f t="shared" si="279"/>
        <v>63120</v>
      </c>
      <c r="AH442" s="101">
        <f t="shared" si="256"/>
        <v>56808</v>
      </c>
      <c r="AI442" s="130">
        <f t="shared" si="266"/>
        <v>13885.691564420629</v>
      </c>
      <c r="AJ442" s="159">
        <f t="shared" si="267"/>
        <v>0.21998877636914813</v>
      </c>
      <c r="AK442" s="290" t="s">
        <v>1034</v>
      </c>
      <c r="AL442" s="291"/>
      <c r="AM442" s="292"/>
      <c r="AN442" s="160"/>
    </row>
    <row r="443" spans="1:40" ht="115.5" thickBot="1" x14ac:dyDescent="0.3">
      <c r="A443" s="84">
        <f t="shared" si="268"/>
        <v>3</v>
      </c>
      <c r="B443" s="198">
        <v>438</v>
      </c>
      <c r="C443" s="51" t="s">
        <v>891</v>
      </c>
      <c r="D443" s="204" t="s">
        <v>1044</v>
      </c>
      <c r="E443" s="63" t="s">
        <v>893</v>
      </c>
      <c r="F443" s="17">
        <v>1</v>
      </c>
      <c r="G443" s="17"/>
      <c r="H443" s="89" t="s">
        <v>28</v>
      </c>
      <c r="I443" s="126">
        <v>29456</v>
      </c>
      <c r="J443" s="121">
        <f t="shared" si="269"/>
        <v>5596.64</v>
      </c>
      <c r="K443" s="130">
        <f t="shared" si="270"/>
        <v>35052.639999999999</v>
      </c>
      <c r="L443" s="121">
        <f t="shared" si="271"/>
        <v>29456</v>
      </c>
      <c r="M443" s="122">
        <f t="shared" si="272"/>
        <v>35052.639999999999</v>
      </c>
      <c r="N443" s="123">
        <v>25248</v>
      </c>
      <c r="O443" s="121">
        <f t="shared" si="273"/>
        <v>4797.12</v>
      </c>
      <c r="P443" s="110">
        <f t="shared" si="274"/>
        <v>30045.119999999999</v>
      </c>
      <c r="Q443" s="121">
        <f t="shared" si="275"/>
        <v>25248</v>
      </c>
      <c r="R443" s="124">
        <f t="shared" si="276"/>
        <v>30045.119999999999</v>
      </c>
      <c r="S443" s="125">
        <v>27352</v>
      </c>
      <c r="T443" s="121">
        <f t="shared" si="257"/>
        <v>5196.88</v>
      </c>
      <c r="U443" s="110">
        <f t="shared" si="258"/>
        <v>32548.880000000001</v>
      </c>
      <c r="V443" s="121">
        <f t="shared" si="259"/>
        <v>27352</v>
      </c>
      <c r="W443" s="122">
        <f t="shared" si="260"/>
        <v>32548.880000000001</v>
      </c>
      <c r="X443" s="108"/>
      <c r="Y443" s="121">
        <f t="shared" si="261"/>
        <v>0</v>
      </c>
      <c r="Z443" s="121">
        <f t="shared" si="262"/>
        <v>0</v>
      </c>
      <c r="AA443" s="121">
        <f t="shared" si="263"/>
        <v>0</v>
      </c>
      <c r="AB443" s="124">
        <f t="shared" si="264"/>
        <v>0</v>
      </c>
      <c r="AC443" s="126">
        <f t="shared" si="277"/>
        <v>27352</v>
      </c>
      <c r="AD443" s="101">
        <f t="shared" si="255"/>
        <v>20514</v>
      </c>
      <c r="AE443" s="127">
        <f t="shared" si="278"/>
        <v>1717.9088062719354</v>
      </c>
      <c r="AF443" s="128">
        <f t="shared" si="265"/>
        <v>6.2807429302132761E-2</v>
      </c>
      <c r="AG443" s="129">
        <f t="shared" si="279"/>
        <v>27352</v>
      </c>
      <c r="AH443" s="101">
        <f t="shared" si="256"/>
        <v>26300</v>
      </c>
      <c r="AI443" s="130">
        <f t="shared" si="266"/>
        <v>1717.9088062719354</v>
      </c>
      <c r="AJ443" s="159">
        <f t="shared" si="267"/>
        <v>6.2807429302132761E-2</v>
      </c>
      <c r="AK443" s="290" t="s">
        <v>1034</v>
      </c>
      <c r="AL443" s="291"/>
      <c r="AM443" s="292"/>
      <c r="AN443" s="160"/>
    </row>
    <row r="444" spans="1:40" ht="64.5" thickBot="1" x14ac:dyDescent="0.3">
      <c r="A444" s="84">
        <f t="shared" si="268"/>
        <v>3</v>
      </c>
      <c r="B444" s="198">
        <v>439</v>
      </c>
      <c r="C444" s="51" t="s">
        <v>894</v>
      </c>
      <c r="D444" s="204" t="s">
        <v>1048</v>
      </c>
      <c r="E444" s="64" t="s">
        <v>895</v>
      </c>
      <c r="F444" s="17">
        <v>1</v>
      </c>
      <c r="G444" s="17"/>
      <c r="H444" s="89" t="s">
        <v>1050</v>
      </c>
      <c r="I444" s="126">
        <v>28404</v>
      </c>
      <c r="J444" s="121">
        <f t="shared" si="269"/>
        <v>5396.76</v>
      </c>
      <c r="K444" s="130">
        <f t="shared" si="270"/>
        <v>33800.76</v>
      </c>
      <c r="L444" s="121">
        <f t="shared" si="271"/>
        <v>28404</v>
      </c>
      <c r="M444" s="122">
        <f t="shared" si="272"/>
        <v>33800.76</v>
      </c>
      <c r="N444" s="123">
        <v>27352</v>
      </c>
      <c r="O444" s="121">
        <f t="shared" si="273"/>
        <v>5196.88</v>
      </c>
      <c r="P444" s="110">
        <f t="shared" si="274"/>
        <v>32548.880000000001</v>
      </c>
      <c r="Q444" s="121">
        <f t="shared" si="275"/>
        <v>27352</v>
      </c>
      <c r="R444" s="124">
        <f t="shared" si="276"/>
        <v>32548.880000000001</v>
      </c>
      <c r="S444" s="125">
        <v>30508</v>
      </c>
      <c r="T444" s="121">
        <f t="shared" si="257"/>
        <v>5796.52</v>
      </c>
      <c r="U444" s="110">
        <f t="shared" si="258"/>
        <v>36304.520000000004</v>
      </c>
      <c r="V444" s="121">
        <f t="shared" si="259"/>
        <v>30508</v>
      </c>
      <c r="W444" s="122">
        <f t="shared" si="260"/>
        <v>36304.520000000004</v>
      </c>
      <c r="X444" s="108"/>
      <c r="Y444" s="121">
        <f t="shared" si="261"/>
        <v>0</v>
      </c>
      <c r="Z444" s="121">
        <f t="shared" si="262"/>
        <v>0</v>
      </c>
      <c r="AA444" s="121">
        <f t="shared" si="263"/>
        <v>0</v>
      </c>
      <c r="AB444" s="124">
        <f t="shared" si="264"/>
        <v>0</v>
      </c>
      <c r="AC444" s="126">
        <f t="shared" si="277"/>
        <v>28755</v>
      </c>
      <c r="AD444" s="101">
        <f t="shared" si="255"/>
        <v>21566</v>
      </c>
      <c r="AE444" s="127">
        <f t="shared" si="278"/>
        <v>1312.0745236287287</v>
      </c>
      <c r="AF444" s="128">
        <f t="shared" si="265"/>
        <v>4.5629439180272256E-2</v>
      </c>
      <c r="AG444" s="129">
        <f t="shared" si="279"/>
        <v>28404</v>
      </c>
      <c r="AH444" s="101">
        <f t="shared" si="256"/>
        <v>27878</v>
      </c>
      <c r="AI444" s="130">
        <f t="shared" si="266"/>
        <v>1312.0745236287287</v>
      </c>
      <c r="AJ444" s="159">
        <f t="shared" si="267"/>
        <v>4.6193301071283221E-2</v>
      </c>
      <c r="AK444" s="290" t="s">
        <v>1034</v>
      </c>
      <c r="AL444" s="291"/>
      <c r="AM444" s="292"/>
      <c r="AN444" s="160"/>
    </row>
    <row r="445" spans="1:40" ht="64.5" thickBot="1" x14ac:dyDescent="0.3">
      <c r="A445" s="84">
        <f t="shared" si="268"/>
        <v>3</v>
      </c>
      <c r="B445" s="198">
        <v>440</v>
      </c>
      <c r="C445" s="51" t="s">
        <v>894</v>
      </c>
      <c r="D445" s="204" t="s">
        <v>1048</v>
      </c>
      <c r="E445" s="64" t="s">
        <v>896</v>
      </c>
      <c r="F445" s="17">
        <v>1</v>
      </c>
      <c r="G445" s="17"/>
      <c r="H445" s="89" t="s">
        <v>1050</v>
      </c>
      <c r="I445" s="126">
        <v>25248</v>
      </c>
      <c r="J445" s="121">
        <f t="shared" si="269"/>
        <v>4797.12</v>
      </c>
      <c r="K445" s="130">
        <f t="shared" si="270"/>
        <v>30045.119999999999</v>
      </c>
      <c r="L445" s="121">
        <f t="shared" si="271"/>
        <v>25248</v>
      </c>
      <c r="M445" s="122">
        <f t="shared" si="272"/>
        <v>30045.119999999999</v>
      </c>
      <c r="N445" s="123">
        <v>24196</v>
      </c>
      <c r="O445" s="121">
        <f t="shared" si="273"/>
        <v>4597.24</v>
      </c>
      <c r="P445" s="110">
        <f t="shared" si="274"/>
        <v>28793.239999999998</v>
      </c>
      <c r="Q445" s="121">
        <f t="shared" si="275"/>
        <v>24196</v>
      </c>
      <c r="R445" s="124">
        <f t="shared" si="276"/>
        <v>28793.239999999998</v>
      </c>
      <c r="S445" s="125">
        <v>28404</v>
      </c>
      <c r="T445" s="121">
        <f t="shared" si="257"/>
        <v>5396.76</v>
      </c>
      <c r="U445" s="110">
        <f t="shared" si="258"/>
        <v>33800.76</v>
      </c>
      <c r="V445" s="121">
        <f t="shared" si="259"/>
        <v>28404</v>
      </c>
      <c r="W445" s="122">
        <f t="shared" si="260"/>
        <v>33800.76</v>
      </c>
      <c r="X445" s="108"/>
      <c r="Y445" s="121">
        <f t="shared" si="261"/>
        <v>0</v>
      </c>
      <c r="Z445" s="121">
        <f t="shared" si="262"/>
        <v>0</v>
      </c>
      <c r="AA445" s="121">
        <f t="shared" si="263"/>
        <v>0</v>
      </c>
      <c r="AB445" s="124">
        <f t="shared" si="264"/>
        <v>0</v>
      </c>
      <c r="AC445" s="126">
        <f t="shared" si="277"/>
        <v>25949</v>
      </c>
      <c r="AD445" s="101">
        <f t="shared" si="255"/>
        <v>19462</v>
      </c>
      <c r="AE445" s="127">
        <f t="shared" si="278"/>
        <v>1788.0561760998698</v>
      </c>
      <c r="AF445" s="128">
        <f t="shared" si="265"/>
        <v>6.8906554244859905E-2</v>
      </c>
      <c r="AG445" s="129">
        <f t="shared" si="279"/>
        <v>25248</v>
      </c>
      <c r="AH445" s="101">
        <f t="shared" si="256"/>
        <v>24722</v>
      </c>
      <c r="AI445" s="130">
        <f t="shared" si="266"/>
        <v>1788.0561760998698</v>
      </c>
      <c r="AJ445" s="159">
        <f t="shared" si="267"/>
        <v>7.0819715466566457E-2</v>
      </c>
      <c r="AK445" s="290" t="s">
        <v>1034</v>
      </c>
      <c r="AL445" s="291"/>
      <c r="AM445" s="292"/>
      <c r="AN445" s="160"/>
    </row>
    <row r="446" spans="1:40" ht="45.75" thickBot="1" x14ac:dyDescent="0.3">
      <c r="A446" s="84">
        <f t="shared" si="268"/>
        <v>3</v>
      </c>
      <c r="B446" s="198">
        <v>441</v>
      </c>
      <c r="C446" s="51" t="s">
        <v>894</v>
      </c>
      <c r="D446" s="204" t="s">
        <v>1048</v>
      </c>
      <c r="E446" s="64" t="s">
        <v>897</v>
      </c>
      <c r="F446" s="17">
        <v>1</v>
      </c>
      <c r="G446" s="17"/>
      <c r="H446" s="89" t="s">
        <v>1050</v>
      </c>
      <c r="I446" s="126">
        <v>4208</v>
      </c>
      <c r="J446" s="121">
        <f t="shared" si="269"/>
        <v>799.52</v>
      </c>
      <c r="K446" s="130">
        <f t="shared" si="270"/>
        <v>5007.5200000000004</v>
      </c>
      <c r="L446" s="121">
        <f t="shared" si="271"/>
        <v>4208</v>
      </c>
      <c r="M446" s="122">
        <f t="shared" si="272"/>
        <v>5007.5200000000004</v>
      </c>
      <c r="N446" s="123">
        <v>4102.8</v>
      </c>
      <c r="O446" s="121">
        <f t="shared" si="273"/>
        <v>779.53200000000004</v>
      </c>
      <c r="P446" s="110">
        <f t="shared" si="274"/>
        <v>4882.3320000000003</v>
      </c>
      <c r="Q446" s="121">
        <f t="shared" si="275"/>
        <v>4102.8</v>
      </c>
      <c r="R446" s="124">
        <f t="shared" si="276"/>
        <v>4882.3320000000003</v>
      </c>
      <c r="S446" s="125">
        <v>6312</v>
      </c>
      <c r="T446" s="121">
        <f t="shared" ref="T446:T477" si="280">S446*0.19</f>
        <v>1199.28</v>
      </c>
      <c r="U446" s="110">
        <f t="shared" ref="U446:U477" si="281">S446+T446</f>
        <v>7511.28</v>
      </c>
      <c r="V446" s="121">
        <f t="shared" ref="V446:V477" si="282">S446*F446</f>
        <v>6312</v>
      </c>
      <c r="W446" s="122">
        <f t="shared" ref="W446:W477" si="283">U446*F446</f>
        <v>7511.28</v>
      </c>
      <c r="X446" s="108"/>
      <c r="Y446" s="121">
        <f t="shared" ref="Y446:Y477" si="284">X446*0.19</f>
        <v>0</v>
      </c>
      <c r="Z446" s="121">
        <f t="shared" ref="Z446:Z477" si="285">X446+Y446</f>
        <v>0</v>
      </c>
      <c r="AA446" s="121">
        <f t="shared" ref="AA446:AA477" si="286">X446*F446</f>
        <v>0</v>
      </c>
      <c r="AB446" s="124">
        <f t="shared" ref="AB446:AB477" si="287">Z446*F446</f>
        <v>0</v>
      </c>
      <c r="AC446" s="126">
        <f t="shared" si="277"/>
        <v>4874</v>
      </c>
      <c r="AD446" s="101">
        <f t="shared" si="255"/>
        <v>3656</v>
      </c>
      <c r="AE446" s="127">
        <f t="shared" si="278"/>
        <v>1017.5377514154252</v>
      </c>
      <c r="AF446" s="128">
        <f t="shared" ref="AF446:AF477" si="288">AE446/AC446</f>
        <v>0.20876851690919679</v>
      </c>
      <c r="AG446" s="129">
        <f t="shared" si="279"/>
        <v>4208</v>
      </c>
      <c r="AH446" s="101">
        <f t="shared" si="256"/>
        <v>4155</v>
      </c>
      <c r="AI446" s="130">
        <f t="shared" ref="AI446:AI477" si="289">AE446</f>
        <v>1017.5377514154252</v>
      </c>
      <c r="AJ446" s="159">
        <f t="shared" ref="AJ446:AJ477" si="290">AI446/AG446</f>
        <v>0.24181030214244895</v>
      </c>
      <c r="AK446" s="290" t="s">
        <v>1034</v>
      </c>
      <c r="AL446" s="291"/>
      <c r="AM446" s="292"/>
      <c r="AN446" s="160"/>
    </row>
    <row r="447" spans="1:40" ht="45.75" thickBot="1" x14ac:dyDescent="0.3">
      <c r="A447" s="84">
        <f t="shared" si="268"/>
        <v>3</v>
      </c>
      <c r="B447" s="198">
        <v>442</v>
      </c>
      <c r="C447" s="51" t="s">
        <v>894</v>
      </c>
      <c r="D447" s="204" t="s">
        <v>1048</v>
      </c>
      <c r="E447" s="64" t="s">
        <v>898</v>
      </c>
      <c r="F447" s="17">
        <v>1</v>
      </c>
      <c r="G447" s="17"/>
      <c r="H447" s="89" t="s">
        <v>1050</v>
      </c>
      <c r="I447" s="126">
        <v>10520</v>
      </c>
      <c r="J447" s="121">
        <f t="shared" si="269"/>
        <v>1998.8</v>
      </c>
      <c r="K447" s="130">
        <f t="shared" si="270"/>
        <v>12518.8</v>
      </c>
      <c r="L447" s="121">
        <f t="shared" si="271"/>
        <v>10520</v>
      </c>
      <c r="M447" s="122">
        <f t="shared" si="272"/>
        <v>12518.8</v>
      </c>
      <c r="N447" s="123">
        <v>10911.344000000001</v>
      </c>
      <c r="O447" s="121">
        <f t="shared" si="273"/>
        <v>2073.1553600000002</v>
      </c>
      <c r="P447" s="110">
        <f t="shared" si="274"/>
        <v>12984.499360000002</v>
      </c>
      <c r="Q447" s="121">
        <f t="shared" si="275"/>
        <v>10911.344000000001</v>
      </c>
      <c r="R447" s="124">
        <f t="shared" si="276"/>
        <v>12984.499360000002</v>
      </c>
      <c r="S447" s="125">
        <v>12624</v>
      </c>
      <c r="T447" s="121">
        <f t="shared" si="280"/>
        <v>2398.56</v>
      </c>
      <c r="U447" s="110">
        <f t="shared" si="281"/>
        <v>15022.56</v>
      </c>
      <c r="V447" s="121">
        <f t="shared" si="282"/>
        <v>12624</v>
      </c>
      <c r="W447" s="122">
        <f t="shared" si="283"/>
        <v>15022.56</v>
      </c>
      <c r="X447" s="108"/>
      <c r="Y447" s="121">
        <f t="shared" si="284"/>
        <v>0</v>
      </c>
      <c r="Z447" s="121">
        <f t="shared" si="285"/>
        <v>0</v>
      </c>
      <c r="AA447" s="121">
        <f t="shared" si="286"/>
        <v>0</v>
      </c>
      <c r="AB447" s="124">
        <f t="shared" si="287"/>
        <v>0</v>
      </c>
      <c r="AC447" s="126">
        <f t="shared" si="277"/>
        <v>11352</v>
      </c>
      <c r="AD447" s="101">
        <f t="shared" si="255"/>
        <v>8514</v>
      </c>
      <c r="AE447" s="127">
        <f t="shared" si="278"/>
        <v>913.67126963889768</v>
      </c>
      <c r="AF447" s="128">
        <f t="shared" si="288"/>
        <v>8.0485488868824673E-2</v>
      </c>
      <c r="AG447" s="129">
        <f t="shared" si="279"/>
        <v>10911</v>
      </c>
      <c r="AH447" s="101">
        <f t="shared" si="256"/>
        <v>10716</v>
      </c>
      <c r="AI447" s="130">
        <f t="shared" si="289"/>
        <v>913.67126963889768</v>
      </c>
      <c r="AJ447" s="159">
        <f t="shared" si="290"/>
        <v>8.3738545471441453E-2</v>
      </c>
      <c r="AK447" s="290" t="s">
        <v>1034</v>
      </c>
      <c r="AL447" s="291"/>
      <c r="AM447" s="292"/>
      <c r="AN447" s="160"/>
    </row>
    <row r="448" spans="1:40" ht="45.75" thickBot="1" x14ac:dyDescent="0.3">
      <c r="A448" s="84">
        <f t="shared" si="268"/>
        <v>3</v>
      </c>
      <c r="B448" s="198">
        <v>443</v>
      </c>
      <c r="C448" s="51" t="s">
        <v>894</v>
      </c>
      <c r="D448" s="204" t="s">
        <v>1048</v>
      </c>
      <c r="E448" s="64" t="s">
        <v>899</v>
      </c>
      <c r="F448" s="17">
        <v>1</v>
      </c>
      <c r="G448" s="17"/>
      <c r="H448" s="89" t="s">
        <v>1050</v>
      </c>
      <c r="I448" s="126">
        <v>25248</v>
      </c>
      <c r="J448" s="121">
        <f t="shared" si="269"/>
        <v>4797.12</v>
      </c>
      <c r="K448" s="130">
        <f t="shared" si="270"/>
        <v>30045.119999999999</v>
      </c>
      <c r="L448" s="121">
        <f t="shared" si="271"/>
        <v>25248</v>
      </c>
      <c r="M448" s="122">
        <f t="shared" si="272"/>
        <v>30045.119999999999</v>
      </c>
      <c r="N448" s="123">
        <v>2419.6</v>
      </c>
      <c r="O448" s="121">
        <f t="shared" si="273"/>
        <v>459.72399999999999</v>
      </c>
      <c r="P448" s="110">
        <f t="shared" si="274"/>
        <v>2879.3240000000001</v>
      </c>
      <c r="Q448" s="121">
        <f t="shared" si="275"/>
        <v>2419.6</v>
      </c>
      <c r="R448" s="124">
        <f t="shared" si="276"/>
        <v>2879.3240000000001</v>
      </c>
      <c r="S448" s="125">
        <v>27352</v>
      </c>
      <c r="T448" s="121">
        <f t="shared" si="280"/>
        <v>5196.88</v>
      </c>
      <c r="U448" s="110">
        <f t="shared" si="281"/>
        <v>32548.880000000001</v>
      </c>
      <c r="V448" s="121">
        <f t="shared" si="282"/>
        <v>27352</v>
      </c>
      <c r="W448" s="122">
        <f t="shared" si="283"/>
        <v>32548.880000000001</v>
      </c>
      <c r="X448" s="108"/>
      <c r="Y448" s="121">
        <f t="shared" si="284"/>
        <v>0</v>
      </c>
      <c r="Z448" s="121">
        <f t="shared" si="285"/>
        <v>0</v>
      </c>
      <c r="AA448" s="121">
        <f t="shared" si="286"/>
        <v>0</v>
      </c>
      <c r="AB448" s="124">
        <f t="shared" si="287"/>
        <v>0</v>
      </c>
      <c r="AC448" s="126">
        <f t="shared" si="277"/>
        <v>18340</v>
      </c>
      <c r="AD448" s="101">
        <f t="shared" si="255"/>
        <v>13755</v>
      </c>
      <c r="AE448" s="127">
        <f t="shared" si="278"/>
        <v>11290.050842912779</v>
      </c>
      <c r="AF448" s="128">
        <f t="shared" si="288"/>
        <v>0.61559710157648739</v>
      </c>
      <c r="AG448" s="129">
        <f t="shared" si="279"/>
        <v>25248</v>
      </c>
      <c r="AH448" s="101">
        <f t="shared" si="256"/>
        <v>13834</v>
      </c>
      <c r="AI448" s="130">
        <f t="shared" si="289"/>
        <v>11290.050842912779</v>
      </c>
      <c r="AJ448" s="159">
        <f t="shared" si="290"/>
        <v>0.44716614555262907</v>
      </c>
      <c r="AK448" s="290" t="s">
        <v>1034</v>
      </c>
      <c r="AL448" s="291"/>
      <c r="AM448" s="292"/>
      <c r="AN448" s="160"/>
    </row>
    <row r="449" spans="1:40" ht="45.75" thickBot="1" x14ac:dyDescent="0.3">
      <c r="A449" s="84">
        <f t="shared" si="268"/>
        <v>3</v>
      </c>
      <c r="B449" s="198">
        <v>444</v>
      </c>
      <c r="C449" s="51" t="s">
        <v>894</v>
      </c>
      <c r="D449" s="204" t="s">
        <v>1048</v>
      </c>
      <c r="E449" s="64" t="s">
        <v>900</v>
      </c>
      <c r="F449" s="17">
        <v>1</v>
      </c>
      <c r="G449" s="17"/>
      <c r="H449" s="89" t="s">
        <v>1050</v>
      </c>
      <c r="I449" s="126">
        <v>1683.2</v>
      </c>
      <c r="J449" s="121">
        <f t="shared" si="269"/>
        <v>319.80799999999999</v>
      </c>
      <c r="K449" s="130">
        <f t="shared" si="270"/>
        <v>2003.008</v>
      </c>
      <c r="L449" s="121">
        <f t="shared" si="271"/>
        <v>1683.2</v>
      </c>
      <c r="M449" s="122">
        <f t="shared" si="272"/>
        <v>2003.008</v>
      </c>
      <c r="N449" s="123">
        <v>1639.0160000000001</v>
      </c>
      <c r="O449" s="121">
        <f t="shared" si="273"/>
        <v>311.41304000000002</v>
      </c>
      <c r="P449" s="110">
        <f t="shared" si="274"/>
        <v>1950.42904</v>
      </c>
      <c r="Q449" s="121">
        <f t="shared" si="275"/>
        <v>1639.0160000000001</v>
      </c>
      <c r="R449" s="124">
        <f t="shared" si="276"/>
        <v>1950.42904</v>
      </c>
      <c r="S449" s="125">
        <v>1893.6000000000001</v>
      </c>
      <c r="T449" s="121">
        <f t="shared" si="280"/>
        <v>359.78400000000005</v>
      </c>
      <c r="U449" s="110">
        <f t="shared" si="281"/>
        <v>2253.384</v>
      </c>
      <c r="V449" s="121">
        <f t="shared" si="282"/>
        <v>1893.6000000000001</v>
      </c>
      <c r="W449" s="122">
        <f t="shared" si="283"/>
        <v>2253.384</v>
      </c>
      <c r="X449" s="108"/>
      <c r="Y449" s="121">
        <f t="shared" si="284"/>
        <v>0</v>
      </c>
      <c r="Z449" s="121">
        <f t="shared" si="285"/>
        <v>0</v>
      </c>
      <c r="AA449" s="121">
        <f t="shared" si="286"/>
        <v>0</v>
      </c>
      <c r="AB449" s="124">
        <f t="shared" si="287"/>
        <v>0</v>
      </c>
      <c r="AC449" s="126">
        <f t="shared" si="277"/>
        <v>1739</v>
      </c>
      <c r="AD449" s="101">
        <f t="shared" si="255"/>
        <v>1304</v>
      </c>
      <c r="AE449" s="127">
        <f t="shared" si="278"/>
        <v>111.0722482150945</v>
      </c>
      <c r="AF449" s="128">
        <f t="shared" si="288"/>
        <v>6.3871333073659858E-2</v>
      </c>
      <c r="AG449" s="129">
        <f t="shared" si="279"/>
        <v>1683</v>
      </c>
      <c r="AH449" s="101">
        <f t="shared" si="256"/>
        <v>1661</v>
      </c>
      <c r="AI449" s="130">
        <f t="shared" si="289"/>
        <v>111.0722482150945</v>
      </c>
      <c r="AJ449" s="159">
        <f t="shared" si="290"/>
        <v>6.5996582421327693E-2</v>
      </c>
      <c r="AK449" s="290" t="s">
        <v>1034</v>
      </c>
      <c r="AL449" s="291"/>
      <c r="AM449" s="292"/>
      <c r="AN449" s="160"/>
    </row>
    <row r="450" spans="1:40" ht="45.75" thickBot="1" x14ac:dyDescent="0.3">
      <c r="A450" s="84">
        <f t="shared" si="268"/>
        <v>3</v>
      </c>
      <c r="B450" s="198">
        <v>445</v>
      </c>
      <c r="C450" s="51" t="s">
        <v>894</v>
      </c>
      <c r="D450" s="204" t="s">
        <v>1048</v>
      </c>
      <c r="E450" s="64" t="s">
        <v>901</v>
      </c>
      <c r="F450" s="17">
        <v>1</v>
      </c>
      <c r="G450" s="17"/>
      <c r="H450" s="89" t="s">
        <v>1050</v>
      </c>
      <c r="I450" s="126">
        <v>5680.8</v>
      </c>
      <c r="J450" s="121">
        <f t="shared" si="269"/>
        <v>1079.3520000000001</v>
      </c>
      <c r="K450" s="130">
        <f t="shared" si="270"/>
        <v>6760.152</v>
      </c>
      <c r="L450" s="121">
        <f t="shared" si="271"/>
        <v>5680.8</v>
      </c>
      <c r="M450" s="122">
        <f t="shared" si="272"/>
        <v>6760.152</v>
      </c>
      <c r="N450" s="123">
        <v>5891.2</v>
      </c>
      <c r="O450" s="121">
        <f t="shared" si="273"/>
        <v>1119.328</v>
      </c>
      <c r="P450" s="110">
        <f t="shared" si="274"/>
        <v>7010.5280000000002</v>
      </c>
      <c r="Q450" s="121">
        <f t="shared" si="275"/>
        <v>5891.2</v>
      </c>
      <c r="R450" s="124">
        <f t="shared" si="276"/>
        <v>7010.5280000000002</v>
      </c>
      <c r="S450" s="125">
        <v>5996.4000000000005</v>
      </c>
      <c r="T450" s="121">
        <f t="shared" si="280"/>
        <v>1139.316</v>
      </c>
      <c r="U450" s="110">
        <f t="shared" si="281"/>
        <v>7135.7160000000003</v>
      </c>
      <c r="V450" s="121">
        <f t="shared" si="282"/>
        <v>5996.4000000000005</v>
      </c>
      <c r="W450" s="122">
        <f t="shared" si="283"/>
        <v>7135.7160000000003</v>
      </c>
      <c r="X450" s="108"/>
      <c r="Y450" s="121">
        <f t="shared" si="284"/>
        <v>0</v>
      </c>
      <c r="Z450" s="121">
        <f t="shared" si="285"/>
        <v>0</v>
      </c>
      <c r="AA450" s="121">
        <f t="shared" si="286"/>
        <v>0</v>
      </c>
      <c r="AB450" s="124">
        <f t="shared" si="287"/>
        <v>0</v>
      </c>
      <c r="AC450" s="126">
        <f t="shared" si="277"/>
        <v>5856</v>
      </c>
      <c r="AD450" s="101">
        <f t="shared" si="255"/>
        <v>4392</v>
      </c>
      <c r="AE450" s="127">
        <f t="shared" si="278"/>
        <v>131.207452362873</v>
      </c>
      <c r="AF450" s="128">
        <f t="shared" si="288"/>
        <v>2.2405644187649079E-2</v>
      </c>
      <c r="AG450" s="129">
        <f t="shared" si="279"/>
        <v>5891</v>
      </c>
      <c r="AH450" s="101">
        <f t="shared" si="256"/>
        <v>5786</v>
      </c>
      <c r="AI450" s="130">
        <f t="shared" si="289"/>
        <v>131.207452362873</v>
      </c>
      <c r="AJ450" s="159">
        <f t="shared" si="290"/>
        <v>2.2272526288044985E-2</v>
      </c>
      <c r="AK450" s="290" t="s">
        <v>1034</v>
      </c>
      <c r="AL450" s="291"/>
      <c r="AM450" s="292"/>
      <c r="AN450" s="160"/>
    </row>
    <row r="451" spans="1:40" ht="45.75" thickBot="1" x14ac:dyDescent="0.3">
      <c r="A451" s="84">
        <f t="shared" si="268"/>
        <v>3</v>
      </c>
      <c r="B451" s="198">
        <v>446</v>
      </c>
      <c r="C451" s="51" t="s">
        <v>894</v>
      </c>
      <c r="D451" s="204" t="s">
        <v>1048</v>
      </c>
      <c r="E451" s="64" t="s">
        <v>902</v>
      </c>
      <c r="F451" s="17">
        <v>1</v>
      </c>
      <c r="G451" s="17"/>
      <c r="H451" s="89" t="s">
        <v>1050</v>
      </c>
      <c r="I451" s="126">
        <v>4418.4000000000005</v>
      </c>
      <c r="J451" s="121">
        <f t="shared" si="269"/>
        <v>839.49600000000009</v>
      </c>
      <c r="K451" s="130">
        <f t="shared" si="270"/>
        <v>5257.8960000000006</v>
      </c>
      <c r="L451" s="121">
        <f t="shared" si="271"/>
        <v>4418.4000000000005</v>
      </c>
      <c r="M451" s="122">
        <f t="shared" si="272"/>
        <v>5257.8960000000006</v>
      </c>
      <c r="N451" s="123">
        <v>4274.2759999999998</v>
      </c>
      <c r="O451" s="121">
        <f t="shared" si="273"/>
        <v>812.11243999999999</v>
      </c>
      <c r="P451" s="110">
        <f t="shared" si="274"/>
        <v>5086.3884399999997</v>
      </c>
      <c r="Q451" s="121">
        <f t="shared" si="275"/>
        <v>4274.2759999999998</v>
      </c>
      <c r="R451" s="124">
        <f t="shared" si="276"/>
        <v>5086.3884399999997</v>
      </c>
      <c r="S451" s="125">
        <v>4839.2</v>
      </c>
      <c r="T451" s="121">
        <f t="shared" si="280"/>
        <v>919.44799999999998</v>
      </c>
      <c r="U451" s="110">
        <f t="shared" si="281"/>
        <v>5758.6480000000001</v>
      </c>
      <c r="V451" s="121">
        <f t="shared" si="282"/>
        <v>4839.2</v>
      </c>
      <c r="W451" s="122">
        <f t="shared" si="283"/>
        <v>5758.6480000000001</v>
      </c>
      <c r="X451" s="108"/>
      <c r="Y451" s="121">
        <f t="shared" si="284"/>
        <v>0</v>
      </c>
      <c r="Z451" s="121">
        <f t="shared" si="285"/>
        <v>0</v>
      </c>
      <c r="AA451" s="121">
        <f t="shared" si="286"/>
        <v>0</v>
      </c>
      <c r="AB451" s="124">
        <f t="shared" si="287"/>
        <v>0</v>
      </c>
      <c r="AC451" s="126">
        <f t="shared" si="277"/>
        <v>4511</v>
      </c>
      <c r="AD451" s="101">
        <f t="shared" si="255"/>
        <v>3383</v>
      </c>
      <c r="AE451" s="127">
        <f t="shared" si="278"/>
        <v>239.67188059975282</v>
      </c>
      <c r="AF451" s="128">
        <f t="shared" si="288"/>
        <v>5.3130543249778943E-2</v>
      </c>
      <c r="AG451" s="129">
        <f t="shared" si="279"/>
        <v>4418</v>
      </c>
      <c r="AH451" s="101">
        <f t="shared" si="256"/>
        <v>4346</v>
      </c>
      <c r="AI451" s="130">
        <f t="shared" si="289"/>
        <v>239.67188059975282</v>
      </c>
      <c r="AJ451" s="159">
        <f t="shared" si="290"/>
        <v>5.4248954413705933E-2</v>
      </c>
      <c r="AK451" s="290" t="s">
        <v>1034</v>
      </c>
      <c r="AL451" s="291"/>
      <c r="AM451" s="292"/>
      <c r="AN451" s="160"/>
    </row>
    <row r="452" spans="1:40" ht="45.75" thickBot="1" x14ac:dyDescent="0.3">
      <c r="A452" s="84">
        <f t="shared" si="268"/>
        <v>3</v>
      </c>
      <c r="B452" s="198">
        <v>447</v>
      </c>
      <c r="C452" s="51" t="s">
        <v>894</v>
      </c>
      <c r="D452" s="204" t="s">
        <v>1048</v>
      </c>
      <c r="E452" s="64" t="s">
        <v>903</v>
      </c>
      <c r="F452" s="17">
        <v>1</v>
      </c>
      <c r="G452" s="17"/>
      <c r="H452" s="89" t="s">
        <v>1050</v>
      </c>
      <c r="I452" s="126">
        <v>2945.6</v>
      </c>
      <c r="J452" s="121">
        <f t="shared" si="269"/>
        <v>559.66399999999999</v>
      </c>
      <c r="K452" s="130">
        <f t="shared" si="270"/>
        <v>3505.2640000000001</v>
      </c>
      <c r="L452" s="121">
        <f t="shared" si="271"/>
        <v>2945.6</v>
      </c>
      <c r="M452" s="122">
        <f t="shared" si="272"/>
        <v>3505.2640000000001</v>
      </c>
      <c r="N452" s="123">
        <v>2735.2000000000003</v>
      </c>
      <c r="O452" s="121">
        <f t="shared" si="273"/>
        <v>519.6880000000001</v>
      </c>
      <c r="P452" s="110">
        <f t="shared" si="274"/>
        <v>3254.8880000000004</v>
      </c>
      <c r="Q452" s="121">
        <f t="shared" si="275"/>
        <v>2735.2000000000003</v>
      </c>
      <c r="R452" s="124">
        <f t="shared" si="276"/>
        <v>3254.8880000000004</v>
      </c>
      <c r="S452" s="125">
        <v>3366.4</v>
      </c>
      <c r="T452" s="121">
        <f t="shared" si="280"/>
        <v>639.61599999999999</v>
      </c>
      <c r="U452" s="110">
        <f t="shared" si="281"/>
        <v>4006.0160000000001</v>
      </c>
      <c r="V452" s="121">
        <f t="shared" si="282"/>
        <v>3366.4</v>
      </c>
      <c r="W452" s="122">
        <f t="shared" si="283"/>
        <v>4006.0160000000001</v>
      </c>
      <c r="X452" s="108"/>
      <c r="Y452" s="121">
        <f t="shared" si="284"/>
        <v>0</v>
      </c>
      <c r="Z452" s="121">
        <f t="shared" si="285"/>
        <v>0</v>
      </c>
      <c r="AA452" s="121">
        <f t="shared" si="286"/>
        <v>0</v>
      </c>
      <c r="AB452" s="124">
        <f t="shared" si="287"/>
        <v>0</v>
      </c>
      <c r="AC452" s="126">
        <f t="shared" si="277"/>
        <v>3016</v>
      </c>
      <c r="AD452" s="101">
        <f t="shared" si="255"/>
        <v>2262</v>
      </c>
      <c r="AE452" s="127">
        <f t="shared" si="278"/>
        <v>262.41490472574571</v>
      </c>
      <c r="AF452" s="128">
        <f t="shared" si="288"/>
        <v>8.7007594405088096E-2</v>
      </c>
      <c r="AG452" s="129">
        <f t="shared" si="279"/>
        <v>2946</v>
      </c>
      <c r="AH452" s="101">
        <f t="shared" si="256"/>
        <v>2840</v>
      </c>
      <c r="AI452" s="130">
        <f t="shared" si="289"/>
        <v>262.41490472574571</v>
      </c>
      <c r="AJ452" s="159">
        <f t="shared" si="290"/>
        <v>8.9074984631957135E-2</v>
      </c>
      <c r="AK452" s="290" t="s">
        <v>1034</v>
      </c>
      <c r="AL452" s="291"/>
      <c r="AM452" s="292"/>
      <c r="AN452" s="160"/>
    </row>
    <row r="453" spans="1:40" ht="45.75" thickBot="1" x14ac:dyDescent="0.3">
      <c r="A453" s="84">
        <f t="shared" si="268"/>
        <v>3</v>
      </c>
      <c r="B453" s="198">
        <v>448</v>
      </c>
      <c r="C453" s="51" t="s">
        <v>894</v>
      </c>
      <c r="D453" s="204" t="s">
        <v>1048</v>
      </c>
      <c r="E453" s="64" t="s">
        <v>904</v>
      </c>
      <c r="F453" s="17">
        <v>1</v>
      </c>
      <c r="G453" s="17"/>
      <c r="H453" s="89" t="s">
        <v>1050</v>
      </c>
      <c r="I453" s="126">
        <v>2104</v>
      </c>
      <c r="J453" s="121">
        <f t="shared" si="269"/>
        <v>399.76</v>
      </c>
      <c r="K453" s="130">
        <f t="shared" si="270"/>
        <v>2503.7600000000002</v>
      </c>
      <c r="L453" s="121">
        <f t="shared" si="271"/>
        <v>2104</v>
      </c>
      <c r="M453" s="122">
        <f t="shared" si="272"/>
        <v>2503.7600000000002</v>
      </c>
      <c r="N453" s="123">
        <v>1988.2800000000002</v>
      </c>
      <c r="O453" s="121">
        <f t="shared" si="273"/>
        <v>377.77320000000003</v>
      </c>
      <c r="P453" s="110">
        <f t="shared" si="274"/>
        <v>2366.0532000000003</v>
      </c>
      <c r="Q453" s="121">
        <f t="shared" si="275"/>
        <v>1988.2800000000002</v>
      </c>
      <c r="R453" s="124">
        <f t="shared" si="276"/>
        <v>2366.0532000000003</v>
      </c>
      <c r="S453" s="125">
        <v>2524.8000000000002</v>
      </c>
      <c r="T453" s="121">
        <f t="shared" si="280"/>
        <v>479.71200000000005</v>
      </c>
      <c r="U453" s="110">
        <f t="shared" si="281"/>
        <v>3004.5120000000002</v>
      </c>
      <c r="V453" s="121">
        <f t="shared" si="282"/>
        <v>2524.8000000000002</v>
      </c>
      <c r="W453" s="122">
        <f t="shared" si="283"/>
        <v>3004.5120000000002</v>
      </c>
      <c r="X453" s="108"/>
      <c r="Y453" s="121">
        <f t="shared" si="284"/>
        <v>0</v>
      </c>
      <c r="Z453" s="121">
        <f t="shared" si="285"/>
        <v>0</v>
      </c>
      <c r="AA453" s="121">
        <f t="shared" si="286"/>
        <v>0</v>
      </c>
      <c r="AB453" s="124">
        <f t="shared" si="287"/>
        <v>0</v>
      </c>
      <c r="AC453" s="126">
        <f t="shared" si="277"/>
        <v>2206</v>
      </c>
      <c r="AD453" s="101">
        <f t="shared" si="255"/>
        <v>1654</v>
      </c>
      <c r="AE453" s="127">
        <f t="shared" si="278"/>
        <v>230.53499825888292</v>
      </c>
      <c r="AF453" s="128">
        <f t="shared" si="288"/>
        <v>0.10450362568399045</v>
      </c>
      <c r="AG453" s="129">
        <f t="shared" si="279"/>
        <v>2104</v>
      </c>
      <c r="AH453" s="101">
        <f t="shared" si="256"/>
        <v>2046</v>
      </c>
      <c r="AI453" s="130">
        <f t="shared" si="289"/>
        <v>230.53499825888292</v>
      </c>
      <c r="AJ453" s="159">
        <f t="shared" si="290"/>
        <v>0.10956986609262497</v>
      </c>
      <c r="AK453" s="290" t="s">
        <v>1034</v>
      </c>
      <c r="AL453" s="291"/>
      <c r="AM453" s="292"/>
      <c r="AN453" s="160"/>
    </row>
    <row r="454" spans="1:40" ht="45.75" thickBot="1" x14ac:dyDescent="0.3">
      <c r="A454" s="84">
        <f t="shared" si="268"/>
        <v>3</v>
      </c>
      <c r="B454" s="198">
        <v>449</v>
      </c>
      <c r="C454" s="51" t="s">
        <v>894</v>
      </c>
      <c r="D454" s="204" t="s">
        <v>1048</v>
      </c>
      <c r="E454" s="64" t="s">
        <v>905</v>
      </c>
      <c r="F454" s="17">
        <v>1</v>
      </c>
      <c r="G454" s="17"/>
      <c r="H454" s="89" t="s">
        <v>1050</v>
      </c>
      <c r="I454" s="126">
        <v>2735.2000000000003</v>
      </c>
      <c r="J454" s="121">
        <f t="shared" si="269"/>
        <v>519.6880000000001</v>
      </c>
      <c r="K454" s="130">
        <f t="shared" si="270"/>
        <v>3254.8880000000004</v>
      </c>
      <c r="L454" s="121">
        <f t="shared" si="271"/>
        <v>2735.2000000000003</v>
      </c>
      <c r="M454" s="122">
        <f t="shared" si="272"/>
        <v>3254.8880000000004</v>
      </c>
      <c r="N454" s="123">
        <v>2630</v>
      </c>
      <c r="O454" s="121">
        <f t="shared" si="273"/>
        <v>499.7</v>
      </c>
      <c r="P454" s="110">
        <f t="shared" si="274"/>
        <v>3129.7</v>
      </c>
      <c r="Q454" s="121">
        <f t="shared" si="275"/>
        <v>2630</v>
      </c>
      <c r="R454" s="124">
        <f t="shared" si="276"/>
        <v>3129.7</v>
      </c>
      <c r="S454" s="125">
        <v>2945.6</v>
      </c>
      <c r="T454" s="121">
        <f t="shared" si="280"/>
        <v>559.66399999999999</v>
      </c>
      <c r="U454" s="110">
        <f t="shared" si="281"/>
        <v>3505.2640000000001</v>
      </c>
      <c r="V454" s="121">
        <f t="shared" si="282"/>
        <v>2945.6</v>
      </c>
      <c r="W454" s="122">
        <f t="shared" si="283"/>
        <v>3505.2640000000001</v>
      </c>
      <c r="X454" s="108"/>
      <c r="Y454" s="121">
        <f t="shared" si="284"/>
        <v>0</v>
      </c>
      <c r="Z454" s="121">
        <f t="shared" si="285"/>
        <v>0</v>
      </c>
      <c r="AA454" s="121">
        <f t="shared" si="286"/>
        <v>0</v>
      </c>
      <c r="AB454" s="124">
        <f t="shared" si="287"/>
        <v>0</v>
      </c>
      <c r="AC454" s="126">
        <f t="shared" si="277"/>
        <v>2770</v>
      </c>
      <c r="AD454" s="101">
        <f t="shared" si="255"/>
        <v>2078</v>
      </c>
      <c r="AE454" s="127">
        <f t="shared" si="278"/>
        <v>131.20745236287283</v>
      </c>
      <c r="AF454" s="128">
        <f t="shared" si="288"/>
        <v>4.7367311322336764E-2</v>
      </c>
      <c r="AG454" s="129">
        <f t="shared" si="279"/>
        <v>2735</v>
      </c>
      <c r="AH454" s="101">
        <f t="shared" si="256"/>
        <v>2683</v>
      </c>
      <c r="AI454" s="130">
        <f t="shared" si="289"/>
        <v>131.20745236287283</v>
      </c>
      <c r="AJ454" s="159">
        <f t="shared" si="290"/>
        <v>4.7973474355712184E-2</v>
      </c>
      <c r="AK454" s="290" t="s">
        <v>1034</v>
      </c>
      <c r="AL454" s="291"/>
      <c r="AM454" s="292"/>
      <c r="AN454" s="160"/>
    </row>
    <row r="455" spans="1:40" ht="45.75" thickBot="1" x14ac:dyDescent="0.3">
      <c r="A455" s="84">
        <f t="shared" si="268"/>
        <v>3</v>
      </c>
      <c r="B455" s="198">
        <v>450</v>
      </c>
      <c r="C455" s="51" t="s">
        <v>894</v>
      </c>
      <c r="D455" s="204" t="s">
        <v>1048</v>
      </c>
      <c r="E455" s="64" t="s">
        <v>906</v>
      </c>
      <c r="F455" s="17">
        <v>1</v>
      </c>
      <c r="G455" s="17"/>
      <c r="H455" s="89" t="s">
        <v>1050</v>
      </c>
      <c r="I455" s="126">
        <v>2314.4</v>
      </c>
      <c r="J455" s="121">
        <f t="shared" si="269"/>
        <v>439.73600000000005</v>
      </c>
      <c r="K455" s="130">
        <f t="shared" si="270"/>
        <v>2754.136</v>
      </c>
      <c r="L455" s="121">
        <f t="shared" si="271"/>
        <v>2314.4</v>
      </c>
      <c r="M455" s="122">
        <f t="shared" si="272"/>
        <v>2754.136</v>
      </c>
      <c r="N455" s="123">
        <v>2104</v>
      </c>
      <c r="O455" s="121">
        <f t="shared" si="273"/>
        <v>399.76</v>
      </c>
      <c r="P455" s="110">
        <f t="shared" si="274"/>
        <v>2503.7600000000002</v>
      </c>
      <c r="Q455" s="121">
        <f t="shared" si="275"/>
        <v>2104</v>
      </c>
      <c r="R455" s="124">
        <f t="shared" si="276"/>
        <v>2503.7600000000002</v>
      </c>
      <c r="S455" s="125">
        <v>2735.2000000000003</v>
      </c>
      <c r="T455" s="121">
        <f t="shared" si="280"/>
        <v>519.6880000000001</v>
      </c>
      <c r="U455" s="110">
        <f t="shared" si="281"/>
        <v>3254.8880000000004</v>
      </c>
      <c r="V455" s="121">
        <f t="shared" si="282"/>
        <v>2735.2000000000003</v>
      </c>
      <c r="W455" s="122">
        <f t="shared" si="283"/>
        <v>3254.8880000000004</v>
      </c>
      <c r="X455" s="108"/>
      <c r="Y455" s="121">
        <f t="shared" si="284"/>
        <v>0</v>
      </c>
      <c r="Z455" s="121">
        <f t="shared" si="285"/>
        <v>0</v>
      </c>
      <c r="AA455" s="121">
        <f t="shared" si="286"/>
        <v>0</v>
      </c>
      <c r="AB455" s="124">
        <f t="shared" si="287"/>
        <v>0</v>
      </c>
      <c r="AC455" s="126">
        <f t="shared" si="277"/>
        <v>2385</v>
      </c>
      <c r="AD455" s="101">
        <f t="shared" si="255"/>
        <v>1788</v>
      </c>
      <c r="AE455" s="127">
        <f t="shared" si="278"/>
        <v>262.41490472574463</v>
      </c>
      <c r="AF455" s="128">
        <f t="shared" si="288"/>
        <v>0.11002721372148622</v>
      </c>
      <c r="AG455" s="129">
        <f t="shared" si="279"/>
        <v>2314</v>
      </c>
      <c r="AH455" s="101">
        <f t="shared" si="256"/>
        <v>2209</v>
      </c>
      <c r="AI455" s="130">
        <f t="shared" si="289"/>
        <v>262.41490472574463</v>
      </c>
      <c r="AJ455" s="159">
        <f t="shared" si="290"/>
        <v>0.11340315675269863</v>
      </c>
      <c r="AK455" s="290" t="s">
        <v>1034</v>
      </c>
      <c r="AL455" s="291"/>
      <c r="AM455" s="292"/>
      <c r="AN455" s="160"/>
    </row>
    <row r="456" spans="1:40" ht="45.75" thickBot="1" x14ac:dyDescent="0.3">
      <c r="A456" s="84">
        <f t="shared" si="268"/>
        <v>3</v>
      </c>
      <c r="B456" s="198">
        <v>451</v>
      </c>
      <c r="C456" s="51" t="s">
        <v>894</v>
      </c>
      <c r="D456" s="204" t="s">
        <v>1048</v>
      </c>
      <c r="E456" s="64" t="s">
        <v>907</v>
      </c>
      <c r="F456" s="17">
        <v>1</v>
      </c>
      <c r="G456" s="17"/>
      <c r="H456" s="89" t="s">
        <v>1050</v>
      </c>
      <c r="I456" s="126">
        <v>6101.6</v>
      </c>
      <c r="J456" s="121">
        <f t="shared" si="269"/>
        <v>1159.3040000000001</v>
      </c>
      <c r="K456" s="130">
        <f t="shared" si="270"/>
        <v>7260.9040000000005</v>
      </c>
      <c r="L456" s="121">
        <f t="shared" si="271"/>
        <v>6101.6</v>
      </c>
      <c r="M456" s="122">
        <f t="shared" si="272"/>
        <v>7260.9040000000005</v>
      </c>
      <c r="N456" s="123">
        <v>5891.2</v>
      </c>
      <c r="O456" s="121">
        <f t="shared" si="273"/>
        <v>1119.328</v>
      </c>
      <c r="P456" s="110">
        <f t="shared" si="274"/>
        <v>7010.5280000000002</v>
      </c>
      <c r="Q456" s="121">
        <f t="shared" si="275"/>
        <v>5891.2</v>
      </c>
      <c r="R456" s="124">
        <f t="shared" si="276"/>
        <v>7010.5280000000002</v>
      </c>
      <c r="S456" s="125">
        <v>6522.4000000000005</v>
      </c>
      <c r="T456" s="121">
        <f t="shared" si="280"/>
        <v>1239.2560000000001</v>
      </c>
      <c r="U456" s="110">
        <f t="shared" si="281"/>
        <v>7761.6560000000009</v>
      </c>
      <c r="V456" s="121">
        <f t="shared" si="282"/>
        <v>6522.4000000000005</v>
      </c>
      <c r="W456" s="122">
        <f t="shared" si="283"/>
        <v>7761.6560000000009</v>
      </c>
      <c r="X456" s="108"/>
      <c r="Y456" s="121">
        <f t="shared" si="284"/>
        <v>0</v>
      </c>
      <c r="Z456" s="121">
        <f t="shared" si="285"/>
        <v>0</v>
      </c>
      <c r="AA456" s="121">
        <f t="shared" si="286"/>
        <v>0</v>
      </c>
      <c r="AB456" s="124">
        <f t="shared" si="287"/>
        <v>0</v>
      </c>
      <c r="AC456" s="126">
        <f t="shared" si="277"/>
        <v>6172</v>
      </c>
      <c r="AD456" s="101">
        <f t="shared" si="255"/>
        <v>4629</v>
      </c>
      <c r="AE456" s="127">
        <f t="shared" si="278"/>
        <v>262.41490472574606</v>
      </c>
      <c r="AF456" s="128">
        <f t="shared" si="288"/>
        <v>4.2516996877146156E-2</v>
      </c>
      <c r="AG456" s="129">
        <f t="shared" si="279"/>
        <v>6102</v>
      </c>
      <c r="AH456" s="101">
        <f t="shared" si="256"/>
        <v>5996</v>
      </c>
      <c r="AI456" s="130">
        <f t="shared" si="289"/>
        <v>262.41490472574606</v>
      </c>
      <c r="AJ456" s="159">
        <f t="shared" si="290"/>
        <v>4.3004736926539833E-2</v>
      </c>
      <c r="AK456" s="290" t="s">
        <v>1034</v>
      </c>
      <c r="AL456" s="291"/>
      <c r="AM456" s="292"/>
      <c r="AN456" s="160"/>
    </row>
    <row r="457" spans="1:40" ht="45.75" thickBot="1" x14ac:dyDescent="0.3">
      <c r="A457" s="84">
        <f t="shared" si="268"/>
        <v>3</v>
      </c>
      <c r="B457" s="198">
        <v>452</v>
      </c>
      <c r="C457" s="51" t="s">
        <v>894</v>
      </c>
      <c r="D457" s="204" t="s">
        <v>1048</v>
      </c>
      <c r="E457" s="64" t="s">
        <v>908</v>
      </c>
      <c r="F457" s="17">
        <v>1</v>
      </c>
      <c r="G457" s="17"/>
      <c r="H457" s="89" t="s">
        <v>1050</v>
      </c>
      <c r="I457" s="126">
        <v>14728</v>
      </c>
      <c r="J457" s="121">
        <f t="shared" si="269"/>
        <v>2798.32</v>
      </c>
      <c r="K457" s="130">
        <f t="shared" si="270"/>
        <v>17526.32</v>
      </c>
      <c r="L457" s="121">
        <f t="shared" si="271"/>
        <v>14728</v>
      </c>
      <c r="M457" s="122">
        <f t="shared" si="272"/>
        <v>17526.32</v>
      </c>
      <c r="N457" s="123">
        <v>14675.400000000001</v>
      </c>
      <c r="O457" s="121">
        <f t="shared" si="273"/>
        <v>2788.3260000000005</v>
      </c>
      <c r="P457" s="110">
        <f t="shared" si="274"/>
        <v>17463.726000000002</v>
      </c>
      <c r="Q457" s="121">
        <f t="shared" si="275"/>
        <v>14675.400000000001</v>
      </c>
      <c r="R457" s="124">
        <f t="shared" si="276"/>
        <v>17463.726000000002</v>
      </c>
      <c r="S457" s="125">
        <v>17884</v>
      </c>
      <c r="T457" s="121">
        <f t="shared" si="280"/>
        <v>3397.96</v>
      </c>
      <c r="U457" s="110">
        <f t="shared" si="281"/>
        <v>21281.96</v>
      </c>
      <c r="V457" s="121">
        <f t="shared" si="282"/>
        <v>17884</v>
      </c>
      <c r="W457" s="122">
        <f t="shared" si="283"/>
        <v>21281.96</v>
      </c>
      <c r="X457" s="108"/>
      <c r="Y457" s="121">
        <f t="shared" si="284"/>
        <v>0</v>
      </c>
      <c r="Z457" s="121">
        <f t="shared" si="285"/>
        <v>0</v>
      </c>
      <c r="AA457" s="121">
        <f t="shared" si="286"/>
        <v>0</v>
      </c>
      <c r="AB457" s="124">
        <f t="shared" si="287"/>
        <v>0</v>
      </c>
      <c r="AC457" s="126">
        <f t="shared" si="277"/>
        <v>15762</v>
      </c>
      <c r="AD457" s="101">
        <f t="shared" si="255"/>
        <v>11822</v>
      </c>
      <c r="AE457" s="127">
        <f t="shared" si="278"/>
        <v>1500.3042920984021</v>
      </c>
      <c r="AF457" s="128">
        <f t="shared" si="288"/>
        <v>9.5184893547671748E-2</v>
      </c>
      <c r="AG457" s="129">
        <f t="shared" si="279"/>
        <v>14728</v>
      </c>
      <c r="AH457" s="101">
        <f t="shared" si="256"/>
        <v>14702</v>
      </c>
      <c r="AI457" s="130">
        <f t="shared" si="289"/>
        <v>1500.3042920984021</v>
      </c>
      <c r="AJ457" s="159">
        <f t="shared" si="290"/>
        <v>0.10186748316800666</v>
      </c>
      <c r="AK457" s="290" t="s">
        <v>1034</v>
      </c>
      <c r="AL457" s="291"/>
      <c r="AM457" s="292"/>
      <c r="AN457" s="160"/>
    </row>
    <row r="458" spans="1:40" ht="45.75" thickBot="1" x14ac:dyDescent="0.3">
      <c r="A458" s="84">
        <f t="shared" si="268"/>
        <v>3</v>
      </c>
      <c r="B458" s="198">
        <v>453</v>
      </c>
      <c r="C458" s="51" t="s">
        <v>894</v>
      </c>
      <c r="D458" s="204" t="s">
        <v>1048</v>
      </c>
      <c r="E458" s="64" t="s">
        <v>909</v>
      </c>
      <c r="F458" s="17">
        <v>1</v>
      </c>
      <c r="G458" s="17"/>
      <c r="H458" s="89" t="s">
        <v>1050</v>
      </c>
      <c r="I458" s="126">
        <v>462880</v>
      </c>
      <c r="J458" s="121">
        <f t="shared" si="269"/>
        <v>87947.199999999997</v>
      </c>
      <c r="K458" s="130">
        <f t="shared" si="270"/>
        <v>550827.19999999995</v>
      </c>
      <c r="L458" s="121">
        <f t="shared" si="271"/>
        <v>462880</v>
      </c>
      <c r="M458" s="122">
        <f t="shared" si="272"/>
        <v>550827.19999999995</v>
      </c>
      <c r="N458" s="123">
        <v>441840</v>
      </c>
      <c r="O458" s="121">
        <f t="shared" si="273"/>
        <v>83949.6</v>
      </c>
      <c r="P458" s="110">
        <f t="shared" si="274"/>
        <v>525789.6</v>
      </c>
      <c r="Q458" s="121">
        <f t="shared" si="275"/>
        <v>441840</v>
      </c>
      <c r="R458" s="124">
        <f t="shared" si="276"/>
        <v>525789.6</v>
      </c>
      <c r="S458" s="125">
        <v>494440</v>
      </c>
      <c r="T458" s="121">
        <f t="shared" si="280"/>
        <v>93943.6</v>
      </c>
      <c r="U458" s="110">
        <f t="shared" si="281"/>
        <v>588383.6</v>
      </c>
      <c r="V458" s="121">
        <f t="shared" si="282"/>
        <v>494440</v>
      </c>
      <c r="W458" s="122">
        <f t="shared" si="283"/>
        <v>588383.6</v>
      </c>
      <c r="X458" s="108"/>
      <c r="Y458" s="121">
        <f t="shared" si="284"/>
        <v>0</v>
      </c>
      <c r="Z458" s="121">
        <f t="shared" si="285"/>
        <v>0</v>
      </c>
      <c r="AA458" s="121">
        <f t="shared" si="286"/>
        <v>0</v>
      </c>
      <c r="AB458" s="124">
        <f t="shared" si="287"/>
        <v>0</v>
      </c>
      <c r="AC458" s="126">
        <f t="shared" si="277"/>
        <v>466387</v>
      </c>
      <c r="AD458" s="101">
        <f t="shared" ref="AD458:AD501" si="291">+IFERROR(ROUND(AVERAGE(L458,Q458,V458,AA458),0),0)</f>
        <v>349790</v>
      </c>
      <c r="AE458" s="127">
        <f t="shared" si="278"/>
        <v>21616.545103744542</v>
      </c>
      <c r="AF458" s="128">
        <f t="shared" si="288"/>
        <v>4.6348944339667575E-2</v>
      </c>
      <c r="AG458" s="129">
        <f t="shared" si="279"/>
        <v>462880</v>
      </c>
      <c r="AH458" s="101">
        <f t="shared" ref="AH458:AH501" si="292">+IFERROR(ROUND(MEDIAN(L458,Q458,V458,AA458),0),0)</f>
        <v>452360</v>
      </c>
      <c r="AI458" s="130">
        <f t="shared" si="289"/>
        <v>21616.545103744542</v>
      </c>
      <c r="AJ458" s="159">
        <f t="shared" si="290"/>
        <v>4.6700106083098304E-2</v>
      </c>
      <c r="AK458" s="290" t="s">
        <v>1034</v>
      </c>
      <c r="AL458" s="291"/>
      <c r="AM458" s="292"/>
      <c r="AN458" s="160"/>
    </row>
    <row r="459" spans="1:40" ht="45.75" thickBot="1" x14ac:dyDescent="0.3">
      <c r="A459" s="84">
        <f t="shared" si="268"/>
        <v>3</v>
      </c>
      <c r="B459" s="198">
        <v>454</v>
      </c>
      <c r="C459" s="51" t="s">
        <v>894</v>
      </c>
      <c r="D459" s="204" t="s">
        <v>1048</v>
      </c>
      <c r="E459" s="64" t="s">
        <v>910</v>
      </c>
      <c r="F459" s="17">
        <v>1</v>
      </c>
      <c r="G459" s="17"/>
      <c r="H459" s="89" t="s">
        <v>1050</v>
      </c>
      <c r="I459" s="126">
        <v>67328</v>
      </c>
      <c r="J459" s="121">
        <f t="shared" si="269"/>
        <v>12792.32</v>
      </c>
      <c r="K459" s="130">
        <f t="shared" si="270"/>
        <v>80120.320000000007</v>
      </c>
      <c r="L459" s="121">
        <f t="shared" si="271"/>
        <v>67328</v>
      </c>
      <c r="M459" s="122">
        <f t="shared" si="272"/>
        <v>80120.320000000007</v>
      </c>
      <c r="N459" s="123">
        <v>65620.604000000007</v>
      </c>
      <c r="O459" s="121">
        <f t="shared" si="273"/>
        <v>12467.914760000001</v>
      </c>
      <c r="P459" s="110">
        <f t="shared" si="274"/>
        <v>78088.518760000006</v>
      </c>
      <c r="Q459" s="121">
        <f t="shared" si="275"/>
        <v>65620.604000000007</v>
      </c>
      <c r="R459" s="124">
        <f t="shared" si="276"/>
        <v>78088.518760000006</v>
      </c>
      <c r="S459" s="125">
        <v>71536</v>
      </c>
      <c r="T459" s="121">
        <f t="shared" si="280"/>
        <v>13591.84</v>
      </c>
      <c r="U459" s="110">
        <f t="shared" si="281"/>
        <v>85127.84</v>
      </c>
      <c r="V459" s="121">
        <f t="shared" si="282"/>
        <v>71536</v>
      </c>
      <c r="W459" s="122">
        <f t="shared" si="283"/>
        <v>85127.84</v>
      </c>
      <c r="X459" s="108"/>
      <c r="Y459" s="121">
        <f t="shared" si="284"/>
        <v>0</v>
      </c>
      <c r="Z459" s="121">
        <f t="shared" si="285"/>
        <v>0</v>
      </c>
      <c r="AA459" s="121">
        <f t="shared" si="286"/>
        <v>0</v>
      </c>
      <c r="AB459" s="124">
        <f t="shared" si="287"/>
        <v>0</v>
      </c>
      <c r="AC459" s="126">
        <f t="shared" si="277"/>
        <v>68162</v>
      </c>
      <c r="AD459" s="101">
        <f t="shared" si="291"/>
        <v>51121</v>
      </c>
      <c r="AE459" s="127">
        <f t="shared" si="278"/>
        <v>2485.8348684235266</v>
      </c>
      <c r="AF459" s="128">
        <f t="shared" si="288"/>
        <v>3.6469511874996724E-2</v>
      </c>
      <c r="AG459" s="129">
        <f t="shared" si="279"/>
        <v>67328</v>
      </c>
      <c r="AH459" s="101">
        <f t="shared" si="292"/>
        <v>66474</v>
      </c>
      <c r="AI459" s="130">
        <f t="shared" si="289"/>
        <v>2485.8348684235266</v>
      </c>
      <c r="AJ459" s="159">
        <f t="shared" si="290"/>
        <v>3.6921264086613691E-2</v>
      </c>
      <c r="AK459" s="290" t="s">
        <v>1034</v>
      </c>
      <c r="AL459" s="291"/>
      <c r="AM459" s="292"/>
      <c r="AN459" s="160"/>
    </row>
    <row r="460" spans="1:40" ht="30.75" thickBot="1" x14ac:dyDescent="0.3">
      <c r="A460" s="84">
        <f t="shared" si="268"/>
        <v>3</v>
      </c>
      <c r="B460" s="198">
        <v>455</v>
      </c>
      <c r="C460" s="51" t="s">
        <v>911</v>
      </c>
      <c r="D460" s="204" t="s">
        <v>1044</v>
      </c>
      <c r="E460" s="64" t="s">
        <v>912</v>
      </c>
      <c r="F460" s="17">
        <v>1</v>
      </c>
      <c r="G460" s="17"/>
      <c r="H460" s="89" t="s">
        <v>28</v>
      </c>
      <c r="I460" s="126">
        <v>21671.200000000001</v>
      </c>
      <c r="J460" s="121">
        <f t="shared" si="269"/>
        <v>4117.5280000000002</v>
      </c>
      <c r="K460" s="130">
        <f t="shared" si="270"/>
        <v>25788.728000000003</v>
      </c>
      <c r="L460" s="121">
        <f t="shared" si="271"/>
        <v>21671.200000000001</v>
      </c>
      <c r="M460" s="122">
        <f t="shared" si="272"/>
        <v>25788.728000000003</v>
      </c>
      <c r="N460" s="123">
        <v>21460.799999999999</v>
      </c>
      <c r="O460" s="121">
        <f t="shared" si="273"/>
        <v>4077.5520000000001</v>
      </c>
      <c r="P460" s="110">
        <f t="shared" si="274"/>
        <v>25538.351999999999</v>
      </c>
      <c r="Q460" s="121">
        <f t="shared" si="275"/>
        <v>21460.799999999999</v>
      </c>
      <c r="R460" s="124">
        <f t="shared" si="276"/>
        <v>25538.351999999999</v>
      </c>
      <c r="S460" s="125">
        <v>25248</v>
      </c>
      <c r="T460" s="121">
        <f t="shared" si="280"/>
        <v>4797.12</v>
      </c>
      <c r="U460" s="110">
        <f t="shared" si="281"/>
        <v>30045.119999999999</v>
      </c>
      <c r="V460" s="121">
        <f t="shared" si="282"/>
        <v>25248</v>
      </c>
      <c r="W460" s="122">
        <f t="shared" si="283"/>
        <v>30045.119999999999</v>
      </c>
      <c r="X460" s="108"/>
      <c r="Y460" s="121">
        <f t="shared" si="284"/>
        <v>0</v>
      </c>
      <c r="Z460" s="121">
        <f t="shared" si="285"/>
        <v>0</v>
      </c>
      <c r="AA460" s="121">
        <f t="shared" si="286"/>
        <v>0</v>
      </c>
      <c r="AB460" s="124">
        <f t="shared" si="287"/>
        <v>0</v>
      </c>
      <c r="AC460" s="126">
        <f t="shared" si="277"/>
        <v>22793</v>
      </c>
      <c r="AD460" s="101">
        <f t="shared" si="291"/>
        <v>17095</v>
      </c>
      <c r="AE460" s="127">
        <f t="shared" si="278"/>
        <v>1737.8355068558385</v>
      </c>
      <c r="AF460" s="128">
        <f t="shared" si="288"/>
        <v>7.6244263890485608E-2</v>
      </c>
      <c r="AG460" s="129">
        <f t="shared" si="279"/>
        <v>21671</v>
      </c>
      <c r="AH460" s="101">
        <f t="shared" si="292"/>
        <v>21566</v>
      </c>
      <c r="AI460" s="130">
        <f t="shared" si="289"/>
        <v>1737.8355068558385</v>
      </c>
      <c r="AJ460" s="159">
        <f t="shared" si="290"/>
        <v>8.0191754273260973E-2</v>
      </c>
      <c r="AK460" s="290" t="s">
        <v>1034</v>
      </c>
      <c r="AL460" s="291"/>
      <c r="AM460" s="292"/>
      <c r="AN460" s="160"/>
    </row>
    <row r="461" spans="1:40" ht="30.75" thickBot="1" x14ac:dyDescent="0.3">
      <c r="A461" s="84">
        <f t="shared" si="268"/>
        <v>3</v>
      </c>
      <c r="B461" s="198">
        <v>456</v>
      </c>
      <c r="C461" s="51" t="s">
        <v>911</v>
      </c>
      <c r="D461" s="204" t="s">
        <v>1044</v>
      </c>
      <c r="E461" s="64" t="s">
        <v>913</v>
      </c>
      <c r="F461" s="17">
        <v>1</v>
      </c>
      <c r="G461" s="17"/>
      <c r="H461" s="89" t="s">
        <v>28</v>
      </c>
      <c r="I461" s="126">
        <v>19988</v>
      </c>
      <c r="J461" s="121">
        <f t="shared" si="269"/>
        <v>3797.7200000000003</v>
      </c>
      <c r="K461" s="130">
        <f t="shared" si="270"/>
        <v>23785.72</v>
      </c>
      <c r="L461" s="121">
        <f t="shared" si="271"/>
        <v>19988</v>
      </c>
      <c r="M461" s="122">
        <f t="shared" si="272"/>
        <v>23785.72</v>
      </c>
      <c r="N461" s="123">
        <v>19125.36</v>
      </c>
      <c r="O461" s="121">
        <f t="shared" si="273"/>
        <v>3633.8184000000001</v>
      </c>
      <c r="P461" s="110">
        <f t="shared" si="274"/>
        <v>22759.178400000001</v>
      </c>
      <c r="Q461" s="121">
        <f t="shared" si="275"/>
        <v>19125.36</v>
      </c>
      <c r="R461" s="124">
        <f t="shared" si="276"/>
        <v>22759.178400000001</v>
      </c>
      <c r="S461" s="125">
        <v>24196</v>
      </c>
      <c r="T461" s="121">
        <f t="shared" si="280"/>
        <v>4597.24</v>
      </c>
      <c r="U461" s="110">
        <f t="shared" si="281"/>
        <v>28793.239999999998</v>
      </c>
      <c r="V461" s="121">
        <f t="shared" si="282"/>
        <v>24196</v>
      </c>
      <c r="W461" s="122">
        <f t="shared" si="283"/>
        <v>28793.239999999998</v>
      </c>
      <c r="X461" s="108"/>
      <c r="Y461" s="121">
        <f t="shared" si="284"/>
        <v>0</v>
      </c>
      <c r="Z461" s="121">
        <f t="shared" si="285"/>
        <v>0</v>
      </c>
      <c r="AA461" s="121">
        <f t="shared" si="286"/>
        <v>0</v>
      </c>
      <c r="AB461" s="124">
        <f t="shared" si="287"/>
        <v>0</v>
      </c>
      <c r="AC461" s="126">
        <f t="shared" si="277"/>
        <v>21103</v>
      </c>
      <c r="AD461" s="101">
        <f t="shared" si="291"/>
        <v>15827</v>
      </c>
      <c r="AE461" s="127">
        <f t="shared" si="278"/>
        <v>2215.1699653675955</v>
      </c>
      <c r="AF461" s="128">
        <f t="shared" si="288"/>
        <v>0.1049694339841537</v>
      </c>
      <c r="AG461" s="129">
        <f t="shared" si="279"/>
        <v>19988</v>
      </c>
      <c r="AH461" s="101">
        <f t="shared" si="292"/>
        <v>19557</v>
      </c>
      <c r="AI461" s="130">
        <f t="shared" si="289"/>
        <v>2215.1699653675955</v>
      </c>
      <c r="AJ461" s="159">
        <f t="shared" si="290"/>
        <v>0.11082499326433838</v>
      </c>
      <c r="AK461" s="290" t="s">
        <v>1034</v>
      </c>
      <c r="AL461" s="291"/>
      <c r="AM461" s="292"/>
      <c r="AN461" s="160"/>
    </row>
    <row r="462" spans="1:40" ht="30.75" thickBot="1" x14ac:dyDescent="0.3">
      <c r="A462" s="84">
        <f t="shared" si="268"/>
        <v>3</v>
      </c>
      <c r="B462" s="198">
        <v>457</v>
      </c>
      <c r="C462" s="51" t="s">
        <v>911</v>
      </c>
      <c r="D462" s="204" t="s">
        <v>1044</v>
      </c>
      <c r="E462" s="64" t="s">
        <v>914</v>
      </c>
      <c r="F462" s="17">
        <v>1</v>
      </c>
      <c r="G462" s="17"/>
      <c r="H462" s="89" t="s">
        <v>28</v>
      </c>
      <c r="I462" s="126">
        <v>21040</v>
      </c>
      <c r="J462" s="121">
        <f t="shared" si="269"/>
        <v>3997.6</v>
      </c>
      <c r="K462" s="130">
        <f t="shared" si="270"/>
        <v>25037.599999999999</v>
      </c>
      <c r="L462" s="121">
        <f t="shared" si="271"/>
        <v>21040</v>
      </c>
      <c r="M462" s="122">
        <f t="shared" si="272"/>
        <v>25037.599999999999</v>
      </c>
      <c r="N462" s="123">
        <v>20369.876</v>
      </c>
      <c r="O462" s="121">
        <f t="shared" si="273"/>
        <v>3870.2764400000001</v>
      </c>
      <c r="P462" s="110">
        <f t="shared" si="274"/>
        <v>24240.152440000002</v>
      </c>
      <c r="Q462" s="121">
        <f t="shared" si="275"/>
        <v>20369.876</v>
      </c>
      <c r="R462" s="124">
        <f t="shared" si="276"/>
        <v>24240.152440000002</v>
      </c>
      <c r="S462" s="125">
        <v>25248</v>
      </c>
      <c r="T462" s="121">
        <f t="shared" si="280"/>
        <v>4797.12</v>
      </c>
      <c r="U462" s="110">
        <f t="shared" si="281"/>
        <v>30045.119999999999</v>
      </c>
      <c r="V462" s="121">
        <f t="shared" si="282"/>
        <v>25248</v>
      </c>
      <c r="W462" s="122">
        <f t="shared" si="283"/>
        <v>30045.119999999999</v>
      </c>
      <c r="X462" s="108"/>
      <c r="Y462" s="121">
        <f t="shared" si="284"/>
        <v>0</v>
      </c>
      <c r="Z462" s="121">
        <f t="shared" si="285"/>
        <v>0</v>
      </c>
      <c r="AA462" s="121">
        <f t="shared" si="286"/>
        <v>0</v>
      </c>
      <c r="AB462" s="124">
        <f t="shared" si="287"/>
        <v>0</v>
      </c>
      <c r="AC462" s="126">
        <f t="shared" si="277"/>
        <v>22219</v>
      </c>
      <c r="AD462" s="101">
        <f t="shared" si="291"/>
        <v>16664</v>
      </c>
      <c r="AE462" s="127">
        <f t="shared" si="278"/>
        <v>2159.0230284076792</v>
      </c>
      <c r="AF462" s="128">
        <f t="shared" si="288"/>
        <v>9.717012594660783E-2</v>
      </c>
      <c r="AG462" s="129">
        <f t="shared" si="279"/>
        <v>21040</v>
      </c>
      <c r="AH462" s="101">
        <f t="shared" si="292"/>
        <v>20705</v>
      </c>
      <c r="AI462" s="130">
        <f t="shared" si="289"/>
        <v>2159.0230284076792</v>
      </c>
      <c r="AJ462" s="159">
        <f t="shared" si="290"/>
        <v>0.10261516294713305</v>
      </c>
      <c r="AK462" s="290" t="s">
        <v>1034</v>
      </c>
      <c r="AL462" s="291"/>
      <c r="AM462" s="292"/>
      <c r="AN462" s="160"/>
    </row>
    <row r="463" spans="1:40" ht="30.75" thickBot="1" x14ac:dyDescent="0.3">
      <c r="A463" s="84">
        <f t="shared" si="268"/>
        <v>3</v>
      </c>
      <c r="B463" s="198">
        <v>458</v>
      </c>
      <c r="C463" s="51" t="s">
        <v>911</v>
      </c>
      <c r="D463" s="204" t="s">
        <v>1044</v>
      </c>
      <c r="E463" s="64" t="s">
        <v>915</v>
      </c>
      <c r="F463" s="17">
        <v>1</v>
      </c>
      <c r="G463" s="17"/>
      <c r="H463" s="89" t="s">
        <v>28</v>
      </c>
      <c r="I463" s="126">
        <v>36820</v>
      </c>
      <c r="J463" s="121">
        <f t="shared" si="269"/>
        <v>6995.8</v>
      </c>
      <c r="K463" s="130">
        <f t="shared" si="270"/>
        <v>43815.8</v>
      </c>
      <c r="L463" s="121">
        <f t="shared" si="271"/>
        <v>36820</v>
      </c>
      <c r="M463" s="122">
        <f t="shared" si="272"/>
        <v>43815.8</v>
      </c>
      <c r="N463" s="123">
        <v>36820</v>
      </c>
      <c r="O463" s="121">
        <f t="shared" si="273"/>
        <v>6995.8</v>
      </c>
      <c r="P463" s="110">
        <f t="shared" si="274"/>
        <v>43815.8</v>
      </c>
      <c r="Q463" s="121">
        <f t="shared" si="275"/>
        <v>36820</v>
      </c>
      <c r="R463" s="124">
        <f t="shared" si="276"/>
        <v>43815.8</v>
      </c>
      <c r="S463" s="125">
        <v>39976</v>
      </c>
      <c r="T463" s="121">
        <f t="shared" si="280"/>
        <v>7595.4400000000005</v>
      </c>
      <c r="U463" s="110">
        <f t="shared" si="281"/>
        <v>47571.44</v>
      </c>
      <c r="V463" s="121">
        <f t="shared" si="282"/>
        <v>39976</v>
      </c>
      <c r="W463" s="122">
        <f t="shared" si="283"/>
        <v>47571.44</v>
      </c>
      <c r="X463" s="108"/>
      <c r="Y463" s="121">
        <f t="shared" si="284"/>
        <v>0</v>
      </c>
      <c r="Z463" s="121">
        <f t="shared" si="285"/>
        <v>0</v>
      </c>
      <c r="AA463" s="121">
        <f t="shared" si="286"/>
        <v>0</v>
      </c>
      <c r="AB463" s="124">
        <f t="shared" si="287"/>
        <v>0</v>
      </c>
      <c r="AC463" s="126">
        <f t="shared" si="277"/>
        <v>37872</v>
      </c>
      <c r="AD463" s="101">
        <f t="shared" si="291"/>
        <v>28404</v>
      </c>
      <c r="AE463" s="127">
        <f t="shared" si="278"/>
        <v>1487.752667616496</v>
      </c>
      <c r="AF463" s="128">
        <f t="shared" si="288"/>
        <v>3.9283710065919304E-2</v>
      </c>
      <c r="AG463" s="129">
        <f t="shared" si="279"/>
        <v>36820</v>
      </c>
      <c r="AH463" s="101">
        <f t="shared" si="292"/>
        <v>36820</v>
      </c>
      <c r="AI463" s="130">
        <f t="shared" si="289"/>
        <v>1487.752667616496</v>
      </c>
      <c r="AJ463" s="159">
        <f t="shared" si="290"/>
        <v>4.0406101782088429E-2</v>
      </c>
      <c r="AK463" s="290" t="s">
        <v>1034</v>
      </c>
      <c r="AL463" s="291"/>
      <c r="AM463" s="292"/>
      <c r="AN463" s="160"/>
    </row>
    <row r="464" spans="1:40" ht="30.75" thickBot="1" x14ac:dyDescent="0.3">
      <c r="A464" s="84">
        <f t="shared" si="268"/>
        <v>3</v>
      </c>
      <c r="B464" s="198">
        <v>459</v>
      </c>
      <c r="C464" s="51" t="s">
        <v>911</v>
      </c>
      <c r="D464" s="204" t="s">
        <v>1044</v>
      </c>
      <c r="E464" s="64" t="s">
        <v>916</v>
      </c>
      <c r="F464" s="17">
        <v>1</v>
      </c>
      <c r="G464" s="17"/>
      <c r="H464" s="89" t="s">
        <v>28</v>
      </c>
      <c r="I464" s="126">
        <v>31560</v>
      </c>
      <c r="J464" s="121">
        <f t="shared" si="269"/>
        <v>5996.4</v>
      </c>
      <c r="K464" s="130">
        <f t="shared" si="270"/>
        <v>37556.400000000001</v>
      </c>
      <c r="L464" s="121">
        <f t="shared" si="271"/>
        <v>31560</v>
      </c>
      <c r="M464" s="122">
        <f t="shared" si="272"/>
        <v>37556.400000000001</v>
      </c>
      <c r="N464" s="123">
        <v>31305.942000000003</v>
      </c>
      <c r="O464" s="121">
        <f t="shared" si="273"/>
        <v>5948.1289800000004</v>
      </c>
      <c r="P464" s="110">
        <f t="shared" si="274"/>
        <v>37254.070980000004</v>
      </c>
      <c r="Q464" s="121">
        <f t="shared" si="275"/>
        <v>31305.942000000003</v>
      </c>
      <c r="R464" s="124">
        <f t="shared" si="276"/>
        <v>37254.070980000004</v>
      </c>
      <c r="S464" s="125">
        <v>33664</v>
      </c>
      <c r="T464" s="121">
        <f t="shared" si="280"/>
        <v>6396.16</v>
      </c>
      <c r="U464" s="110">
        <f t="shared" si="281"/>
        <v>40060.160000000003</v>
      </c>
      <c r="V464" s="121">
        <f t="shared" si="282"/>
        <v>33664</v>
      </c>
      <c r="W464" s="122">
        <f t="shared" si="283"/>
        <v>40060.160000000003</v>
      </c>
      <c r="X464" s="108"/>
      <c r="Y464" s="121">
        <f t="shared" si="284"/>
        <v>0</v>
      </c>
      <c r="Z464" s="121">
        <f t="shared" si="285"/>
        <v>0</v>
      </c>
      <c r="AA464" s="121">
        <f t="shared" si="286"/>
        <v>0</v>
      </c>
      <c r="AB464" s="124">
        <f t="shared" si="287"/>
        <v>0</v>
      </c>
      <c r="AC464" s="126">
        <f t="shared" si="277"/>
        <v>32177</v>
      </c>
      <c r="AD464" s="101">
        <f t="shared" si="291"/>
        <v>24132</v>
      </c>
      <c r="AE464" s="127">
        <f t="shared" si="278"/>
        <v>1056.8190741154422</v>
      </c>
      <c r="AF464" s="128">
        <f t="shared" si="288"/>
        <v>3.2843928088866027E-2</v>
      </c>
      <c r="AG464" s="129">
        <f t="shared" si="279"/>
        <v>31560</v>
      </c>
      <c r="AH464" s="101">
        <f t="shared" si="292"/>
        <v>31433</v>
      </c>
      <c r="AI464" s="130">
        <f t="shared" si="289"/>
        <v>1056.8190741154422</v>
      </c>
      <c r="AJ464" s="159">
        <f t="shared" si="290"/>
        <v>3.3486028964367621E-2</v>
      </c>
      <c r="AK464" s="290" t="s">
        <v>1034</v>
      </c>
      <c r="AL464" s="291"/>
      <c r="AM464" s="292"/>
      <c r="AN464" s="160"/>
    </row>
    <row r="465" spans="1:40" ht="30.75" thickBot="1" x14ac:dyDescent="0.3">
      <c r="A465" s="84">
        <f t="shared" si="268"/>
        <v>3</v>
      </c>
      <c r="B465" s="198">
        <v>460</v>
      </c>
      <c r="C465" s="51" t="s">
        <v>911</v>
      </c>
      <c r="D465" s="204" t="s">
        <v>1044</v>
      </c>
      <c r="E465" s="64" t="s">
        <v>917</v>
      </c>
      <c r="F465" s="17">
        <v>1</v>
      </c>
      <c r="G465" s="17"/>
      <c r="H465" s="89" t="s">
        <v>28</v>
      </c>
      <c r="I465" s="126">
        <v>15780</v>
      </c>
      <c r="J465" s="121">
        <f t="shared" si="269"/>
        <v>2998.2</v>
      </c>
      <c r="K465" s="130">
        <f t="shared" si="270"/>
        <v>18778.2</v>
      </c>
      <c r="L465" s="121">
        <f t="shared" si="271"/>
        <v>15780</v>
      </c>
      <c r="M465" s="122">
        <f t="shared" si="272"/>
        <v>18778.2</v>
      </c>
      <c r="N465" s="123">
        <v>14728</v>
      </c>
      <c r="O465" s="121">
        <f t="shared" si="273"/>
        <v>2798.32</v>
      </c>
      <c r="P465" s="110">
        <f t="shared" si="274"/>
        <v>17526.32</v>
      </c>
      <c r="Q465" s="121">
        <f t="shared" si="275"/>
        <v>14728</v>
      </c>
      <c r="R465" s="124">
        <f t="shared" si="276"/>
        <v>17526.32</v>
      </c>
      <c r="S465" s="125">
        <v>18936</v>
      </c>
      <c r="T465" s="121">
        <f t="shared" si="280"/>
        <v>3597.84</v>
      </c>
      <c r="U465" s="110">
        <f t="shared" si="281"/>
        <v>22533.84</v>
      </c>
      <c r="V465" s="121">
        <f t="shared" si="282"/>
        <v>18936</v>
      </c>
      <c r="W465" s="122">
        <f t="shared" si="283"/>
        <v>22533.84</v>
      </c>
      <c r="X465" s="108"/>
      <c r="Y465" s="121">
        <f t="shared" si="284"/>
        <v>0</v>
      </c>
      <c r="Z465" s="121">
        <f t="shared" si="285"/>
        <v>0</v>
      </c>
      <c r="AA465" s="121">
        <f t="shared" si="286"/>
        <v>0</v>
      </c>
      <c r="AB465" s="124">
        <f t="shared" si="287"/>
        <v>0</v>
      </c>
      <c r="AC465" s="126">
        <f t="shared" si="277"/>
        <v>16481</v>
      </c>
      <c r="AD465" s="101">
        <f t="shared" si="291"/>
        <v>12361</v>
      </c>
      <c r="AE465" s="127">
        <f t="shared" si="278"/>
        <v>1788.0561760998698</v>
      </c>
      <c r="AF465" s="128">
        <f t="shared" si="288"/>
        <v>0.10849197112431708</v>
      </c>
      <c r="AG465" s="129">
        <f t="shared" si="279"/>
        <v>15780</v>
      </c>
      <c r="AH465" s="101">
        <f t="shared" si="292"/>
        <v>15254</v>
      </c>
      <c r="AI465" s="130">
        <f t="shared" si="289"/>
        <v>1788.0561760998698</v>
      </c>
      <c r="AJ465" s="159">
        <f t="shared" si="290"/>
        <v>0.11331154474650633</v>
      </c>
      <c r="AK465" s="290" t="s">
        <v>1034</v>
      </c>
      <c r="AL465" s="291"/>
      <c r="AM465" s="292"/>
      <c r="AN465" s="160"/>
    </row>
    <row r="466" spans="1:40" ht="38.25" customHeight="1" thickBot="1" x14ac:dyDescent="0.3">
      <c r="A466" s="84">
        <f t="shared" si="268"/>
        <v>3</v>
      </c>
      <c r="B466" s="198">
        <v>461</v>
      </c>
      <c r="C466" s="51" t="s">
        <v>918</v>
      </c>
      <c r="D466" s="204" t="s">
        <v>1044</v>
      </c>
      <c r="E466" s="64" t="s">
        <v>919</v>
      </c>
      <c r="F466" s="17">
        <v>1</v>
      </c>
      <c r="G466" s="17"/>
      <c r="H466" s="89" t="s">
        <v>28</v>
      </c>
      <c r="I466" s="126">
        <v>168320</v>
      </c>
      <c r="J466" s="121">
        <f t="shared" si="269"/>
        <v>31980.799999999999</v>
      </c>
      <c r="K466" s="130">
        <f t="shared" si="270"/>
        <v>200300.79999999999</v>
      </c>
      <c r="L466" s="121">
        <f t="shared" si="271"/>
        <v>168320</v>
      </c>
      <c r="M466" s="122">
        <f t="shared" si="272"/>
        <v>200300.79999999999</v>
      </c>
      <c r="N466" s="123">
        <v>190620.296</v>
      </c>
      <c r="O466" s="121">
        <f t="shared" si="273"/>
        <v>36217.856240000001</v>
      </c>
      <c r="P466" s="110">
        <f t="shared" si="274"/>
        <v>226838.15224</v>
      </c>
      <c r="Q466" s="121">
        <f t="shared" si="275"/>
        <v>190620.296</v>
      </c>
      <c r="R466" s="124">
        <f t="shared" si="276"/>
        <v>226838.15224</v>
      </c>
      <c r="S466" s="125">
        <v>189360</v>
      </c>
      <c r="T466" s="121">
        <f t="shared" si="280"/>
        <v>35978.400000000001</v>
      </c>
      <c r="U466" s="110">
        <f t="shared" si="281"/>
        <v>225338.4</v>
      </c>
      <c r="V466" s="121">
        <f t="shared" si="282"/>
        <v>189360</v>
      </c>
      <c r="W466" s="122">
        <f t="shared" si="283"/>
        <v>225338.4</v>
      </c>
      <c r="X466" s="108"/>
      <c r="Y466" s="121">
        <f t="shared" si="284"/>
        <v>0</v>
      </c>
      <c r="Z466" s="121">
        <f t="shared" si="285"/>
        <v>0</v>
      </c>
      <c r="AA466" s="121">
        <f t="shared" si="286"/>
        <v>0</v>
      </c>
      <c r="AB466" s="124">
        <f t="shared" si="287"/>
        <v>0</v>
      </c>
      <c r="AC466" s="126">
        <f t="shared" si="277"/>
        <v>182767</v>
      </c>
      <c r="AD466" s="101">
        <f t="shared" si="291"/>
        <v>137075</v>
      </c>
      <c r="AE466" s="127">
        <f t="shared" si="278"/>
        <v>10228.354639569532</v>
      </c>
      <c r="AF466" s="128">
        <f t="shared" si="288"/>
        <v>5.5963902890398882E-2</v>
      </c>
      <c r="AG466" s="129">
        <f t="shared" si="279"/>
        <v>189360</v>
      </c>
      <c r="AH466" s="101">
        <f t="shared" si="292"/>
        <v>178840</v>
      </c>
      <c r="AI466" s="130">
        <f t="shared" si="289"/>
        <v>10228.354639569532</v>
      </c>
      <c r="AJ466" s="159">
        <f t="shared" si="290"/>
        <v>5.4015392055183416E-2</v>
      </c>
      <c r="AK466" s="290" t="s">
        <v>1034</v>
      </c>
      <c r="AL466" s="291"/>
      <c r="AM466" s="292"/>
      <c r="AN466" s="160"/>
    </row>
    <row r="467" spans="1:40" ht="39" thickBot="1" x14ac:dyDescent="0.3">
      <c r="A467" s="84">
        <f t="shared" si="268"/>
        <v>3</v>
      </c>
      <c r="B467" s="198">
        <v>462</v>
      </c>
      <c r="C467" s="51" t="s">
        <v>918</v>
      </c>
      <c r="D467" s="204" t="s">
        <v>1044</v>
      </c>
      <c r="E467" s="64" t="s">
        <v>920</v>
      </c>
      <c r="F467" s="17">
        <v>1</v>
      </c>
      <c r="G467" s="17"/>
      <c r="H467" s="89" t="s">
        <v>28</v>
      </c>
      <c r="I467" s="126">
        <v>162008</v>
      </c>
      <c r="J467" s="121">
        <f t="shared" si="269"/>
        <v>30781.52</v>
      </c>
      <c r="K467" s="130">
        <f t="shared" si="270"/>
        <v>192789.52</v>
      </c>
      <c r="L467" s="121">
        <f t="shared" si="271"/>
        <v>162008</v>
      </c>
      <c r="M467" s="122">
        <f t="shared" si="272"/>
        <v>192789.52</v>
      </c>
      <c r="N467" s="123">
        <v>172036.71600000001</v>
      </c>
      <c r="O467" s="121">
        <f t="shared" si="273"/>
        <v>32686.976040000005</v>
      </c>
      <c r="P467" s="110">
        <f t="shared" si="274"/>
        <v>204723.69204000002</v>
      </c>
      <c r="Q467" s="121">
        <f t="shared" si="275"/>
        <v>172036.71600000001</v>
      </c>
      <c r="R467" s="124">
        <f t="shared" si="276"/>
        <v>204723.69204000002</v>
      </c>
      <c r="S467" s="125">
        <v>178840</v>
      </c>
      <c r="T467" s="121">
        <f t="shared" si="280"/>
        <v>33979.599999999999</v>
      </c>
      <c r="U467" s="110">
        <f t="shared" si="281"/>
        <v>212819.6</v>
      </c>
      <c r="V467" s="121">
        <f t="shared" si="282"/>
        <v>178840</v>
      </c>
      <c r="W467" s="122">
        <f t="shared" si="283"/>
        <v>212819.6</v>
      </c>
      <c r="X467" s="108"/>
      <c r="Y467" s="121">
        <f t="shared" si="284"/>
        <v>0</v>
      </c>
      <c r="Z467" s="121">
        <f t="shared" si="285"/>
        <v>0</v>
      </c>
      <c r="AA467" s="121">
        <f t="shared" si="286"/>
        <v>0</v>
      </c>
      <c r="AB467" s="124">
        <f t="shared" si="287"/>
        <v>0</v>
      </c>
      <c r="AC467" s="126">
        <f t="shared" si="277"/>
        <v>170962</v>
      </c>
      <c r="AD467" s="101">
        <f t="shared" si="291"/>
        <v>128221</v>
      </c>
      <c r="AE467" s="127">
        <f t="shared" si="278"/>
        <v>6913.5618878429577</v>
      </c>
      <c r="AF467" s="128">
        <f t="shared" si="288"/>
        <v>4.0439172961494123E-2</v>
      </c>
      <c r="AG467" s="129">
        <f t="shared" si="279"/>
        <v>172037</v>
      </c>
      <c r="AH467" s="101">
        <f t="shared" si="292"/>
        <v>167022</v>
      </c>
      <c r="AI467" s="130">
        <f t="shared" si="289"/>
        <v>6913.5618878429577</v>
      </c>
      <c r="AJ467" s="159">
        <f t="shared" si="290"/>
        <v>4.0186482488319131E-2</v>
      </c>
      <c r="AK467" s="290" t="s">
        <v>1034</v>
      </c>
      <c r="AL467" s="291"/>
      <c r="AM467" s="292"/>
      <c r="AN467" s="160"/>
    </row>
    <row r="468" spans="1:40" ht="19.5" thickBot="1" x14ac:dyDescent="0.3">
      <c r="A468" s="84">
        <f t="shared" si="268"/>
        <v>3</v>
      </c>
      <c r="B468" s="198">
        <v>463</v>
      </c>
      <c r="C468" s="51" t="s">
        <v>921</v>
      </c>
      <c r="D468" s="204" t="s">
        <v>1044</v>
      </c>
      <c r="E468" s="64" t="s">
        <v>922</v>
      </c>
      <c r="F468" s="17">
        <v>1</v>
      </c>
      <c r="G468" s="17"/>
      <c r="H468" s="89" t="s">
        <v>28</v>
      </c>
      <c r="I468" s="126">
        <v>7364</v>
      </c>
      <c r="J468" s="121">
        <f t="shared" si="269"/>
        <v>1399.16</v>
      </c>
      <c r="K468" s="130">
        <f t="shared" si="270"/>
        <v>8763.16</v>
      </c>
      <c r="L468" s="121">
        <f t="shared" si="271"/>
        <v>7364</v>
      </c>
      <c r="M468" s="122">
        <f t="shared" si="272"/>
        <v>8763.16</v>
      </c>
      <c r="N468" s="123">
        <v>7863.7000000000007</v>
      </c>
      <c r="O468" s="121">
        <f t="shared" si="273"/>
        <v>1494.1030000000001</v>
      </c>
      <c r="P468" s="110">
        <f t="shared" si="274"/>
        <v>9357.8029999999999</v>
      </c>
      <c r="Q468" s="121">
        <f t="shared" si="275"/>
        <v>7863.7000000000007</v>
      </c>
      <c r="R468" s="124">
        <f t="shared" si="276"/>
        <v>9357.8029999999999</v>
      </c>
      <c r="S468" s="125">
        <v>9468</v>
      </c>
      <c r="T468" s="121">
        <f t="shared" si="280"/>
        <v>1798.92</v>
      </c>
      <c r="U468" s="110">
        <f t="shared" si="281"/>
        <v>11266.92</v>
      </c>
      <c r="V468" s="121">
        <f t="shared" si="282"/>
        <v>9468</v>
      </c>
      <c r="W468" s="122">
        <f t="shared" si="283"/>
        <v>11266.92</v>
      </c>
      <c r="X468" s="108"/>
      <c r="Y468" s="121">
        <f t="shared" si="284"/>
        <v>0</v>
      </c>
      <c r="Z468" s="121">
        <f t="shared" si="285"/>
        <v>0</v>
      </c>
      <c r="AA468" s="121">
        <f t="shared" si="286"/>
        <v>0</v>
      </c>
      <c r="AB468" s="124">
        <f t="shared" si="287"/>
        <v>0</v>
      </c>
      <c r="AC468" s="126">
        <f t="shared" si="277"/>
        <v>8232</v>
      </c>
      <c r="AD468" s="101">
        <f t="shared" si="291"/>
        <v>6174</v>
      </c>
      <c r="AE468" s="127">
        <f t="shared" si="278"/>
        <v>897.54570171476962</v>
      </c>
      <c r="AF468" s="128">
        <f t="shared" si="288"/>
        <v>0.10903130487302838</v>
      </c>
      <c r="AG468" s="129">
        <f t="shared" si="279"/>
        <v>7864</v>
      </c>
      <c r="AH468" s="101">
        <f t="shared" si="292"/>
        <v>7614</v>
      </c>
      <c r="AI468" s="130">
        <f t="shared" si="289"/>
        <v>897.54570171476962</v>
      </c>
      <c r="AJ468" s="159">
        <f t="shared" si="290"/>
        <v>0.11413348190676115</v>
      </c>
      <c r="AK468" s="290" t="s">
        <v>1034</v>
      </c>
      <c r="AL468" s="291"/>
      <c r="AM468" s="292"/>
      <c r="AN468" s="160"/>
    </row>
    <row r="469" spans="1:40" ht="19.5" thickBot="1" x14ac:dyDescent="0.3">
      <c r="A469" s="84">
        <f t="shared" si="268"/>
        <v>3</v>
      </c>
      <c r="B469" s="198">
        <v>464</v>
      </c>
      <c r="C469" s="51" t="s">
        <v>923</v>
      </c>
      <c r="D469" s="204" t="s">
        <v>1044</v>
      </c>
      <c r="E469" s="64" t="s">
        <v>924</v>
      </c>
      <c r="F469" s="17">
        <v>1</v>
      </c>
      <c r="G469" s="17"/>
      <c r="H469" s="89" t="s">
        <v>28</v>
      </c>
      <c r="I469" s="126">
        <v>31560</v>
      </c>
      <c r="J469" s="121">
        <f t="shared" si="269"/>
        <v>5996.4</v>
      </c>
      <c r="K469" s="130">
        <f t="shared" si="270"/>
        <v>37556.400000000001</v>
      </c>
      <c r="L469" s="121">
        <f t="shared" si="271"/>
        <v>31560</v>
      </c>
      <c r="M469" s="122">
        <f t="shared" si="272"/>
        <v>37556.400000000001</v>
      </c>
      <c r="N469" s="123">
        <v>30502.74</v>
      </c>
      <c r="O469" s="121">
        <f t="shared" si="273"/>
        <v>5795.5206000000007</v>
      </c>
      <c r="P469" s="110">
        <f t="shared" si="274"/>
        <v>36298.260600000001</v>
      </c>
      <c r="Q469" s="121">
        <f t="shared" si="275"/>
        <v>30502.74</v>
      </c>
      <c r="R469" s="124">
        <f t="shared" si="276"/>
        <v>36298.260600000001</v>
      </c>
      <c r="S469" s="125">
        <v>33664</v>
      </c>
      <c r="T469" s="121">
        <f t="shared" si="280"/>
        <v>6396.16</v>
      </c>
      <c r="U469" s="110">
        <f t="shared" si="281"/>
        <v>40060.160000000003</v>
      </c>
      <c r="V469" s="121">
        <f t="shared" si="282"/>
        <v>33664</v>
      </c>
      <c r="W469" s="122">
        <f t="shared" si="283"/>
        <v>40060.160000000003</v>
      </c>
      <c r="X469" s="108"/>
      <c r="Y469" s="121">
        <f t="shared" si="284"/>
        <v>0</v>
      </c>
      <c r="Z469" s="121">
        <f t="shared" si="285"/>
        <v>0</v>
      </c>
      <c r="AA469" s="121">
        <f t="shared" si="286"/>
        <v>0</v>
      </c>
      <c r="AB469" s="124">
        <f t="shared" si="287"/>
        <v>0</v>
      </c>
      <c r="AC469" s="126">
        <f t="shared" si="277"/>
        <v>31909</v>
      </c>
      <c r="AD469" s="101">
        <f t="shared" si="291"/>
        <v>23932</v>
      </c>
      <c r="AE469" s="127">
        <f t="shared" si="278"/>
        <v>1313.9499185111868</v>
      </c>
      <c r="AF469" s="128">
        <f t="shared" si="288"/>
        <v>4.1178034990478757E-2</v>
      </c>
      <c r="AG469" s="129">
        <f t="shared" si="279"/>
        <v>31560</v>
      </c>
      <c r="AH469" s="101">
        <f t="shared" si="292"/>
        <v>31031</v>
      </c>
      <c r="AI469" s="130">
        <f t="shared" si="289"/>
        <v>1313.9499185111868</v>
      </c>
      <c r="AJ469" s="159">
        <f t="shared" si="290"/>
        <v>4.1633394122661177E-2</v>
      </c>
      <c r="AK469" s="290" t="s">
        <v>1034</v>
      </c>
      <c r="AL469" s="291"/>
      <c r="AM469" s="292"/>
      <c r="AN469" s="160"/>
    </row>
    <row r="470" spans="1:40" ht="102" customHeight="1" thickBot="1" x14ac:dyDescent="0.3">
      <c r="A470" s="84">
        <f t="shared" si="268"/>
        <v>3</v>
      </c>
      <c r="B470" s="198">
        <v>465</v>
      </c>
      <c r="C470" s="51" t="s">
        <v>925</v>
      </c>
      <c r="D470" s="204" t="s">
        <v>1051</v>
      </c>
      <c r="E470" s="51" t="s">
        <v>926</v>
      </c>
      <c r="F470" s="17">
        <v>1</v>
      </c>
      <c r="G470" s="17"/>
      <c r="H470" s="89" t="s">
        <v>376</v>
      </c>
      <c r="I470" s="126">
        <v>294560</v>
      </c>
      <c r="J470" s="121">
        <f t="shared" si="269"/>
        <v>55966.400000000001</v>
      </c>
      <c r="K470" s="130">
        <f t="shared" si="270"/>
        <v>350526.4</v>
      </c>
      <c r="L470" s="121">
        <f t="shared" si="271"/>
        <v>294560</v>
      </c>
      <c r="M470" s="122">
        <f t="shared" si="272"/>
        <v>350526.4</v>
      </c>
      <c r="N470" s="123">
        <v>294560</v>
      </c>
      <c r="O470" s="121">
        <f t="shared" si="273"/>
        <v>55966.400000000001</v>
      </c>
      <c r="P470" s="110">
        <f t="shared" si="274"/>
        <v>350526.4</v>
      </c>
      <c r="Q470" s="121">
        <f t="shared" si="275"/>
        <v>294560</v>
      </c>
      <c r="R470" s="124">
        <f t="shared" si="276"/>
        <v>350526.4</v>
      </c>
      <c r="S470" s="125">
        <v>294560</v>
      </c>
      <c r="T470" s="121">
        <f t="shared" si="280"/>
        <v>55966.400000000001</v>
      </c>
      <c r="U470" s="110">
        <f t="shared" si="281"/>
        <v>350526.4</v>
      </c>
      <c r="V470" s="121">
        <f t="shared" si="282"/>
        <v>294560</v>
      </c>
      <c r="W470" s="122">
        <f t="shared" si="283"/>
        <v>350526.4</v>
      </c>
      <c r="X470" s="108"/>
      <c r="Y470" s="121">
        <f t="shared" si="284"/>
        <v>0</v>
      </c>
      <c r="Z470" s="121">
        <f t="shared" si="285"/>
        <v>0</v>
      </c>
      <c r="AA470" s="121">
        <f t="shared" si="286"/>
        <v>0</v>
      </c>
      <c r="AB470" s="124">
        <f t="shared" si="287"/>
        <v>0</v>
      </c>
      <c r="AC470" s="126">
        <f t="shared" si="277"/>
        <v>294560</v>
      </c>
      <c r="AD470" s="101">
        <f t="shared" si="291"/>
        <v>220920</v>
      </c>
      <c r="AE470" s="127">
        <f t="shared" si="278"/>
        <v>0</v>
      </c>
      <c r="AF470" s="128">
        <f t="shared" si="288"/>
        <v>0</v>
      </c>
      <c r="AG470" s="129">
        <f t="shared" si="279"/>
        <v>294560</v>
      </c>
      <c r="AH470" s="101">
        <f t="shared" si="292"/>
        <v>294560</v>
      </c>
      <c r="AI470" s="130">
        <f t="shared" si="289"/>
        <v>0</v>
      </c>
      <c r="AJ470" s="159">
        <f t="shared" si="290"/>
        <v>0</v>
      </c>
      <c r="AK470" s="290" t="s">
        <v>1034</v>
      </c>
      <c r="AL470" s="291"/>
      <c r="AM470" s="292"/>
      <c r="AN470" s="160"/>
    </row>
    <row r="471" spans="1:40" ht="104.25" customHeight="1" thickBot="1" x14ac:dyDescent="0.3">
      <c r="A471" s="84">
        <f t="shared" si="268"/>
        <v>3</v>
      </c>
      <c r="B471" s="198">
        <v>466</v>
      </c>
      <c r="C471" s="51" t="s">
        <v>927</v>
      </c>
      <c r="D471" s="204" t="s">
        <v>1051</v>
      </c>
      <c r="E471" s="51" t="s">
        <v>928</v>
      </c>
      <c r="F471" s="17">
        <v>1</v>
      </c>
      <c r="G471" s="17"/>
      <c r="H471" s="89" t="s">
        <v>376</v>
      </c>
      <c r="I471" s="126">
        <v>119226.66666666667</v>
      </c>
      <c r="J471" s="121">
        <f t="shared" si="269"/>
        <v>22653.066666666669</v>
      </c>
      <c r="K471" s="130">
        <f t="shared" si="270"/>
        <v>141879.73333333334</v>
      </c>
      <c r="L471" s="121">
        <f t="shared" si="271"/>
        <v>119226.66666666667</v>
      </c>
      <c r="M471" s="122">
        <f t="shared" si="272"/>
        <v>141879.73333333334</v>
      </c>
      <c r="N471" s="123">
        <v>119226.66666666667</v>
      </c>
      <c r="O471" s="121">
        <f t="shared" si="273"/>
        <v>22653.066666666669</v>
      </c>
      <c r="P471" s="110">
        <f t="shared" si="274"/>
        <v>141879.73333333334</v>
      </c>
      <c r="Q471" s="121">
        <f t="shared" si="275"/>
        <v>119226.66666666667</v>
      </c>
      <c r="R471" s="124">
        <f t="shared" si="276"/>
        <v>141879.73333333334</v>
      </c>
      <c r="S471" s="125">
        <v>119226.66666666667</v>
      </c>
      <c r="T471" s="121">
        <f t="shared" si="280"/>
        <v>22653.066666666669</v>
      </c>
      <c r="U471" s="110">
        <f t="shared" si="281"/>
        <v>141879.73333333334</v>
      </c>
      <c r="V471" s="121">
        <f t="shared" si="282"/>
        <v>119226.66666666667</v>
      </c>
      <c r="W471" s="122">
        <f t="shared" si="283"/>
        <v>141879.73333333334</v>
      </c>
      <c r="X471" s="108"/>
      <c r="Y471" s="121">
        <f t="shared" si="284"/>
        <v>0</v>
      </c>
      <c r="Z471" s="121">
        <f t="shared" si="285"/>
        <v>0</v>
      </c>
      <c r="AA471" s="121">
        <f t="shared" si="286"/>
        <v>0</v>
      </c>
      <c r="AB471" s="124">
        <f t="shared" si="287"/>
        <v>0</v>
      </c>
      <c r="AC471" s="126">
        <f t="shared" si="277"/>
        <v>119227</v>
      </c>
      <c r="AD471" s="101">
        <f t="shared" si="291"/>
        <v>89420</v>
      </c>
      <c r="AE471" s="127">
        <f t="shared" si="278"/>
        <v>0</v>
      </c>
      <c r="AF471" s="128">
        <f t="shared" si="288"/>
        <v>0</v>
      </c>
      <c r="AG471" s="129">
        <f t="shared" si="279"/>
        <v>119227</v>
      </c>
      <c r="AH471" s="101">
        <f t="shared" si="292"/>
        <v>119227</v>
      </c>
      <c r="AI471" s="130">
        <f t="shared" si="289"/>
        <v>0</v>
      </c>
      <c r="AJ471" s="159">
        <f t="shared" si="290"/>
        <v>0</v>
      </c>
      <c r="AK471" s="290" t="s">
        <v>1034</v>
      </c>
      <c r="AL471" s="291"/>
      <c r="AM471" s="292"/>
      <c r="AN471" s="160"/>
    </row>
    <row r="472" spans="1:40" ht="73.5" customHeight="1" thickBot="1" x14ac:dyDescent="0.3">
      <c r="A472" s="84">
        <f t="shared" si="268"/>
        <v>3</v>
      </c>
      <c r="B472" s="198">
        <v>467</v>
      </c>
      <c r="C472" s="51" t="s">
        <v>929</v>
      </c>
      <c r="D472" s="204" t="s">
        <v>1051</v>
      </c>
      <c r="E472" s="51" t="s">
        <v>930</v>
      </c>
      <c r="F472" s="17">
        <v>1</v>
      </c>
      <c r="G472" s="17"/>
      <c r="H472" s="89" t="s">
        <v>376</v>
      </c>
      <c r="I472" s="126">
        <v>227933.33333333334</v>
      </c>
      <c r="J472" s="121">
        <f t="shared" si="269"/>
        <v>43307.333333333336</v>
      </c>
      <c r="K472" s="130">
        <f t="shared" si="270"/>
        <v>271240.66666666669</v>
      </c>
      <c r="L472" s="121">
        <f t="shared" si="271"/>
        <v>227933.33333333334</v>
      </c>
      <c r="M472" s="122">
        <f t="shared" si="272"/>
        <v>271240.66666666669</v>
      </c>
      <c r="N472" s="123">
        <v>227933.33333333334</v>
      </c>
      <c r="O472" s="121">
        <f t="shared" si="273"/>
        <v>43307.333333333336</v>
      </c>
      <c r="P472" s="110">
        <f t="shared" si="274"/>
        <v>271240.66666666669</v>
      </c>
      <c r="Q472" s="121">
        <f t="shared" si="275"/>
        <v>227933.33333333334</v>
      </c>
      <c r="R472" s="124">
        <f t="shared" si="276"/>
        <v>271240.66666666669</v>
      </c>
      <c r="S472" s="125">
        <v>227933.33333333334</v>
      </c>
      <c r="T472" s="121">
        <f t="shared" si="280"/>
        <v>43307.333333333336</v>
      </c>
      <c r="U472" s="110">
        <f t="shared" si="281"/>
        <v>271240.66666666669</v>
      </c>
      <c r="V472" s="121">
        <f t="shared" si="282"/>
        <v>227933.33333333334</v>
      </c>
      <c r="W472" s="122">
        <f t="shared" si="283"/>
        <v>271240.66666666669</v>
      </c>
      <c r="X472" s="108"/>
      <c r="Y472" s="121">
        <f t="shared" si="284"/>
        <v>0</v>
      </c>
      <c r="Z472" s="121">
        <f t="shared" si="285"/>
        <v>0</v>
      </c>
      <c r="AA472" s="121">
        <f t="shared" si="286"/>
        <v>0</v>
      </c>
      <c r="AB472" s="124">
        <f t="shared" si="287"/>
        <v>0</v>
      </c>
      <c r="AC472" s="126">
        <f t="shared" si="277"/>
        <v>227933</v>
      </c>
      <c r="AD472" s="101">
        <f t="shared" si="291"/>
        <v>170950</v>
      </c>
      <c r="AE472" s="127">
        <f t="shared" si="278"/>
        <v>0</v>
      </c>
      <c r="AF472" s="128">
        <f t="shared" si="288"/>
        <v>0</v>
      </c>
      <c r="AG472" s="129">
        <f t="shared" si="279"/>
        <v>227933</v>
      </c>
      <c r="AH472" s="101">
        <f t="shared" si="292"/>
        <v>227933</v>
      </c>
      <c r="AI472" s="130">
        <f t="shared" si="289"/>
        <v>0</v>
      </c>
      <c r="AJ472" s="159">
        <f t="shared" si="290"/>
        <v>0</v>
      </c>
      <c r="AK472" s="290" t="s">
        <v>1034</v>
      </c>
      <c r="AL472" s="291"/>
      <c r="AM472" s="292"/>
      <c r="AN472" s="160"/>
    </row>
    <row r="473" spans="1:40" ht="89.25" customHeight="1" thickBot="1" x14ac:dyDescent="0.3">
      <c r="A473" s="84">
        <f t="shared" si="268"/>
        <v>3</v>
      </c>
      <c r="B473" s="198">
        <v>468</v>
      </c>
      <c r="C473" s="51" t="s">
        <v>931</v>
      </c>
      <c r="D473" s="204" t="s">
        <v>1051</v>
      </c>
      <c r="E473" s="60" t="s">
        <v>932</v>
      </c>
      <c r="F473" s="17">
        <v>1</v>
      </c>
      <c r="G473" s="17"/>
      <c r="H473" s="89" t="s">
        <v>376</v>
      </c>
      <c r="I473" s="126">
        <v>147280</v>
      </c>
      <c r="J473" s="121">
        <f t="shared" si="269"/>
        <v>27983.200000000001</v>
      </c>
      <c r="K473" s="130">
        <f t="shared" si="270"/>
        <v>175263.2</v>
      </c>
      <c r="L473" s="121">
        <f t="shared" si="271"/>
        <v>147280</v>
      </c>
      <c r="M473" s="122">
        <f t="shared" si="272"/>
        <v>175263.2</v>
      </c>
      <c r="N473" s="123">
        <v>136760</v>
      </c>
      <c r="O473" s="121">
        <f t="shared" si="273"/>
        <v>25984.400000000001</v>
      </c>
      <c r="P473" s="110">
        <f t="shared" si="274"/>
        <v>162744.4</v>
      </c>
      <c r="Q473" s="121">
        <f t="shared" si="275"/>
        <v>136760</v>
      </c>
      <c r="R473" s="124">
        <f t="shared" si="276"/>
        <v>162744.4</v>
      </c>
      <c r="S473" s="125">
        <v>147280</v>
      </c>
      <c r="T473" s="121">
        <f t="shared" si="280"/>
        <v>27983.200000000001</v>
      </c>
      <c r="U473" s="110">
        <f t="shared" si="281"/>
        <v>175263.2</v>
      </c>
      <c r="V473" s="121">
        <f t="shared" si="282"/>
        <v>147280</v>
      </c>
      <c r="W473" s="122">
        <f t="shared" si="283"/>
        <v>175263.2</v>
      </c>
      <c r="X473" s="108"/>
      <c r="Y473" s="121">
        <f t="shared" si="284"/>
        <v>0</v>
      </c>
      <c r="Z473" s="121">
        <f t="shared" si="285"/>
        <v>0</v>
      </c>
      <c r="AA473" s="121">
        <f t="shared" si="286"/>
        <v>0</v>
      </c>
      <c r="AB473" s="124">
        <f t="shared" si="287"/>
        <v>0</v>
      </c>
      <c r="AC473" s="126">
        <f t="shared" si="277"/>
        <v>143773</v>
      </c>
      <c r="AD473" s="101">
        <f t="shared" si="291"/>
        <v>107830</v>
      </c>
      <c r="AE473" s="127">
        <f t="shared" si="278"/>
        <v>4959.175558721653</v>
      </c>
      <c r="AF473" s="128">
        <f t="shared" si="288"/>
        <v>3.4493093687421511E-2</v>
      </c>
      <c r="AG473" s="129">
        <f t="shared" si="279"/>
        <v>147280</v>
      </c>
      <c r="AH473" s="101">
        <f t="shared" si="292"/>
        <v>142020</v>
      </c>
      <c r="AI473" s="130">
        <f t="shared" si="289"/>
        <v>4959.175558721653</v>
      </c>
      <c r="AJ473" s="159">
        <f t="shared" si="290"/>
        <v>3.3671751485073689E-2</v>
      </c>
      <c r="AK473" s="290" t="s">
        <v>1034</v>
      </c>
      <c r="AL473" s="291"/>
      <c r="AM473" s="292"/>
      <c r="AN473" s="160"/>
    </row>
    <row r="474" spans="1:40" ht="90.75" thickBot="1" x14ac:dyDescent="0.3">
      <c r="A474" s="84">
        <f t="shared" si="268"/>
        <v>3</v>
      </c>
      <c r="B474" s="198">
        <v>469</v>
      </c>
      <c r="C474" s="51" t="s">
        <v>933</v>
      </c>
      <c r="D474" s="204" t="s">
        <v>1051</v>
      </c>
      <c r="E474" s="60" t="s">
        <v>934</v>
      </c>
      <c r="F474" s="17">
        <v>1</v>
      </c>
      <c r="G474" s="17"/>
      <c r="H474" s="89" t="s">
        <v>376</v>
      </c>
      <c r="I474" s="126">
        <v>147280</v>
      </c>
      <c r="J474" s="121">
        <f t="shared" si="269"/>
        <v>27983.200000000001</v>
      </c>
      <c r="K474" s="130">
        <f t="shared" si="270"/>
        <v>175263.2</v>
      </c>
      <c r="L474" s="121">
        <f t="shared" si="271"/>
        <v>147280</v>
      </c>
      <c r="M474" s="122">
        <f t="shared" si="272"/>
        <v>175263.2</v>
      </c>
      <c r="N474" s="123">
        <v>173580</v>
      </c>
      <c r="O474" s="121">
        <f t="shared" si="273"/>
        <v>32980.199999999997</v>
      </c>
      <c r="P474" s="110">
        <f t="shared" si="274"/>
        <v>206560.2</v>
      </c>
      <c r="Q474" s="121">
        <f t="shared" si="275"/>
        <v>173580</v>
      </c>
      <c r="R474" s="124">
        <f t="shared" si="276"/>
        <v>206560.2</v>
      </c>
      <c r="S474" s="125">
        <v>168320</v>
      </c>
      <c r="T474" s="121">
        <f t="shared" si="280"/>
        <v>31980.799999999999</v>
      </c>
      <c r="U474" s="110">
        <f t="shared" si="281"/>
        <v>200300.79999999999</v>
      </c>
      <c r="V474" s="121">
        <f t="shared" si="282"/>
        <v>168320</v>
      </c>
      <c r="W474" s="122">
        <f t="shared" si="283"/>
        <v>200300.79999999999</v>
      </c>
      <c r="X474" s="108"/>
      <c r="Y474" s="121">
        <f t="shared" si="284"/>
        <v>0</v>
      </c>
      <c r="Z474" s="121">
        <f t="shared" si="285"/>
        <v>0</v>
      </c>
      <c r="AA474" s="121">
        <f t="shared" si="286"/>
        <v>0</v>
      </c>
      <c r="AB474" s="124">
        <f t="shared" si="287"/>
        <v>0</v>
      </c>
      <c r="AC474" s="126">
        <f t="shared" si="277"/>
        <v>163060</v>
      </c>
      <c r="AD474" s="101">
        <f t="shared" si="291"/>
        <v>122295</v>
      </c>
      <c r="AE474" s="127">
        <f t="shared" si="278"/>
        <v>11362.898691208449</v>
      </c>
      <c r="AF474" s="128">
        <f t="shared" si="288"/>
        <v>6.9685383853847968E-2</v>
      </c>
      <c r="AG474" s="129">
        <f t="shared" si="279"/>
        <v>168320</v>
      </c>
      <c r="AH474" s="101">
        <f t="shared" si="292"/>
        <v>157800</v>
      </c>
      <c r="AI474" s="130">
        <f t="shared" si="289"/>
        <v>11362.898691208449</v>
      </c>
      <c r="AJ474" s="159">
        <f t="shared" si="290"/>
        <v>6.7507715608415217E-2</v>
      </c>
      <c r="AK474" s="290" t="s">
        <v>1034</v>
      </c>
      <c r="AL474" s="291"/>
      <c r="AM474" s="292"/>
      <c r="AN474" s="160"/>
    </row>
    <row r="475" spans="1:40" ht="60.75" thickBot="1" x14ac:dyDescent="0.3">
      <c r="A475" s="84">
        <f t="shared" si="268"/>
        <v>3</v>
      </c>
      <c r="B475" s="198">
        <v>470</v>
      </c>
      <c r="C475" s="51" t="s">
        <v>935</v>
      </c>
      <c r="D475" s="204" t="s">
        <v>1051</v>
      </c>
      <c r="E475" s="60" t="s">
        <v>936</v>
      </c>
      <c r="F475" s="17">
        <v>1</v>
      </c>
      <c r="G475" s="17"/>
      <c r="H475" s="89" t="s">
        <v>376</v>
      </c>
      <c r="I475" s="126">
        <v>147280</v>
      </c>
      <c r="J475" s="121">
        <f t="shared" si="269"/>
        <v>27983.200000000001</v>
      </c>
      <c r="K475" s="130">
        <f t="shared" si="270"/>
        <v>175263.2</v>
      </c>
      <c r="L475" s="121">
        <f t="shared" si="271"/>
        <v>147280</v>
      </c>
      <c r="M475" s="122">
        <f t="shared" si="272"/>
        <v>175263.2</v>
      </c>
      <c r="N475" s="123">
        <v>146754</v>
      </c>
      <c r="O475" s="121">
        <f t="shared" si="273"/>
        <v>27883.260000000002</v>
      </c>
      <c r="P475" s="110">
        <f t="shared" si="274"/>
        <v>174637.26</v>
      </c>
      <c r="Q475" s="121">
        <f t="shared" si="275"/>
        <v>146754</v>
      </c>
      <c r="R475" s="124">
        <f t="shared" si="276"/>
        <v>174637.26</v>
      </c>
      <c r="S475" s="125">
        <v>168320</v>
      </c>
      <c r="T475" s="121">
        <f t="shared" si="280"/>
        <v>31980.799999999999</v>
      </c>
      <c r="U475" s="110">
        <f t="shared" si="281"/>
        <v>200300.79999999999</v>
      </c>
      <c r="V475" s="121">
        <f t="shared" si="282"/>
        <v>168320</v>
      </c>
      <c r="W475" s="122">
        <f t="shared" si="283"/>
        <v>200300.79999999999</v>
      </c>
      <c r="X475" s="108"/>
      <c r="Y475" s="121">
        <f t="shared" si="284"/>
        <v>0</v>
      </c>
      <c r="Z475" s="121">
        <f t="shared" si="285"/>
        <v>0</v>
      </c>
      <c r="AA475" s="121">
        <f t="shared" si="286"/>
        <v>0</v>
      </c>
      <c r="AB475" s="124">
        <f t="shared" si="287"/>
        <v>0</v>
      </c>
      <c r="AC475" s="126">
        <f t="shared" si="277"/>
        <v>154118</v>
      </c>
      <c r="AD475" s="101">
        <f t="shared" si="291"/>
        <v>115589</v>
      </c>
      <c r="AE475" s="127">
        <f t="shared" si="278"/>
        <v>10044.626158631623</v>
      </c>
      <c r="AF475" s="128">
        <f t="shared" si="288"/>
        <v>6.5174905972252575E-2</v>
      </c>
      <c r="AG475" s="129">
        <f t="shared" si="279"/>
        <v>147280</v>
      </c>
      <c r="AH475" s="101">
        <f t="shared" si="292"/>
        <v>147017</v>
      </c>
      <c r="AI475" s="130">
        <f t="shared" si="289"/>
        <v>10044.626158631623</v>
      </c>
      <c r="AJ475" s="159">
        <f t="shared" si="290"/>
        <v>6.8200883749535743E-2</v>
      </c>
      <c r="AK475" s="290" t="s">
        <v>1034</v>
      </c>
      <c r="AL475" s="291"/>
      <c r="AM475" s="292"/>
      <c r="AN475" s="160"/>
    </row>
    <row r="476" spans="1:40" ht="45.75" thickBot="1" x14ac:dyDescent="0.3">
      <c r="A476" s="84">
        <f t="shared" si="268"/>
        <v>3</v>
      </c>
      <c r="B476" s="198">
        <v>471</v>
      </c>
      <c r="C476" s="51" t="s">
        <v>937</v>
      </c>
      <c r="D476" s="204" t="s">
        <v>1051</v>
      </c>
      <c r="E476" s="60" t="s">
        <v>938</v>
      </c>
      <c r="F476" s="17">
        <v>1</v>
      </c>
      <c r="G476" s="17"/>
      <c r="H476" s="89" t="s">
        <v>376</v>
      </c>
      <c r="I476" s="126">
        <v>252480</v>
      </c>
      <c r="J476" s="121">
        <f t="shared" si="269"/>
        <v>47971.199999999997</v>
      </c>
      <c r="K476" s="130">
        <f t="shared" si="270"/>
        <v>300451.20000000001</v>
      </c>
      <c r="L476" s="121">
        <f t="shared" si="271"/>
        <v>252480</v>
      </c>
      <c r="M476" s="122">
        <f t="shared" si="272"/>
        <v>300451.20000000001</v>
      </c>
      <c r="N476" s="123">
        <v>263000</v>
      </c>
      <c r="O476" s="121">
        <f t="shared" si="273"/>
        <v>49970</v>
      </c>
      <c r="P476" s="110">
        <f t="shared" si="274"/>
        <v>312970</v>
      </c>
      <c r="Q476" s="121">
        <f t="shared" si="275"/>
        <v>263000</v>
      </c>
      <c r="R476" s="124">
        <f t="shared" si="276"/>
        <v>312970</v>
      </c>
      <c r="S476" s="125">
        <v>273520</v>
      </c>
      <c r="T476" s="121">
        <f t="shared" si="280"/>
        <v>51968.800000000003</v>
      </c>
      <c r="U476" s="110">
        <f t="shared" si="281"/>
        <v>325488.8</v>
      </c>
      <c r="V476" s="121">
        <f t="shared" si="282"/>
        <v>273520</v>
      </c>
      <c r="W476" s="122">
        <f t="shared" si="283"/>
        <v>325488.8</v>
      </c>
      <c r="X476" s="108"/>
      <c r="Y476" s="121">
        <f t="shared" si="284"/>
        <v>0</v>
      </c>
      <c r="Z476" s="121">
        <f t="shared" si="285"/>
        <v>0</v>
      </c>
      <c r="AA476" s="121">
        <f t="shared" si="286"/>
        <v>0</v>
      </c>
      <c r="AB476" s="124">
        <f t="shared" si="287"/>
        <v>0</v>
      </c>
      <c r="AC476" s="126">
        <f t="shared" si="277"/>
        <v>263000</v>
      </c>
      <c r="AD476" s="101">
        <f t="shared" si="291"/>
        <v>197250</v>
      </c>
      <c r="AE476" s="127">
        <f t="shared" si="278"/>
        <v>8589.5440313596773</v>
      </c>
      <c r="AF476" s="128">
        <f t="shared" si="288"/>
        <v>3.2659863237109038E-2</v>
      </c>
      <c r="AG476" s="129">
        <f t="shared" si="279"/>
        <v>263000</v>
      </c>
      <c r="AH476" s="101">
        <f t="shared" si="292"/>
        <v>257740</v>
      </c>
      <c r="AI476" s="130">
        <f t="shared" si="289"/>
        <v>8589.5440313596773</v>
      </c>
      <c r="AJ476" s="159">
        <f t="shared" si="290"/>
        <v>3.2659863237109038E-2</v>
      </c>
      <c r="AK476" s="290" t="s">
        <v>1034</v>
      </c>
      <c r="AL476" s="291"/>
      <c r="AM476" s="292"/>
      <c r="AN476" s="160"/>
    </row>
    <row r="477" spans="1:40" ht="105.75" thickBot="1" x14ac:dyDescent="0.3">
      <c r="A477" s="84">
        <f t="shared" si="268"/>
        <v>3</v>
      </c>
      <c r="B477" s="198">
        <v>472</v>
      </c>
      <c r="C477" s="51" t="s">
        <v>939</v>
      </c>
      <c r="D477" s="204" t="s">
        <v>1051</v>
      </c>
      <c r="E477" s="60" t="s">
        <v>940</v>
      </c>
      <c r="F477" s="17">
        <v>1</v>
      </c>
      <c r="G477" s="17"/>
      <c r="H477" s="89" t="s">
        <v>376</v>
      </c>
      <c r="I477" s="126">
        <v>368200</v>
      </c>
      <c r="J477" s="121">
        <f t="shared" si="269"/>
        <v>69958</v>
      </c>
      <c r="K477" s="130">
        <f t="shared" si="270"/>
        <v>438158</v>
      </c>
      <c r="L477" s="121">
        <f t="shared" si="271"/>
        <v>368200</v>
      </c>
      <c r="M477" s="122">
        <f t="shared" si="272"/>
        <v>438158</v>
      </c>
      <c r="N477" s="123">
        <v>294560</v>
      </c>
      <c r="O477" s="121">
        <f t="shared" si="273"/>
        <v>55966.400000000001</v>
      </c>
      <c r="P477" s="110">
        <f t="shared" si="274"/>
        <v>350526.4</v>
      </c>
      <c r="Q477" s="121">
        <f t="shared" si="275"/>
        <v>294560</v>
      </c>
      <c r="R477" s="124">
        <f t="shared" si="276"/>
        <v>350526.4</v>
      </c>
      <c r="S477" s="125">
        <v>305080</v>
      </c>
      <c r="T477" s="121">
        <f t="shared" si="280"/>
        <v>57965.2</v>
      </c>
      <c r="U477" s="110">
        <f t="shared" si="281"/>
        <v>363045.2</v>
      </c>
      <c r="V477" s="121">
        <f t="shared" si="282"/>
        <v>305080</v>
      </c>
      <c r="W477" s="122">
        <f t="shared" si="283"/>
        <v>363045.2</v>
      </c>
      <c r="X477" s="108"/>
      <c r="Y477" s="121">
        <f t="shared" si="284"/>
        <v>0</v>
      </c>
      <c r="Z477" s="121">
        <f t="shared" si="285"/>
        <v>0</v>
      </c>
      <c r="AA477" s="121">
        <f t="shared" si="286"/>
        <v>0</v>
      </c>
      <c r="AB477" s="124">
        <f t="shared" si="287"/>
        <v>0</v>
      </c>
      <c r="AC477" s="126">
        <f t="shared" si="277"/>
        <v>322613</v>
      </c>
      <c r="AD477" s="101">
        <f t="shared" si="291"/>
        <v>241960</v>
      </c>
      <c r="AE477" s="127">
        <f t="shared" si="278"/>
        <v>32519.488857538268</v>
      </c>
      <c r="AF477" s="128">
        <f t="shared" si="288"/>
        <v>0.1008003051877583</v>
      </c>
      <c r="AG477" s="129">
        <f t="shared" si="279"/>
        <v>305080</v>
      </c>
      <c r="AH477" s="101">
        <f t="shared" si="292"/>
        <v>299820</v>
      </c>
      <c r="AI477" s="130">
        <f t="shared" si="289"/>
        <v>32519.488857538268</v>
      </c>
      <c r="AJ477" s="159">
        <f t="shared" si="290"/>
        <v>0.10659331604018051</v>
      </c>
      <c r="AK477" s="290" t="s">
        <v>1035</v>
      </c>
      <c r="AL477" s="291"/>
      <c r="AM477" s="292"/>
      <c r="AN477" s="160"/>
    </row>
    <row r="478" spans="1:40" ht="60.75" thickBot="1" x14ac:dyDescent="0.3">
      <c r="A478" s="84">
        <f t="shared" si="268"/>
        <v>3</v>
      </c>
      <c r="B478" s="198">
        <v>473</v>
      </c>
      <c r="C478" s="51" t="s">
        <v>941</v>
      </c>
      <c r="D478" s="204" t="s">
        <v>1051</v>
      </c>
      <c r="E478" s="60" t="s">
        <v>942</v>
      </c>
      <c r="F478" s="17">
        <v>1</v>
      </c>
      <c r="G478" s="17"/>
      <c r="H478" s="89" t="s">
        <v>376</v>
      </c>
      <c r="I478" s="126">
        <v>946800</v>
      </c>
      <c r="J478" s="121">
        <f t="shared" si="269"/>
        <v>179892</v>
      </c>
      <c r="K478" s="130">
        <f t="shared" si="270"/>
        <v>1126692</v>
      </c>
      <c r="L478" s="121">
        <f t="shared" si="271"/>
        <v>946800</v>
      </c>
      <c r="M478" s="122">
        <f t="shared" si="272"/>
        <v>1126692</v>
      </c>
      <c r="N478" s="123">
        <v>1052000</v>
      </c>
      <c r="O478" s="121">
        <f t="shared" si="273"/>
        <v>199880</v>
      </c>
      <c r="P478" s="110">
        <f t="shared" si="274"/>
        <v>1251880</v>
      </c>
      <c r="Q478" s="121">
        <f t="shared" si="275"/>
        <v>1052000</v>
      </c>
      <c r="R478" s="124">
        <f t="shared" si="276"/>
        <v>1251880</v>
      </c>
      <c r="S478" s="125">
        <v>1157200</v>
      </c>
      <c r="T478" s="121">
        <f t="shared" ref="T478:T501" si="293">S478*0.19</f>
        <v>219868</v>
      </c>
      <c r="U478" s="110">
        <f t="shared" ref="U478:U501" si="294">S478+T478</f>
        <v>1377068</v>
      </c>
      <c r="V478" s="121">
        <f t="shared" ref="V478:V501" si="295">S478*F478</f>
        <v>1157200</v>
      </c>
      <c r="W478" s="122">
        <f t="shared" ref="W478:W501" si="296">U478*F478</f>
        <v>1377068</v>
      </c>
      <c r="X478" s="108"/>
      <c r="Y478" s="121">
        <f t="shared" ref="Y478:Y501" si="297">X478*0.19</f>
        <v>0</v>
      </c>
      <c r="Z478" s="121">
        <f t="shared" ref="Z478:Z501" si="298">X478+Y478</f>
        <v>0</v>
      </c>
      <c r="AA478" s="121">
        <f t="shared" ref="AA478:AA501" si="299">X478*F478</f>
        <v>0</v>
      </c>
      <c r="AB478" s="124">
        <f t="shared" ref="AB478:AB501" si="300">Z478*F478</f>
        <v>0</v>
      </c>
      <c r="AC478" s="126">
        <f t="shared" si="277"/>
        <v>1052000</v>
      </c>
      <c r="AD478" s="101">
        <f t="shared" si="291"/>
        <v>789000</v>
      </c>
      <c r="AE478" s="127">
        <f t="shared" si="278"/>
        <v>85895.440313596788</v>
      </c>
      <c r="AF478" s="128">
        <f t="shared" ref="AF478:AF501" si="301">AE478/AC478</f>
        <v>8.1649658092772609E-2</v>
      </c>
      <c r="AG478" s="129">
        <f t="shared" si="279"/>
        <v>1052000</v>
      </c>
      <c r="AH478" s="101">
        <f t="shared" si="292"/>
        <v>999400</v>
      </c>
      <c r="AI478" s="130">
        <f t="shared" ref="AI478:AI501" si="302">AE478</f>
        <v>85895.440313596788</v>
      </c>
      <c r="AJ478" s="159">
        <f t="shared" ref="AJ478:AJ501" si="303">AI478/AG478</f>
        <v>8.1649658092772609E-2</v>
      </c>
      <c r="AK478" s="290" t="s">
        <v>1035</v>
      </c>
      <c r="AL478" s="291"/>
      <c r="AM478" s="292"/>
      <c r="AN478" s="160"/>
    </row>
    <row r="479" spans="1:40" ht="105.75" customHeight="1" thickBot="1" x14ac:dyDescent="0.3">
      <c r="A479" s="84">
        <f t="shared" si="268"/>
        <v>3</v>
      </c>
      <c r="B479" s="198">
        <v>474</v>
      </c>
      <c r="C479" s="51" t="s">
        <v>943</v>
      </c>
      <c r="D479" s="204" t="s">
        <v>1051</v>
      </c>
      <c r="E479" s="60" t="s">
        <v>944</v>
      </c>
      <c r="F479" s="17">
        <v>1</v>
      </c>
      <c r="G479" s="17"/>
      <c r="H479" s="89" t="s">
        <v>376</v>
      </c>
      <c r="I479" s="126">
        <v>2630000</v>
      </c>
      <c r="J479" s="121">
        <f t="shared" si="269"/>
        <v>499700</v>
      </c>
      <c r="K479" s="130">
        <f t="shared" si="270"/>
        <v>3129700</v>
      </c>
      <c r="L479" s="121">
        <f t="shared" si="271"/>
        <v>2630000</v>
      </c>
      <c r="M479" s="122">
        <f t="shared" si="272"/>
        <v>3129700</v>
      </c>
      <c r="N479" s="123">
        <v>462880</v>
      </c>
      <c r="O479" s="121">
        <f t="shared" si="273"/>
        <v>87947.199999999997</v>
      </c>
      <c r="P479" s="110">
        <f t="shared" si="274"/>
        <v>550827.19999999995</v>
      </c>
      <c r="Q479" s="121">
        <f t="shared" si="275"/>
        <v>462880</v>
      </c>
      <c r="R479" s="124">
        <f t="shared" si="276"/>
        <v>550827.19999999995</v>
      </c>
      <c r="S479" s="125">
        <v>3156000</v>
      </c>
      <c r="T479" s="121">
        <f t="shared" si="293"/>
        <v>599640</v>
      </c>
      <c r="U479" s="110">
        <f t="shared" si="294"/>
        <v>3755640</v>
      </c>
      <c r="V479" s="121">
        <f t="shared" si="295"/>
        <v>3156000</v>
      </c>
      <c r="W479" s="122">
        <f t="shared" si="296"/>
        <v>3755640</v>
      </c>
      <c r="X479" s="108"/>
      <c r="Y479" s="121">
        <f t="shared" si="297"/>
        <v>0</v>
      </c>
      <c r="Z479" s="121">
        <f t="shared" si="298"/>
        <v>0</v>
      </c>
      <c r="AA479" s="121">
        <f t="shared" si="299"/>
        <v>0</v>
      </c>
      <c r="AB479" s="124">
        <f t="shared" si="300"/>
        <v>0</v>
      </c>
      <c r="AC479" s="126">
        <f t="shared" si="277"/>
        <v>2082960</v>
      </c>
      <c r="AD479" s="101">
        <f t="shared" si="291"/>
        <v>1562220</v>
      </c>
      <c r="AE479" s="127">
        <f t="shared" si="278"/>
        <v>1165522.3163314664</v>
      </c>
      <c r="AF479" s="128">
        <f t="shared" si="301"/>
        <v>0.55955098337532472</v>
      </c>
      <c r="AG479" s="129">
        <f t="shared" si="279"/>
        <v>2630000</v>
      </c>
      <c r="AH479" s="101">
        <f t="shared" si="292"/>
        <v>1546440</v>
      </c>
      <c r="AI479" s="130">
        <f t="shared" si="302"/>
        <v>1165522.3163314664</v>
      </c>
      <c r="AJ479" s="159">
        <f t="shared" si="303"/>
        <v>0.44316437883325721</v>
      </c>
      <c r="AK479" s="290" t="s">
        <v>1034</v>
      </c>
      <c r="AL479" s="291"/>
      <c r="AM479" s="292"/>
      <c r="AN479" s="160"/>
    </row>
    <row r="480" spans="1:40" ht="60.75" thickBot="1" x14ac:dyDescent="0.3">
      <c r="A480" s="84">
        <f t="shared" si="268"/>
        <v>3</v>
      </c>
      <c r="B480" s="198">
        <v>475</v>
      </c>
      <c r="C480" s="51" t="s">
        <v>945</v>
      </c>
      <c r="D480" s="204" t="s">
        <v>1051</v>
      </c>
      <c r="E480" s="60" t="s">
        <v>946</v>
      </c>
      <c r="F480" s="17">
        <v>1</v>
      </c>
      <c r="G480" s="17"/>
      <c r="H480" s="89" t="s">
        <v>376</v>
      </c>
      <c r="I480" s="126">
        <v>2630000</v>
      </c>
      <c r="J480" s="121">
        <f t="shared" si="269"/>
        <v>499700</v>
      </c>
      <c r="K480" s="130">
        <f t="shared" si="270"/>
        <v>3129700</v>
      </c>
      <c r="L480" s="121">
        <f t="shared" si="271"/>
        <v>2630000</v>
      </c>
      <c r="M480" s="122">
        <f t="shared" si="272"/>
        <v>3129700</v>
      </c>
      <c r="N480" s="123">
        <v>2735200</v>
      </c>
      <c r="O480" s="121">
        <f t="shared" si="273"/>
        <v>519688</v>
      </c>
      <c r="P480" s="110">
        <f t="shared" si="274"/>
        <v>3254888</v>
      </c>
      <c r="Q480" s="121">
        <f t="shared" si="275"/>
        <v>2735200</v>
      </c>
      <c r="R480" s="124">
        <f t="shared" si="276"/>
        <v>3254888</v>
      </c>
      <c r="S480" s="125">
        <v>3156000</v>
      </c>
      <c r="T480" s="121">
        <f t="shared" si="293"/>
        <v>599640</v>
      </c>
      <c r="U480" s="110">
        <f t="shared" si="294"/>
        <v>3755640</v>
      </c>
      <c r="V480" s="121">
        <f t="shared" si="295"/>
        <v>3156000</v>
      </c>
      <c r="W480" s="122">
        <f t="shared" si="296"/>
        <v>3755640</v>
      </c>
      <c r="X480" s="108"/>
      <c r="Y480" s="121">
        <f t="shared" si="297"/>
        <v>0</v>
      </c>
      <c r="Z480" s="121">
        <f t="shared" si="298"/>
        <v>0</v>
      </c>
      <c r="AA480" s="121">
        <f t="shared" si="299"/>
        <v>0</v>
      </c>
      <c r="AB480" s="124">
        <f t="shared" si="300"/>
        <v>0</v>
      </c>
      <c r="AC480" s="126">
        <f t="shared" si="277"/>
        <v>2840400</v>
      </c>
      <c r="AD480" s="101">
        <f t="shared" si="291"/>
        <v>2130300</v>
      </c>
      <c r="AE480" s="127">
        <f t="shared" si="278"/>
        <v>227257.97382416896</v>
      </c>
      <c r="AF480" s="128">
        <f t="shared" si="301"/>
        <v>8.0009144424788403E-2</v>
      </c>
      <c r="AG480" s="129">
        <f t="shared" si="279"/>
        <v>2735200</v>
      </c>
      <c r="AH480" s="101">
        <f t="shared" si="292"/>
        <v>2682600</v>
      </c>
      <c r="AI480" s="130">
        <f t="shared" si="302"/>
        <v>227257.97382416896</v>
      </c>
      <c r="AJ480" s="159">
        <f t="shared" si="303"/>
        <v>8.3086419210357185E-2</v>
      </c>
      <c r="AK480" s="290" t="s">
        <v>1035</v>
      </c>
      <c r="AL480" s="291"/>
      <c r="AM480" s="292"/>
      <c r="AN480" s="160"/>
    </row>
    <row r="481" spans="1:40" ht="30.75" thickBot="1" x14ac:dyDescent="0.3">
      <c r="A481" s="84">
        <f t="shared" si="268"/>
        <v>3</v>
      </c>
      <c r="B481" s="198">
        <v>476</v>
      </c>
      <c r="C481" s="51" t="s">
        <v>947</v>
      </c>
      <c r="D481" s="204" t="s">
        <v>1051</v>
      </c>
      <c r="E481" s="60" t="s">
        <v>948</v>
      </c>
      <c r="F481" s="17">
        <v>1</v>
      </c>
      <c r="G481" s="17"/>
      <c r="H481" s="89" t="s">
        <v>376</v>
      </c>
      <c r="I481" s="126">
        <v>2577400</v>
      </c>
      <c r="J481" s="121">
        <f t="shared" si="269"/>
        <v>489706</v>
      </c>
      <c r="K481" s="130">
        <f t="shared" si="270"/>
        <v>3067106</v>
      </c>
      <c r="L481" s="121">
        <f t="shared" si="271"/>
        <v>2577400</v>
      </c>
      <c r="M481" s="122">
        <f t="shared" si="272"/>
        <v>3067106</v>
      </c>
      <c r="N481" s="123">
        <v>3156000</v>
      </c>
      <c r="O481" s="121">
        <f t="shared" si="273"/>
        <v>599640</v>
      </c>
      <c r="P481" s="110">
        <f t="shared" si="274"/>
        <v>3755640</v>
      </c>
      <c r="Q481" s="121">
        <f t="shared" si="275"/>
        <v>3156000</v>
      </c>
      <c r="R481" s="124">
        <f t="shared" si="276"/>
        <v>3755640</v>
      </c>
      <c r="S481" s="125">
        <v>2893000</v>
      </c>
      <c r="T481" s="121">
        <f t="shared" si="293"/>
        <v>549670</v>
      </c>
      <c r="U481" s="110">
        <f t="shared" si="294"/>
        <v>3442670</v>
      </c>
      <c r="V481" s="121">
        <f t="shared" si="295"/>
        <v>2893000</v>
      </c>
      <c r="W481" s="122">
        <f t="shared" si="296"/>
        <v>3442670</v>
      </c>
      <c r="X481" s="108"/>
      <c r="Y481" s="121">
        <f t="shared" si="297"/>
        <v>0</v>
      </c>
      <c r="Z481" s="121">
        <f t="shared" si="298"/>
        <v>0</v>
      </c>
      <c r="AA481" s="121">
        <f t="shared" si="299"/>
        <v>0</v>
      </c>
      <c r="AB481" s="124">
        <f t="shared" si="300"/>
        <v>0</v>
      </c>
      <c r="AC481" s="126">
        <f t="shared" si="277"/>
        <v>2875467</v>
      </c>
      <c r="AD481" s="101">
        <f t="shared" si="291"/>
        <v>2156600</v>
      </c>
      <c r="AE481" s="127">
        <f t="shared" si="278"/>
        <v>236537.59860866843</v>
      </c>
      <c r="AF481" s="128">
        <f t="shared" si="301"/>
        <v>8.2260585361845023E-2</v>
      </c>
      <c r="AG481" s="129">
        <f t="shared" si="279"/>
        <v>2893000</v>
      </c>
      <c r="AH481" s="101">
        <f t="shared" si="292"/>
        <v>2735200</v>
      </c>
      <c r="AI481" s="130">
        <f t="shared" si="302"/>
        <v>236537.59860866843</v>
      </c>
      <c r="AJ481" s="159">
        <f t="shared" si="303"/>
        <v>8.1762045837769942E-2</v>
      </c>
      <c r="AK481" s="290" t="s">
        <v>1035</v>
      </c>
      <c r="AL481" s="291"/>
      <c r="AM481" s="292"/>
      <c r="AN481" s="160"/>
    </row>
    <row r="482" spans="1:40" ht="45.75" thickBot="1" x14ac:dyDescent="0.3">
      <c r="A482" s="84">
        <f t="shared" si="268"/>
        <v>3</v>
      </c>
      <c r="B482" s="198">
        <v>477</v>
      </c>
      <c r="C482" s="51" t="s">
        <v>949</v>
      </c>
      <c r="D482" s="204" t="s">
        <v>1051</v>
      </c>
      <c r="E482" s="60" t="s">
        <v>950</v>
      </c>
      <c r="F482" s="17">
        <v>1</v>
      </c>
      <c r="G482" s="17"/>
      <c r="H482" s="89" t="s">
        <v>376</v>
      </c>
      <c r="I482" s="126">
        <v>1209800</v>
      </c>
      <c r="J482" s="121">
        <f t="shared" si="269"/>
        <v>229862</v>
      </c>
      <c r="K482" s="130">
        <f t="shared" si="270"/>
        <v>1439662</v>
      </c>
      <c r="L482" s="121">
        <f t="shared" si="271"/>
        <v>1209800</v>
      </c>
      <c r="M482" s="122">
        <f t="shared" si="272"/>
        <v>1439662</v>
      </c>
      <c r="N482" s="123">
        <v>1357080</v>
      </c>
      <c r="O482" s="121">
        <f t="shared" si="273"/>
        <v>257845.2</v>
      </c>
      <c r="P482" s="110">
        <f t="shared" si="274"/>
        <v>1614925.2</v>
      </c>
      <c r="Q482" s="121">
        <f t="shared" si="275"/>
        <v>1357080</v>
      </c>
      <c r="R482" s="124">
        <f t="shared" si="276"/>
        <v>1614925.2</v>
      </c>
      <c r="S482" s="125">
        <v>1041480</v>
      </c>
      <c r="T482" s="121">
        <f t="shared" si="293"/>
        <v>197881.2</v>
      </c>
      <c r="U482" s="110">
        <f t="shared" si="294"/>
        <v>1239361.2</v>
      </c>
      <c r="V482" s="121">
        <f t="shared" si="295"/>
        <v>1041480</v>
      </c>
      <c r="W482" s="122">
        <f t="shared" si="296"/>
        <v>1239361.2</v>
      </c>
      <c r="X482" s="108"/>
      <c r="Y482" s="121">
        <f t="shared" si="297"/>
        <v>0</v>
      </c>
      <c r="Z482" s="121">
        <f t="shared" si="298"/>
        <v>0</v>
      </c>
      <c r="AA482" s="121">
        <f t="shared" si="299"/>
        <v>0</v>
      </c>
      <c r="AB482" s="124">
        <f t="shared" si="300"/>
        <v>0</v>
      </c>
      <c r="AC482" s="126">
        <f t="shared" si="277"/>
        <v>1202787</v>
      </c>
      <c r="AD482" s="101">
        <f t="shared" si="291"/>
        <v>902090</v>
      </c>
      <c r="AE482" s="127">
        <f t="shared" si="278"/>
        <v>128938.56452676299</v>
      </c>
      <c r="AF482" s="128">
        <f t="shared" si="301"/>
        <v>0.107199832162106</v>
      </c>
      <c r="AG482" s="129">
        <f t="shared" si="279"/>
        <v>1209800</v>
      </c>
      <c r="AH482" s="101">
        <f t="shared" si="292"/>
        <v>1125640</v>
      </c>
      <c r="AI482" s="130">
        <f t="shared" si="302"/>
        <v>128938.56452676299</v>
      </c>
      <c r="AJ482" s="159">
        <f t="shared" si="303"/>
        <v>0.10657841339623325</v>
      </c>
      <c r="AK482" s="290" t="s">
        <v>1035</v>
      </c>
      <c r="AL482" s="291"/>
      <c r="AM482" s="292"/>
      <c r="AN482" s="160"/>
    </row>
    <row r="483" spans="1:40" ht="60.75" thickBot="1" x14ac:dyDescent="0.3">
      <c r="A483" s="84">
        <f t="shared" si="268"/>
        <v>3</v>
      </c>
      <c r="B483" s="198">
        <v>478</v>
      </c>
      <c r="C483" s="51" t="s">
        <v>951</v>
      </c>
      <c r="D483" s="204" t="s">
        <v>1051</v>
      </c>
      <c r="E483" s="60" t="s">
        <v>952</v>
      </c>
      <c r="F483" s="17">
        <v>1</v>
      </c>
      <c r="G483" s="17"/>
      <c r="H483" s="89" t="s">
        <v>376</v>
      </c>
      <c r="I483" s="126">
        <v>894200</v>
      </c>
      <c r="J483" s="121">
        <f t="shared" si="269"/>
        <v>169898</v>
      </c>
      <c r="K483" s="130">
        <f t="shared" si="270"/>
        <v>1064098</v>
      </c>
      <c r="L483" s="121">
        <f t="shared" si="271"/>
        <v>894200</v>
      </c>
      <c r="M483" s="122">
        <f t="shared" si="272"/>
        <v>1064098</v>
      </c>
      <c r="N483" s="123">
        <v>1104600</v>
      </c>
      <c r="O483" s="121">
        <f t="shared" si="273"/>
        <v>209874</v>
      </c>
      <c r="P483" s="110">
        <f t="shared" si="274"/>
        <v>1314474</v>
      </c>
      <c r="Q483" s="121">
        <f t="shared" si="275"/>
        <v>1104600</v>
      </c>
      <c r="R483" s="124">
        <f t="shared" si="276"/>
        <v>1314474</v>
      </c>
      <c r="S483" s="125">
        <v>999400</v>
      </c>
      <c r="T483" s="121">
        <f t="shared" si="293"/>
        <v>189886</v>
      </c>
      <c r="U483" s="110">
        <f t="shared" si="294"/>
        <v>1189286</v>
      </c>
      <c r="V483" s="121">
        <f t="shared" si="295"/>
        <v>999400</v>
      </c>
      <c r="W483" s="122">
        <f t="shared" si="296"/>
        <v>1189286</v>
      </c>
      <c r="X483" s="108"/>
      <c r="Y483" s="121">
        <f t="shared" si="297"/>
        <v>0</v>
      </c>
      <c r="Z483" s="121">
        <f t="shared" si="298"/>
        <v>0</v>
      </c>
      <c r="AA483" s="121">
        <f t="shared" si="299"/>
        <v>0</v>
      </c>
      <c r="AB483" s="124">
        <f t="shared" si="300"/>
        <v>0</v>
      </c>
      <c r="AC483" s="126">
        <f t="shared" si="277"/>
        <v>999400</v>
      </c>
      <c r="AD483" s="101">
        <f t="shared" si="291"/>
        <v>749550</v>
      </c>
      <c r="AE483" s="127">
        <f t="shared" si="278"/>
        <v>85895.440313596788</v>
      </c>
      <c r="AF483" s="128">
        <f t="shared" si="301"/>
        <v>8.5947008518708012E-2</v>
      </c>
      <c r="AG483" s="129">
        <f t="shared" si="279"/>
        <v>999400</v>
      </c>
      <c r="AH483" s="101">
        <f t="shared" si="292"/>
        <v>946800</v>
      </c>
      <c r="AI483" s="130">
        <f t="shared" si="302"/>
        <v>85895.440313596788</v>
      </c>
      <c r="AJ483" s="159">
        <f t="shared" si="303"/>
        <v>8.5947008518708012E-2</v>
      </c>
      <c r="AK483" s="290" t="s">
        <v>1035</v>
      </c>
      <c r="AL483" s="291"/>
      <c r="AM483" s="292"/>
      <c r="AN483" s="160"/>
    </row>
    <row r="484" spans="1:40" ht="30.75" thickBot="1" x14ac:dyDescent="0.3">
      <c r="A484" s="84">
        <f t="shared" si="268"/>
        <v>3</v>
      </c>
      <c r="B484" s="198">
        <v>479</v>
      </c>
      <c r="C484" s="51" t="s">
        <v>953</v>
      </c>
      <c r="D484" s="204" t="s">
        <v>1051</v>
      </c>
      <c r="E484" s="60" t="s">
        <v>954</v>
      </c>
      <c r="F484" s="17">
        <v>1</v>
      </c>
      <c r="G484" s="17"/>
      <c r="H484" s="89" t="s">
        <v>376</v>
      </c>
      <c r="I484" s="126">
        <v>789000</v>
      </c>
      <c r="J484" s="121">
        <f t="shared" si="269"/>
        <v>149910</v>
      </c>
      <c r="K484" s="130">
        <f t="shared" si="270"/>
        <v>938910</v>
      </c>
      <c r="L484" s="121">
        <f t="shared" si="271"/>
        <v>789000</v>
      </c>
      <c r="M484" s="122">
        <f t="shared" si="272"/>
        <v>938910</v>
      </c>
      <c r="N484" s="123">
        <v>731140</v>
      </c>
      <c r="O484" s="121">
        <f t="shared" si="273"/>
        <v>138916.6</v>
      </c>
      <c r="P484" s="110">
        <f t="shared" si="274"/>
        <v>870056.6</v>
      </c>
      <c r="Q484" s="121">
        <f t="shared" si="275"/>
        <v>731140</v>
      </c>
      <c r="R484" s="124">
        <f t="shared" si="276"/>
        <v>870056.6</v>
      </c>
      <c r="S484" s="125">
        <v>941540</v>
      </c>
      <c r="T484" s="121">
        <f t="shared" si="293"/>
        <v>178892.6</v>
      </c>
      <c r="U484" s="110">
        <f t="shared" si="294"/>
        <v>1120432.6000000001</v>
      </c>
      <c r="V484" s="121">
        <f t="shared" si="295"/>
        <v>941540</v>
      </c>
      <c r="W484" s="122">
        <f t="shared" si="296"/>
        <v>1120432.6000000001</v>
      </c>
      <c r="X484" s="108"/>
      <c r="Y484" s="121">
        <f t="shared" si="297"/>
        <v>0</v>
      </c>
      <c r="Z484" s="121">
        <f t="shared" si="298"/>
        <v>0</v>
      </c>
      <c r="AA484" s="121">
        <f t="shared" si="299"/>
        <v>0</v>
      </c>
      <c r="AB484" s="124">
        <f t="shared" si="300"/>
        <v>0</v>
      </c>
      <c r="AC484" s="126">
        <f t="shared" si="277"/>
        <v>820560</v>
      </c>
      <c r="AD484" s="101">
        <f t="shared" si="291"/>
        <v>615420</v>
      </c>
      <c r="AE484" s="127">
        <f t="shared" si="278"/>
        <v>88747.075820370927</v>
      </c>
      <c r="AF484" s="128">
        <f t="shared" si="301"/>
        <v>0.10815427978498943</v>
      </c>
      <c r="AG484" s="129">
        <f t="shared" si="279"/>
        <v>789000</v>
      </c>
      <c r="AH484" s="101">
        <f t="shared" si="292"/>
        <v>760070</v>
      </c>
      <c r="AI484" s="130">
        <f t="shared" si="302"/>
        <v>88747.075820370927</v>
      </c>
      <c r="AJ484" s="159">
        <f t="shared" si="303"/>
        <v>0.11248045097638901</v>
      </c>
      <c r="AK484" s="290" t="s">
        <v>1034</v>
      </c>
      <c r="AL484" s="291"/>
      <c r="AM484" s="292"/>
      <c r="AN484" s="160"/>
    </row>
    <row r="485" spans="1:40" ht="90.75" thickBot="1" x14ac:dyDescent="0.3">
      <c r="A485" s="84">
        <f t="shared" ref="A485:A501" si="304">COUNT(I485,N485,S485)</f>
        <v>3</v>
      </c>
      <c r="B485" s="198">
        <v>480</v>
      </c>
      <c r="C485" s="51" t="s">
        <v>955</v>
      </c>
      <c r="D485" s="204" t="s">
        <v>1051</v>
      </c>
      <c r="E485" s="60" t="s">
        <v>956</v>
      </c>
      <c r="F485" s="17">
        <v>1</v>
      </c>
      <c r="G485" s="17"/>
      <c r="H485" s="89" t="s">
        <v>376</v>
      </c>
      <c r="I485" s="126">
        <v>789000</v>
      </c>
      <c r="J485" s="121">
        <f t="shared" ref="J485:J501" si="305">I485*19%</f>
        <v>149910</v>
      </c>
      <c r="K485" s="130">
        <f t="shared" ref="K485:K501" si="306">I485+J485</f>
        <v>938910</v>
      </c>
      <c r="L485" s="121">
        <f t="shared" ref="L485:L501" si="307">I485*F485</f>
        <v>789000</v>
      </c>
      <c r="M485" s="122">
        <f t="shared" ref="M485:M501" si="308">K485*F485</f>
        <v>938910</v>
      </c>
      <c r="N485" s="123">
        <v>731140</v>
      </c>
      <c r="O485" s="121">
        <f t="shared" ref="O485:O501" si="309">N485*0.19</f>
        <v>138916.6</v>
      </c>
      <c r="P485" s="110">
        <f t="shared" ref="P485:P501" si="310">N485+O485</f>
        <v>870056.6</v>
      </c>
      <c r="Q485" s="121">
        <f t="shared" ref="Q485:Q501" si="311">N485*F485</f>
        <v>731140</v>
      </c>
      <c r="R485" s="124">
        <f t="shared" ref="R485:R501" si="312">P485*F485</f>
        <v>870056.6</v>
      </c>
      <c r="S485" s="125">
        <v>941540</v>
      </c>
      <c r="T485" s="121">
        <f t="shared" si="293"/>
        <v>178892.6</v>
      </c>
      <c r="U485" s="110">
        <f t="shared" si="294"/>
        <v>1120432.6000000001</v>
      </c>
      <c r="V485" s="121">
        <f t="shared" si="295"/>
        <v>941540</v>
      </c>
      <c r="W485" s="122">
        <f t="shared" si="296"/>
        <v>1120432.6000000001</v>
      </c>
      <c r="X485" s="108"/>
      <c r="Y485" s="121">
        <f t="shared" si="297"/>
        <v>0</v>
      </c>
      <c r="Z485" s="121">
        <f t="shared" si="298"/>
        <v>0</v>
      </c>
      <c r="AA485" s="121">
        <f t="shared" si="299"/>
        <v>0</v>
      </c>
      <c r="AB485" s="124">
        <f t="shared" si="300"/>
        <v>0</v>
      </c>
      <c r="AC485" s="126">
        <f t="shared" ref="AC485:AC500" si="313">+IFERROR(ROUND(AVERAGE(I485,N485,S485,X485),0),0)</f>
        <v>820560</v>
      </c>
      <c r="AD485" s="101">
        <f t="shared" si="291"/>
        <v>615420</v>
      </c>
      <c r="AE485" s="127">
        <f t="shared" ref="AE485:AE501" si="314">+IFERROR(_xlfn.STDEV.P(I485,N485,S485,X485),0)</f>
        <v>88747.075820370927</v>
      </c>
      <c r="AF485" s="128">
        <f t="shared" si="301"/>
        <v>0.10815427978498943</v>
      </c>
      <c r="AG485" s="129">
        <f t="shared" ref="AG485:AG501" si="315">IFERROR(ROUND(MEDIAN(I485,N485,S485,X485),0),0)</f>
        <v>789000</v>
      </c>
      <c r="AH485" s="101">
        <f t="shared" si="292"/>
        <v>760070</v>
      </c>
      <c r="AI485" s="130">
        <f t="shared" si="302"/>
        <v>88747.075820370927</v>
      </c>
      <c r="AJ485" s="159">
        <f t="shared" si="303"/>
        <v>0.11248045097638901</v>
      </c>
      <c r="AK485" s="290" t="s">
        <v>1035</v>
      </c>
      <c r="AL485" s="291"/>
      <c r="AM485" s="292"/>
      <c r="AN485" s="160"/>
    </row>
    <row r="486" spans="1:40" ht="84" thickBot="1" x14ac:dyDescent="0.3">
      <c r="A486" s="84">
        <f t="shared" si="304"/>
        <v>3</v>
      </c>
      <c r="B486" s="198">
        <v>481</v>
      </c>
      <c r="C486" s="51" t="s">
        <v>957</v>
      </c>
      <c r="D486" s="204" t="s">
        <v>1051</v>
      </c>
      <c r="E486" s="61" t="s">
        <v>1003</v>
      </c>
      <c r="F486" s="17">
        <v>1</v>
      </c>
      <c r="G486" s="17"/>
      <c r="H486" s="89" t="s">
        <v>737</v>
      </c>
      <c r="I486" s="126">
        <v>1420200</v>
      </c>
      <c r="J486" s="121">
        <f t="shared" si="305"/>
        <v>269838</v>
      </c>
      <c r="K486" s="130">
        <f t="shared" si="306"/>
        <v>1690038</v>
      </c>
      <c r="L486" s="121">
        <f t="shared" si="307"/>
        <v>1420200</v>
      </c>
      <c r="M486" s="122">
        <f t="shared" si="308"/>
        <v>1690038</v>
      </c>
      <c r="N486" s="123">
        <v>1104600</v>
      </c>
      <c r="O486" s="121">
        <f t="shared" si="309"/>
        <v>209874</v>
      </c>
      <c r="P486" s="110">
        <f t="shared" si="310"/>
        <v>1314474</v>
      </c>
      <c r="Q486" s="121">
        <f t="shared" si="311"/>
        <v>1104600</v>
      </c>
      <c r="R486" s="124">
        <f t="shared" si="312"/>
        <v>1314474</v>
      </c>
      <c r="S486" s="125">
        <v>1315000</v>
      </c>
      <c r="T486" s="121">
        <f t="shared" si="293"/>
        <v>249850</v>
      </c>
      <c r="U486" s="110">
        <f t="shared" si="294"/>
        <v>1564850</v>
      </c>
      <c r="V486" s="121">
        <f t="shared" si="295"/>
        <v>1315000</v>
      </c>
      <c r="W486" s="122">
        <f t="shared" si="296"/>
        <v>1564850</v>
      </c>
      <c r="X486" s="108"/>
      <c r="Y486" s="121">
        <f t="shared" si="297"/>
        <v>0</v>
      </c>
      <c r="Z486" s="121">
        <f t="shared" si="298"/>
        <v>0</v>
      </c>
      <c r="AA486" s="121">
        <f t="shared" si="299"/>
        <v>0</v>
      </c>
      <c r="AB486" s="124">
        <f t="shared" si="300"/>
        <v>0</v>
      </c>
      <c r="AC486" s="126">
        <f t="shared" si="313"/>
        <v>1279933</v>
      </c>
      <c r="AD486" s="101">
        <f t="shared" si="291"/>
        <v>959950</v>
      </c>
      <c r="AE486" s="127">
        <f t="shared" si="314"/>
        <v>131207.45236287289</v>
      </c>
      <c r="AF486" s="128">
        <f t="shared" si="301"/>
        <v>0.1025111879784902</v>
      </c>
      <c r="AG486" s="129">
        <f t="shared" si="315"/>
        <v>1315000</v>
      </c>
      <c r="AH486" s="101">
        <f t="shared" si="292"/>
        <v>1209800</v>
      </c>
      <c r="AI486" s="130">
        <f t="shared" si="302"/>
        <v>131207.45236287289</v>
      </c>
      <c r="AJ486" s="159">
        <f t="shared" si="303"/>
        <v>9.9777530313971782E-2</v>
      </c>
      <c r="AK486" s="290" t="s">
        <v>1035</v>
      </c>
      <c r="AL486" s="291"/>
      <c r="AM486" s="292"/>
      <c r="AN486" s="160"/>
    </row>
    <row r="487" spans="1:40" ht="60.75" thickBot="1" x14ac:dyDescent="0.3">
      <c r="A487" s="84">
        <f t="shared" si="304"/>
        <v>3</v>
      </c>
      <c r="B487" s="198">
        <v>482</v>
      </c>
      <c r="C487" s="51" t="s">
        <v>958</v>
      </c>
      <c r="D487" s="204" t="s">
        <v>1051</v>
      </c>
      <c r="E487" s="60" t="s">
        <v>959</v>
      </c>
      <c r="F487" s="17">
        <v>1</v>
      </c>
      <c r="G487" s="17"/>
      <c r="H487" s="89" t="s">
        <v>376</v>
      </c>
      <c r="I487" s="126">
        <v>4208000</v>
      </c>
      <c r="J487" s="121">
        <f t="shared" si="305"/>
        <v>799520</v>
      </c>
      <c r="K487" s="130">
        <f t="shared" si="306"/>
        <v>5007520</v>
      </c>
      <c r="L487" s="121">
        <f t="shared" si="307"/>
        <v>4208000</v>
      </c>
      <c r="M487" s="122">
        <f t="shared" si="308"/>
        <v>5007520</v>
      </c>
      <c r="N487" s="123">
        <v>4418400</v>
      </c>
      <c r="O487" s="121">
        <f t="shared" si="309"/>
        <v>839496</v>
      </c>
      <c r="P487" s="110">
        <f t="shared" si="310"/>
        <v>5257896</v>
      </c>
      <c r="Q487" s="121">
        <f t="shared" si="311"/>
        <v>4418400</v>
      </c>
      <c r="R487" s="124">
        <f t="shared" si="312"/>
        <v>5257896</v>
      </c>
      <c r="S487" s="125">
        <v>3787200</v>
      </c>
      <c r="T487" s="121">
        <f t="shared" si="293"/>
        <v>719568</v>
      </c>
      <c r="U487" s="110">
        <f t="shared" si="294"/>
        <v>4506768</v>
      </c>
      <c r="V487" s="121">
        <f t="shared" si="295"/>
        <v>3787200</v>
      </c>
      <c r="W487" s="122">
        <f t="shared" si="296"/>
        <v>4506768</v>
      </c>
      <c r="X487" s="108"/>
      <c r="Y487" s="121">
        <f t="shared" si="297"/>
        <v>0</v>
      </c>
      <c r="Z487" s="121">
        <f t="shared" si="298"/>
        <v>0</v>
      </c>
      <c r="AA487" s="121">
        <f t="shared" si="299"/>
        <v>0</v>
      </c>
      <c r="AB487" s="124">
        <f t="shared" si="300"/>
        <v>0</v>
      </c>
      <c r="AC487" s="126">
        <f t="shared" si="313"/>
        <v>4137867</v>
      </c>
      <c r="AD487" s="101">
        <f t="shared" si="291"/>
        <v>3103400</v>
      </c>
      <c r="AE487" s="127">
        <f t="shared" si="314"/>
        <v>262414.90472574579</v>
      </c>
      <c r="AF487" s="128">
        <f t="shared" si="301"/>
        <v>6.3417916700982846E-2</v>
      </c>
      <c r="AG487" s="129">
        <f t="shared" si="315"/>
        <v>4208000</v>
      </c>
      <c r="AH487" s="101">
        <f t="shared" si="292"/>
        <v>3997600</v>
      </c>
      <c r="AI487" s="130">
        <f t="shared" si="302"/>
        <v>262414.90472574579</v>
      </c>
      <c r="AJ487" s="159">
        <f t="shared" si="303"/>
        <v>6.2360956446232366E-2</v>
      </c>
      <c r="AK487" s="290" t="s">
        <v>1034</v>
      </c>
      <c r="AL487" s="291"/>
      <c r="AM487" s="292"/>
      <c r="AN487" s="160"/>
    </row>
    <row r="488" spans="1:40" ht="60.75" thickBot="1" x14ac:dyDescent="0.3">
      <c r="A488" s="84">
        <f t="shared" si="304"/>
        <v>3</v>
      </c>
      <c r="B488" s="198">
        <v>483</v>
      </c>
      <c r="C488" s="51" t="s">
        <v>960</v>
      </c>
      <c r="D488" s="204" t="s">
        <v>1051</v>
      </c>
      <c r="E488" s="60" t="s">
        <v>961</v>
      </c>
      <c r="F488" s="17">
        <v>1</v>
      </c>
      <c r="G488" s="17"/>
      <c r="H488" s="89" t="s">
        <v>376</v>
      </c>
      <c r="I488" s="126">
        <v>420800</v>
      </c>
      <c r="J488" s="121">
        <f t="shared" si="305"/>
        <v>79952</v>
      </c>
      <c r="K488" s="130">
        <f t="shared" si="306"/>
        <v>500752</v>
      </c>
      <c r="L488" s="121">
        <f t="shared" si="307"/>
        <v>420800</v>
      </c>
      <c r="M488" s="122">
        <f t="shared" si="308"/>
        <v>500752</v>
      </c>
      <c r="N488" s="123">
        <v>462880</v>
      </c>
      <c r="O488" s="121">
        <f t="shared" si="309"/>
        <v>87947.199999999997</v>
      </c>
      <c r="P488" s="110">
        <f t="shared" si="310"/>
        <v>550827.19999999995</v>
      </c>
      <c r="Q488" s="121">
        <f t="shared" si="311"/>
        <v>462880</v>
      </c>
      <c r="R488" s="124">
        <f t="shared" si="312"/>
        <v>550827.19999999995</v>
      </c>
      <c r="S488" s="125">
        <v>526000</v>
      </c>
      <c r="T488" s="121">
        <f t="shared" si="293"/>
        <v>99940</v>
      </c>
      <c r="U488" s="110">
        <f t="shared" si="294"/>
        <v>625940</v>
      </c>
      <c r="V488" s="121">
        <f t="shared" si="295"/>
        <v>526000</v>
      </c>
      <c r="W488" s="122">
        <f t="shared" si="296"/>
        <v>625940</v>
      </c>
      <c r="X488" s="108"/>
      <c r="Y488" s="121">
        <f t="shared" si="297"/>
        <v>0</v>
      </c>
      <c r="Z488" s="121">
        <f t="shared" si="298"/>
        <v>0</v>
      </c>
      <c r="AA488" s="121">
        <f t="shared" si="299"/>
        <v>0</v>
      </c>
      <c r="AB488" s="124">
        <f t="shared" si="300"/>
        <v>0</v>
      </c>
      <c r="AC488" s="126">
        <f t="shared" si="313"/>
        <v>469893</v>
      </c>
      <c r="AD488" s="101">
        <f t="shared" si="291"/>
        <v>352420</v>
      </c>
      <c r="AE488" s="127">
        <f t="shared" si="314"/>
        <v>43233.090207489084</v>
      </c>
      <c r="AF488" s="128">
        <f t="shared" si="301"/>
        <v>9.2006244416258778E-2</v>
      </c>
      <c r="AG488" s="129">
        <f t="shared" si="315"/>
        <v>462880</v>
      </c>
      <c r="AH488" s="101">
        <f t="shared" si="292"/>
        <v>441840</v>
      </c>
      <c r="AI488" s="130">
        <f t="shared" si="302"/>
        <v>43233.090207489084</v>
      </c>
      <c r="AJ488" s="159">
        <f t="shared" si="303"/>
        <v>9.3400212166196608E-2</v>
      </c>
      <c r="AK488" s="290" t="s">
        <v>1034</v>
      </c>
      <c r="AL488" s="291"/>
      <c r="AM488" s="292"/>
      <c r="AN488" s="160"/>
    </row>
    <row r="489" spans="1:40" ht="60.75" thickBot="1" x14ac:dyDescent="0.3">
      <c r="A489" s="84">
        <f t="shared" si="304"/>
        <v>3</v>
      </c>
      <c r="B489" s="198">
        <v>484</v>
      </c>
      <c r="C489" s="51" t="s">
        <v>962</v>
      </c>
      <c r="D489" s="204" t="s">
        <v>1051</v>
      </c>
      <c r="E489" s="60" t="s">
        <v>963</v>
      </c>
      <c r="F489" s="17">
        <v>1</v>
      </c>
      <c r="G489" s="17"/>
      <c r="H489" s="89" t="s">
        <v>376</v>
      </c>
      <c r="I489" s="126">
        <v>631200</v>
      </c>
      <c r="J489" s="121">
        <f t="shared" si="305"/>
        <v>119928</v>
      </c>
      <c r="K489" s="130">
        <f t="shared" si="306"/>
        <v>751128</v>
      </c>
      <c r="L489" s="121">
        <f t="shared" si="307"/>
        <v>631200</v>
      </c>
      <c r="M489" s="122">
        <f t="shared" si="308"/>
        <v>751128</v>
      </c>
      <c r="N489" s="123">
        <v>620680</v>
      </c>
      <c r="O489" s="121">
        <f t="shared" si="309"/>
        <v>117929.2</v>
      </c>
      <c r="P489" s="110">
        <f t="shared" si="310"/>
        <v>738609.2</v>
      </c>
      <c r="Q489" s="121">
        <f t="shared" si="311"/>
        <v>620680</v>
      </c>
      <c r="R489" s="124">
        <f t="shared" si="312"/>
        <v>738609.2</v>
      </c>
      <c r="S489" s="125">
        <v>715360</v>
      </c>
      <c r="T489" s="121">
        <f t="shared" si="293"/>
        <v>135918.39999999999</v>
      </c>
      <c r="U489" s="110">
        <f t="shared" si="294"/>
        <v>851278.4</v>
      </c>
      <c r="V489" s="121">
        <f t="shared" si="295"/>
        <v>715360</v>
      </c>
      <c r="W489" s="122">
        <f t="shared" si="296"/>
        <v>851278.4</v>
      </c>
      <c r="X489" s="108"/>
      <c r="Y489" s="121">
        <f t="shared" si="297"/>
        <v>0</v>
      </c>
      <c r="Z489" s="121">
        <f t="shared" si="298"/>
        <v>0</v>
      </c>
      <c r="AA489" s="121">
        <f t="shared" si="299"/>
        <v>0</v>
      </c>
      <c r="AB489" s="124">
        <f t="shared" si="300"/>
        <v>0</v>
      </c>
      <c r="AC489" s="126">
        <f t="shared" si="313"/>
        <v>655747</v>
      </c>
      <c r="AD489" s="101">
        <f t="shared" si="291"/>
        <v>491810</v>
      </c>
      <c r="AE489" s="127">
        <f t="shared" si="314"/>
        <v>42371.214547404968</v>
      </c>
      <c r="AF489" s="128">
        <f t="shared" si="301"/>
        <v>6.461518626452728E-2</v>
      </c>
      <c r="AG489" s="129">
        <f t="shared" si="315"/>
        <v>631200</v>
      </c>
      <c r="AH489" s="101">
        <f t="shared" si="292"/>
        <v>625940</v>
      </c>
      <c r="AI489" s="130">
        <f t="shared" si="302"/>
        <v>42371.214547404968</v>
      </c>
      <c r="AJ489" s="159">
        <f t="shared" si="303"/>
        <v>6.7128033186636515E-2</v>
      </c>
      <c r="AK489" s="290" t="s">
        <v>1034</v>
      </c>
      <c r="AL489" s="291"/>
      <c r="AM489" s="292"/>
      <c r="AN489" s="160"/>
    </row>
    <row r="490" spans="1:40" ht="37.5" x14ac:dyDescent="0.25">
      <c r="A490" s="84">
        <f t="shared" si="304"/>
        <v>3</v>
      </c>
      <c r="B490" s="198">
        <v>485</v>
      </c>
      <c r="C490" s="51" t="s">
        <v>968</v>
      </c>
      <c r="D490" s="204" t="s">
        <v>1051</v>
      </c>
      <c r="E490" s="60" t="s">
        <v>969</v>
      </c>
      <c r="F490" s="17">
        <v>1</v>
      </c>
      <c r="G490" s="17"/>
      <c r="H490" s="89" t="s">
        <v>966</v>
      </c>
      <c r="I490" s="126">
        <v>578600</v>
      </c>
      <c r="J490" s="121">
        <f t="shared" si="305"/>
        <v>109934</v>
      </c>
      <c r="K490" s="130">
        <f t="shared" si="306"/>
        <v>688534</v>
      </c>
      <c r="L490" s="121">
        <f t="shared" si="307"/>
        <v>578600</v>
      </c>
      <c r="M490" s="122">
        <f t="shared" si="308"/>
        <v>688534</v>
      </c>
      <c r="N490" s="123">
        <v>631200</v>
      </c>
      <c r="O490" s="121">
        <f t="shared" si="309"/>
        <v>119928</v>
      </c>
      <c r="P490" s="110">
        <f t="shared" si="310"/>
        <v>751128</v>
      </c>
      <c r="Q490" s="121">
        <f t="shared" si="311"/>
        <v>631200</v>
      </c>
      <c r="R490" s="124">
        <f t="shared" si="312"/>
        <v>751128</v>
      </c>
      <c r="S490" s="125">
        <v>683800</v>
      </c>
      <c r="T490" s="121">
        <f t="shared" si="293"/>
        <v>129922</v>
      </c>
      <c r="U490" s="110">
        <f t="shared" si="294"/>
        <v>813722</v>
      </c>
      <c r="V490" s="121">
        <f t="shared" si="295"/>
        <v>683800</v>
      </c>
      <c r="W490" s="122">
        <f t="shared" si="296"/>
        <v>813722</v>
      </c>
      <c r="X490" s="108"/>
      <c r="Y490" s="121">
        <f t="shared" si="297"/>
        <v>0</v>
      </c>
      <c r="Z490" s="121">
        <f t="shared" si="298"/>
        <v>0</v>
      </c>
      <c r="AA490" s="121">
        <f t="shared" si="299"/>
        <v>0</v>
      </c>
      <c r="AB490" s="124">
        <f t="shared" si="300"/>
        <v>0</v>
      </c>
      <c r="AC490" s="126">
        <f t="shared" si="313"/>
        <v>631200</v>
      </c>
      <c r="AD490" s="101">
        <f t="shared" si="291"/>
        <v>473400</v>
      </c>
      <c r="AE490" s="127">
        <f t="shared" si="314"/>
        <v>42947.720156798394</v>
      </c>
      <c r="AF490" s="128">
        <f t="shared" si="301"/>
        <v>6.8041381743977183E-2</v>
      </c>
      <c r="AG490" s="129">
        <f t="shared" si="315"/>
        <v>631200</v>
      </c>
      <c r="AH490" s="101">
        <f t="shared" si="292"/>
        <v>604900</v>
      </c>
      <c r="AI490" s="130">
        <f t="shared" si="302"/>
        <v>42947.720156798394</v>
      </c>
      <c r="AJ490" s="159">
        <f t="shared" si="303"/>
        <v>6.8041381743977183E-2</v>
      </c>
      <c r="AK490" s="290" t="s">
        <v>1034</v>
      </c>
      <c r="AL490" s="291"/>
      <c r="AM490" s="292"/>
      <c r="AN490" s="160"/>
    </row>
    <row r="491" spans="1:40" ht="45" x14ac:dyDescent="0.25">
      <c r="A491" s="84">
        <f t="shared" si="304"/>
        <v>3</v>
      </c>
      <c r="B491" s="198">
        <v>486</v>
      </c>
      <c r="C491" s="51" t="s">
        <v>964</v>
      </c>
      <c r="D491" s="204" t="s">
        <v>1051</v>
      </c>
      <c r="E491" s="60" t="s">
        <v>965</v>
      </c>
      <c r="F491" s="17">
        <v>1</v>
      </c>
      <c r="G491" s="17"/>
      <c r="H491" s="89" t="s">
        <v>966</v>
      </c>
      <c r="I491" s="126">
        <v>15780000</v>
      </c>
      <c r="J491" s="121">
        <f t="shared" si="305"/>
        <v>2998200</v>
      </c>
      <c r="K491" s="130">
        <f t="shared" si="306"/>
        <v>18778200</v>
      </c>
      <c r="L491" s="121">
        <f t="shared" si="307"/>
        <v>15780000</v>
      </c>
      <c r="M491" s="122">
        <f t="shared" si="308"/>
        <v>18778200</v>
      </c>
      <c r="N491" s="123">
        <v>15780000</v>
      </c>
      <c r="O491" s="121">
        <f t="shared" si="309"/>
        <v>2998200</v>
      </c>
      <c r="P491" s="110">
        <f t="shared" si="310"/>
        <v>18778200</v>
      </c>
      <c r="Q491" s="121">
        <f t="shared" si="311"/>
        <v>15780000</v>
      </c>
      <c r="R491" s="124">
        <f t="shared" si="312"/>
        <v>18778200</v>
      </c>
      <c r="S491" s="125">
        <v>15780000</v>
      </c>
      <c r="T491" s="121">
        <f t="shared" si="293"/>
        <v>2998200</v>
      </c>
      <c r="U491" s="110">
        <f t="shared" si="294"/>
        <v>18778200</v>
      </c>
      <c r="V491" s="121">
        <f t="shared" si="295"/>
        <v>15780000</v>
      </c>
      <c r="W491" s="122">
        <f t="shared" si="296"/>
        <v>18778200</v>
      </c>
      <c r="X491" s="108"/>
      <c r="Y491" s="121">
        <f t="shared" si="297"/>
        <v>0</v>
      </c>
      <c r="Z491" s="121">
        <f t="shared" si="298"/>
        <v>0</v>
      </c>
      <c r="AA491" s="121">
        <f t="shared" si="299"/>
        <v>0</v>
      </c>
      <c r="AB491" s="124">
        <f t="shared" si="300"/>
        <v>0</v>
      </c>
      <c r="AC491" s="126">
        <f t="shared" si="313"/>
        <v>15780000</v>
      </c>
      <c r="AD491" s="110">
        <f>AC491*F491</f>
        <v>15780000</v>
      </c>
      <c r="AE491" s="127">
        <f t="shared" si="314"/>
        <v>0</v>
      </c>
      <c r="AF491" s="128">
        <f t="shared" si="301"/>
        <v>0</v>
      </c>
      <c r="AG491" s="129">
        <f t="shared" si="315"/>
        <v>15780000</v>
      </c>
      <c r="AH491" s="130">
        <f>AG491*F491</f>
        <v>15780000</v>
      </c>
      <c r="AI491" s="130">
        <f t="shared" si="302"/>
        <v>0</v>
      </c>
      <c r="AJ491" s="159">
        <f t="shared" si="303"/>
        <v>0</v>
      </c>
      <c r="AK491" s="290" t="s">
        <v>1034</v>
      </c>
      <c r="AL491" s="291"/>
      <c r="AM491" s="292"/>
      <c r="AN491" s="160"/>
    </row>
    <row r="492" spans="1:40" ht="45.75" thickBot="1" x14ac:dyDescent="0.3">
      <c r="A492" s="84">
        <f t="shared" si="304"/>
        <v>3</v>
      </c>
      <c r="B492" s="198">
        <v>487</v>
      </c>
      <c r="C492" s="51" t="s">
        <v>964</v>
      </c>
      <c r="D492" s="204" t="s">
        <v>1051</v>
      </c>
      <c r="E492" s="60" t="s">
        <v>967</v>
      </c>
      <c r="F492" s="17">
        <v>1</v>
      </c>
      <c r="G492" s="17"/>
      <c r="H492" s="89" t="s">
        <v>966</v>
      </c>
      <c r="I492" s="126">
        <v>31560000</v>
      </c>
      <c r="J492" s="121">
        <f t="shared" si="305"/>
        <v>5996400</v>
      </c>
      <c r="K492" s="130">
        <f t="shared" si="306"/>
        <v>37556400</v>
      </c>
      <c r="L492" s="121">
        <f t="shared" si="307"/>
        <v>31560000</v>
      </c>
      <c r="M492" s="122">
        <f t="shared" si="308"/>
        <v>37556400</v>
      </c>
      <c r="N492" s="123">
        <v>31560000</v>
      </c>
      <c r="O492" s="121">
        <f t="shared" si="309"/>
        <v>5996400</v>
      </c>
      <c r="P492" s="110">
        <f t="shared" si="310"/>
        <v>37556400</v>
      </c>
      <c r="Q492" s="121">
        <f t="shared" si="311"/>
        <v>31560000</v>
      </c>
      <c r="R492" s="124">
        <f t="shared" si="312"/>
        <v>37556400</v>
      </c>
      <c r="S492" s="125">
        <v>31560000</v>
      </c>
      <c r="T492" s="121">
        <f t="shared" si="293"/>
        <v>5996400</v>
      </c>
      <c r="U492" s="110">
        <f t="shared" si="294"/>
        <v>37556400</v>
      </c>
      <c r="V492" s="121">
        <f t="shared" si="295"/>
        <v>31560000</v>
      </c>
      <c r="W492" s="122">
        <f t="shared" si="296"/>
        <v>37556400</v>
      </c>
      <c r="X492" s="108"/>
      <c r="Y492" s="121">
        <f t="shared" si="297"/>
        <v>0</v>
      </c>
      <c r="Z492" s="121">
        <f t="shared" si="298"/>
        <v>0</v>
      </c>
      <c r="AA492" s="121">
        <f t="shared" si="299"/>
        <v>0</v>
      </c>
      <c r="AB492" s="124">
        <f t="shared" si="300"/>
        <v>0</v>
      </c>
      <c r="AC492" s="126">
        <f t="shared" si="313"/>
        <v>31560000</v>
      </c>
      <c r="AD492" s="110">
        <f>AC492*F492</f>
        <v>31560000</v>
      </c>
      <c r="AE492" s="127">
        <f t="shared" si="314"/>
        <v>0</v>
      </c>
      <c r="AF492" s="128">
        <f t="shared" si="301"/>
        <v>0</v>
      </c>
      <c r="AG492" s="129">
        <f t="shared" si="315"/>
        <v>31560000</v>
      </c>
      <c r="AH492" s="130">
        <f>AG492*F492</f>
        <v>31560000</v>
      </c>
      <c r="AI492" s="130">
        <f t="shared" si="302"/>
        <v>0</v>
      </c>
      <c r="AJ492" s="159">
        <f t="shared" si="303"/>
        <v>0</v>
      </c>
      <c r="AK492" s="290" t="s">
        <v>1034</v>
      </c>
      <c r="AL492" s="291"/>
      <c r="AM492" s="292"/>
      <c r="AN492" s="160"/>
    </row>
    <row r="493" spans="1:40" ht="38.25" thickBot="1" x14ac:dyDescent="0.3">
      <c r="A493" s="84">
        <f t="shared" si="304"/>
        <v>3</v>
      </c>
      <c r="B493" s="198">
        <v>488</v>
      </c>
      <c r="C493" s="51" t="s">
        <v>973</v>
      </c>
      <c r="D493" s="204" t="s">
        <v>1051</v>
      </c>
      <c r="E493" s="60" t="s">
        <v>974</v>
      </c>
      <c r="F493" s="17">
        <v>1</v>
      </c>
      <c r="G493" s="17"/>
      <c r="H493" s="89" t="s">
        <v>966</v>
      </c>
      <c r="I493" s="126">
        <v>3156000</v>
      </c>
      <c r="J493" s="121">
        <f t="shared" si="305"/>
        <v>599640</v>
      </c>
      <c r="K493" s="130">
        <f t="shared" si="306"/>
        <v>3755640</v>
      </c>
      <c r="L493" s="121">
        <f t="shared" si="307"/>
        <v>3156000</v>
      </c>
      <c r="M493" s="122">
        <f t="shared" si="308"/>
        <v>3755640</v>
      </c>
      <c r="N493" s="123">
        <v>3366400</v>
      </c>
      <c r="O493" s="121">
        <f t="shared" si="309"/>
        <v>639616</v>
      </c>
      <c r="P493" s="110">
        <f t="shared" si="310"/>
        <v>4006016</v>
      </c>
      <c r="Q493" s="121">
        <f t="shared" si="311"/>
        <v>3366400</v>
      </c>
      <c r="R493" s="124">
        <f t="shared" si="312"/>
        <v>4006016</v>
      </c>
      <c r="S493" s="125">
        <v>2945600</v>
      </c>
      <c r="T493" s="121">
        <f t="shared" si="293"/>
        <v>559664</v>
      </c>
      <c r="U493" s="110">
        <f t="shared" si="294"/>
        <v>3505264</v>
      </c>
      <c r="V493" s="121">
        <f t="shared" si="295"/>
        <v>2945600</v>
      </c>
      <c r="W493" s="122">
        <f t="shared" si="296"/>
        <v>3505264</v>
      </c>
      <c r="X493" s="108"/>
      <c r="Y493" s="121">
        <f t="shared" si="297"/>
        <v>0</v>
      </c>
      <c r="Z493" s="121">
        <f t="shared" si="298"/>
        <v>0</v>
      </c>
      <c r="AA493" s="121">
        <f t="shared" si="299"/>
        <v>0</v>
      </c>
      <c r="AB493" s="124">
        <f t="shared" si="300"/>
        <v>0</v>
      </c>
      <c r="AC493" s="126">
        <f t="shared" si="313"/>
        <v>3156000</v>
      </c>
      <c r="AD493" s="101">
        <f t="shared" si="291"/>
        <v>2367000</v>
      </c>
      <c r="AE493" s="127">
        <f t="shared" si="314"/>
        <v>171790.88062719358</v>
      </c>
      <c r="AF493" s="128">
        <f t="shared" si="301"/>
        <v>5.4433105395181744E-2</v>
      </c>
      <c r="AG493" s="129">
        <f t="shared" si="315"/>
        <v>3156000</v>
      </c>
      <c r="AH493" s="101">
        <f t="shared" si="292"/>
        <v>3050800</v>
      </c>
      <c r="AI493" s="130">
        <f t="shared" si="302"/>
        <v>171790.88062719358</v>
      </c>
      <c r="AJ493" s="159">
        <f t="shared" si="303"/>
        <v>5.4433105395181744E-2</v>
      </c>
      <c r="AK493" s="290" t="s">
        <v>1034</v>
      </c>
      <c r="AL493" s="291"/>
      <c r="AM493" s="292"/>
      <c r="AN493" s="160"/>
    </row>
    <row r="494" spans="1:40" ht="30.75" thickBot="1" x14ac:dyDescent="0.3">
      <c r="A494" s="84">
        <f t="shared" si="304"/>
        <v>3</v>
      </c>
      <c r="B494" s="198">
        <v>489</v>
      </c>
      <c r="C494" s="51" t="s">
        <v>976</v>
      </c>
      <c r="D494" s="204" t="s">
        <v>1051</v>
      </c>
      <c r="E494" s="60" t="s">
        <v>977</v>
      </c>
      <c r="F494" s="17">
        <v>1</v>
      </c>
      <c r="G494" s="17"/>
      <c r="H494" s="89" t="s">
        <v>376</v>
      </c>
      <c r="I494" s="126">
        <v>420800</v>
      </c>
      <c r="J494" s="121">
        <f t="shared" si="305"/>
        <v>79952</v>
      </c>
      <c r="K494" s="130">
        <f t="shared" si="306"/>
        <v>500752</v>
      </c>
      <c r="L494" s="121">
        <f t="shared" si="307"/>
        <v>420800</v>
      </c>
      <c r="M494" s="122">
        <f t="shared" si="308"/>
        <v>500752</v>
      </c>
      <c r="N494" s="123">
        <v>526000</v>
      </c>
      <c r="O494" s="121">
        <f t="shared" si="309"/>
        <v>99940</v>
      </c>
      <c r="P494" s="110">
        <f t="shared" si="310"/>
        <v>625940</v>
      </c>
      <c r="Q494" s="121">
        <f t="shared" si="311"/>
        <v>526000</v>
      </c>
      <c r="R494" s="124">
        <f t="shared" si="312"/>
        <v>625940</v>
      </c>
      <c r="S494" s="125">
        <v>441840</v>
      </c>
      <c r="T494" s="121">
        <f t="shared" si="293"/>
        <v>83949.6</v>
      </c>
      <c r="U494" s="110">
        <f t="shared" si="294"/>
        <v>525789.6</v>
      </c>
      <c r="V494" s="121">
        <f t="shared" si="295"/>
        <v>441840</v>
      </c>
      <c r="W494" s="122">
        <f t="shared" si="296"/>
        <v>525789.6</v>
      </c>
      <c r="X494" s="108"/>
      <c r="Y494" s="121">
        <f t="shared" si="297"/>
        <v>0</v>
      </c>
      <c r="Z494" s="121">
        <f t="shared" si="298"/>
        <v>0</v>
      </c>
      <c r="AA494" s="121">
        <f t="shared" si="299"/>
        <v>0</v>
      </c>
      <c r="AB494" s="124">
        <f t="shared" si="300"/>
        <v>0</v>
      </c>
      <c r="AC494" s="126">
        <f t="shared" si="313"/>
        <v>462880</v>
      </c>
      <c r="AD494" s="101">
        <f t="shared" si="291"/>
        <v>347160</v>
      </c>
      <c r="AE494" s="127">
        <f t="shared" si="314"/>
        <v>45451.594764833797</v>
      </c>
      <c r="AF494" s="128">
        <f t="shared" si="301"/>
        <v>9.8193040884967595E-2</v>
      </c>
      <c r="AG494" s="129">
        <f t="shared" si="315"/>
        <v>441840</v>
      </c>
      <c r="AH494" s="101">
        <f t="shared" si="292"/>
        <v>431320</v>
      </c>
      <c r="AI494" s="130">
        <f t="shared" si="302"/>
        <v>45451.594764833797</v>
      </c>
      <c r="AJ494" s="159">
        <f t="shared" si="303"/>
        <v>0.10286889997472795</v>
      </c>
      <c r="AK494" s="290" t="s">
        <v>1034</v>
      </c>
      <c r="AL494" s="291"/>
      <c r="AM494" s="292"/>
      <c r="AN494" s="160"/>
    </row>
    <row r="495" spans="1:40" ht="124.5" customHeight="1" x14ac:dyDescent="0.25">
      <c r="A495" s="84">
        <f t="shared" si="304"/>
        <v>3</v>
      </c>
      <c r="B495" s="198">
        <v>490</v>
      </c>
      <c r="C495" s="51" t="s">
        <v>978</v>
      </c>
      <c r="D495" s="204" t="s">
        <v>1048</v>
      </c>
      <c r="E495" s="60" t="s">
        <v>1004</v>
      </c>
      <c r="F495" s="17">
        <v>1</v>
      </c>
      <c r="G495" s="17"/>
      <c r="H495" s="89" t="s">
        <v>376</v>
      </c>
      <c r="I495" s="126">
        <v>1262400</v>
      </c>
      <c r="J495" s="121">
        <f t="shared" si="305"/>
        <v>239856</v>
      </c>
      <c r="K495" s="130">
        <f t="shared" si="306"/>
        <v>1502256</v>
      </c>
      <c r="L495" s="121">
        <f t="shared" si="307"/>
        <v>1262400</v>
      </c>
      <c r="M495" s="122">
        <f t="shared" si="308"/>
        <v>1502256</v>
      </c>
      <c r="N495" s="123">
        <v>1485424</v>
      </c>
      <c r="O495" s="121">
        <f t="shared" si="309"/>
        <v>282230.56</v>
      </c>
      <c r="P495" s="110">
        <f t="shared" si="310"/>
        <v>1767654.56</v>
      </c>
      <c r="Q495" s="121">
        <f t="shared" si="311"/>
        <v>1485424</v>
      </c>
      <c r="R495" s="124">
        <f t="shared" si="312"/>
        <v>1767654.56</v>
      </c>
      <c r="S495" s="125">
        <v>1472800</v>
      </c>
      <c r="T495" s="121">
        <f t="shared" si="293"/>
        <v>279832</v>
      </c>
      <c r="U495" s="110">
        <f t="shared" si="294"/>
        <v>1752632</v>
      </c>
      <c r="V495" s="121">
        <f t="shared" si="295"/>
        <v>1472800</v>
      </c>
      <c r="W495" s="122">
        <f t="shared" si="296"/>
        <v>1752632</v>
      </c>
      <c r="X495" s="108"/>
      <c r="Y495" s="121">
        <f t="shared" si="297"/>
        <v>0</v>
      </c>
      <c r="Z495" s="121">
        <f t="shared" si="298"/>
        <v>0</v>
      </c>
      <c r="AA495" s="121">
        <f t="shared" si="299"/>
        <v>0</v>
      </c>
      <c r="AB495" s="124">
        <f t="shared" si="300"/>
        <v>0</v>
      </c>
      <c r="AC495" s="126">
        <f t="shared" si="313"/>
        <v>1406875</v>
      </c>
      <c r="AD495" s="101">
        <f t="shared" si="291"/>
        <v>1055156</v>
      </c>
      <c r="AE495" s="127">
        <f t="shared" si="314"/>
        <v>102288.93170926276</v>
      </c>
      <c r="AF495" s="128">
        <f t="shared" si="301"/>
        <v>7.2706481890191216E-2</v>
      </c>
      <c r="AG495" s="129">
        <f t="shared" si="315"/>
        <v>1472800</v>
      </c>
      <c r="AH495" s="101">
        <f t="shared" si="292"/>
        <v>1367600</v>
      </c>
      <c r="AI495" s="130">
        <f t="shared" si="302"/>
        <v>102288.93170926276</v>
      </c>
      <c r="AJ495" s="159">
        <f t="shared" si="303"/>
        <v>6.9452017727636317E-2</v>
      </c>
      <c r="AK495" s="290" t="s">
        <v>1034</v>
      </c>
      <c r="AL495" s="291"/>
      <c r="AM495" s="292"/>
      <c r="AN495" s="160"/>
    </row>
    <row r="496" spans="1:40" ht="60" x14ac:dyDescent="0.25">
      <c r="A496" s="84">
        <f t="shared" si="304"/>
        <v>3</v>
      </c>
      <c r="B496" s="198">
        <v>491</v>
      </c>
      <c r="C496" s="51" t="s">
        <v>970</v>
      </c>
      <c r="D496" s="204" t="s">
        <v>1051</v>
      </c>
      <c r="E496" s="60" t="s">
        <v>971</v>
      </c>
      <c r="F496" s="17">
        <v>1</v>
      </c>
      <c r="G496" s="17"/>
      <c r="H496" s="89" t="s">
        <v>966</v>
      </c>
      <c r="I496" s="126">
        <v>8416000</v>
      </c>
      <c r="J496" s="121">
        <f t="shared" si="305"/>
        <v>1599040</v>
      </c>
      <c r="K496" s="130">
        <f t="shared" si="306"/>
        <v>10015040</v>
      </c>
      <c r="L496" s="121">
        <f t="shared" si="307"/>
        <v>8416000</v>
      </c>
      <c r="M496" s="122">
        <f t="shared" si="308"/>
        <v>10015040</v>
      </c>
      <c r="N496" s="123">
        <v>9468000</v>
      </c>
      <c r="O496" s="121">
        <f t="shared" si="309"/>
        <v>1798920</v>
      </c>
      <c r="P496" s="110">
        <f t="shared" si="310"/>
        <v>11266920</v>
      </c>
      <c r="Q496" s="121">
        <f t="shared" si="311"/>
        <v>9468000</v>
      </c>
      <c r="R496" s="124">
        <f t="shared" si="312"/>
        <v>11266920</v>
      </c>
      <c r="S496" s="125">
        <v>10520000</v>
      </c>
      <c r="T496" s="121">
        <f t="shared" si="293"/>
        <v>1998800</v>
      </c>
      <c r="U496" s="110">
        <f t="shared" si="294"/>
        <v>12518800</v>
      </c>
      <c r="V496" s="121">
        <f t="shared" si="295"/>
        <v>10520000</v>
      </c>
      <c r="W496" s="122">
        <f t="shared" si="296"/>
        <v>12518800</v>
      </c>
      <c r="X496" s="108"/>
      <c r="Y496" s="121">
        <f t="shared" si="297"/>
        <v>0</v>
      </c>
      <c r="Z496" s="121">
        <f t="shared" si="298"/>
        <v>0</v>
      </c>
      <c r="AA496" s="121">
        <f t="shared" si="299"/>
        <v>0</v>
      </c>
      <c r="AB496" s="124">
        <f t="shared" si="300"/>
        <v>0</v>
      </c>
      <c r="AC496" s="126">
        <f t="shared" si="313"/>
        <v>9468000</v>
      </c>
      <c r="AD496" s="110">
        <f>AC496*F496</f>
        <v>9468000</v>
      </c>
      <c r="AE496" s="127">
        <f t="shared" si="314"/>
        <v>858954.40313596779</v>
      </c>
      <c r="AF496" s="128">
        <f t="shared" si="301"/>
        <v>9.0721842325302893E-2</v>
      </c>
      <c r="AG496" s="129">
        <f t="shared" si="315"/>
        <v>9468000</v>
      </c>
      <c r="AH496" s="130">
        <f>AG496*F496</f>
        <v>9468000</v>
      </c>
      <c r="AI496" s="130">
        <f t="shared" si="302"/>
        <v>858954.40313596779</v>
      </c>
      <c r="AJ496" s="159">
        <f t="shared" si="303"/>
        <v>9.0721842325302893E-2</v>
      </c>
      <c r="AK496" s="290" t="s">
        <v>1034</v>
      </c>
      <c r="AL496" s="291"/>
      <c r="AM496" s="292"/>
      <c r="AN496" s="160"/>
    </row>
    <row r="497" spans="1:40" ht="60.75" thickBot="1" x14ac:dyDescent="0.3">
      <c r="A497" s="84">
        <f t="shared" si="304"/>
        <v>3</v>
      </c>
      <c r="B497" s="198">
        <v>492</v>
      </c>
      <c r="C497" s="51" t="s">
        <v>970</v>
      </c>
      <c r="D497" s="204" t="s">
        <v>1051</v>
      </c>
      <c r="E497" s="60" t="s">
        <v>972</v>
      </c>
      <c r="F497" s="17">
        <v>1</v>
      </c>
      <c r="G497" s="17"/>
      <c r="H497" s="89" t="s">
        <v>966</v>
      </c>
      <c r="I497" s="126">
        <v>8416000</v>
      </c>
      <c r="J497" s="121">
        <f t="shared" si="305"/>
        <v>1599040</v>
      </c>
      <c r="K497" s="130">
        <f t="shared" si="306"/>
        <v>10015040</v>
      </c>
      <c r="L497" s="121">
        <f t="shared" si="307"/>
        <v>8416000</v>
      </c>
      <c r="M497" s="122">
        <f t="shared" si="308"/>
        <v>10015040</v>
      </c>
      <c r="N497" s="123">
        <v>9468000</v>
      </c>
      <c r="O497" s="121">
        <f t="shared" si="309"/>
        <v>1798920</v>
      </c>
      <c r="P497" s="110">
        <f t="shared" si="310"/>
        <v>11266920</v>
      </c>
      <c r="Q497" s="121">
        <f t="shared" si="311"/>
        <v>9468000</v>
      </c>
      <c r="R497" s="124">
        <f t="shared" si="312"/>
        <v>11266920</v>
      </c>
      <c r="S497" s="125">
        <v>10520000</v>
      </c>
      <c r="T497" s="121">
        <f t="shared" si="293"/>
        <v>1998800</v>
      </c>
      <c r="U497" s="110">
        <f t="shared" si="294"/>
        <v>12518800</v>
      </c>
      <c r="V497" s="121">
        <f t="shared" si="295"/>
        <v>10520000</v>
      </c>
      <c r="W497" s="122">
        <f t="shared" si="296"/>
        <v>12518800</v>
      </c>
      <c r="X497" s="108"/>
      <c r="Y497" s="121">
        <f t="shared" si="297"/>
        <v>0</v>
      </c>
      <c r="Z497" s="121">
        <f t="shared" si="298"/>
        <v>0</v>
      </c>
      <c r="AA497" s="121">
        <f t="shared" si="299"/>
        <v>0</v>
      </c>
      <c r="AB497" s="124">
        <f t="shared" si="300"/>
        <v>0</v>
      </c>
      <c r="AC497" s="126">
        <f t="shared" si="313"/>
        <v>9468000</v>
      </c>
      <c r="AD497" s="110">
        <f>AC497*F497</f>
        <v>9468000</v>
      </c>
      <c r="AE497" s="127">
        <f t="shared" si="314"/>
        <v>858954.40313596779</v>
      </c>
      <c r="AF497" s="128">
        <f t="shared" si="301"/>
        <v>9.0721842325302893E-2</v>
      </c>
      <c r="AG497" s="129">
        <f t="shared" si="315"/>
        <v>9468000</v>
      </c>
      <c r="AH497" s="130">
        <f>AG497*F497</f>
        <v>9468000</v>
      </c>
      <c r="AI497" s="130">
        <f t="shared" si="302"/>
        <v>858954.40313596779</v>
      </c>
      <c r="AJ497" s="159">
        <f t="shared" si="303"/>
        <v>9.0721842325302893E-2</v>
      </c>
      <c r="AK497" s="290" t="s">
        <v>1034</v>
      </c>
      <c r="AL497" s="291"/>
      <c r="AM497" s="292"/>
      <c r="AN497" s="160"/>
    </row>
    <row r="498" spans="1:40" ht="107.25" customHeight="1" thickBot="1" x14ac:dyDescent="0.3">
      <c r="A498" s="84">
        <f t="shared" si="304"/>
        <v>3</v>
      </c>
      <c r="B498" s="198">
        <v>493</v>
      </c>
      <c r="C498" s="51" t="s">
        <v>978</v>
      </c>
      <c r="D498" s="204" t="s">
        <v>1048</v>
      </c>
      <c r="E498" s="60" t="s">
        <v>1005</v>
      </c>
      <c r="F498" s="17">
        <v>1</v>
      </c>
      <c r="G498" s="17"/>
      <c r="H498" s="89" t="s">
        <v>376</v>
      </c>
      <c r="I498" s="126">
        <v>1472800</v>
      </c>
      <c r="J498" s="121">
        <f t="shared" si="305"/>
        <v>279832</v>
      </c>
      <c r="K498" s="130">
        <f t="shared" si="306"/>
        <v>1752632</v>
      </c>
      <c r="L498" s="121">
        <f t="shared" si="307"/>
        <v>1472800</v>
      </c>
      <c r="M498" s="122">
        <f t="shared" si="308"/>
        <v>1752632</v>
      </c>
      <c r="N498" s="123">
        <v>1692668</v>
      </c>
      <c r="O498" s="121">
        <f t="shared" si="309"/>
        <v>321606.92</v>
      </c>
      <c r="P498" s="110">
        <f t="shared" si="310"/>
        <v>2014274.92</v>
      </c>
      <c r="Q498" s="121">
        <f t="shared" si="311"/>
        <v>1692668</v>
      </c>
      <c r="R498" s="124">
        <f t="shared" si="312"/>
        <v>2014274.92</v>
      </c>
      <c r="S498" s="125">
        <v>1683200</v>
      </c>
      <c r="T498" s="121">
        <f t="shared" si="293"/>
        <v>319808</v>
      </c>
      <c r="U498" s="110">
        <f t="shared" si="294"/>
        <v>2003008</v>
      </c>
      <c r="V498" s="121">
        <f t="shared" si="295"/>
        <v>1683200</v>
      </c>
      <c r="W498" s="122">
        <f t="shared" si="296"/>
        <v>2003008</v>
      </c>
      <c r="X498" s="108"/>
      <c r="Y498" s="121">
        <f t="shared" si="297"/>
        <v>0</v>
      </c>
      <c r="Z498" s="121">
        <f t="shared" si="298"/>
        <v>0</v>
      </c>
      <c r="AA498" s="121">
        <f t="shared" si="299"/>
        <v>0</v>
      </c>
      <c r="AB498" s="124">
        <f t="shared" si="300"/>
        <v>0</v>
      </c>
      <c r="AC498" s="126">
        <f t="shared" si="313"/>
        <v>1616223</v>
      </c>
      <c r="AD498" s="101">
        <f t="shared" si="291"/>
        <v>1212167</v>
      </c>
      <c r="AE498" s="127">
        <f t="shared" si="314"/>
        <v>101488.77357072008</v>
      </c>
      <c r="AF498" s="128">
        <f t="shared" si="301"/>
        <v>6.2793793660107594E-2</v>
      </c>
      <c r="AG498" s="129">
        <f t="shared" si="315"/>
        <v>1683200</v>
      </c>
      <c r="AH498" s="101">
        <f t="shared" si="292"/>
        <v>1578000</v>
      </c>
      <c r="AI498" s="130">
        <f t="shared" si="302"/>
        <v>101488.77357072008</v>
      </c>
      <c r="AJ498" s="159">
        <f t="shared" si="303"/>
        <v>6.0295136389448716E-2</v>
      </c>
      <c r="AK498" s="290" t="s">
        <v>1034</v>
      </c>
      <c r="AL498" s="291"/>
      <c r="AM498" s="292"/>
      <c r="AN498" s="160"/>
    </row>
    <row r="499" spans="1:40" ht="103.5" customHeight="1" x14ac:dyDescent="0.25">
      <c r="A499" s="84">
        <f t="shared" si="304"/>
        <v>3</v>
      </c>
      <c r="B499" s="198">
        <v>494</v>
      </c>
      <c r="C499" s="51" t="s">
        <v>979</v>
      </c>
      <c r="D499" s="204" t="s">
        <v>1048</v>
      </c>
      <c r="E499" s="60" t="s">
        <v>1006</v>
      </c>
      <c r="F499" s="17">
        <v>1</v>
      </c>
      <c r="G499" s="17"/>
      <c r="H499" s="89" t="s">
        <v>376</v>
      </c>
      <c r="I499" s="126">
        <v>946800</v>
      </c>
      <c r="J499" s="121">
        <f t="shared" si="305"/>
        <v>179892</v>
      </c>
      <c r="K499" s="130">
        <f t="shared" si="306"/>
        <v>1126692</v>
      </c>
      <c r="L499" s="121">
        <f t="shared" si="307"/>
        <v>946800</v>
      </c>
      <c r="M499" s="122">
        <f t="shared" si="308"/>
        <v>1126692</v>
      </c>
      <c r="N499" s="123">
        <v>1009916.844</v>
      </c>
      <c r="O499" s="121">
        <f t="shared" si="309"/>
        <v>191884.20036000002</v>
      </c>
      <c r="P499" s="110">
        <f t="shared" si="310"/>
        <v>1201801.0443600002</v>
      </c>
      <c r="Q499" s="121">
        <f t="shared" si="311"/>
        <v>1009916.844</v>
      </c>
      <c r="R499" s="124">
        <f t="shared" si="312"/>
        <v>1201801.0443600002</v>
      </c>
      <c r="S499" s="125">
        <v>1157200</v>
      </c>
      <c r="T499" s="121">
        <f t="shared" si="293"/>
        <v>219868</v>
      </c>
      <c r="U499" s="110">
        <f t="shared" si="294"/>
        <v>1377068</v>
      </c>
      <c r="V499" s="121">
        <f t="shared" si="295"/>
        <v>1157200</v>
      </c>
      <c r="W499" s="122">
        <f t="shared" si="296"/>
        <v>1377068</v>
      </c>
      <c r="X499" s="108"/>
      <c r="Y499" s="121">
        <f t="shared" si="297"/>
        <v>0</v>
      </c>
      <c r="Z499" s="121">
        <f t="shared" si="298"/>
        <v>0</v>
      </c>
      <c r="AA499" s="121">
        <f t="shared" si="299"/>
        <v>0</v>
      </c>
      <c r="AB499" s="124">
        <f t="shared" si="300"/>
        <v>0</v>
      </c>
      <c r="AC499" s="126">
        <f t="shared" si="313"/>
        <v>1037972</v>
      </c>
      <c r="AD499" s="101">
        <f t="shared" si="291"/>
        <v>778479</v>
      </c>
      <c r="AE499" s="127">
        <f t="shared" si="314"/>
        <v>88156.567813458823</v>
      </c>
      <c r="AF499" s="128">
        <f t="shared" si="301"/>
        <v>8.4931547106722363E-2</v>
      </c>
      <c r="AG499" s="129">
        <f t="shared" si="315"/>
        <v>1009917</v>
      </c>
      <c r="AH499" s="101">
        <f t="shared" si="292"/>
        <v>978358</v>
      </c>
      <c r="AI499" s="130">
        <f t="shared" si="302"/>
        <v>88156.567813458823</v>
      </c>
      <c r="AJ499" s="159">
        <f t="shared" si="303"/>
        <v>8.7290903919291216E-2</v>
      </c>
      <c r="AK499" s="290" t="s">
        <v>1034</v>
      </c>
      <c r="AL499" s="291"/>
      <c r="AM499" s="292"/>
      <c r="AN499" s="160"/>
    </row>
    <row r="500" spans="1:40" ht="60.75" thickBot="1" x14ac:dyDescent="0.3">
      <c r="A500" s="84">
        <f t="shared" si="304"/>
        <v>3</v>
      </c>
      <c r="B500" s="198">
        <v>495</v>
      </c>
      <c r="C500" s="51" t="s">
        <v>970</v>
      </c>
      <c r="D500" s="204" t="s">
        <v>1051</v>
      </c>
      <c r="E500" s="60" t="s">
        <v>975</v>
      </c>
      <c r="F500" s="17">
        <v>1</v>
      </c>
      <c r="G500" s="17"/>
      <c r="H500" s="89" t="s">
        <v>966</v>
      </c>
      <c r="I500" s="126">
        <v>8416000</v>
      </c>
      <c r="J500" s="121">
        <f t="shared" si="305"/>
        <v>1599040</v>
      </c>
      <c r="K500" s="130">
        <f t="shared" si="306"/>
        <v>10015040</v>
      </c>
      <c r="L500" s="121">
        <f t="shared" si="307"/>
        <v>8416000</v>
      </c>
      <c r="M500" s="122">
        <f t="shared" si="308"/>
        <v>10015040</v>
      </c>
      <c r="N500" s="123">
        <v>9468000</v>
      </c>
      <c r="O500" s="121">
        <f t="shared" si="309"/>
        <v>1798920</v>
      </c>
      <c r="P500" s="110">
        <f t="shared" si="310"/>
        <v>11266920</v>
      </c>
      <c r="Q500" s="121">
        <f t="shared" si="311"/>
        <v>9468000</v>
      </c>
      <c r="R500" s="124">
        <f t="shared" si="312"/>
        <v>11266920</v>
      </c>
      <c r="S500" s="125">
        <v>1052000</v>
      </c>
      <c r="T500" s="121">
        <f t="shared" si="293"/>
        <v>199880</v>
      </c>
      <c r="U500" s="110">
        <f t="shared" si="294"/>
        <v>1251880</v>
      </c>
      <c r="V500" s="121">
        <f t="shared" si="295"/>
        <v>1052000</v>
      </c>
      <c r="W500" s="122">
        <f t="shared" si="296"/>
        <v>1251880</v>
      </c>
      <c r="X500" s="108"/>
      <c r="Y500" s="121">
        <f t="shared" si="297"/>
        <v>0</v>
      </c>
      <c r="Z500" s="121">
        <f t="shared" si="298"/>
        <v>0</v>
      </c>
      <c r="AA500" s="121">
        <f t="shared" si="299"/>
        <v>0</v>
      </c>
      <c r="AB500" s="124">
        <f t="shared" si="300"/>
        <v>0</v>
      </c>
      <c r="AC500" s="126">
        <f t="shared" si="313"/>
        <v>6312000</v>
      </c>
      <c r="AD500" s="110">
        <f>AC500*F500</f>
        <v>6312000</v>
      </c>
      <c r="AE500" s="127">
        <f t="shared" si="314"/>
        <v>3744095.4403789798</v>
      </c>
      <c r="AF500" s="128">
        <f t="shared" si="301"/>
        <v>0.59317101400173955</v>
      </c>
      <c r="AG500" s="129">
        <f t="shared" si="315"/>
        <v>8416000</v>
      </c>
      <c r="AH500" s="130">
        <f>AG500*F500</f>
        <v>8416000</v>
      </c>
      <c r="AI500" s="130">
        <f t="shared" si="302"/>
        <v>3744095.4403789798</v>
      </c>
      <c r="AJ500" s="159">
        <f t="shared" si="303"/>
        <v>0.44487826050130463</v>
      </c>
      <c r="AK500" s="290" t="s">
        <v>1034</v>
      </c>
      <c r="AL500" s="291"/>
      <c r="AM500" s="292"/>
      <c r="AN500" s="160"/>
    </row>
    <row r="501" spans="1:40" ht="45.75" thickBot="1" x14ac:dyDescent="0.3">
      <c r="A501" s="84">
        <f t="shared" si="304"/>
        <v>3</v>
      </c>
      <c r="B501" s="198">
        <v>496</v>
      </c>
      <c r="C501" s="90" t="s">
        <v>980</v>
      </c>
      <c r="D501" s="206" t="s">
        <v>1048</v>
      </c>
      <c r="E501" s="91" t="s">
        <v>981</v>
      </c>
      <c r="F501" s="18">
        <v>1</v>
      </c>
      <c r="G501" s="18"/>
      <c r="H501" s="92" t="s">
        <v>376</v>
      </c>
      <c r="I501" s="150">
        <v>231440</v>
      </c>
      <c r="J501" s="144">
        <f t="shared" si="305"/>
        <v>43973.599999999999</v>
      </c>
      <c r="K501" s="145">
        <f t="shared" si="306"/>
        <v>275413.59999999998</v>
      </c>
      <c r="L501" s="144">
        <f t="shared" si="307"/>
        <v>231440</v>
      </c>
      <c r="M501" s="146">
        <f t="shared" si="308"/>
        <v>275413.59999999998</v>
      </c>
      <c r="N501" s="147">
        <v>247220</v>
      </c>
      <c r="O501" s="144">
        <f t="shared" si="309"/>
        <v>46971.8</v>
      </c>
      <c r="P501" s="148">
        <f t="shared" si="310"/>
        <v>294191.8</v>
      </c>
      <c r="Q501" s="144">
        <f t="shared" si="311"/>
        <v>247220</v>
      </c>
      <c r="R501" s="146">
        <f t="shared" si="312"/>
        <v>294191.8</v>
      </c>
      <c r="S501" s="147">
        <v>315600</v>
      </c>
      <c r="T501" s="144">
        <f t="shared" si="293"/>
        <v>59964</v>
      </c>
      <c r="U501" s="148">
        <f t="shared" si="294"/>
        <v>375564</v>
      </c>
      <c r="V501" s="144">
        <f t="shared" si="295"/>
        <v>315600</v>
      </c>
      <c r="W501" s="146">
        <f t="shared" si="296"/>
        <v>375564</v>
      </c>
      <c r="X501" s="149"/>
      <c r="Y501" s="144">
        <f t="shared" si="297"/>
        <v>0</v>
      </c>
      <c r="Z501" s="144">
        <f t="shared" si="298"/>
        <v>0</v>
      </c>
      <c r="AA501" s="144">
        <f t="shared" si="299"/>
        <v>0</v>
      </c>
      <c r="AB501" s="146">
        <f t="shared" si="300"/>
        <v>0</v>
      </c>
      <c r="AC501" s="150">
        <f t="shared" ref="AC501" si="316">+IFERROR(ROUND(AVERAGE(I501,N501,S501,X501),0),0)</f>
        <v>264753</v>
      </c>
      <c r="AD501" s="101">
        <f t="shared" si="291"/>
        <v>198565</v>
      </c>
      <c r="AE501" s="151">
        <f t="shared" si="314"/>
        <v>36526.608870186072</v>
      </c>
      <c r="AF501" s="152">
        <f t="shared" si="301"/>
        <v>0.13796485354343888</v>
      </c>
      <c r="AG501" s="153">
        <f t="shared" si="315"/>
        <v>247220</v>
      </c>
      <c r="AH501" s="101">
        <f t="shared" si="292"/>
        <v>239330</v>
      </c>
      <c r="AI501" s="145">
        <f t="shared" si="302"/>
        <v>36526.608870186072</v>
      </c>
      <c r="AJ501" s="167">
        <f t="shared" si="303"/>
        <v>0.147749408907799</v>
      </c>
      <c r="AK501" s="293" t="s">
        <v>1034</v>
      </c>
      <c r="AL501" s="294"/>
      <c r="AM501" s="295"/>
      <c r="AN501" s="169"/>
    </row>
    <row r="503" spans="1:40" ht="15.75" thickBot="1" x14ac:dyDescent="0.3"/>
    <row r="504" spans="1:40" ht="26.25" x14ac:dyDescent="0.25">
      <c r="A504" s="70" t="s">
        <v>216</v>
      </c>
      <c r="B504" s="71" t="s">
        <v>239</v>
      </c>
      <c r="C504" s="186"/>
      <c r="D504" s="186"/>
      <c r="AC504" s="288" t="s">
        <v>213</v>
      </c>
      <c r="AD504" s="289"/>
      <c r="AE504" s="72"/>
      <c r="AF504" s="73"/>
      <c r="AG504" s="288" t="s">
        <v>217</v>
      </c>
      <c r="AH504" s="289"/>
    </row>
    <row r="505" spans="1:40" ht="26.25" x14ac:dyDescent="0.25">
      <c r="A505" s="74" cm="1">
        <f t="array" ref="A505">SUMPRODUCT(LEN(A5:A501)-LEN(SUBSTITUTE(A5:A501,"0","")))</f>
        <v>0</v>
      </c>
      <c r="B505" s="74">
        <v>0</v>
      </c>
      <c r="C505" s="187">
        <f>+A505/532</f>
        <v>0</v>
      </c>
      <c r="D505" s="202"/>
      <c r="AC505" s="75" t="s">
        <v>214</v>
      </c>
      <c r="AD505" s="76" cm="1">
        <f t="array" ref="AD505">SUM(IFERROR(AD5:AD501,0))</f>
        <v>774541668</v>
      </c>
      <c r="AE505" s="72"/>
      <c r="AF505" s="73"/>
      <c r="AG505" s="75" t="s">
        <v>214</v>
      </c>
      <c r="AH505" s="188" cm="1">
        <f t="array" ref="AH505">SUM(IFERROR(AH5:AH501,0))</f>
        <v>1014030775</v>
      </c>
    </row>
    <row r="506" spans="1:40" ht="26.25" x14ac:dyDescent="0.25">
      <c r="A506" s="74" cm="1">
        <f t="array" ref="A506">SUMPRODUCT(LEN(A5:A501)-LEN(SUBSTITUTE(A5:A501,"1","")))</f>
        <v>69</v>
      </c>
      <c r="B506" s="74">
        <v>1</v>
      </c>
      <c r="C506" s="187">
        <f t="shared" ref="C506:C508" si="317">+A506/532</f>
        <v>0.12969924812030076</v>
      </c>
      <c r="D506" s="202"/>
      <c r="AC506" s="77" t="s">
        <v>215</v>
      </c>
      <c r="AD506" s="78">
        <f>AD505*0.19</f>
        <v>147162916.91999999</v>
      </c>
      <c r="AE506" s="72"/>
      <c r="AF506" s="73"/>
      <c r="AG506" s="77" t="s">
        <v>215</v>
      </c>
      <c r="AH506" s="189">
        <f>AH505*0.19</f>
        <v>192665847.25</v>
      </c>
    </row>
    <row r="507" spans="1:40" ht="26.25" x14ac:dyDescent="0.25">
      <c r="A507" s="74" cm="1">
        <f t="array" ref="A507">SUMPRODUCT(LEN(A5:A501)-LEN(SUBSTITUTE(A5:A501,"2","")))</f>
        <v>7</v>
      </c>
      <c r="B507" s="74">
        <v>2</v>
      </c>
      <c r="C507" s="187">
        <f t="shared" si="317"/>
        <v>1.3157894736842105E-2</v>
      </c>
      <c r="D507" s="202"/>
      <c r="AC507" s="79" t="s">
        <v>216</v>
      </c>
      <c r="AD507" s="80">
        <f>AD505+AD506</f>
        <v>921704584.91999996</v>
      </c>
      <c r="AE507" s="72"/>
      <c r="AF507" s="73"/>
      <c r="AG507" s="79" t="s">
        <v>216</v>
      </c>
      <c r="AH507" s="190">
        <f>AH505+AH506</f>
        <v>1206696622.25</v>
      </c>
    </row>
    <row r="508" spans="1:40" ht="15.75" x14ac:dyDescent="0.25">
      <c r="A508" s="74" cm="1">
        <f t="array" ref="A508">SUMPRODUCT(LEN(A5:A501)-LEN(SUBSTITUTE(A5:A501,"3","")))</f>
        <v>420</v>
      </c>
      <c r="B508" s="74">
        <v>3</v>
      </c>
      <c r="C508" s="187">
        <f t="shared" si="317"/>
        <v>0.78947368421052633</v>
      </c>
      <c r="D508" s="202"/>
    </row>
    <row r="509" spans="1:40" x14ac:dyDescent="0.25">
      <c r="AH509" s="213"/>
    </row>
  </sheetData>
  <mergeCells count="379">
    <mergeCell ref="A4:H4"/>
    <mergeCell ref="A100:H100"/>
    <mergeCell ref="AK226:AM226"/>
    <mergeCell ref="AK500:AM500"/>
    <mergeCell ref="AK496:AM496"/>
    <mergeCell ref="AK497:AM497"/>
    <mergeCell ref="AK331:AM331"/>
    <mergeCell ref="AK224:AM224"/>
    <mergeCell ref="AK493:AM493"/>
    <mergeCell ref="AK494:AM494"/>
    <mergeCell ref="AK495:AM495"/>
    <mergeCell ref="AK498:AM498"/>
    <mergeCell ref="AK499:AM499"/>
    <mergeCell ref="AK467:AM467"/>
    <mergeCell ref="AK468:AM468"/>
    <mergeCell ref="AK477:AM477"/>
    <mergeCell ref="AK478:AM478"/>
    <mergeCell ref="AK453:AM453"/>
    <mergeCell ref="AK454:AM454"/>
    <mergeCell ref="AK455:AM455"/>
    <mergeCell ref="AK456:AM456"/>
    <mergeCell ref="AK457:AM457"/>
    <mergeCell ref="AK458:AM458"/>
    <mergeCell ref="AK459:AM459"/>
    <mergeCell ref="AK501:AM501"/>
    <mergeCell ref="AK11:AM11"/>
    <mergeCell ref="AK7:AM7"/>
    <mergeCell ref="AK484:AM484"/>
    <mergeCell ref="AK487:AM487"/>
    <mergeCell ref="AK488:AM488"/>
    <mergeCell ref="AK489:AM489"/>
    <mergeCell ref="AK491:AM491"/>
    <mergeCell ref="AK492:AM492"/>
    <mergeCell ref="AK490:AM490"/>
    <mergeCell ref="AK469:AM469"/>
    <mergeCell ref="AK470:AM470"/>
    <mergeCell ref="AK471:AM471"/>
    <mergeCell ref="AK472:AM472"/>
    <mergeCell ref="AK473:AM473"/>
    <mergeCell ref="AK474:AM474"/>
    <mergeCell ref="AK479:AM479"/>
    <mergeCell ref="AK460:AM460"/>
    <mergeCell ref="AK461:AM461"/>
    <mergeCell ref="AK462:AM462"/>
    <mergeCell ref="AK463:AM463"/>
    <mergeCell ref="AK464:AM464"/>
    <mergeCell ref="AK465:AM465"/>
    <mergeCell ref="AK466:AM466"/>
    <mergeCell ref="AK475:AM475"/>
    <mergeCell ref="AK476:AM476"/>
    <mergeCell ref="AK444:AM444"/>
    <mergeCell ref="AK445:AM445"/>
    <mergeCell ref="AK446:AM446"/>
    <mergeCell ref="AK447:AM447"/>
    <mergeCell ref="AK448:AM448"/>
    <mergeCell ref="AK449:AM449"/>
    <mergeCell ref="AK450:AM450"/>
    <mergeCell ref="AK451:AM451"/>
    <mergeCell ref="AK452:AM452"/>
    <mergeCell ref="AK435:AM435"/>
    <mergeCell ref="AK436:AM436"/>
    <mergeCell ref="AK437:AM437"/>
    <mergeCell ref="AK438:AM438"/>
    <mergeCell ref="AK439:AM439"/>
    <mergeCell ref="AK440:AM440"/>
    <mergeCell ref="AK441:AM441"/>
    <mergeCell ref="AK442:AM442"/>
    <mergeCell ref="AK443:AM443"/>
    <mergeCell ref="AK426:AM426"/>
    <mergeCell ref="AK427:AM427"/>
    <mergeCell ref="AK428:AM428"/>
    <mergeCell ref="AK429:AM429"/>
    <mergeCell ref="AK430:AM430"/>
    <mergeCell ref="AK431:AM431"/>
    <mergeCell ref="AK432:AM432"/>
    <mergeCell ref="AK433:AM433"/>
    <mergeCell ref="AK434:AM434"/>
    <mergeCell ref="AK417:AM417"/>
    <mergeCell ref="AK418:AM418"/>
    <mergeCell ref="AK419:AM419"/>
    <mergeCell ref="AK420:AM420"/>
    <mergeCell ref="AK421:AM421"/>
    <mergeCell ref="AK422:AM422"/>
    <mergeCell ref="AK423:AM423"/>
    <mergeCell ref="AK424:AM424"/>
    <mergeCell ref="AK425:AM425"/>
    <mergeCell ref="AK408:AM408"/>
    <mergeCell ref="AK409:AM409"/>
    <mergeCell ref="AK410:AM410"/>
    <mergeCell ref="AK411:AM411"/>
    <mergeCell ref="AK412:AM412"/>
    <mergeCell ref="AK413:AM413"/>
    <mergeCell ref="AK414:AM414"/>
    <mergeCell ref="AK415:AM415"/>
    <mergeCell ref="AK416:AM416"/>
    <mergeCell ref="AK399:AM399"/>
    <mergeCell ref="AK400:AM400"/>
    <mergeCell ref="AK401:AM401"/>
    <mergeCell ref="AK402:AM402"/>
    <mergeCell ref="AK403:AM403"/>
    <mergeCell ref="AK404:AM404"/>
    <mergeCell ref="AK405:AM405"/>
    <mergeCell ref="AK406:AM406"/>
    <mergeCell ref="AK407:AM407"/>
    <mergeCell ref="AK390:AM390"/>
    <mergeCell ref="AK391:AM391"/>
    <mergeCell ref="AK392:AM392"/>
    <mergeCell ref="AK393:AM393"/>
    <mergeCell ref="AK394:AM394"/>
    <mergeCell ref="AK395:AM395"/>
    <mergeCell ref="AK396:AM396"/>
    <mergeCell ref="AK397:AM397"/>
    <mergeCell ref="AK398:AM398"/>
    <mergeCell ref="AK381:AM381"/>
    <mergeCell ref="AK382:AM382"/>
    <mergeCell ref="AK383:AM383"/>
    <mergeCell ref="AK384:AM384"/>
    <mergeCell ref="AK385:AM385"/>
    <mergeCell ref="AK386:AM386"/>
    <mergeCell ref="AK387:AM387"/>
    <mergeCell ref="AK388:AM388"/>
    <mergeCell ref="AK389:AM389"/>
    <mergeCell ref="AK372:AM372"/>
    <mergeCell ref="AK373:AM373"/>
    <mergeCell ref="AK374:AM374"/>
    <mergeCell ref="AK375:AM375"/>
    <mergeCell ref="AK376:AM376"/>
    <mergeCell ref="AK377:AM377"/>
    <mergeCell ref="AK378:AM378"/>
    <mergeCell ref="AK379:AM379"/>
    <mergeCell ref="AK380:AM380"/>
    <mergeCell ref="AK363:AM363"/>
    <mergeCell ref="AK364:AM364"/>
    <mergeCell ref="AK365:AM365"/>
    <mergeCell ref="AK366:AM366"/>
    <mergeCell ref="AK367:AM367"/>
    <mergeCell ref="AK368:AM368"/>
    <mergeCell ref="AK369:AM369"/>
    <mergeCell ref="AK370:AM370"/>
    <mergeCell ref="AK371:AM371"/>
    <mergeCell ref="AK354:AM354"/>
    <mergeCell ref="AK355:AM355"/>
    <mergeCell ref="AK356:AM356"/>
    <mergeCell ref="AK357:AM357"/>
    <mergeCell ref="AK358:AM358"/>
    <mergeCell ref="AK359:AM359"/>
    <mergeCell ref="AK360:AM360"/>
    <mergeCell ref="AK361:AM361"/>
    <mergeCell ref="AK362:AM362"/>
    <mergeCell ref="AK345:AM345"/>
    <mergeCell ref="AK346:AM346"/>
    <mergeCell ref="AK347:AM347"/>
    <mergeCell ref="AK348:AM348"/>
    <mergeCell ref="AK349:AM349"/>
    <mergeCell ref="AK350:AM350"/>
    <mergeCell ref="AK351:AM351"/>
    <mergeCell ref="AK352:AM352"/>
    <mergeCell ref="AK353:AM353"/>
    <mergeCell ref="AK336:AM336"/>
    <mergeCell ref="AK337:AM337"/>
    <mergeCell ref="AK338:AM338"/>
    <mergeCell ref="AK339:AM339"/>
    <mergeCell ref="AK340:AM340"/>
    <mergeCell ref="AK341:AM341"/>
    <mergeCell ref="AK342:AM342"/>
    <mergeCell ref="AK343:AM343"/>
    <mergeCell ref="AK344:AM344"/>
    <mergeCell ref="AK328:AM328"/>
    <mergeCell ref="AK329:AM329"/>
    <mergeCell ref="AK330:AM330"/>
    <mergeCell ref="AK332:AM332"/>
    <mergeCell ref="AK333:AM333"/>
    <mergeCell ref="AK334:AM334"/>
    <mergeCell ref="AK335:AM335"/>
    <mergeCell ref="AK321:AM321"/>
    <mergeCell ref="AK322:AM322"/>
    <mergeCell ref="AK323:AM323"/>
    <mergeCell ref="AK324:AM324"/>
    <mergeCell ref="AK325:AM325"/>
    <mergeCell ref="AK326:AM326"/>
    <mergeCell ref="AK327:AM327"/>
    <mergeCell ref="AK316:AM316"/>
    <mergeCell ref="AK317:AM317"/>
    <mergeCell ref="AK318:AM318"/>
    <mergeCell ref="AK319:AM319"/>
    <mergeCell ref="AK320:AM320"/>
    <mergeCell ref="AK307:AM307"/>
    <mergeCell ref="AK308:AM308"/>
    <mergeCell ref="AK309:AM309"/>
    <mergeCell ref="AK310:AM310"/>
    <mergeCell ref="AK311:AM311"/>
    <mergeCell ref="AK312:AM312"/>
    <mergeCell ref="AK313:AM313"/>
    <mergeCell ref="AK314:AM314"/>
    <mergeCell ref="AK315:AM315"/>
    <mergeCell ref="AK298:AM298"/>
    <mergeCell ref="AK299:AM299"/>
    <mergeCell ref="AK300:AM300"/>
    <mergeCell ref="AK301:AM301"/>
    <mergeCell ref="AK302:AM302"/>
    <mergeCell ref="AK303:AM303"/>
    <mergeCell ref="AK304:AM304"/>
    <mergeCell ref="AK305:AM305"/>
    <mergeCell ref="AK306:AM306"/>
    <mergeCell ref="AK289:AM289"/>
    <mergeCell ref="AK290:AM290"/>
    <mergeCell ref="AK291:AM291"/>
    <mergeCell ref="AK292:AM292"/>
    <mergeCell ref="AK293:AM293"/>
    <mergeCell ref="AK294:AM294"/>
    <mergeCell ref="AK295:AM295"/>
    <mergeCell ref="AK296:AM296"/>
    <mergeCell ref="AK297:AM297"/>
    <mergeCell ref="AK480:AM480"/>
    <mergeCell ref="AK481:AM481"/>
    <mergeCell ref="AK482:AM482"/>
    <mergeCell ref="AK483:AM483"/>
    <mergeCell ref="AK485:AM485"/>
    <mergeCell ref="AK486:AM486"/>
    <mergeCell ref="AK271:AM271"/>
    <mergeCell ref="AK272:AM272"/>
    <mergeCell ref="AK273:AM273"/>
    <mergeCell ref="AK274:AM274"/>
    <mergeCell ref="AK275:AM275"/>
    <mergeCell ref="AK276:AM276"/>
    <mergeCell ref="AK277:AM277"/>
    <mergeCell ref="AK278:AM278"/>
    <mergeCell ref="AK279:AM279"/>
    <mergeCell ref="AK280:AM280"/>
    <mergeCell ref="AK281:AM281"/>
    <mergeCell ref="AK282:AM282"/>
    <mergeCell ref="AK283:AM283"/>
    <mergeCell ref="AK284:AM284"/>
    <mergeCell ref="AK285:AM285"/>
    <mergeCell ref="AK286:AM286"/>
    <mergeCell ref="AK287:AM287"/>
    <mergeCell ref="AK288:AM288"/>
    <mergeCell ref="AK270:AM270"/>
    <mergeCell ref="AK257:AM257"/>
    <mergeCell ref="AK265:AM265"/>
    <mergeCell ref="AK266:AM266"/>
    <mergeCell ref="AK267:AM267"/>
    <mergeCell ref="AK268:AM268"/>
    <mergeCell ref="AK269:AM269"/>
    <mergeCell ref="AK260:AM260"/>
    <mergeCell ref="AK261:AM261"/>
    <mergeCell ref="AK262:AM262"/>
    <mergeCell ref="AK263:AM263"/>
    <mergeCell ref="AK264:AM264"/>
    <mergeCell ref="AK252:AM252"/>
    <mergeCell ref="AK258:AM258"/>
    <mergeCell ref="AK259:AM259"/>
    <mergeCell ref="AK232:AM232"/>
    <mergeCell ref="AK233:AM233"/>
    <mergeCell ref="AK234:AM234"/>
    <mergeCell ref="AK235:AM235"/>
    <mergeCell ref="AK225:AM225"/>
    <mergeCell ref="AK227:AM227"/>
    <mergeCell ref="AK228:AM228"/>
    <mergeCell ref="AK231:AM231"/>
    <mergeCell ref="AK256:AM256"/>
    <mergeCell ref="AK220:AM220"/>
    <mergeCell ref="AK221:AM221"/>
    <mergeCell ref="AK222:AM222"/>
    <mergeCell ref="AK223:AM223"/>
    <mergeCell ref="AK215:AM215"/>
    <mergeCell ref="AK216:AM216"/>
    <mergeCell ref="AK217:AM217"/>
    <mergeCell ref="AK218:AM218"/>
    <mergeCell ref="AK219:AM219"/>
    <mergeCell ref="AK208:AM208"/>
    <mergeCell ref="AK209:AM209"/>
    <mergeCell ref="AK212:AM212"/>
    <mergeCell ref="AK213:AM213"/>
    <mergeCell ref="AK214:AM214"/>
    <mergeCell ref="AK203:AM203"/>
    <mergeCell ref="AK204:AM204"/>
    <mergeCell ref="AK205:AM205"/>
    <mergeCell ref="AK206:AM206"/>
    <mergeCell ref="AK207:AM207"/>
    <mergeCell ref="AK196:AM196"/>
    <mergeCell ref="AK197:AM197"/>
    <mergeCell ref="AK200:AM200"/>
    <mergeCell ref="AK201:AM201"/>
    <mergeCell ref="AK202:AM202"/>
    <mergeCell ref="AK191:AM191"/>
    <mergeCell ref="AK192:AM192"/>
    <mergeCell ref="AK193:AM193"/>
    <mergeCell ref="AK194:AM194"/>
    <mergeCell ref="AK195:AM195"/>
    <mergeCell ref="AK186:AM186"/>
    <mergeCell ref="AK187:AM187"/>
    <mergeCell ref="AK188:AM188"/>
    <mergeCell ref="AK189:AM189"/>
    <mergeCell ref="AK190:AM190"/>
    <mergeCell ref="AK181:AM181"/>
    <mergeCell ref="AK182:AM182"/>
    <mergeCell ref="AK183:AM183"/>
    <mergeCell ref="AK184:AM184"/>
    <mergeCell ref="AK185:AM185"/>
    <mergeCell ref="AK176:AM176"/>
    <mergeCell ref="AK177:AM177"/>
    <mergeCell ref="AK178:AM178"/>
    <mergeCell ref="AK179:AM179"/>
    <mergeCell ref="AK180:AM180"/>
    <mergeCell ref="AK172:AM172"/>
    <mergeCell ref="AK173:AM173"/>
    <mergeCell ref="AK174:AM174"/>
    <mergeCell ref="AK175:AM175"/>
    <mergeCell ref="AK167:AM167"/>
    <mergeCell ref="AK168:AM168"/>
    <mergeCell ref="AK170:AM170"/>
    <mergeCell ref="AK171:AM171"/>
    <mergeCell ref="AK161:AM161"/>
    <mergeCell ref="AK162:AM162"/>
    <mergeCell ref="AK163:AM163"/>
    <mergeCell ref="AK164:AM164"/>
    <mergeCell ref="AK151:AM151"/>
    <mergeCell ref="AK152:AM152"/>
    <mergeCell ref="AK153:AM153"/>
    <mergeCell ref="AK158:AM158"/>
    <mergeCell ref="AK159:AM159"/>
    <mergeCell ref="AK160:AM160"/>
    <mergeCell ref="AK146:AM146"/>
    <mergeCell ref="AK147:AM147"/>
    <mergeCell ref="AK148:AM148"/>
    <mergeCell ref="AK149:AM149"/>
    <mergeCell ref="AK150:AM150"/>
    <mergeCell ref="AK154:AM154"/>
    <mergeCell ref="AK155:AM155"/>
    <mergeCell ref="AK156:AM156"/>
    <mergeCell ref="AK157:AM157"/>
    <mergeCell ref="AK138:AM138"/>
    <mergeCell ref="AK142:AM142"/>
    <mergeCell ref="AK143:AM143"/>
    <mergeCell ref="AK144:AM144"/>
    <mergeCell ref="AK145:AM145"/>
    <mergeCell ref="AK133:AM133"/>
    <mergeCell ref="AK134:AM134"/>
    <mergeCell ref="AK135:AM135"/>
    <mergeCell ref="AK136:AM136"/>
    <mergeCell ref="AK137:AM137"/>
    <mergeCell ref="AK131:AM131"/>
    <mergeCell ref="AK126:AM126"/>
    <mergeCell ref="AK127:AM127"/>
    <mergeCell ref="AK128:AM128"/>
    <mergeCell ref="AK129:AM129"/>
    <mergeCell ref="AK122:AM122"/>
    <mergeCell ref="AK125:AM125"/>
    <mergeCell ref="AK114:AM114"/>
    <mergeCell ref="AK115:AM115"/>
    <mergeCell ref="AK116:AM116"/>
    <mergeCell ref="AK117:AM117"/>
    <mergeCell ref="AK118:AM118"/>
    <mergeCell ref="AK130:AM130"/>
    <mergeCell ref="D2:D3"/>
    <mergeCell ref="AN2:AN3"/>
    <mergeCell ref="H2:H3"/>
    <mergeCell ref="A2:A3"/>
    <mergeCell ref="B2:B3"/>
    <mergeCell ref="C2:C3"/>
    <mergeCell ref="E2:E3"/>
    <mergeCell ref="F2:F3"/>
    <mergeCell ref="AC504:AD504"/>
    <mergeCell ref="AG504:AH504"/>
    <mergeCell ref="AK101:AM101"/>
    <mergeCell ref="AK102:AM102"/>
    <mergeCell ref="AK103:AM103"/>
    <mergeCell ref="AK104:AM104"/>
    <mergeCell ref="AK105:AM105"/>
    <mergeCell ref="AK106:AM106"/>
    <mergeCell ref="AK107:AM107"/>
    <mergeCell ref="AK108:AM108"/>
    <mergeCell ref="AK109:AM109"/>
    <mergeCell ref="AK110:AM110"/>
    <mergeCell ref="AK112:AM112"/>
    <mergeCell ref="AK113:AM113"/>
    <mergeCell ref="AK119:AM119"/>
    <mergeCell ref="AK121:AM121"/>
  </mergeCells>
  <phoneticPr fontId="20" type="noConversion"/>
  <conditionalFormatting sqref="AF3:AF4">
    <cfRule type="cellIs" dxfId="1" priority="2" operator="greaterThan">
      <formula>0.2</formula>
    </cfRule>
  </conditionalFormatting>
  <conditionalFormatting sqref="AJ3:AJ4">
    <cfRule type="cellIs" dxfId="0" priority="1" operator="greaterThan">
      <formula>0.2</formula>
    </cfRule>
  </conditionalFormatting>
  <pageMargins left="0.7" right="0.7" top="0.75" bottom="0.75" header="0.3" footer="0.3"/>
  <pageSetup scale="16" orientation="portrait" r:id="rId1"/>
  <ignoredErrors>
    <ignoredError sqref="T98 O98" formula="1"/>
    <ignoredError sqref="I126:I131 N126:N131 I163:I164 I252 I258:I270 N258:N270 S258:S270 I132:I153 N132:N153 I165:I166"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C48C5-13DA-449A-865B-2D0F2C62B034}">
  <dimension ref="E4:L15"/>
  <sheetViews>
    <sheetView zoomScale="80" zoomScaleNormal="80" workbookViewId="0">
      <selection activeCell="F8" sqref="F8"/>
    </sheetView>
  </sheetViews>
  <sheetFormatPr baseColWidth="10" defaultRowHeight="15.75" x14ac:dyDescent="0.25"/>
  <cols>
    <col min="5" max="5" width="16" customWidth="1"/>
    <col min="6" max="6" width="22.625" customWidth="1"/>
    <col min="8" max="8" width="14.625" customWidth="1"/>
    <col min="9" max="9" width="25.625" customWidth="1"/>
    <col min="11" max="11" width="21.375" customWidth="1"/>
    <col min="12" max="12" width="11.625" bestFit="1" customWidth="1"/>
  </cols>
  <sheetData>
    <row r="4" spans="5:12" x14ac:dyDescent="0.25">
      <c r="F4" s="211"/>
      <c r="I4" s="200"/>
    </row>
    <row r="6" spans="5:12" x14ac:dyDescent="0.25">
      <c r="E6" s="303" t="s">
        <v>1041</v>
      </c>
      <c r="F6" s="303"/>
      <c r="H6" s="303" t="s">
        <v>1078</v>
      </c>
      <c r="I6" s="303"/>
    </row>
    <row r="7" spans="5:12" x14ac:dyDescent="0.25">
      <c r="E7" s="199" t="s">
        <v>1038</v>
      </c>
      <c r="F7" s="211">
        <v>49498538</v>
      </c>
      <c r="H7" s="199" t="s">
        <v>1038</v>
      </c>
      <c r="I7" s="211">
        <v>725043130</v>
      </c>
      <c r="K7" s="211"/>
    </row>
    <row r="8" spans="5:12" x14ac:dyDescent="0.25">
      <c r="E8" s="199" t="s">
        <v>1039</v>
      </c>
      <c r="F8" s="200">
        <f>+F7*19%</f>
        <v>9404722.2200000007</v>
      </c>
      <c r="H8" s="199" t="s">
        <v>1039</v>
      </c>
      <c r="I8" s="200">
        <f>+I7*19%</f>
        <v>137758194.69999999</v>
      </c>
      <c r="K8" s="200"/>
    </row>
    <row r="9" spans="5:12" x14ac:dyDescent="0.25">
      <c r="E9" s="199" t="s">
        <v>1040</v>
      </c>
      <c r="F9" s="201">
        <f>SUM(F7:F8)</f>
        <v>58903260.219999999</v>
      </c>
      <c r="H9" s="199" t="s">
        <v>1040</v>
      </c>
      <c r="I9" s="201">
        <f>SUM(I7:I8)</f>
        <v>862801324.70000005</v>
      </c>
      <c r="K9" s="212"/>
    </row>
    <row r="12" spans="5:12" x14ac:dyDescent="0.25">
      <c r="F12" s="210">
        <f>+F9+I9</f>
        <v>921704584.92000008</v>
      </c>
    </row>
    <row r="13" spans="5:12" x14ac:dyDescent="0.25">
      <c r="L13" s="212"/>
    </row>
    <row r="14" spans="5:12" x14ac:dyDescent="0.25">
      <c r="I14" s="212"/>
    </row>
    <row r="15" spans="5:12" x14ac:dyDescent="0.25">
      <c r="F15" s="212"/>
    </row>
  </sheetData>
  <mergeCells count="2">
    <mergeCell ref="E6:F6"/>
    <mergeCell ref="H6:I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INICIO</vt:lpstr>
      <vt:lpstr>ESP TÉC</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RAFAEL ENRIQUE ROMERO PAYARES</cp:lastModifiedBy>
  <cp:lastPrinted>2025-09-16T17:03:31Z</cp:lastPrinted>
  <dcterms:created xsi:type="dcterms:W3CDTF">2022-06-01T16:02:37Z</dcterms:created>
  <dcterms:modified xsi:type="dcterms:W3CDTF">2025-11-11T03:36:07Z</dcterms:modified>
</cp:coreProperties>
</file>