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S\PROCESOS DE CONTRATACION 2025\1. INDICADORES FINANCIEROS\35. - MTO Y OBRAS COMPLEMENTARIAS APTO DE CUCUTA\NUEVOS INDICADORES\"/>
    </mc:Choice>
  </mc:AlternateContent>
  <xr:revisionPtr revIDLastSave="0" documentId="13_ncr:1_{4919460E-21B9-4928-A600-ACE658BCD1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 2" sheetId="5" r:id="rId1"/>
    <sheet name="Hoja1" sheetId="3" r:id="rId2"/>
  </sheets>
  <definedNames>
    <definedName name="_xlnm._FilterDatabase" localSheetId="0" hidden="1">'Hoja 2'!$A$19:$J$483</definedName>
    <definedName name="_xlnm.Print_Area" localSheetId="0">'Hoja 2'!$Q$8:$S$156</definedName>
    <definedName name="_xlnm.Print_Titles" localSheetId="0">'Hoja 2'!$19:$19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95" i="5" l="1"/>
  <c r="E610" i="5"/>
  <c r="F623" i="5"/>
  <c r="F626" i="5" s="1"/>
  <c r="E16" i="5"/>
  <c r="L483" i="5"/>
  <c r="L485" i="5" s="1"/>
  <c r="F529" i="5"/>
  <c r="R4" i="5"/>
  <c r="E636" i="5"/>
  <c r="E637" i="5" s="1"/>
  <c r="F635" i="5"/>
  <c r="F11" i="5" s="1"/>
  <c r="G600" i="5"/>
  <c r="G599" i="5"/>
  <c r="E599" i="5"/>
  <c r="L151" i="5" l="1"/>
  <c r="R3" i="5"/>
  <c r="L152" i="5" l="1"/>
  <c r="L153" i="5" s="1"/>
  <c r="C584" i="5" l="1"/>
  <c r="C583" i="5"/>
  <c r="C582" i="5"/>
  <c r="C581" i="5"/>
  <c r="C580" i="5"/>
  <c r="C579" i="5"/>
  <c r="C578" i="5"/>
  <c r="C570" i="5"/>
  <c r="C569" i="5"/>
  <c r="C568" i="5"/>
  <c r="C567" i="5"/>
  <c r="C566" i="5"/>
  <c r="C565" i="5"/>
  <c r="C564" i="5"/>
  <c r="C556" i="5"/>
  <c r="C555" i="5"/>
  <c r="C554" i="5"/>
  <c r="C553" i="5"/>
  <c r="C552" i="5"/>
  <c r="C551" i="5"/>
  <c r="C550" i="5"/>
  <c r="C541" i="5"/>
  <c r="C540" i="5"/>
  <c r="C539" i="5"/>
  <c r="C538" i="5"/>
  <c r="C537" i="5"/>
  <c r="C528" i="5"/>
  <c r="C527" i="5"/>
  <c r="C526" i="5"/>
  <c r="C525" i="5"/>
  <c r="C524" i="5"/>
  <c r="C523" i="5"/>
  <c r="C522" i="5"/>
  <c r="C513" i="5"/>
  <c r="C512" i="5"/>
  <c r="C511" i="5"/>
  <c r="C503" i="5"/>
  <c r="C502" i="5"/>
  <c r="C501" i="5"/>
  <c r="C500" i="5"/>
  <c r="C499" i="5"/>
  <c r="D499" i="5" s="1"/>
  <c r="C498" i="5"/>
  <c r="D498" i="5" s="1"/>
  <c r="C497" i="5"/>
  <c r="C496" i="5"/>
  <c r="J490" i="5"/>
  <c r="I490" i="5"/>
  <c r="H490" i="5"/>
  <c r="G490" i="5"/>
  <c r="F490" i="5"/>
  <c r="E490" i="5"/>
  <c r="D490" i="5"/>
  <c r="J489" i="5"/>
  <c r="I489" i="5"/>
  <c r="H489" i="5"/>
  <c r="G489" i="5"/>
  <c r="F489" i="5"/>
  <c r="E489" i="5"/>
  <c r="D489" i="5"/>
  <c r="J488" i="5"/>
  <c r="I488" i="5"/>
  <c r="H488" i="5"/>
  <c r="G488" i="5"/>
  <c r="F488" i="5"/>
  <c r="E488" i="5"/>
  <c r="D488" i="5"/>
  <c r="J487" i="5"/>
  <c r="I487" i="5"/>
  <c r="H487" i="5"/>
  <c r="G487" i="5"/>
  <c r="F487" i="5"/>
  <c r="E487" i="5"/>
  <c r="D487" i="5"/>
  <c r="B485" i="5"/>
  <c r="H600" i="5" l="1"/>
  <c r="I600" i="5"/>
  <c r="J595" i="5"/>
  <c r="I595" i="5"/>
  <c r="H595" i="5"/>
  <c r="D600" i="5"/>
  <c r="D595" i="5"/>
  <c r="E600" i="5"/>
  <c r="D526" i="5"/>
  <c r="D522" i="5"/>
  <c r="J600" i="5"/>
  <c r="D553" i="5"/>
  <c r="D556" i="5"/>
  <c r="D583" i="5"/>
  <c r="D540" i="5"/>
  <c r="D565" i="5"/>
  <c r="D584" i="5"/>
  <c r="D566" i="5"/>
  <c r="D541" i="5"/>
  <c r="D570" i="5"/>
  <c r="C504" i="5"/>
  <c r="D523" i="5"/>
  <c r="D550" i="5"/>
  <c r="D567" i="5"/>
  <c r="D497" i="5"/>
  <c r="D524" i="5"/>
  <c r="C557" i="5"/>
  <c r="D568" i="5"/>
  <c r="F595" i="5"/>
  <c r="D525" i="5"/>
  <c r="D552" i="5"/>
  <c r="D569" i="5"/>
  <c r="D500" i="5"/>
  <c r="D527" i="5"/>
  <c r="C585" i="5"/>
  <c r="D501" i="5"/>
  <c r="D528" i="5"/>
  <c r="D554" i="5"/>
  <c r="D579" i="5"/>
  <c r="D502" i="5"/>
  <c r="D537" i="5"/>
  <c r="D555" i="5"/>
  <c r="D580" i="5"/>
  <c r="D503" i="5"/>
  <c r="D581" i="5"/>
  <c r="D582" i="5"/>
  <c r="D512" i="5"/>
  <c r="D538" i="5"/>
  <c r="D511" i="5"/>
  <c r="D539" i="5"/>
  <c r="C571" i="5"/>
  <c r="D513" i="5"/>
  <c r="D551" i="5"/>
  <c r="D564" i="5"/>
  <c r="C514" i="5"/>
  <c r="D496" i="5"/>
  <c r="D578" i="5"/>
  <c r="F600" i="5"/>
  <c r="C529" i="5"/>
  <c r="C542" i="5"/>
  <c r="D585" i="5" l="1"/>
  <c r="D571" i="5"/>
  <c r="D504" i="5"/>
  <c r="D529" i="5"/>
  <c r="D542" i="5"/>
  <c r="D514" i="5"/>
  <c r="D557" i="5"/>
</calcChain>
</file>

<file path=xl/sharedStrings.xml><?xml version="1.0" encoding="utf-8"?>
<sst xmlns="http://schemas.openxmlformats.org/spreadsheetml/2006/main" count="1144" uniqueCount="612">
  <si>
    <t>DIRECCIÓN FINANCIERA</t>
  </si>
  <si>
    <t>ANÁLISIS DE SECTOR – INFORMACIÓN FINANCIERA</t>
  </si>
  <si>
    <t>PROCESOS DE CONTRATACIÓN</t>
  </si>
  <si>
    <t>OBJETO:</t>
  </si>
  <si>
    <t>MODALIDAD:</t>
  </si>
  <si>
    <t>RECOMENDACIÓN SUGERIDA INICIAL:</t>
  </si>
  <si>
    <t>Presupuesto del 
Proceso ($)</t>
  </si>
  <si>
    <t>Plazo de ejecución (meses)</t>
  </si>
  <si>
    <t>ANÁLISIS DEL SECTOR</t>
  </si>
  <si>
    <t>Fuente de Información: PIE (Portal de Información Empresarial) - Superintendencia de Sociedades</t>
  </si>
  <si>
    <t>Clasificación Internacional Industrial Uniforme (CIIU) Versión 4.</t>
  </si>
  <si>
    <t>Valores Expresados en Miles de $</t>
  </si>
  <si>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</si>
  <si>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</si>
  <si>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</si>
  <si>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</si>
  <si>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</si>
  <si>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</si>
  <si>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</si>
  <si>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</si>
  <si>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</si>
  <si>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</si>
  <si>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F4290 - Construcción de otras obras de ingeniería civil</t>
  </si>
  <si>
    <t>F4210 - Construcción de carreteras y vías de ferrocarril</t>
  </si>
  <si>
    <t>CANTIDAD DE EMPRESAS IDENTIFICADAS COMO MUESTRA PARA EL ANALISIS:</t>
  </si>
  <si>
    <t>1. CÁLCULO 
ESTADÍSTICO</t>
  </si>
  <si>
    <t>PROMEDIO</t>
  </si>
  <si>
    <t>DES. ESTANDAR</t>
  </si>
  <si>
    <t>MINIMO</t>
  </si>
  <si>
    <t>MAXIMO</t>
  </si>
  <si>
    <t>2. COMPORTAMIENTO DE LOS ÍNDICES EN LA MUESTRA DEL SECTOR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</si>
  <si>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</si>
  <si>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RANGO</t>
  </si>
  <si>
    <t>CANTIDAD DE EMPRESAS</t>
  </si>
  <si>
    <t>0 - 1,1</t>
  </si>
  <si>
    <t>1,2 - 2</t>
  </si>
  <si>
    <t>2,1 - 5</t>
  </si>
  <si>
    <t>5,1 - 10</t>
  </si>
  <si>
    <t>10,1 - 20</t>
  </si>
  <si>
    <t>20,1 - 30</t>
  </si>
  <si>
    <t>30,1 - 50</t>
  </si>
  <si>
    <t>&gt; 50</t>
  </si>
  <si>
    <t>TOTAL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</si>
  <si>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</si>
  <si>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>&lt; 0</t>
  </si>
  <si>
    <t xml:space="preserve"> = 0</t>
  </si>
  <si>
    <t>&gt; 0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</si>
  <si>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</si>
  <si>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</si>
  <si>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</si>
  <si>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</si>
  <si>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</si>
  <si>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</si>
  <si>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</si>
  <si>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</si>
  <si>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D) Patrimonio = Activo total - Pasivo total.
Mide la cantidad de recursos propios del proponente.</t>
  </si>
  <si>
    <t>0 - $10m</t>
  </si>
  <si>
    <t>$10m - $100m</t>
  </si>
  <si>
    <t>&gt; $100m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</si>
  <si>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</si>
  <si>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Gastos de intereses = 0</t>
  </si>
  <si>
    <t>0 - 1</t>
  </si>
  <si>
    <t>1,1 - 2</t>
  </si>
  <si>
    <t>2,1 - 4</t>
  </si>
  <si>
    <t>4,1 - 6</t>
  </si>
  <si>
    <t>&gt; 6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</si>
  <si>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</si>
  <si>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2,1 - 3</t>
  </si>
  <si>
    <t>3,1 - 4</t>
  </si>
  <si>
    <t>&gt; 4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</si>
  <si>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</si>
  <si>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0 - 2</t>
  </si>
  <si>
    <t>6,1 - 8</t>
  </si>
  <si>
    <t>&gt; 8</t>
  </si>
  <si>
    <t>3. ANALISIS DEL SECTOR DE ACUERDO CON LOS PROCESOS REALIZADOS POR OTRAS ENTIDADES PÚBLICAS O EN LA AEROCIVIL EN VIG ANT. DE LA MISMA NATURALEZA DEL OBJETO CONTRACTUAL DEL PRESENTO PROCESO.</t>
  </si>
  <si>
    <t>ENTIDAD Y AÑO</t>
  </si>
  <si>
    <t>OBJETO</t>
  </si>
  <si>
    <r>
      <t xml:space="preserve">LIQUIDEZ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</si>
  <si>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</si>
  <si>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</si>
  <si>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</si>
  <si>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</si>
  <si>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</si>
  <si>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t>VALOR</t>
  </si>
  <si>
    <t>4. CONCLUSIONES</t>
  </si>
  <si>
    <t>CRITERIOS RECOMENDADOS:</t>
  </si>
  <si>
    <t>MAYOR O IGUAL A 
1 VECES</t>
  </si>
  <si>
    <t>% DE LA MUESTRA QUE CUMPLE EL CRITERIO</t>
  </si>
  <si>
    <t>Elaboró:</t>
  </si>
  <si>
    <t>Henry Oviedo Gongora - Contratista Dirección Financiera</t>
  </si>
  <si>
    <t>Aprobó:</t>
  </si>
  <si>
    <t>2, Índices de capacidad financiera y organizacionales para los demás Proponentes</t>
  </si>
  <si>
    <t>,</t>
  </si>
  <si>
    <t>F4312 - Preparación del terreno</t>
  </si>
  <si>
    <t>Plazo estimado de ejecucion del proceso de selección</t>
  </si>
  <si>
    <t>Meses de apalancamiento</t>
  </si>
  <si>
    <t>Indicador</t>
  </si>
  <si>
    <t>Valor concertado</t>
  </si>
  <si>
    <t>Rango 1</t>
  </si>
  <si>
    <t>Indice de Liquidez</t>
  </si>
  <si>
    <t>Indice de endeudamiento</t>
  </si>
  <si>
    <t>Razon de cobertura de interses</t>
  </si>
  <si>
    <t>Capital de Trabajo</t>
  </si>
  <si>
    <t>Patrimonio (ver nota 1</t>
  </si>
  <si>
    <t>Rentabilidad de Patrimonio</t>
  </si>
  <si>
    <t>&gt;= 1,2</t>
  </si>
  <si>
    <t>&gt;= 1,3</t>
  </si>
  <si>
    <t>&gt;= 70%</t>
  </si>
  <si>
    <t>&gt;= 75%</t>
  </si>
  <si>
    <t>&gt;= 1</t>
  </si>
  <si>
    <t>&gt;= 0,5</t>
  </si>
  <si>
    <t>&gt;=  2%</t>
  </si>
  <si>
    <t>&gt;=  3%</t>
  </si>
  <si>
    <t>Indices de capacidad financiera y organizacionales para Mipym</t>
  </si>
  <si>
    <t>Rentabilidad del activio</t>
  </si>
  <si>
    <t>&gt;=  1%</t>
  </si>
  <si>
    <t xml:space="preserve">Índices de capacidad financiera y organizacionales para los demás Proponentes
</t>
  </si>
  <si>
    <t>&gt;=  4%</t>
  </si>
  <si>
    <t>&gt;=  5%</t>
  </si>
  <si>
    <t>ver Formula</t>
  </si>
  <si>
    <t>RANGO 1</t>
  </si>
  <si>
    <t>Rango 2</t>
  </si>
  <si>
    <t xml:space="preserve">Rango 2 </t>
  </si>
  <si>
    <t>MAYOR O IGUAL A 
2%</t>
  </si>
  <si>
    <t>MAYOR O IGUAL A 
1,3 VECES</t>
  </si>
  <si>
    <t>Mipyme</t>
  </si>
  <si>
    <r>
      <t xml:space="preserve">Con relación a las empresas que acrediten su condición de Mipyme, el Patrimonio solicitado (requerido) </t>
    </r>
    <r>
      <rPr>
        <sz val="10"/>
        <rFont val="Arial"/>
        <family val="2"/>
      </rPr>
      <t>se hará de acuerdo con la siguiente fórmula:</t>
    </r>
  </si>
  <si>
    <t xml:space="preserve">ANTICIPO </t>
  </si>
  <si>
    <t>PRESUPUESTO</t>
  </si>
  <si>
    <t>REALIZAR EL MEJORAMIENTO DE LA PISTA 03-21, ZONAS DE SEGURIDAD, OBRAS COMPLEMENTARIAS Y MANTO. DE LA INFRAESTRUCTURA AEROPORTUARIA LADO AIRE INCLUYE ROCERIA Y CANALES, DEL AEROPUERTO CAMILO DAZA DE CÚCUTA (VF)</t>
  </si>
  <si>
    <t>Patrimonio:
  (N/A)</t>
  </si>
  <si>
    <t>RANGO 2</t>
  </si>
  <si>
    <t>INDICADORES FINANCIEROS PARA MIPYMES RANGO 2</t>
  </si>
  <si>
    <t>INDICADORES FINANCIEROS PARA OTROS PROPONENTES RANGO 2</t>
  </si>
  <si>
    <t>MAYOR O IGUAL A 
1,4 VECES</t>
  </si>
  <si>
    <t>MENOR O IGUAL A 
75%</t>
  </si>
  <si>
    <t>N/A</t>
  </si>
  <si>
    <t>MAYOR O IGUAL A 
3%</t>
  </si>
  <si>
    <t>MAYOR O IGUAL A 
0,5 VECES</t>
  </si>
  <si>
    <t>MAYOR O IGUAL A 
5%</t>
  </si>
  <si>
    <t>Luis Alfonso Martinez Chimenty  -  Director Financiero</t>
  </si>
  <si>
    <t>BATEMAN INGENIERIA SAS</t>
  </si>
  <si>
    <t>M7112 - Actividades de ingeniería y otras actividades conexas de consultoría técnica</t>
  </si>
  <si>
    <t>INGENIERIA ESPECIALIZADA S.A.</t>
  </si>
  <si>
    <t>INGENIERIA Y TELEMATICA G&amp;C SAS</t>
  </si>
  <si>
    <t>COTEL SAS</t>
  </si>
  <si>
    <t>HACE INGENIEROS SAS</t>
  </si>
  <si>
    <t>M7111 - Actividades de arquitectura</t>
  </si>
  <si>
    <t>servicios de ingenieria y construccion sas</t>
  </si>
  <si>
    <t>iINGENIERIA Y TECNOLOGIA ESPECIALZIADA SAS</t>
  </si>
  <si>
    <t>COPOWER LIMITADA</t>
  </si>
  <si>
    <t>ALTERNATIVAS MODULARES ARQUITECTOS SAS</t>
  </si>
  <si>
    <t>SEGURIDAD AMBIENTE CALIDAD Y SALUD CONSULTORES S.A.S.</t>
  </si>
  <si>
    <t>INTERESTUDIOS INGENIERIA S.A.S</t>
  </si>
  <si>
    <t>ARM CONSULTING SAS</t>
  </si>
  <si>
    <t>DESARROLLADORA DE PROYECTOS DE INGENIERIA SAS</t>
  </si>
  <si>
    <t>MEDINA &amp; RIVERA INGENIEROS ASOCIADOS POR ACCIONES SIMPLIFICADAS S A S</t>
  </si>
  <si>
    <t>DATATOOLS SAS</t>
  </si>
  <si>
    <t>M7020 - Actividades de consultoría de gestión</t>
  </si>
  <si>
    <t>VQ INGENIERIA S.A.S.</t>
  </si>
  <si>
    <t>C &amp; M CONSULTORES S.A.S</t>
  </si>
  <si>
    <t>LIGHGEN INGENIERIA SAS</t>
  </si>
  <si>
    <t>ENCINALES RESTREPO ASESORES S.A.S.</t>
  </si>
  <si>
    <t>MERIDIAN CONSULTING LTDA</t>
  </si>
  <si>
    <t>GNG INGENIERIA SAS</t>
  </si>
  <si>
    <t>RESTREPO URIBE SAS</t>
  </si>
  <si>
    <t>INTERVENTORIAS Y DISEÑOS S.A</t>
  </si>
  <si>
    <t>SALGADO MELENDEZ Y ASOCIADOS INGENIEROS CONSULTORES S.A.S.</t>
  </si>
  <si>
    <t>PRICEWATERHOUSECOOPERS ASESORES GERENCIALES SAS</t>
  </si>
  <si>
    <t>CAMILO VILLAVECES ATUESTA Y CIA LTDA</t>
  </si>
  <si>
    <t>INVERLINK S.A.S.</t>
  </si>
  <si>
    <t>INGENIERIA DE PROYECTOS S.A.S</t>
  </si>
  <si>
    <t>AFA CONSULTORES Y CONSTRUCTORES S.A.</t>
  </si>
  <si>
    <t>ARREDONDO MADRID INGENIEROS CIVILES AIM SAS</t>
  </si>
  <si>
    <t>PERFORMANCE FACTOR SAS</t>
  </si>
  <si>
    <t>BONUS BANCA DE INVERSION SAS</t>
  </si>
  <si>
    <t>CONSTRUCTORA DOMUS SAS</t>
  </si>
  <si>
    <t>MAB INGENIERIA DE VALOR SA</t>
  </si>
  <si>
    <t>MANAGEMENT AND QUALITY SAS</t>
  </si>
  <si>
    <t>SCAIN ADMINISTRACION E INGENIERIA SAS</t>
  </si>
  <si>
    <t>B&amp;C DISEÑOS Y CONSTRUCCIONES LTDA</t>
  </si>
  <si>
    <t>ARNOLDO BERROCAL INGENIERIA S.A.S</t>
  </si>
  <si>
    <t>KBT SAS</t>
  </si>
  <si>
    <t>SERTIC SAS - EN REORGANIZACION</t>
  </si>
  <si>
    <t>PEDELTA COLOMBIA S A S</t>
  </si>
  <si>
    <t>SURVEY SERVICES SAS</t>
  </si>
  <si>
    <t>INGENIERIA Y SOLUCIONES ESPECIALIZADAS S.A.S. (ISES S.A.S.)</t>
  </si>
  <si>
    <t>AYESA INGENIERIA Y ARQUITECTURA SAU SUCURSAL COLOMBIA</t>
  </si>
  <si>
    <t>INGENIERIA Y GESTION ADMINISTRATIVA SAS</t>
  </si>
  <si>
    <t>AVENIDA COLOMBIA MANAGEMENT  COMPANY SAS</t>
  </si>
  <si>
    <t>SIRACUSA INVERSIONES SAS</t>
  </si>
  <si>
    <t>INVERSIONES MARE NOSTRUM S.A.S.</t>
  </si>
  <si>
    <t>REDWOOD KAPITAL S.A.S.</t>
  </si>
  <si>
    <t>1 SOLUTION SAS</t>
  </si>
  <si>
    <t>INVERSIONES GIRALDO SAS</t>
  </si>
  <si>
    <t>EMPRESA DE SERVICIOS DE CONSULTORIA SAS</t>
  </si>
  <si>
    <t>INVERSIONES CIUDAD S.A.S.</t>
  </si>
  <si>
    <t>RL GROUP S.A.S</t>
  </si>
  <si>
    <t>VELNEC SA</t>
  </si>
  <si>
    <t>ESTUDIOS TECNICOS Y CONSTRUCCIONES SAS</t>
  </si>
  <si>
    <t>GRUPO LOPERA INGENIEROS SA</t>
  </si>
  <si>
    <t>IPI INGENIERIA DE PROCESOS INDUSTRIALES  LTDA O IPI LTDA</t>
  </si>
  <si>
    <t>AGQ COLOMBIA SAS</t>
  </si>
  <si>
    <t>M7120 - Ensayos y análisis técnicos</t>
  </si>
  <si>
    <t>CONTEXTO URBANO SA</t>
  </si>
  <si>
    <t>EPROQMECANIOCA SAS</t>
  </si>
  <si>
    <t>EDL S.A.S.</t>
  </si>
  <si>
    <t>ROJAS IRAGORRI ARQUITECTOS SAS</t>
  </si>
  <si>
    <t>SOPORTE Y CIA S.A.S.</t>
  </si>
  <si>
    <t>INGENIERIA CONSULTORIA Y PLANEACION INCOPLAN SA</t>
  </si>
  <si>
    <t>GEMI SAS</t>
  </si>
  <si>
    <t>M&amp;J INGENIERIA SAS</t>
  </si>
  <si>
    <t>ARQ SAS</t>
  </si>
  <si>
    <t>GEOCOL CONSULTORES S.A.</t>
  </si>
  <si>
    <t>ARCA - ARQUITECTURA E INGENIERIA S.A.</t>
  </si>
  <si>
    <t>KORN FERRY INTERNATIONAL COLOMBIA</t>
  </si>
  <si>
    <t>ZONA FRANCA DE LA CANDELARIA SA USUARIO OPERADOR</t>
  </si>
  <si>
    <t>NYL ELECTRONICA SA</t>
  </si>
  <si>
    <t>HGC ARQUITECTOS LTDA</t>
  </si>
  <si>
    <t>ZONA FRANCA DE BARRANQUILLA SA UOZF</t>
  </si>
  <si>
    <t>PROYECTOS Y SERVICIOS SAS</t>
  </si>
  <si>
    <t>HEALTH SAFETY AND ENVIRONMENT SAS</t>
  </si>
  <si>
    <t>PSL PROANALISIS SAS BIC</t>
  </si>
  <si>
    <t>ZONA FRANCA DE RIONEGRO SA USUARIO OPERADOR DE ZONA FRANCA</t>
  </si>
  <si>
    <t>DAPHNIA SAS</t>
  </si>
  <si>
    <t>ZONA FRANCA PERMANENTE PALMASECA S A USUARIO OPERADOR DE ZONA FRANCA</t>
  </si>
  <si>
    <t>SERVICIOS GEOLOGICOS INTEGRADOS SAS SGI SAS</t>
  </si>
  <si>
    <t>SITELSA SAS</t>
  </si>
  <si>
    <t>TOOL SYSTEM SOLUTIONS S.A.S</t>
  </si>
  <si>
    <t>CONSTRUSUELOS DE COLOMBIA SAS</t>
  </si>
  <si>
    <t>AMERICAN LIGHTING S.A.S.</t>
  </si>
  <si>
    <t>LUIS GUILLERMO RESTREPO Y CIA S.A.S</t>
  </si>
  <si>
    <t>INGECONCRETO S.A.S</t>
  </si>
  <si>
    <t>CONSULTORIA ESTRATEGICA INTEGRAL S.A.S</t>
  </si>
  <si>
    <t>AQUA Y TERRA CONSULTORES ASOCIADOS SAS</t>
  </si>
  <si>
    <t>JERICO TRADING CORPORATION SAS</t>
  </si>
  <si>
    <t>IILUMINACIONES ESPECIALIZADAS DEL NORTE S.A.</t>
  </si>
  <si>
    <t>AGS COLOMBIA SAS</t>
  </si>
  <si>
    <t>ATI INTERNACIONAL SAS</t>
  </si>
  <si>
    <t>GRUPO METRO COLOMBIA SAS</t>
  </si>
  <si>
    <t>HAY GROUP SAS</t>
  </si>
  <si>
    <t>2C INGENIEROS SA</t>
  </si>
  <si>
    <t>AUTOMATIZACION AVANZADA SA</t>
  </si>
  <si>
    <t>EMEC SAS</t>
  </si>
  <si>
    <t>SEEL SA</t>
  </si>
  <si>
    <t>JARAMILLO PEREZ Y</t>
  </si>
  <si>
    <t>PROING SAS PROYECTOS E INGENIERIA SAS</t>
  </si>
  <si>
    <t>LABORATORIOS CONTECON URBAR S.A.S</t>
  </si>
  <si>
    <t>A CINCO S.A.S</t>
  </si>
  <si>
    <t>DATTIS COMUNICACIONES S.A.S</t>
  </si>
  <si>
    <t>HERA COLOMBIA SAS</t>
  </si>
  <si>
    <t>D&amp;GCONSULTORES SA</t>
  </si>
  <si>
    <t>COMMERCIAL OPERATIONS COMPANY S.A.S</t>
  </si>
  <si>
    <t>GESTION INTEGRAL DE PROYECTOS SAS</t>
  </si>
  <si>
    <t>PERT DPM SAS</t>
  </si>
  <si>
    <t>GRUPO SPIRA SAS</t>
  </si>
  <si>
    <t>SOLUCIONES TECNOLOGIAS PROYECTOS SAS</t>
  </si>
  <si>
    <t>VMH Y ASSOCIADOS LTDA</t>
  </si>
  <si>
    <t>CREATIVA PRODUCCIONES SA</t>
  </si>
  <si>
    <t>HUMAN CAPITAL OUTSOURCING S.A.S</t>
  </si>
  <si>
    <t>GARCIA IGUARAN ASOCIADOS SAS</t>
  </si>
  <si>
    <t>QUANTUM COLOMBIA SAS</t>
  </si>
  <si>
    <t>VARGAS WILLIAMSON ARQUITECTOS SAS</t>
  </si>
  <si>
    <t>ESTRUCTURAS EN FINANZAS SA</t>
  </si>
  <si>
    <t>PROFITLINE SAS</t>
  </si>
  <si>
    <t>CONSULTORIA Y SERVICIOS AMBIENTALES CIAN SAS</t>
  </si>
  <si>
    <t>INGENIEROS CONSULTORES CIVILES Y ELECTRICOS S.A.S.</t>
  </si>
  <si>
    <t>CONCRELAB SAS</t>
  </si>
  <si>
    <t>Plinco s.a</t>
  </si>
  <si>
    <t>COMPAÑIA DE PROYECTOS TECNICOS CPT SA</t>
  </si>
  <si>
    <t>INGECONTROL SA</t>
  </si>
  <si>
    <t>PAYANES ASOCIADOS SAS - EN REORGANIZACIÓN</t>
  </si>
  <si>
    <t>ECONOMETRIA S.A</t>
  </si>
  <si>
    <t>JOYCO SAS BIC</t>
  </si>
  <si>
    <t>J FELIPE ARDILA V &amp; CIA SAS</t>
  </si>
  <si>
    <t>PROYECTOS E INTERVENTORIAS SAS</t>
  </si>
  <si>
    <t>GUTIERREZ DIAZ SAS</t>
  </si>
  <si>
    <t>Deloitte Asesores y Consultores S.A.S</t>
  </si>
  <si>
    <t>KPMG ADVISORY, TAX &amp; LEGAL SAS</t>
  </si>
  <si>
    <t>ECOVIAS SAS</t>
  </si>
  <si>
    <t xml:space="preserve">CONSULTORIA TECNICA LATINOAMERICANA Y DEL CARIBE SAS EN REORGANIZACION </t>
  </si>
  <si>
    <t>ISE INGENIERIA SAS</t>
  </si>
  <si>
    <t>AGENCIA DE ADUANAS HUBEMAR SAS NIVEL 1</t>
  </si>
  <si>
    <t>CIA COLOMBIANA DE CONSULTORES SAS</t>
  </si>
  <si>
    <t>INTERVE S.A.S</t>
  </si>
  <si>
    <t>BOSQUES SUELOS Y AGUAS LTDA</t>
  </si>
  <si>
    <t>VECTOR GEOPHYSICAL SAS EN REORGANIZACION</t>
  </si>
  <si>
    <t>GESTAR INNOVACION SAS</t>
  </si>
  <si>
    <t>SERVICIO DE INGENIERIA Y AMBIENTE S.A.S</t>
  </si>
  <si>
    <t>CONSTRUCCION, FINANZAS Y TECNOLOGIA S.A. - COFINTEC S.A.</t>
  </si>
  <si>
    <t>SABRE COLOMBIA LTDA</t>
  </si>
  <si>
    <t>INFOTIC S.A.</t>
  </si>
  <si>
    <t>CROMANAL SAS</t>
  </si>
  <si>
    <t>ASESORIA Y SERVICIOS INVERSIONES  INMOBILIARIAS INTEGRALES SAS</t>
  </si>
  <si>
    <t>ECODES INGENIERIA SAS</t>
  </si>
  <si>
    <t>COINTEXCARGO LOGISTICS SERVICES SA</t>
  </si>
  <si>
    <t>ARQUINT COLOMBIA SAS</t>
  </si>
  <si>
    <t>INSUELECTRI SAS</t>
  </si>
  <si>
    <t>INTEGRA GERENCIA Y CONSTRUCCION SAS</t>
  </si>
  <si>
    <t>CYMADE S.A.S.</t>
  </si>
  <si>
    <t>PROCTEK S.A.S.</t>
  </si>
  <si>
    <t>ACS ACIEL COLOMBIA  SOLUCIONES INTEGRALES SAS</t>
  </si>
  <si>
    <t>JE MUÑOZ ASOCIADOS SAS</t>
  </si>
  <si>
    <t>GRUPO IS COLOMBIA SAS</t>
  </si>
  <si>
    <t>GESPROYECT SAS</t>
  </si>
  <si>
    <t>INGETEC INGENIERIA &amp; DISEÑO SAS</t>
  </si>
  <si>
    <t>SLACOL SAS</t>
  </si>
  <si>
    <t>GP STRATEGIES COLOMBIA LTDA</t>
  </si>
  <si>
    <t>ZONA FRANCA DE TOCANCIPA SA  USUARIO OPERADOR DE ZONA FRANCA</t>
  </si>
  <si>
    <t>PROCESOS EXPRESS CONSULTORES ASESORES SAS</t>
  </si>
  <si>
    <t>|ULTRATEK SAS</t>
  </si>
  <si>
    <t>ENTERPRISE MANAGEMENT SERVICES SAS</t>
  </si>
  <si>
    <t>ZONA FRANCA BRISA  S A USUARIO OPERADOR DE ZONA FRANCA</t>
  </si>
  <si>
    <t>ILP INGENIERIA SAS</t>
  </si>
  <si>
    <t>ACOSTA  RESTREPO HERMANOS  SAS</t>
  </si>
  <si>
    <t>AXON GROUP LTDA</t>
  </si>
  <si>
    <t>SIGA INGENIERIA Y CONSULTORIA SA SUCURSAL COLOMBIA</t>
  </si>
  <si>
    <t>CENTROMOTOR AVENIDA BOYACA E.U</t>
  </si>
  <si>
    <t>SICMECI S.A.S.</t>
  </si>
  <si>
    <t>CURQUIN SAS</t>
  </si>
  <si>
    <t>CUMBRE INGENIERIA SAS</t>
  </si>
  <si>
    <t>Ingeniería y Servicios Tecnicos SERINGTEC SAS</t>
  </si>
  <si>
    <t>LEONEL GONZALEZ &amp; CIA SAS</t>
  </si>
  <si>
    <t>SOLID INVESTMENT SAS</t>
  </si>
  <si>
    <t>JSA S.A.S.</t>
  </si>
  <si>
    <t>INVERSIONES EYSAENCA COLOMBIA SAS</t>
  </si>
  <si>
    <t>CONSTRUCEC SAS</t>
  </si>
  <si>
    <t>VERTICAL LINK INGENIERIA SAS</t>
  </si>
  <si>
    <t>D &amp; T PROYECTOS S A S</t>
  </si>
  <si>
    <t>INGSA S.A.S.</t>
  </si>
  <si>
    <t>MAYABEL SAS</t>
  </si>
  <si>
    <t>Y&amp;V INGENIERIA Y CONSTRUCCION SUCURSAL COLOMBIA</t>
  </si>
  <si>
    <t>DARAXA SAS</t>
  </si>
  <si>
    <t>PRODIGIA SAS</t>
  </si>
  <si>
    <t>Idom Consulting Engineering Architecture SAU</t>
  </si>
  <si>
    <t>VEOLIA CONSULTING COLOMBIA SAS ESP</t>
  </si>
  <si>
    <t>INTEGRATED DEFENSE SOLUTIONS SAS</t>
  </si>
  <si>
    <t>HESEGO INGENIERIA SAS</t>
  </si>
  <si>
    <t>AUDUBON COLOMBIA LLC SUCURSAL COLOMBIANA</t>
  </si>
  <si>
    <t>TERRAPIN SAS</t>
  </si>
  <si>
    <t>ROSEN COLOMBIA SAS</t>
  </si>
  <si>
    <t>CENTURION PARTNERS SAS</t>
  </si>
  <si>
    <t>GMS MANAGEMENT SOLUTIONS COLOMBIA S.A.S.</t>
  </si>
  <si>
    <t>SAP CORPORATION SAS</t>
  </si>
  <si>
    <t>PROYECTAMOS COLOMBIA SAS</t>
  </si>
  <si>
    <t>INFRAESTRUCTURA INTEGRAL SAS</t>
  </si>
  <si>
    <t>INGEANDINA CONSULTORES DE INGENIERIA S.A.S.</t>
  </si>
  <si>
    <t>BATIMETRIA SAS</t>
  </si>
  <si>
    <t>P&amp;P PROYECTOS SAS</t>
  </si>
  <si>
    <t>AECOM TECHNICAL SERVICES INC</t>
  </si>
  <si>
    <t>CONSULTORIA Y GESTIÓN AMBIENTAL SAS BIC</t>
  </si>
  <si>
    <t>VEGARIA VEGALARA S. EN C.</t>
  </si>
  <si>
    <t>ARUP COLOMBIA SAS</t>
  </si>
  <si>
    <t>LINKVEST CAPITAL S.A.S</t>
  </si>
  <si>
    <t>INVERSIONES ENTRE RIOS S.A.S.</t>
  </si>
  <si>
    <t>GT SERVICES SUCURSAL COLOMBIA</t>
  </si>
  <si>
    <t>BANCAPLUS S.A.S.</t>
  </si>
  <si>
    <t>TPF GETINSA EUROESTUDIOS COLOMBIA</t>
  </si>
  <si>
    <t>SOLAR PLUS SAS</t>
  </si>
  <si>
    <t>SELECTRIK SAS</t>
  </si>
  <si>
    <t>INTERDISEÑOS INTERNACIONAL</t>
  </si>
  <si>
    <t>AMOUDI SAS</t>
  </si>
  <si>
    <t>CONSTRUCSION S.A.S.</t>
  </si>
  <si>
    <t>INGENIERIA MASTER SAS</t>
  </si>
  <si>
    <t>GAVINCO INGENIEROS CONSULTORES SAS</t>
  </si>
  <si>
    <t>MTA INTERNACIONAL SAS</t>
  </si>
  <si>
    <t>ZUMA INVERSIONES DE COLOMBIA S.A.S.</t>
  </si>
  <si>
    <t>CINTELI COLOMBIA SAS</t>
  </si>
  <si>
    <t>GRUPO PRIMAVERA SALUD S.A.S.</t>
  </si>
  <si>
    <t>CONSTRUCCIONES E INVERSIONES CEMAC SAS</t>
  </si>
  <si>
    <t>VENTUS COLOMBIA S.A.S.</t>
  </si>
  <si>
    <t>ADEMINCOL SA</t>
  </si>
  <si>
    <t>VICMAN SERVICES SAS</t>
  </si>
  <si>
    <t>LEKTEC S.A.S. BIC</t>
  </si>
  <si>
    <t>JOLO OVERSEAS SAS</t>
  </si>
  <si>
    <t>MGM ALUMBRADOS PUBLICOS COLOMBIA S.A.S</t>
  </si>
  <si>
    <t>SCAIN CONSULTORIA SAS BIC</t>
  </si>
  <si>
    <t>TECNICAS REUNIDAS DE COLOMBIA SAS</t>
  </si>
  <si>
    <t>CONSULTORA CAPITAL S.A.S- BIC</t>
  </si>
  <si>
    <t>jJFS CONSULTORES S.A.S. - BIC</t>
  </si>
  <si>
    <t>ZONA FRANCA DE BOGOTA SA</t>
  </si>
  <si>
    <t>GRUPO MOK COLOMBIA SAS</t>
  </si>
  <si>
    <t>THOMAS GREG &amp; SONS LIMITED (GUERNSEY) S.A.</t>
  </si>
  <si>
    <t>HITOS URBANOS SAS</t>
  </si>
  <si>
    <t>APPLUS NORCONTROL COLOMBIA LIMITADA</t>
  </si>
  <si>
    <t>HMV INGENIEROS LTDA</t>
  </si>
  <si>
    <t>OSPINAS &amp; CIA. S.A.</t>
  </si>
  <si>
    <t>ESTUDIOS TECNICOS SAS</t>
  </si>
  <si>
    <t>CONSULTORIA COLOMBIANA  S.A.</t>
  </si>
  <si>
    <t>Gomez Cajiao y Asociados SAS</t>
  </si>
  <si>
    <t>ACI PROYECTOS SAS</t>
  </si>
  <si>
    <t>PAYC S.A.S</t>
  </si>
  <si>
    <t>MARSH RISK CONSULTING LTDA</t>
  </si>
  <si>
    <t>CONSTRUCCIONES OBYCON SAS</t>
  </si>
  <si>
    <t>TELVAL SAS</t>
  </si>
  <si>
    <t>HATCH S.A.S.</t>
  </si>
  <si>
    <t>UNION ELECTRICA S.A. EN PROCESO DE NEGOCIACIÓN DE EMERGENCIA</t>
  </si>
  <si>
    <t>SUMMUM PROJECTS S.A.S</t>
  </si>
  <si>
    <t>CONFIPETROL SAS</t>
  </si>
  <si>
    <t>3B PROYECTOS SAS</t>
  </si>
  <si>
    <t>CDI SA EN REORGANIZACION EMPRESARIAL</t>
  </si>
  <si>
    <t>SERVICIOS AMBIENTALES Y GEOGRAFICOS S.A</t>
  </si>
  <si>
    <t>INTEGRAL INGENIERIA DE SUPERVISION S.A.S.</t>
  </si>
  <si>
    <t>WOOD ENGINEERING AND CONSULTANCY COLOMBIA S.A.S</t>
  </si>
  <si>
    <t>PROFESIONALES CONTABLES EN ASESORIA EMPRESARIAL Y DE INGENIERIA SAS  PROASEM SAS</t>
  </si>
  <si>
    <t>RELIABILITY MAINTENANCE SERVICES SAS</t>
  </si>
  <si>
    <t>MERCER COLOMBIA LTDA</t>
  </si>
  <si>
    <t>T.EN COLOMBIA S.A.</t>
  </si>
  <si>
    <t>MONTINPETROL SA</t>
  </si>
  <si>
    <t>PROMOTORA CONVIVIENDA SAS</t>
  </si>
  <si>
    <t>ZONA FRANCA DEL CARIBE S.A. UOZF</t>
  </si>
  <si>
    <t>FEM INGENIERIA SAS</t>
  </si>
  <si>
    <t>Zona Franca Metropolitana S.A.S. Usuario Operador</t>
  </si>
  <si>
    <t>CANALES DESARROLLADORES SAS</t>
  </si>
  <si>
    <t>PETROSEISMIC SERVICES SA</t>
  </si>
  <si>
    <t>CONSULTEC INTERNATIONAL SUCURSAL COLOMBIA</t>
  </si>
  <si>
    <t>A&amp;A CONSULTORIA E INGENIERIA SAS</t>
  </si>
  <si>
    <t>PI EPSILON PROYECTOS DE INGENIERIA ESPECIALIZADA SAS</t>
  </si>
  <si>
    <t>SANTANDER FINANCING SAS</t>
  </si>
  <si>
    <t>SERVICIOS ESTRATEGICOS COMPARTIDOS SAS</t>
  </si>
  <si>
    <t>RESUELVE TU DEUDA COLOMBIA SAS</t>
  </si>
  <si>
    <t>HL INFRAESTRUCTURA SAS</t>
  </si>
  <si>
    <t>SERVICIOS DE INTERVENTORIA INTEGRAL S.A.S.</t>
  </si>
  <si>
    <t>BROOKFIELD INFRAESTRUCTURE GROUP COLOMBIA S.A.S.</t>
  </si>
  <si>
    <t>VISUM CAPITAL S.A.S.</t>
  </si>
  <si>
    <t>STEWARD HEALTH CARE INTERNATIONAL COLOMBIA S.A.S</t>
  </si>
  <si>
    <t>INGENIERIA Y CONTRATOS SAS</t>
  </si>
  <si>
    <t>YAMIL SABBAGH CONSTRUCCIONES SAS</t>
  </si>
  <si>
    <t>INGENIERIA Y VIAS SAS BIC</t>
  </si>
  <si>
    <t>INGENIEROS GF SAS</t>
  </si>
  <si>
    <t>MEYAN S.A.</t>
  </si>
  <si>
    <t>CONSTRUCTORA DE OBRAS DE VIVIENDA E INGENIERIA SAS</t>
  </si>
  <si>
    <t>AGM DESARROLLOS SAS</t>
  </si>
  <si>
    <t>HM INGENIERIA SAS</t>
  </si>
  <si>
    <t>CONGLOMERADO TECNICO COLOMBIANO S.A.S</t>
  </si>
  <si>
    <t>CONSTRUCTORA EMMA LTDA</t>
  </si>
  <si>
    <t>SERVICIO INTEGRAL DE LA COSTA CARIBE E INGENIERIA S.A.S</t>
  </si>
  <si>
    <t>CONSTRUCTORA EXPERTA SAS</t>
  </si>
  <si>
    <t>INGENIERIA CONSTRUCCIONES Y EQUIPOS CONEQUIPOS ING SAS</t>
  </si>
  <si>
    <t>COMPAÑIA DE INGENIEROS CONSICAL SAS</t>
  </si>
  <si>
    <t>CASTRO TCHERASSI S.A.</t>
  </si>
  <si>
    <t>DONADO ARCE Y CIA SAS</t>
  </si>
  <si>
    <t>PAVIMENTO UNIVERSAL S.A.</t>
  </si>
  <si>
    <t>BUZCA SOLUCIONES DE INGENIERIA SA</t>
  </si>
  <si>
    <t>CICON SAS</t>
  </si>
  <si>
    <t>MOVICON CONSTRUCTORES SAS</t>
  </si>
  <si>
    <t>MEJIA VILLEGAS CONSTRUCTORES SA</t>
  </si>
  <si>
    <t>MINCIVIL S.A.</t>
  </si>
  <si>
    <t>VALCO HOLDIND SAS</t>
  </si>
  <si>
    <t>VITA SAS</t>
  </si>
  <si>
    <t>IINGENIERIA Y DESARROLLO URBANISTICO SAS</t>
  </si>
  <si>
    <t>CREARCIMIENTOS PROPIEDAD RAIZ SAS</t>
  </si>
  <si>
    <t>ARQUICIVILES SAS</t>
  </si>
  <si>
    <t>BYP CONSTRUCCIONES S.A.S</t>
  </si>
  <si>
    <t>CM INGENIERIA Y CONSTRUCCION S.A.S.</t>
  </si>
  <si>
    <t>CFD INGENIERIA SAS</t>
  </si>
  <si>
    <t>iINGENIERIA Y CONSTRUCCIONES C&amp;M SAS</t>
  </si>
  <si>
    <t>UNIDAD DE INGRAESTRUCTURA Y CONSTRUCCIONES ASOCIADAS SAS</t>
  </si>
  <si>
    <t>AURORA PROYECTOS E INVERSIONES SAS</t>
  </si>
  <si>
    <t>HINCCO SAS</t>
  </si>
  <si>
    <t>PEREA Y CIA SAS</t>
  </si>
  <si>
    <t>SOFAN INGENIERIA SAS</t>
  </si>
  <si>
    <t>Pavimentar SA</t>
  </si>
  <si>
    <t>INTRICON SA</t>
  </si>
  <si>
    <t>EQUIPOS CONSTRUCCIONES Y OBRAS S.A.</t>
  </si>
  <si>
    <t>DIATECO SAS</t>
  </si>
  <si>
    <t>JMV INGENIEROS SAS</t>
  </si>
  <si>
    <t>INCITECO SAS</t>
  </si>
  <si>
    <t>PAVIMENTOS EL DORADO S.A.S.</t>
  </si>
  <si>
    <t>PETROLABIN S.A.S</t>
  </si>
  <si>
    <t>PROYECTOS Y VIAS SAS</t>
  </si>
  <si>
    <t>CYG INGENIERIA Y CONSTRUCCIONES SAS</t>
  </si>
  <si>
    <t>MONTAJES Y CONSTRUCCIONES FERMAR SAS</t>
  </si>
  <si>
    <t>JASA LTDA</t>
  </si>
  <si>
    <t>MONTAJES TECNICOS ZAMBRANO Y VARGAS SAS</t>
  </si>
  <si>
    <t>INGENIERIA JOULES MEC SAS</t>
  </si>
  <si>
    <t>HAGSA EN REESTRUCTURACION</t>
  </si>
  <si>
    <t>RCH CONSTRUCTORES ASOCIADOS SAS</t>
  </si>
  <si>
    <t>CONSTRUCTORA FG SAS</t>
  </si>
  <si>
    <t>RAMPINT S.A.S</t>
  </si>
  <si>
    <t>CONSTRUIMOS Y SEÑALIZAMOS S.A.</t>
  </si>
  <si>
    <t>CONSTRUCTORA YACAMAN VIVERO SAS</t>
  </si>
  <si>
    <t>CONVIAS SAS</t>
  </si>
  <si>
    <t>INVERSIONES Y CONSTRUCCIONES DEL CARIBE S,A,S</t>
  </si>
  <si>
    <t>CONSTRUCORP S.A</t>
  </si>
  <si>
    <t>EL POBLADO S.A.</t>
  </si>
  <si>
    <t>COINOBRAS SAS</t>
  </si>
  <si>
    <t>DISCEP SAS.</t>
  </si>
  <si>
    <t>MR INGENIEROS SAS</t>
  </si>
  <si>
    <t>PANAMERICAN DREDGING &amp; ENGINEERING SAS</t>
  </si>
  <si>
    <t>PROMOTORA EL CAMPIN SA</t>
  </si>
  <si>
    <t>REHABILITACION DE DUCTOS SAS</t>
  </si>
  <si>
    <t>INGETIERRAS DE COLOMBIA SA</t>
  </si>
  <si>
    <t>INTERVENTORIA DISEÑOS Y CONTRATOS SAS</t>
  </si>
  <si>
    <t>INVERSIONES EDITEC S.A.S</t>
  </si>
  <si>
    <t>CONSTRUCTORA SERRANIA S.A.S.</t>
  </si>
  <si>
    <t>INGECON S.A.</t>
  </si>
  <si>
    <t>LA MACUIRA INVERSIONES Y CONSRTRUCCIONES SA</t>
  </si>
  <si>
    <t>CONYSER SAS</t>
  </si>
  <si>
    <t>RANDLEY SAS</t>
  </si>
  <si>
    <t>INGENAL ARQUITECTURA Y CONSTRUCCION SAS</t>
  </si>
  <si>
    <t>OBRAS MAQUINARIA Y EQUIPOS TRES A SAS</t>
  </si>
  <si>
    <t>INVERSIONES GRANDES VIA E INGENIERIA SAS</t>
  </si>
  <si>
    <t>CONCREARMADO LTDA</t>
  </si>
  <si>
    <t>RHEMA INTERNACIONAL SAS</t>
  </si>
  <si>
    <t>RINOL PISOCRETO S.A.S</t>
  </si>
  <si>
    <t>MALFERO S EN C</t>
  </si>
  <si>
    <t>ALCA INGENIERIA SAS ALCA INGENIERIA SAS   ALCA INGENIERIA SAS</t>
  </si>
  <si>
    <t>E DE LA CRUZ CONSTRUCTORES SAS</t>
  </si>
  <si>
    <t>Gama Ingenieros Arquitectos sas</t>
  </si>
  <si>
    <t>INZETT SAS</t>
  </si>
  <si>
    <t>GTC INGENIERIA SAS</t>
  </si>
  <si>
    <t>TRANSPORTE INGENIRIA CONSTRUCCIONES Y MAQUINARIA SA. TICOM S.A.</t>
  </si>
  <si>
    <t>TOMANA S.A.S</t>
  </si>
  <si>
    <t>INGENIEROS CIVILES Y ELECTROMECANICOS CONSTRUCTORES SAS</t>
  </si>
  <si>
    <t>SYNERGIA CONSTRUCCIONES E INGENIERIA SAS</t>
  </si>
  <si>
    <t>DOBLE A INGENIERÍA S.A.S.</t>
  </si>
  <si>
    <t>CONTEIN SAS</t>
  </si>
  <si>
    <t>SERVICIOS DE INGENIERIA CIVIL SA</t>
  </si>
  <si>
    <t>BF CONSTRUYE SAS</t>
  </si>
  <si>
    <t>A CONSTRUIR SA</t>
  </si>
  <si>
    <t>ISMOCOL SA</t>
  </si>
  <si>
    <t>EXPLANA SAS</t>
  </si>
  <si>
    <t>GISAICO SAS</t>
  </si>
  <si>
    <t>PAECIA SAS</t>
  </si>
  <si>
    <t>CONSTRUCCIONES Y TRACTORES SAS</t>
  </si>
  <si>
    <t>REDYCO SAS</t>
  </si>
  <si>
    <t>CIVILES MECANICOS ELECTRICOS INGENIEROS SAS</t>
  </si>
  <si>
    <t>MORENO VARGAS SOCIEDAD ANONIMA</t>
  </si>
  <si>
    <t>SOLUTEC INGENIERIA SAS</t>
  </si>
  <si>
    <t>OINCO SAS</t>
  </si>
  <si>
    <t>ARONA GRUPO EMPRESARIAL SAS</t>
  </si>
  <si>
    <t>CONSTRUCTORA CONACERO SAS</t>
  </si>
  <si>
    <t>INGENIERIA TRANSPORTE Y MAQUINARIA SAS</t>
  </si>
  <si>
    <t>CONSTRUCTORA CCC S.A.S.</t>
  </si>
  <si>
    <t>CONSTRUCCIONES VASQUEZ YELA Y CIA SAS</t>
  </si>
  <si>
    <t>URBANIZADORA ANDALUCIA SAS</t>
  </si>
  <si>
    <t>INGEDUCTOS INGENIERIA ESPECIALIZADA SAS</t>
  </si>
  <si>
    <t>Proyectos y construcciones de occidente SA</t>
  </si>
  <si>
    <t>CONSTRUSAR INGENIERIA LTDA</t>
  </si>
  <si>
    <t>SERVICIOS INDUSTRIALES DE BARRANCABERMEJA SAS</t>
  </si>
  <si>
    <t>CONSTRUCTORA DURAN OCAMPO S.A.S</t>
  </si>
  <si>
    <t>LYDCO INGENIERIA SAS</t>
  </si>
  <si>
    <t>ESTRUCTURAS Y PAVIMENTOS SAS</t>
  </si>
  <si>
    <t>ASFALTEMOS S.A.S.</t>
  </si>
  <si>
    <t>CONSTRUCTORA SAAVAR SAS</t>
  </si>
  <si>
    <t>CONSTRUCTORA SUMAS &amp; RESTAS SAS</t>
  </si>
  <si>
    <t>LA MONTAÑITA CONSTRUTIRES SAS</t>
  </si>
  <si>
    <t>MASSEQ PROYECTOS E INGENIERIA SAS</t>
  </si>
  <si>
    <t>ESTUDIOS E INGENIERIA SAS</t>
  </si>
  <si>
    <t>TRANSIVIC SAS</t>
  </si>
  <si>
    <t>ARQUITECTURA, URBANISMO Y CONSTRUCCION AURCO SAS</t>
  </si>
  <si>
    <t>VERDE AJENJO S.A.S</t>
  </si>
  <si>
    <t>COLOMBIANA DE SUMINISTROS Y EJECUCIONES DIAZCO SAS</t>
  </si>
  <si>
    <t>RYD COSNTRUCCIONES SAS</t>
  </si>
  <si>
    <t>PROYECTO Y GESTION DEL DESARROLLO SAS</t>
  </si>
  <si>
    <t>JMV CONSTRUKTORA S.A.S.</t>
  </si>
  <si>
    <t>PROYECTOS A GRAN ESCALA PROGRESSA SAS</t>
  </si>
  <si>
    <t>INGEOCHO SAS</t>
  </si>
  <si>
    <t>TSK EKECTRONICA Y ELECTRICIDAD SA - SUCURSAL COLOMBIA</t>
  </si>
  <si>
    <t>TECNICAS UNIDAS INFRAESTRUCTURA SAS</t>
  </si>
  <si>
    <t>HASKELL SAS</t>
  </si>
  <si>
    <t>MAQUINOBRAS DE COLOMBIA SAS</t>
  </si>
  <si>
    <t>COLECTIVO INMOBILIARIO Y CONSTRUCTOR SAS</t>
  </si>
  <si>
    <t>MHC INGENIERIA Y CONSTRUCCION DE OBRAS CIVILES SAS</t>
  </si>
  <si>
    <t>INGEALQUIPOS SAS</t>
  </si>
  <si>
    <t>OBRAS INTERVENTORIAS Y SUMINISTROS S.A.S</t>
  </si>
  <si>
    <t>MANGOMBIA SAS</t>
  </si>
  <si>
    <t>PROMOTORA ARBOLEDA SAS</t>
  </si>
  <si>
    <t>CONSTRUCTORA VILLAS DEL RODEO SAS</t>
  </si>
  <si>
    <t>SAINC INGECO SAS</t>
  </si>
  <si>
    <t>GUANABARA DESARROLLOS INMOBILIARIOS SAS</t>
  </si>
  <si>
    <t>BELZCON SAS</t>
  </si>
  <si>
    <t>EBM CONSTRUCCIONES  E INTERVENTORIAS S.A.S</t>
  </si>
  <si>
    <t>MAZ INTERVENTORES Y CONSULTORESS.A.S</t>
  </si>
  <si>
    <t>PUENTES Y TORONES SAS</t>
  </si>
  <si>
    <t>Ingenieria de vias sas</t>
  </si>
  <si>
    <t>INVERSIONES GYR SAS</t>
  </si>
  <si>
    <t>KMA CONSTRUCCIONES SAS</t>
  </si>
  <si>
    <t>EQUIPOS Y TRITURADOS SAS</t>
  </si>
  <si>
    <t>ICEIN INGENIEROS CONSTRUCTORES SAS</t>
  </si>
  <si>
    <t>PAVIMENTOS COLOMBIA SAS</t>
  </si>
  <si>
    <t>INDUGRAVAS INGENIEROS CONSTRUCTORES S.A.S</t>
  </si>
  <si>
    <t>GAICO INGENIEROS CONSTRUCTORES S.A. EN REORGANIZACION</t>
  </si>
  <si>
    <t>SCHRADER CAMARGO S.A.S.</t>
  </si>
  <si>
    <t>MORELCO SAS</t>
  </si>
  <si>
    <t>TERMOTECNICA COINDUSTRIAL SAS</t>
  </si>
  <si>
    <t>CONINSA S.A.S.</t>
  </si>
  <si>
    <t>SP INGENIEROS SAS</t>
  </si>
  <si>
    <t>ORTIZ CONSTRUCCIONES Y PROYECTOS SA SUCURSAL COLOMBIA</t>
  </si>
  <si>
    <t>MOTA-ENGIL COLOMBIA S.A.S.</t>
  </si>
  <si>
    <t>ESTYMA ESTUDIOS Y MANEJOS S.A.</t>
  </si>
  <si>
    <t>INGENIEROS CIVILES CONTRATISTAS SAS</t>
  </si>
  <si>
    <t>PAVIMENTOS ANDINOS SA</t>
  </si>
  <si>
    <t>SOLARTE NACIONAL DE CONSTRUCCIONES SAS</t>
  </si>
  <si>
    <t xml:space="preserve">TECNICA VIAL SAS </t>
  </si>
  <si>
    <t>OTACC S.A.S.</t>
  </si>
  <si>
    <t>CASS CONSTRUCTORES SAS</t>
  </si>
  <si>
    <t>MOLEK INGENIERIA Y DISEÑO SAS</t>
  </si>
  <si>
    <t>ACCIONA AGUA SAU SUCURSAL COLOMBIA</t>
  </si>
  <si>
    <t>MOTA ENGIL ENGENHARIA E CONSTRUCAO S A SUCURSAL COLOMBIA</t>
  </si>
  <si>
    <t>CONSTRUCTORA ARIGUANI SAS EN REORGANIZACION</t>
  </si>
  <si>
    <t>STRABAG SAS</t>
  </si>
  <si>
    <t>SUDAMERICANA INTEGRAL DE CONSTRUCCIONES SUDINCO COLOMBIA SAS</t>
  </si>
  <si>
    <t>COLOMBIANA DE INFRAESTRUCTURAS SAS</t>
  </si>
  <si>
    <t>OBRASCON HUARTE LAIN S A SUCURSAL COLOMBIA</t>
  </si>
  <si>
    <t>CONCESION VIAS DEL NUS SAS</t>
  </si>
  <si>
    <t>AÑO</t>
  </si>
  <si>
    <t>ANTICIPO</t>
  </si>
  <si>
    <t>BASE PARA CALCULAR K TRABAJO</t>
  </si>
  <si>
    <t>Una vez cumplidos los requisitos de perfeccionamiento y legalización del contrato, la Aeronáutica Civil entregará por concepto de anticipo por valor de ONCE MIL SETECIENTOS TRES MILLONES TRESCIENTOS SETENTA Y CUATRO MIL TRESCIENTOS CINCUENTA Y SEIS PESOS M/CTE ($11.703.374.356)</t>
  </si>
  <si>
    <t>MAYOR O IGUAL A 
$ 15,448,454,000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</si>
</sst>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  <numFmt numFmtId="170" formatCode="0.000%"/>
    <numFmt numFmtId="171" formatCode="0.0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0"/>
      <color rgb="FF008080"/>
      <name val="Arial Narrow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6" fillId="2" borderId="0" xfId="0" applyNumberFormat="1" applyFont="1" applyFill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8" fontId="8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7" fillId="0" borderId="4" xfId="0" applyFont="1" applyBorder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Font="1" applyFill="1" applyBorder="1" applyAlignment="1">
      <alignment horizontal="center"/>
    </xf>
    <xf numFmtId="9" fontId="8" fillId="0" borderId="0" xfId="2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3" fontId="8" fillId="0" borderId="0" xfId="0" applyNumberFormat="1" applyFont="1"/>
    <xf numFmtId="6" fontId="0" fillId="0" borderId="0" xfId="0" applyNumberFormat="1"/>
    <xf numFmtId="6" fontId="8" fillId="0" borderId="0" xfId="0" applyNumberFormat="1" applyFont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3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4" fontId="8" fillId="0" borderId="0" xfId="0" applyNumberFormat="1" applyFont="1"/>
    <xf numFmtId="10" fontId="3" fillId="0" borderId="12" xfId="2" applyNumberFormat="1" applyFont="1" applyFill="1" applyBorder="1" applyAlignment="1">
      <alignment horizontal="center" vertical="center" wrapText="1"/>
    </xf>
    <xf numFmtId="0" fontId="12" fillId="0" borderId="0" xfId="0" applyFont="1"/>
    <xf numFmtId="9" fontId="3" fillId="0" borderId="14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0" fontId="8" fillId="0" borderId="20" xfId="0" applyFont="1" applyBorder="1" applyAlignment="1">
      <alignment horizontal="center" wrapText="1"/>
    </xf>
    <xf numFmtId="0" fontId="8" fillId="0" borderId="0" xfId="0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/>
    <xf numFmtId="0" fontId="6" fillId="0" borderId="17" xfId="0" applyFont="1" applyBorder="1"/>
    <xf numFmtId="0" fontId="8" fillId="0" borderId="21" xfId="0" applyFont="1" applyBorder="1"/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5" xfId="0" applyFont="1" applyBorder="1" applyAlignment="1">
      <alignment wrapText="1"/>
    </xf>
    <xf numFmtId="0" fontId="14" fillId="0" borderId="0" xfId="0" applyFont="1"/>
    <xf numFmtId="167" fontId="8" fillId="0" borderId="0" xfId="0" applyNumberFormat="1" applyFont="1" applyBorder="1"/>
    <xf numFmtId="10" fontId="15" fillId="0" borderId="0" xfId="0" applyNumberFormat="1" applyFont="1"/>
    <xf numFmtId="170" fontId="8" fillId="0" borderId="0" xfId="0" applyNumberFormat="1" applyFont="1"/>
    <xf numFmtId="3" fontId="6" fillId="0" borderId="0" xfId="0" applyNumberFormat="1" applyFont="1"/>
    <xf numFmtId="171" fontId="8" fillId="0" borderId="0" xfId="0" applyNumberFormat="1" applyFont="1"/>
    <xf numFmtId="0" fontId="8" fillId="0" borderId="0" xfId="0" applyFont="1" applyAlignment="1">
      <alignment wrapText="1"/>
    </xf>
    <xf numFmtId="0" fontId="6" fillId="0" borderId="1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3" fontId="8" fillId="0" borderId="17" xfId="0" applyNumberFormat="1" applyFont="1" applyBorder="1"/>
    <xf numFmtId="3" fontId="6" fillId="0" borderId="27" xfId="0" applyNumberFormat="1" applyFont="1" applyBorder="1"/>
    <xf numFmtId="0" fontId="6" fillId="0" borderId="24" xfId="0" applyFont="1" applyBorder="1" applyAlignment="1">
      <alignment horizontal="center" wrapText="1"/>
    </xf>
    <xf numFmtId="0" fontId="13" fillId="0" borderId="25" xfId="0" applyFont="1" applyBorder="1" applyAlignment="1">
      <alignment horizontal="center" wrapText="1"/>
    </xf>
    <xf numFmtId="0" fontId="13" fillId="0" borderId="26" xfId="0" applyFont="1" applyBorder="1" applyAlignment="1">
      <alignment horizont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/>
    </xf>
    <xf numFmtId="0" fontId="6" fillId="4" borderId="0" xfId="0" applyFont="1" applyFill="1" applyAlignment="1">
      <alignment horizontal="left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1464-4F9A-8878-BF9C248A5B8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1464-4F9A-8878-BF9C248A5B8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1464-4F9A-8878-BF9C248A5B8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464-4F9A-8878-BF9C248A5B8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464-4F9A-8878-BF9C248A5B8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464-4F9A-8878-BF9C248A5B8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464-4F9A-8878-BF9C248A5B8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464-4F9A-8878-BF9C248A5B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2'!$B$495:$B$503</c15:sqref>
                  </c15:fullRef>
                </c:ext>
              </c:extLst>
              <c:f>'Hoja 2'!$B$496:$B$503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2'!$C$495:$C$503</c15:sqref>
                  </c15:fullRef>
                </c:ext>
              </c:extLst>
              <c:f>'Hoja 2'!$C$496:$C$503</c:f>
              <c:numCache>
                <c:formatCode>#,##0</c:formatCode>
                <c:ptCount val="8"/>
                <c:pt idx="0">
                  <c:v>0</c:v>
                </c:pt>
                <c:pt idx="1">
                  <c:v>92</c:v>
                </c:pt>
                <c:pt idx="2">
                  <c:v>195</c:v>
                </c:pt>
                <c:pt idx="3">
                  <c:v>86</c:v>
                </c:pt>
                <c:pt idx="4">
                  <c:v>45</c:v>
                </c:pt>
                <c:pt idx="5">
                  <c:v>18</c:v>
                </c:pt>
                <c:pt idx="6">
                  <c:v>5</c:v>
                </c:pt>
                <c:pt idx="7">
                  <c:v>21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2'!$D$495:$D$503</c15:f>
                <c15:dlblRangeCache>
                  <c:ptCount val="9"/>
                  <c:pt idx="1">
                    <c:v>0,00%</c:v>
                  </c:pt>
                  <c:pt idx="2">
                    <c:v>19,91%</c:v>
                  </c:pt>
                  <c:pt idx="3">
                    <c:v>42,21%</c:v>
                  </c:pt>
                  <c:pt idx="4">
                    <c:v>18,61%</c:v>
                  </c:pt>
                  <c:pt idx="5">
                    <c:v>9,74%</c:v>
                  </c:pt>
                  <c:pt idx="6">
                    <c:v>3,90%</c:v>
                  </c:pt>
                  <c:pt idx="7">
                    <c:v>1,08%</c:v>
                  </c:pt>
                  <c:pt idx="8">
                    <c:v>4,55%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1464-4F9A-8878-BF9C248A5B8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1464-4F9A-8878-BF9C248A5B8B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1464-4F9A-8878-BF9C248A5B8B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1464-4F9A-8878-BF9C248A5B8B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464-4F9A-8878-BF9C248A5B8B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1464-4F9A-8878-BF9C248A5B8B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1464-4F9A-8878-BF9C248A5B8B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1464-4F9A-8878-BF9C248A5B8B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1464-4F9A-8878-BF9C248A5B8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2'!$B$495:$B$503</c15:sqref>
                        </c15:fullRef>
                        <c15:formulaRef>
                          <c15:sqref>'Hoja 2'!$B$496:$B$503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2'!$D$495:$D$503</c15:sqref>
                        </c15:fullRef>
                        <c15:formulaRef>
                          <c15:sqref>'Hoja 2'!$D$496:$D$503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0.19913419913419914</c:v>
                      </c:pt>
                      <c:pt idx="2">
                        <c:v>0.42207792207792205</c:v>
                      </c:pt>
                      <c:pt idx="3">
                        <c:v>0.18614718614718614</c:v>
                      </c:pt>
                      <c:pt idx="4">
                        <c:v>9.7402597402597407E-2</c:v>
                      </c:pt>
                      <c:pt idx="5">
                        <c:v>3.896103896103896E-2</c:v>
                      </c:pt>
                      <c:pt idx="6">
                        <c:v>1.0822510822510822E-2</c:v>
                      </c:pt>
                      <c:pt idx="7">
                        <c:v>4.5454545454545456E-2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2'!$D$496:$D$503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19,91%</c:v>
                        </c:pt>
                        <c:pt idx="2">
                          <c:v>42,21%</c:v>
                        </c:pt>
                        <c:pt idx="3">
                          <c:v>18,61%</c:v>
                        </c:pt>
                        <c:pt idx="4">
                          <c:v>9,74%</c:v>
                        </c:pt>
                        <c:pt idx="5">
                          <c:v>3,90%</c:v>
                        </c:pt>
                        <c:pt idx="6">
                          <c:v>1,08%</c:v>
                        </c:pt>
                        <c:pt idx="7">
                          <c:v>4,55%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11-1464-4F9A-8878-BF9C248A5B8B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533864500615841"/>
          <c:y val="0.18112256586483391"/>
          <c:w val="0.85519663107010579"/>
          <c:h val="0.7125852567398147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0280-4DAD-A0E4-71B2ED511D8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280-4DAD-A0E4-71B2ED511D8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280-4DAD-A0E4-71B2ED511D8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280-4DAD-A0E4-71B2ED511D8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280-4DAD-A0E4-71B2ED511D8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280-4DAD-A0E4-71B2ED511D8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280-4DAD-A0E4-71B2ED511D8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2'!$B$521:$B$528</c15:sqref>
                  </c15:fullRef>
                </c:ext>
              </c:extLst>
              <c:f>'Hoja 2'!$B$522:$B$528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2'!$C$521:$C$528</c15:sqref>
                  </c15:fullRef>
                </c:ext>
              </c:extLst>
              <c:f>'Hoja 2'!$C$522:$C$528</c:f>
              <c:numCache>
                <c:formatCode>#,##0</c:formatCode>
                <c:ptCount val="7"/>
                <c:pt idx="0">
                  <c:v>52</c:v>
                </c:pt>
                <c:pt idx="1">
                  <c:v>86</c:v>
                </c:pt>
                <c:pt idx="2">
                  <c:v>83</c:v>
                </c:pt>
                <c:pt idx="3">
                  <c:v>118</c:v>
                </c:pt>
                <c:pt idx="4">
                  <c:v>92</c:v>
                </c:pt>
                <c:pt idx="5">
                  <c:v>23</c:v>
                </c:pt>
                <c:pt idx="6">
                  <c:v>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2'!$D$521:$D$528</c15:f>
                <c15:dlblRangeCache>
                  <c:ptCount val="8"/>
                  <c:pt idx="1">
                    <c:v>11,26%</c:v>
                  </c:pt>
                  <c:pt idx="2">
                    <c:v>18,61%</c:v>
                  </c:pt>
                  <c:pt idx="3">
                    <c:v>17,97%</c:v>
                  </c:pt>
                  <c:pt idx="4">
                    <c:v>25,54%</c:v>
                  </c:pt>
                  <c:pt idx="5">
                    <c:v>19,91%</c:v>
                  </c:pt>
                  <c:pt idx="6">
                    <c:v>4,98%</c:v>
                  </c:pt>
                  <c:pt idx="7">
                    <c:v>1,73%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0280-4DAD-A0E4-71B2ED511D8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0280-4DAD-A0E4-71B2ED511D86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0280-4DAD-A0E4-71B2ED511D86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0280-4DAD-A0E4-71B2ED511D86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0280-4DAD-A0E4-71B2ED511D86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0280-4DAD-A0E4-71B2ED511D86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0280-4DAD-A0E4-71B2ED511D86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0280-4DAD-A0E4-71B2ED511D86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2'!$B$521:$B$528</c15:sqref>
                        </c15:fullRef>
                        <c15:formulaRef>
                          <c15:sqref>'Hoja 2'!$B$522:$B$528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2'!$D$521:$D$528</c15:sqref>
                        </c15:fullRef>
                        <c15:formulaRef>
                          <c15:sqref>'Hoja 2'!$D$522:$D$528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0.11255411255411256</c:v>
                      </c:pt>
                      <c:pt idx="1">
                        <c:v>0.18614718614718614</c:v>
                      </c:pt>
                      <c:pt idx="2">
                        <c:v>0.17965367965367965</c:v>
                      </c:pt>
                      <c:pt idx="3">
                        <c:v>0.25541125541125542</c:v>
                      </c:pt>
                      <c:pt idx="4">
                        <c:v>0.19913419913419914</c:v>
                      </c:pt>
                      <c:pt idx="5">
                        <c:v>4.9783549783549784E-2</c:v>
                      </c:pt>
                      <c:pt idx="6">
                        <c:v>1.7316017316017316E-2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2'!$D$521:$D$528</c15:f>
                      <c15:dlblRangeCache>
                        <c:ptCount val="8"/>
                        <c:pt idx="1">
                          <c:v>11,26%</c:v>
                        </c:pt>
                        <c:pt idx="2">
                          <c:v>18,61%</c:v>
                        </c:pt>
                        <c:pt idx="3">
                          <c:v>17,97%</c:v>
                        </c:pt>
                        <c:pt idx="4">
                          <c:v>25,54%</c:v>
                        </c:pt>
                        <c:pt idx="5">
                          <c:v>19,91%</c:v>
                        </c:pt>
                        <c:pt idx="6">
                          <c:v>4,98%</c:v>
                        </c:pt>
                        <c:pt idx="7">
                          <c:v>1,73%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F-0280-4DAD-A0E4-71B2ED511D86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E2C-4264-ACBB-C5AA71983B7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E2C-4264-ACBB-C5AA71983B7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E2C-4264-ACBB-C5AA71983B7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E2C-4264-ACBB-C5AA71983B7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E2C-4264-ACBB-C5AA71983B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2'!$B$536:$B$542</c15:sqref>
                  </c15:fullRef>
                </c:ext>
              </c:extLst>
              <c:f>'Hoja 2'!$B$537:$B$541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2'!$C$536:$C$542</c15:sqref>
                  </c15:fullRef>
                </c:ext>
              </c:extLst>
              <c:f>'Hoja 2'!$C$537:$C$541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134</c:v>
                </c:pt>
                <c:pt idx="3">
                  <c:v>293</c:v>
                </c:pt>
                <c:pt idx="4">
                  <c:v>35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2'!$D$536:$D$541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29,00%</c:v>
                  </c:pt>
                  <c:pt idx="4">
                    <c:v>63,42%</c:v>
                  </c:pt>
                  <c:pt idx="5">
                    <c:v>7,58%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5-DE2C-4264-ACBB-C5AA71983B7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DE2C-4264-ACBB-C5AA71983B7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DE2C-4264-ACBB-C5AA71983B7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DE2C-4264-ACBB-C5AA71983B7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DE2C-4264-ACBB-C5AA71983B7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DE2C-4264-ACBB-C5AA71983B7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2'!$B$536:$B$542</c15:sqref>
                        </c15:fullRef>
                        <c15:formulaRef>
                          <c15:sqref>'Hoja 2'!$B$537:$B$541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2'!$D$536:$D$542</c15:sqref>
                        </c15:fullRef>
                        <c15:formulaRef>
                          <c15:sqref>'Hoja 2'!$D$537:$D$541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0.29004329004329005</c:v>
                      </c:pt>
                      <c:pt idx="3">
                        <c:v>0.63419913419913421</c:v>
                      </c:pt>
                      <c:pt idx="4">
                        <c:v>7.575757575757576E-2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2'!$D$537:$D$541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29,00%</c:v>
                        </c:pt>
                        <c:pt idx="3">
                          <c:v>63,42%</c:v>
                        </c:pt>
                        <c:pt idx="4">
                          <c:v>7,58%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B-DE2C-4264-ACBB-C5AA71983B72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216A-4A21-955A-595EEB88FCC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216A-4A21-955A-595EEB88FCC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216A-4A21-955A-595EEB88FCC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2'!$B$510:$B$513</c15:sqref>
                  </c15:fullRef>
                </c:ext>
              </c:extLst>
              <c:f>'Hoja 2'!$B$511:$B$513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2'!$C$510:$C$513</c15:sqref>
                  </c15:fullRef>
                </c:ext>
              </c:extLst>
              <c:f>'Hoja 2'!$C$511:$C$513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462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2'!$D$510:$D$513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216A-4A21-955A-595EEB88FCC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2'!$B$510:$B$513</c15:sqref>
                        </c15:fullRef>
                        <c15:formulaRef>
                          <c15:sqref>'Hoja 2'!$B$511:$B$513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 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2'!$D$510:$D$513</c15:sqref>
                        </c15:fullRef>
                        <c15:formulaRef>
                          <c15:sqref>'Hoja 2'!$D$511:$D$513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16A-4A21-955A-595EEB88FCCF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2091962472374974"/>
          <c:y val="0.19740324594257178"/>
          <c:w val="0.85753638963890733"/>
          <c:h val="0.6867502236377756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52BF-40DA-9A6E-5AEA02A737E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2BF-40DA-9A6E-5AEA02A737E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52BF-40DA-9A6E-5AEA02A737E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52BF-40DA-9A6E-5AEA02A737E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52BF-40DA-9A6E-5AEA02A737E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52BF-40DA-9A6E-5AEA02A737E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2'!$B$549:$B$556</c15:sqref>
                  </c15:fullRef>
                </c:ext>
              </c:extLst>
              <c:f>'Hoja 2'!$B$551:$B$556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2'!$C$549:$C$556</c15:sqref>
                  </c15:fullRef>
                </c:ext>
              </c:extLst>
              <c:f>'Hoja 2'!$C$551:$C$556</c:f>
              <c:numCache>
                <c:formatCode>#,##0</c:formatCode>
                <c:ptCount val="6"/>
                <c:pt idx="0">
                  <c:v>0</c:v>
                </c:pt>
                <c:pt idx="1">
                  <c:v>22</c:v>
                </c:pt>
                <c:pt idx="2">
                  <c:v>65</c:v>
                </c:pt>
                <c:pt idx="3">
                  <c:v>84</c:v>
                </c:pt>
                <c:pt idx="4">
                  <c:v>37</c:v>
                </c:pt>
                <c:pt idx="5">
                  <c:v>254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2'!$D$549:$D$556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4,76%</c:v>
                  </c:pt>
                  <c:pt idx="4">
                    <c:v>14,07%</c:v>
                  </c:pt>
                  <c:pt idx="5">
                    <c:v>18,18%</c:v>
                  </c:pt>
                  <c:pt idx="6">
                    <c:v>8,01%</c:v>
                  </c:pt>
                  <c:pt idx="7">
                    <c:v>54,98%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52BF-40DA-9A6E-5AEA02A737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52BF-40DA-9A6E-5AEA02A737E1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52BF-40DA-9A6E-5AEA02A737E1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9-52BF-40DA-9A6E-5AEA02A737E1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52BF-40DA-9A6E-5AEA02A737E1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B-52BF-40DA-9A6E-5AEA02A737E1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52BF-40DA-9A6E-5AEA02A737E1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2'!$B$549:$B$556</c15:sqref>
                        </c15:fullRef>
                        <c15:formulaRef>
                          <c15:sqref>'Hoja 2'!$B$551:$B$556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2'!$D$549:$D$556</c15:sqref>
                        </c15:fullRef>
                        <c15:formulaRef>
                          <c15:sqref>'Hoja 2'!$D$551:$D$556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4.7619047619047616E-2</c:v>
                      </c:pt>
                      <c:pt idx="2">
                        <c:v>0.1406926406926407</c:v>
                      </c:pt>
                      <c:pt idx="3">
                        <c:v>0.18181818181818182</c:v>
                      </c:pt>
                      <c:pt idx="4">
                        <c:v>8.0086580086580081E-2</c:v>
                      </c:pt>
                      <c:pt idx="5">
                        <c:v>0.54978354978354982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2'!$D$549:$D$556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4,76%</c:v>
                        </c:pt>
                        <c:pt idx="4">
                          <c:v>14,07%</c:v>
                        </c:pt>
                        <c:pt idx="5">
                          <c:v>18,18%</c:v>
                        </c:pt>
                        <c:pt idx="6">
                          <c:v>8,01%</c:v>
                        </c:pt>
                        <c:pt idx="7">
                          <c:v>54,98%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D-52BF-40DA-9A6E-5AEA02A737E1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3956651644959"/>
          <c:y val="0.15240065062289748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14F-4FD7-B0F6-9B302EBE10E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14F-4FD7-B0F6-9B302EBE10E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14F-4FD7-B0F6-9B302EBE10E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14F-4FD7-B0F6-9B302EBE10E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14F-4FD7-B0F6-9B302EBE10E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14F-4FD7-B0F6-9B302EBE10EB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14F-4FD7-B0F6-9B302EBE10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2'!$B$563:$B$570</c15:sqref>
                  </c15:fullRef>
                </c:ext>
              </c:extLst>
              <c:f>'Hoja 2'!$B$564:$B$570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2'!$C$563:$C$570</c15:sqref>
                  </c15:fullRef>
                </c:ext>
              </c:extLst>
              <c:f>'Hoja 2'!$C$564:$C$570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27</c:v>
                </c:pt>
                <c:pt idx="4">
                  <c:v>17</c:v>
                </c:pt>
                <c:pt idx="5">
                  <c:v>29</c:v>
                </c:pt>
                <c:pt idx="6">
                  <c:v>379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2'!$D$563:$D$570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2,16%</c:v>
                  </c:pt>
                  <c:pt idx="4">
                    <c:v>5,84%</c:v>
                  </c:pt>
                  <c:pt idx="5">
                    <c:v>3,68%</c:v>
                  </c:pt>
                  <c:pt idx="6">
                    <c:v>6,28%</c:v>
                  </c:pt>
                  <c:pt idx="7">
                    <c:v>82,03%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A14F-4FD7-B0F6-9B302EBE10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2'!$B$563:$B$570</c15:sqref>
                        </c15:fullRef>
                        <c15:formulaRef>
                          <c15:sqref>'Hoja 2'!$B$564:$B$570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2'!$D$563:$D$570</c15:sqref>
                        </c15:fullRef>
                        <c15:formulaRef>
                          <c15:sqref>'Hoja 2'!$D$564:$D$570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2.1645021645021644E-2</c:v>
                      </c:pt>
                      <c:pt idx="3">
                        <c:v>5.844155844155844E-2</c:v>
                      </c:pt>
                      <c:pt idx="4">
                        <c:v>3.67965367965368E-2</c:v>
                      </c:pt>
                      <c:pt idx="5">
                        <c:v>6.2770562770562768E-2</c:v>
                      </c:pt>
                      <c:pt idx="6">
                        <c:v>0.82034632034632038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14F-4FD7-B0F6-9B302EBE10EB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D519-43F9-89EB-E887D312886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D519-43F9-89EB-E887D312886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D519-43F9-89EB-E887D312886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519-43F9-89EB-E887D312886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519-43F9-89EB-E887D312886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D519-43F9-89EB-E887D312886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D519-43F9-89EB-E887D31288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2'!$B$577:$B$584</c15:sqref>
                  </c15:fullRef>
                </c:ext>
              </c:extLst>
              <c:f>'Hoja 2'!$B$578:$B$584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2'!$C$577:$C$584</c15:sqref>
                  </c15:fullRef>
                </c:ext>
              </c:extLst>
              <c:f>'Hoja 2'!$C$578:$C$584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14</c:v>
                </c:pt>
                <c:pt idx="3">
                  <c:v>17</c:v>
                </c:pt>
                <c:pt idx="4">
                  <c:v>22</c:v>
                </c:pt>
                <c:pt idx="5">
                  <c:v>30</c:v>
                </c:pt>
                <c:pt idx="6">
                  <c:v>379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2'!$D$577:$D$584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3,03%</c:v>
                  </c:pt>
                  <c:pt idx="4">
                    <c:v>3,68%</c:v>
                  </c:pt>
                  <c:pt idx="5">
                    <c:v>4,76%</c:v>
                  </c:pt>
                  <c:pt idx="6">
                    <c:v>6,49%</c:v>
                  </c:pt>
                  <c:pt idx="7">
                    <c:v>82,03%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D519-43F9-89EB-E887D312886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2'!$B$577:$B$584</c15:sqref>
                        </c15:fullRef>
                        <c15:formulaRef>
                          <c15:sqref>'Hoja 2'!$B$578:$B$584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2'!$D$577:$D$584</c15:sqref>
                        </c15:fullRef>
                        <c15:formulaRef>
                          <c15:sqref>'Hoja 2'!$D$578:$D$584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3.0303030303030304E-2</c:v>
                      </c:pt>
                      <c:pt idx="3">
                        <c:v>3.67965367965368E-2</c:v>
                      </c:pt>
                      <c:pt idx="4">
                        <c:v>4.7619047619047616E-2</c:v>
                      </c:pt>
                      <c:pt idx="5">
                        <c:v>6.4935064935064929E-2</c:v>
                      </c:pt>
                      <c:pt idx="6">
                        <c:v>0.82034632034632038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D519-43F9-89EB-E887D312886F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image" Target="../media/image5.png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11" Type="http://schemas.openxmlformats.org/officeDocument/2006/relationships/image" Target="../media/image4.png"/><Relationship Id="rId5" Type="http://schemas.openxmlformats.org/officeDocument/2006/relationships/chart" Target="../charts/chart4.xml"/><Relationship Id="rId10" Type="http://schemas.openxmlformats.org/officeDocument/2006/relationships/image" Target="../media/image3.png"/><Relationship Id="rId4" Type="http://schemas.openxmlformats.org/officeDocument/2006/relationships/chart" Target="../charts/chart3.xml"/><Relationship Id="rId9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ABC9C14D-B1BB-4EE5-A1BB-495391C5012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491</xdr:row>
      <xdr:rowOff>152399</xdr:rowOff>
    </xdr:from>
    <xdr:to>
      <xdr:col>14</xdr:col>
      <xdr:colOff>371475</xdr:colOff>
      <xdr:row>502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80E5E1C-5EF4-42E7-BC62-9E30838176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28577</xdr:colOff>
      <xdr:row>518</xdr:row>
      <xdr:rowOff>28575</xdr:rowOff>
    </xdr:from>
    <xdr:to>
      <xdr:col>14</xdr:col>
      <xdr:colOff>419101</xdr:colOff>
      <xdr:row>532</xdr:row>
      <xdr:rowOff>104775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D9FAB55-F365-4D35-9582-8F55E9F4DE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19050</xdr:colOff>
      <xdr:row>533</xdr:row>
      <xdr:rowOff>47624</xdr:rowOff>
    </xdr:from>
    <xdr:to>
      <xdr:col>14</xdr:col>
      <xdr:colOff>447676</xdr:colOff>
      <xdr:row>545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E567625-9EC8-48E6-AEBE-590ED0433A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19051</xdr:colOff>
      <xdr:row>506</xdr:row>
      <xdr:rowOff>123824</xdr:rowOff>
    </xdr:from>
    <xdr:to>
      <xdr:col>14</xdr:col>
      <xdr:colOff>419101</xdr:colOff>
      <xdr:row>517</xdr:row>
      <xdr:rowOff>123824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2D9876A1-462C-40DB-BE6C-039CCB4087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1047751</xdr:colOff>
      <xdr:row>546</xdr:row>
      <xdr:rowOff>0</xdr:rowOff>
    </xdr:from>
    <xdr:to>
      <xdr:col>14</xdr:col>
      <xdr:colOff>447676</xdr:colOff>
      <xdr:row>559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A162073D-E43D-4552-9D8D-8C0BEE31C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28576</xdr:colOff>
      <xdr:row>559</xdr:row>
      <xdr:rowOff>123825</xdr:rowOff>
    </xdr:from>
    <xdr:to>
      <xdr:col>14</xdr:col>
      <xdr:colOff>447676</xdr:colOff>
      <xdr:row>571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5D1D64F7-3F94-4F22-9285-E65BBB6787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19050</xdr:colOff>
      <xdr:row>573</xdr:row>
      <xdr:rowOff>76199</xdr:rowOff>
    </xdr:from>
    <xdr:to>
      <xdr:col>14</xdr:col>
      <xdr:colOff>447675</xdr:colOff>
      <xdr:row>586</xdr:row>
      <xdr:rowOff>123825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44161584-28F4-4895-83CD-2FB4FE3EEA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23</xdr:col>
      <xdr:colOff>609600</xdr:colOff>
      <xdr:row>0</xdr:row>
      <xdr:rowOff>0</xdr:rowOff>
    </xdr:from>
    <xdr:to>
      <xdr:col>29</xdr:col>
      <xdr:colOff>437600</xdr:colOff>
      <xdr:row>9</xdr:row>
      <xdr:rowOff>218817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7E75DED-F867-1FA6-9CF0-A901CE6EC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194000" y="0"/>
          <a:ext cx="4400000" cy="2066667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29</xdr:col>
      <xdr:colOff>590000</xdr:colOff>
      <xdr:row>22</xdr:row>
      <xdr:rowOff>66382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122681D-CF64-CDEB-4022-9D9115045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346400" y="2743200"/>
          <a:ext cx="4400000" cy="2342857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0</xdr:row>
      <xdr:rowOff>85725</xdr:rowOff>
    </xdr:from>
    <xdr:to>
      <xdr:col>14</xdr:col>
      <xdr:colOff>304800</xdr:colOff>
      <xdr:row>3</xdr:row>
      <xdr:rowOff>95250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2BBF8DB-9373-ED45-C3C4-1B3F6D9E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382875" y="85725"/>
          <a:ext cx="3733800" cy="466725"/>
        </a:xfrm>
        <a:prstGeom prst="rect">
          <a:avLst/>
        </a:prstGeom>
      </xdr:spPr>
    </xdr:pic>
    <xdr:clientData/>
  </xdr:twoCellAnchor>
  <xdr:twoCellAnchor editAs="oneCell">
    <xdr:from>
      <xdr:col>10</xdr:col>
      <xdr:colOff>800100</xdr:colOff>
      <xdr:row>0</xdr:row>
      <xdr:rowOff>0</xdr:rowOff>
    </xdr:from>
    <xdr:to>
      <xdr:col>15</xdr:col>
      <xdr:colOff>475576</xdr:colOff>
      <xdr:row>6</xdr:row>
      <xdr:rowOff>38100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E4135C7-B114-82D7-B570-4FBFF9D85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420975" y="0"/>
          <a:ext cx="5390476" cy="952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</xdr:row>
      <xdr:rowOff>0</xdr:rowOff>
    </xdr:from>
    <xdr:to>
      <xdr:col>10</xdr:col>
      <xdr:colOff>427905</xdr:colOff>
      <xdr:row>46</xdr:row>
      <xdr:rowOff>28000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52469E-2BEE-F351-5F99-30164F624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4572000"/>
          <a:ext cx="5761905" cy="46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7</xdr:col>
      <xdr:colOff>161524</xdr:colOff>
      <xdr:row>63</xdr:row>
      <xdr:rowOff>94905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590253-F78E-9027-84C9-37E910578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0" y="9715500"/>
          <a:ext cx="3209524" cy="2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6A7B-5D7E-4F90-955F-D716213A3D8F}">
  <sheetPr>
    <pageSetUpPr fitToPage="1"/>
  </sheetPr>
  <dimension ref="A2:S637"/>
  <sheetViews>
    <sheetView tabSelected="1" topLeftCell="A592" workbookViewId="0">
      <selection activeCell="F607" sqref="F607"/>
    </sheetView>
  </sheetViews>
  <sheetFormatPr baseColWidth="10" defaultColWidth="11.42578125" defaultRowHeight="12" x14ac:dyDescent="0.2"/>
  <cols>
    <col min="1" max="1" width="27.42578125" style="14" customWidth="1"/>
    <col min="2" max="2" width="23.28515625" style="14" customWidth="1"/>
    <col min="3" max="3" width="51.28515625" style="14" customWidth="1"/>
    <col min="4" max="5" width="15.7109375" style="14" customWidth="1"/>
    <col min="6" max="6" width="20.140625" style="14" customWidth="1"/>
    <col min="7" max="7" width="17.42578125" style="14" customWidth="1"/>
    <col min="8" max="8" width="16.28515625" style="14" customWidth="1"/>
    <col min="9" max="9" width="15.85546875" style="14" customWidth="1"/>
    <col min="10" max="10" width="13.85546875" style="14" customWidth="1"/>
    <col min="11" max="16" width="17.140625" style="14" customWidth="1"/>
    <col min="17" max="17" width="22" style="14" customWidth="1"/>
    <col min="18" max="18" width="15" style="14" customWidth="1"/>
    <col min="19" max="19" width="14.5703125" style="14" customWidth="1"/>
    <col min="20" max="16384" width="11.42578125" style="14"/>
  </cols>
  <sheetData>
    <row r="2" spans="1:19" x14ac:dyDescent="0.2">
      <c r="D2" s="57"/>
    </row>
    <row r="3" spans="1:19" x14ac:dyDescent="0.2">
      <c r="F3" s="120" t="s">
        <v>0</v>
      </c>
      <c r="G3" s="120"/>
      <c r="H3" s="120"/>
      <c r="I3" s="120"/>
      <c r="J3" s="120"/>
      <c r="Q3" s="14">
        <v>40000</v>
      </c>
      <c r="R3" s="57">
        <f>+Q3*1423500</f>
        <v>56940000000</v>
      </c>
      <c r="S3" s="14" t="s">
        <v>120</v>
      </c>
    </row>
    <row r="4" spans="1:19" x14ac:dyDescent="0.2">
      <c r="D4" s="63"/>
      <c r="F4" s="120" t="s">
        <v>1</v>
      </c>
      <c r="G4" s="120"/>
      <c r="H4" s="120"/>
      <c r="I4" s="120"/>
      <c r="J4" s="120"/>
      <c r="Q4" s="14">
        <v>40001</v>
      </c>
      <c r="R4" s="57">
        <f>+Q4*1423500</f>
        <v>56941423500</v>
      </c>
      <c r="S4" s="14" t="s">
        <v>131</v>
      </c>
    </row>
    <row r="5" spans="1:19" x14ac:dyDescent="0.2">
      <c r="D5" s="63"/>
      <c r="F5" s="120" t="s">
        <v>2</v>
      </c>
      <c r="G5" s="120"/>
      <c r="H5" s="120"/>
      <c r="I5" s="120"/>
      <c r="J5" s="120"/>
    </row>
    <row r="6" spans="1:19" x14ac:dyDescent="0.2">
      <c r="J6" s="57"/>
    </row>
    <row r="7" spans="1:19" ht="12.75" thickBot="1" x14ac:dyDescent="0.25">
      <c r="J7" s="87"/>
    </row>
    <row r="8" spans="1:19" ht="47.25" customHeight="1" thickTop="1" thickBot="1" x14ac:dyDescent="0.3">
      <c r="A8" s="19" t="s">
        <v>3</v>
      </c>
      <c r="B8" s="121" t="s">
        <v>129</v>
      </c>
      <c r="C8" s="122"/>
      <c r="D8" s="122"/>
      <c r="E8" s="122"/>
      <c r="F8" s="123"/>
      <c r="G8" s="19" t="s">
        <v>4</v>
      </c>
      <c r="H8" s="124"/>
      <c r="I8" s="125"/>
      <c r="J8" s="126"/>
      <c r="L8" s="116" t="s">
        <v>94</v>
      </c>
      <c r="M8" s="117"/>
      <c r="N8" s="72" t="s">
        <v>95</v>
      </c>
      <c r="Q8" s="96" t="s">
        <v>113</v>
      </c>
      <c r="R8" s="97"/>
      <c r="S8" s="98"/>
    </row>
    <row r="9" spans="1:19" ht="13.5" customHeight="1" thickTop="1" thickBot="1" x14ac:dyDescent="0.25">
      <c r="A9" s="22"/>
      <c r="B9" s="21" t="s">
        <v>92</v>
      </c>
      <c r="C9" s="21"/>
      <c r="D9" s="21"/>
      <c r="E9" s="21"/>
      <c r="F9" s="21"/>
      <c r="G9" s="22"/>
      <c r="H9" s="21"/>
      <c r="I9" s="21"/>
      <c r="J9" s="21"/>
      <c r="L9" s="69">
        <v>12</v>
      </c>
      <c r="M9" s="69">
        <v>24</v>
      </c>
      <c r="N9" s="71">
        <v>4</v>
      </c>
      <c r="Q9" s="74" t="s">
        <v>96</v>
      </c>
      <c r="R9" s="75" t="s">
        <v>97</v>
      </c>
      <c r="S9" s="76" t="s">
        <v>97</v>
      </c>
    </row>
    <row r="10" spans="1:19" ht="18" customHeight="1" thickTop="1" thickBot="1" x14ac:dyDescent="0.25">
      <c r="A10" s="100" t="s">
        <v>5</v>
      </c>
      <c r="B10" s="101"/>
      <c r="C10" s="101"/>
      <c r="D10" s="101"/>
      <c r="E10" s="101"/>
      <c r="F10" s="101"/>
      <c r="G10" s="101"/>
      <c r="H10" s="101"/>
      <c r="I10" s="39"/>
      <c r="L10" s="69">
        <v>24</v>
      </c>
      <c r="M10" s="69">
        <v>36</v>
      </c>
      <c r="N10" s="71">
        <v>8</v>
      </c>
      <c r="Q10" s="77"/>
      <c r="R10" s="78" t="s">
        <v>98</v>
      </c>
      <c r="S10" s="79" t="s">
        <v>98</v>
      </c>
    </row>
    <row r="11" spans="1:19" ht="39" customHeight="1" thickTop="1" thickBot="1" x14ac:dyDescent="0.25">
      <c r="A11" s="20" t="s">
        <v>6</v>
      </c>
      <c r="B11" s="23">
        <v>58516871781</v>
      </c>
      <c r="C11" s="20" t="s">
        <v>7</v>
      </c>
      <c r="D11" s="24">
        <v>10</v>
      </c>
      <c r="E11" s="20" t="s">
        <v>119</v>
      </c>
      <c r="F11" s="23">
        <f>ROUND(((B11-(B11*F635))*33%)*1,-3)</f>
        <v>15448454000</v>
      </c>
      <c r="G11" s="20" t="s">
        <v>130</v>
      </c>
      <c r="H11" s="23">
        <v>0</v>
      </c>
      <c r="J11" s="86"/>
      <c r="L11" s="69">
        <v>36</v>
      </c>
      <c r="M11" s="69">
        <v>48</v>
      </c>
      <c r="N11" s="71">
        <v>12</v>
      </c>
      <c r="Q11" s="80" t="s">
        <v>99</v>
      </c>
      <c r="R11" s="81" t="s">
        <v>105</v>
      </c>
      <c r="S11" s="82" t="s">
        <v>106</v>
      </c>
    </row>
    <row r="12" spans="1:19" ht="13.5" thickTop="1" thickBot="1" x14ac:dyDescent="0.25">
      <c r="L12" s="69">
        <v>48</v>
      </c>
      <c r="M12" s="69">
        <v>60</v>
      </c>
      <c r="N12" s="71">
        <v>16</v>
      </c>
      <c r="Q12" s="80" t="s">
        <v>100</v>
      </c>
      <c r="R12" s="81" t="s">
        <v>107</v>
      </c>
      <c r="S12" s="82" t="s">
        <v>108</v>
      </c>
    </row>
    <row r="13" spans="1:19" ht="25.5" thickTop="1" thickBot="1" x14ac:dyDescent="0.25">
      <c r="A13" s="105" t="s">
        <v>8</v>
      </c>
      <c r="B13" s="106"/>
      <c r="C13" s="106"/>
      <c r="D13" s="106"/>
      <c r="E13" s="106"/>
      <c r="F13" s="106"/>
      <c r="G13" s="106"/>
      <c r="H13" s="106"/>
      <c r="I13" s="106"/>
      <c r="J13" s="107"/>
      <c r="L13" s="69">
        <v>60</v>
      </c>
      <c r="M13" s="69">
        <v>72</v>
      </c>
      <c r="N13" s="71">
        <v>20</v>
      </c>
      <c r="Q13" s="83" t="s">
        <v>101</v>
      </c>
      <c r="R13" s="81" t="s">
        <v>109</v>
      </c>
      <c r="S13" s="82" t="s">
        <v>110</v>
      </c>
    </row>
    <row r="14" spans="1:19" ht="12.75" thickTop="1" x14ac:dyDescent="0.2">
      <c r="L14" s="69">
        <v>72</v>
      </c>
      <c r="M14" s="69">
        <v>84</v>
      </c>
      <c r="N14" s="71">
        <v>24</v>
      </c>
      <c r="Q14" s="80" t="s">
        <v>102</v>
      </c>
      <c r="R14" s="81"/>
      <c r="S14" s="82"/>
    </row>
    <row r="15" spans="1:19" x14ac:dyDescent="0.2">
      <c r="A15" s="15" t="s">
        <v>9</v>
      </c>
      <c r="F15" s="18"/>
      <c r="H15" s="18"/>
      <c r="L15" s="69">
        <v>84</v>
      </c>
      <c r="M15" s="69">
        <v>96</v>
      </c>
      <c r="N15" s="71">
        <v>28</v>
      </c>
      <c r="Q15" s="80" t="s">
        <v>103</v>
      </c>
      <c r="R15" s="81"/>
      <c r="S15" s="82"/>
    </row>
    <row r="16" spans="1:19" ht="14.25" x14ac:dyDescent="0.2">
      <c r="A16" s="15" t="s">
        <v>10</v>
      </c>
      <c r="D16" s="84"/>
      <c r="E16" s="14">
        <f>+B11*33%</f>
        <v>19310567687.73</v>
      </c>
      <c r="L16" s="69">
        <v>96</v>
      </c>
      <c r="M16" s="69">
        <v>108</v>
      </c>
      <c r="N16" s="71">
        <v>32</v>
      </c>
      <c r="Q16" s="80" t="s">
        <v>104</v>
      </c>
      <c r="R16" s="81" t="s">
        <v>111</v>
      </c>
      <c r="S16" s="82" t="s">
        <v>112</v>
      </c>
    </row>
    <row r="17" spans="1:19" x14ac:dyDescent="0.2">
      <c r="A17" s="15" t="s">
        <v>11</v>
      </c>
      <c r="D17" s="63"/>
      <c r="L17" s="69">
        <v>108</v>
      </c>
      <c r="M17" s="69">
        <v>120</v>
      </c>
      <c r="N17" s="71">
        <v>36</v>
      </c>
      <c r="Q17" s="80" t="s">
        <v>114</v>
      </c>
      <c r="R17" s="81" t="s">
        <v>115</v>
      </c>
      <c r="S17" s="82" t="s">
        <v>111</v>
      </c>
    </row>
    <row r="18" spans="1:19" ht="21" customHeight="1" thickBot="1" x14ac:dyDescent="0.25">
      <c r="L18" s="69">
        <v>120</v>
      </c>
      <c r="M18" s="70"/>
      <c r="N18" s="71">
        <v>40</v>
      </c>
    </row>
    <row r="19" spans="1:19" ht="36.75" customHeight="1" thickTop="1" thickBot="1" x14ac:dyDescent="0.3">
      <c r="A19" s="11" t="s">
        <v>12</v>
      </c>
      <c r="B19" s="11" t="s">
        <v>13</v>
      </c>
      <c r="C19" s="11" t="s">
        <v>14</v>
      </c>
      <c r="D19" s="12" t="s">
        <v>15</v>
      </c>
      <c r="E19" s="12" t="s">
        <v>16</v>
      </c>
      <c r="F19" s="12" t="s">
        <v>17</v>
      </c>
      <c r="G19" s="12" t="s">
        <v>18</v>
      </c>
      <c r="H19" s="12" t="s">
        <v>19</v>
      </c>
      <c r="I19" s="12" t="s">
        <v>20</v>
      </c>
      <c r="J19" s="12" t="s">
        <v>21</v>
      </c>
      <c r="L19" s="73"/>
      <c r="M19" s="73"/>
      <c r="N19" s="73"/>
      <c r="O19" s="73"/>
      <c r="Q19" s="96" t="s">
        <v>116</v>
      </c>
      <c r="R19" s="97"/>
      <c r="S19" s="98"/>
    </row>
    <row r="20" spans="1:19" ht="15" customHeight="1" x14ac:dyDescent="0.25">
      <c r="A20" s="62">
        <v>800061409</v>
      </c>
      <c r="B20" t="s">
        <v>141</v>
      </c>
      <c r="C20" t="s">
        <v>142</v>
      </c>
      <c r="D20" s="43">
        <v>7.4368709289511612</v>
      </c>
      <c r="E20" s="47">
        <v>8837547</v>
      </c>
      <c r="F20" s="49">
        <v>0.25352938193045033</v>
      </c>
      <c r="G20" s="48">
        <v>8359820</v>
      </c>
      <c r="H20" s="49">
        <v>6.1324328108402729E-2</v>
      </c>
      <c r="I20" s="49">
        <v>8.2152366916991029E-2</v>
      </c>
      <c r="J20" s="46">
        <v>3.9361022913538357</v>
      </c>
      <c r="L20" s="85"/>
      <c r="M20" s="73"/>
      <c r="N20" s="73"/>
      <c r="O20" s="73"/>
      <c r="Q20" s="74" t="s">
        <v>96</v>
      </c>
      <c r="R20" s="75" t="s">
        <v>97</v>
      </c>
      <c r="S20" s="76" t="s">
        <v>97</v>
      </c>
    </row>
    <row r="21" spans="1:19" ht="15" customHeight="1" x14ac:dyDescent="0.25">
      <c r="A21" s="62">
        <v>800068234</v>
      </c>
      <c r="B21" t="s">
        <v>143</v>
      </c>
      <c r="C21" t="s">
        <v>142</v>
      </c>
      <c r="D21" s="43">
        <v>2.1960889544946101</v>
      </c>
      <c r="E21" s="47">
        <v>10316583</v>
      </c>
      <c r="F21" s="49">
        <v>0.58234708748668707</v>
      </c>
      <c r="G21" s="48">
        <v>11924879</v>
      </c>
      <c r="H21" s="49">
        <v>0.18183808162523232</v>
      </c>
      <c r="I21" s="49">
        <v>0.43538085375960628</v>
      </c>
      <c r="J21" s="46">
        <v>5.5660948190650172</v>
      </c>
      <c r="L21" s="85"/>
      <c r="M21" s="73"/>
      <c r="N21" s="73"/>
      <c r="O21" s="73"/>
      <c r="Q21" s="74"/>
      <c r="R21" s="75"/>
      <c r="S21" s="76"/>
    </row>
    <row r="22" spans="1:19" ht="15" customHeight="1" x14ac:dyDescent="0.25">
      <c r="A22" s="62">
        <v>800072172</v>
      </c>
      <c r="B22" t="s">
        <v>144</v>
      </c>
      <c r="C22" t="s">
        <v>142</v>
      </c>
      <c r="D22" s="43">
        <v>2.0917703741318872</v>
      </c>
      <c r="E22" s="47">
        <v>19136978</v>
      </c>
      <c r="F22" s="49">
        <v>0.47739269981855503</v>
      </c>
      <c r="G22" s="48">
        <v>19188532</v>
      </c>
      <c r="H22" s="49">
        <v>0.15309158667789238</v>
      </c>
      <c r="I22" s="49">
        <v>0.29293809448268371</v>
      </c>
      <c r="J22" s="46">
        <v>10.596861126035687</v>
      </c>
      <c r="L22" s="85"/>
      <c r="M22" s="73"/>
      <c r="N22" s="73"/>
      <c r="O22" s="73"/>
      <c r="Q22" s="74"/>
      <c r="R22" s="75"/>
      <c r="S22" s="76"/>
    </row>
    <row r="23" spans="1:19" ht="15" customHeight="1" x14ac:dyDescent="0.25">
      <c r="A23" s="62">
        <v>800122811</v>
      </c>
      <c r="B23" t="s">
        <v>145</v>
      </c>
      <c r="C23" t="s">
        <v>142</v>
      </c>
      <c r="D23" s="43">
        <v>1.2215067534041963</v>
      </c>
      <c r="E23" s="47">
        <v>9313321</v>
      </c>
      <c r="F23" s="49">
        <v>0.52974205535875074</v>
      </c>
      <c r="G23" s="48">
        <v>52541638</v>
      </c>
      <c r="H23" s="49">
        <v>0.24343043102352649</v>
      </c>
      <c r="I23" s="49">
        <v>0.51765298980591357</v>
      </c>
      <c r="J23" s="46">
        <v>1.8420215472816939</v>
      </c>
      <c r="L23" s="85"/>
      <c r="M23" s="73"/>
      <c r="N23" s="73"/>
      <c r="O23" s="73"/>
      <c r="Q23" s="74"/>
      <c r="R23" s="75"/>
      <c r="S23" s="76"/>
    </row>
    <row r="24" spans="1:19" ht="15" customHeight="1" x14ac:dyDescent="0.25">
      <c r="A24" s="62">
        <v>800129789</v>
      </c>
      <c r="B24" t="s">
        <v>146</v>
      </c>
      <c r="C24" t="s">
        <v>142</v>
      </c>
      <c r="D24" s="43">
        <v>8.4659768549224186</v>
      </c>
      <c r="E24" s="47">
        <v>5020526</v>
      </c>
      <c r="F24" s="49">
        <v>0.53298531288261153</v>
      </c>
      <c r="G24" s="48">
        <v>2712015</v>
      </c>
      <c r="H24" s="49">
        <v>0.11757942391508371</v>
      </c>
      <c r="I24" s="49">
        <v>0.25176815024990645</v>
      </c>
      <c r="J24" s="46">
        <v>15.413417910110837</v>
      </c>
      <c r="L24" s="85"/>
      <c r="M24" s="73"/>
      <c r="N24" s="73"/>
      <c r="O24" s="73"/>
      <c r="Q24" s="74"/>
      <c r="R24" s="75"/>
      <c r="S24" s="76"/>
    </row>
    <row r="25" spans="1:19" ht="15" customHeight="1" x14ac:dyDescent="0.25">
      <c r="A25" s="62">
        <v>800252997</v>
      </c>
      <c r="B25" t="s">
        <v>148</v>
      </c>
      <c r="C25" t="s">
        <v>142</v>
      </c>
      <c r="D25" s="43">
        <v>2.965372719539999</v>
      </c>
      <c r="E25" s="47">
        <v>13533020</v>
      </c>
      <c r="F25" s="49">
        <v>0.48218866494962304</v>
      </c>
      <c r="G25" s="48">
        <v>13135447</v>
      </c>
      <c r="H25" s="49">
        <v>7.1716853761612659E-2</v>
      </c>
      <c r="I25" s="49">
        <v>0.13849996882481427</v>
      </c>
      <c r="J25" s="46">
        <v>8.2175511660576284</v>
      </c>
      <c r="L25" s="85"/>
      <c r="M25" s="73"/>
      <c r="N25" s="73"/>
      <c r="O25" s="73"/>
      <c r="Q25" s="74"/>
      <c r="R25" s="75"/>
      <c r="S25" s="76"/>
    </row>
    <row r="26" spans="1:19" ht="15" customHeight="1" x14ac:dyDescent="0.25">
      <c r="A26" s="62">
        <v>804010786</v>
      </c>
      <c r="B26" t="s">
        <v>149</v>
      </c>
      <c r="C26" t="s">
        <v>142</v>
      </c>
      <c r="D26" s="43">
        <v>3.8444328411075692</v>
      </c>
      <c r="E26" s="47">
        <v>7452232</v>
      </c>
      <c r="F26" s="49">
        <v>0.56194762497388973</v>
      </c>
      <c r="G26" s="48">
        <v>8734530</v>
      </c>
      <c r="H26" s="49">
        <v>8.7009405718759258E-2</v>
      </c>
      <c r="I26" s="49">
        <v>0.19862785977035971</v>
      </c>
      <c r="J26" s="46">
        <v>3.3656939659186142</v>
      </c>
      <c r="L26" s="85"/>
      <c r="M26" s="73"/>
      <c r="N26" s="73"/>
      <c r="O26" s="73"/>
      <c r="Q26" s="74"/>
      <c r="R26" s="75"/>
      <c r="S26" s="76"/>
    </row>
    <row r="27" spans="1:19" ht="15" customHeight="1" x14ac:dyDescent="0.25">
      <c r="A27" s="62">
        <v>804011804</v>
      </c>
      <c r="B27" t="s">
        <v>150</v>
      </c>
      <c r="C27" t="s">
        <v>142</v>
      </c>
      <c r="D27" s="43">
        <v>2.1201795683219733</v>
      </c>
      <c r="E27" s="47">
        <v>13805093</v>
      </c>
      <c r="F27" s="49">
        <v>0.61841654397520773</v>
      </c>
      <c r="G27" s="48">
        <v>23912310</v>
      </c>
      <c r="H27" s="49">
        <v>0.1520484719601472</v>
      </c>
      <c r="I27" s="49">
        <v>0.39846714934692634</v>
      </c>
      <c r="J27" s="46">
        <v>2.9882552477236684</v>
      </c>
      <c r="L27" s="85"/>
      <c r="M27" s="73"/>
      <c r="N27" s="73"/>
      <c r="O27" s="73"/>
      <c r="Q27" s="74"/>
      <c r="R27" s="75"/>
      <c r="S27" s="76"/>
    </row>
    <row r="28" spans="1:19" ht="15" customHeight="1" x14ac:dyDescent="0.25">
      <c r="A28" s="62">
        <v>811026400</v>
      </c>
      <c r="B28" t="s">
        <v>151</v>
      </c>
      <c r="C28" t="s">
        <v>147</v>
      </c>
      <c r="D28" s="43">
        <v>9.1121379995365128</v>
      </c>
      <c r="E28" s="47">
        <v>49426835</v>
      </c>
      <c r="F28" s="49">
        <v>0.81754229358652897</v>
      </c>
      <c r="G28" s="48">
        <v>12379206</v>
      </c>
      <c r="H28" s="49">
        <v>1.9700211014522694E-2</v>
      </c>
      <c r="I28" s="49">
        <v>0.10797138362508872</v>
      </c>
      <c r="J28" s="46">
        <v>1.2902764933362423</v>
      </c>
      <c r="L28" s="85"/>
      <c r="M28" s="73"/>
      <c r="N28" s="73"/>
      <c r="O28" s="73"/>
      <c r="Q28" s="74"/>
      <c r="R28" s="75"/>
      <c r="S28" s="76"/>
    </row>
    <row r="29" spans="1:19" ht="15" customHeight="1" x14ac:dyDescent="0.25">
      <c r="A29" s="62">
        <v>813008777</v>
      </c>
      <c r="B29" t="s">
        <v>152</v>
      </c>
      <c r="C29" t="s">
        <v>142</v>
      </c>
      <c r="D29" s="43">
        <v>1.4315208708291722</v>
      </c>
      <c r="E29" s="47">
        <v>6919246</v>
      </c>
      <c r="F29" s="49">
        <v>0.65942158925955763</v>
      </c>
      <c r="G29" s="48">
        <v>11467976</v>
      </c>
      <c r="H29" s="49">
        <v>0.185837764950393</v>
      </c>
      <c r="I29" s="49">
        <v>0.54565339167085802</v>
      </c>
      <c r="J29" s="46">
        <v>3.6108261194210711</v>
      </c>
      <c r="L29" s="85"/>
      <c r="M29" s="73"/>
      <c r="N29" s="73"/>
      <c r="O29" s="73"/>
      <c r="Q29" s="74"/>
      <c r="R29" s="75"/>
      <c r="S29" s="76"/>
    </row>
    <row r="30" spans="1:19" ht="15" customHeight="1" x14ac:dyDescent="0.25">
      <c r="A30" s="62">
        <v>820000836</v>
      </c>
      <c r="B30" t="s">
        <v>153</v>
      </c>
      <c r="C30" t="s">
        <v>142</v>
      </c>
      <c r="D30" s="43">
        <v>7.2841278889522263</v>
      </c>
      <c r="E30" s="47">
        <v>9425532</v>
      </c>
      <c r="F30" s="49">
        <v>0.33207571744316927</v>
      </c>
      <c r="G30" s="48">
        <v>8635921</v>
      </c>
      <c r="H30" s="49">
        <v>0.15950279867939116</v>
      </c>
      <c r="I30" s="49">
        <v>0.23880371300293274</v>
      </c>
      <c r="J30" s="46">
        <v>14.314003123373244</v>
      </c>
      <c r="L30" s="85"/>
      <c r="M30" s="73"/>
      <c r="N30" s="73"/>
      <c r="O30" s="73"/>
      <c r="Q30" s="74"/>
      <c r="R30" s="75"/>
      <c r="S30" s="76"/>
    </row>
    <row r="31" spans="1:19" ht="15" customHeight="1" x14ac:dyDescent="0.25">
      <c r="A31" s="62">
        <v>822007239</v>
      </c>
      <c r="B31" t="s">
        <v>154</v>
      </c>
      <c r="C31" t="s">
        <v>142</v>
      </c>
      <c r="D31" s="43">
        <v>9.8517112529526525</v>
      </c>
      <c r="E31" s="47">
        <v>9814326</v>
      </c>
      <c r="F31" s="49">
        <v>0.66792460991609803</v>
      </c>
      <c r="G31" s="48">
        <v>3853885</v>
      </c>
      <c r="H31" s="49">
        <v>0.11047032032875582</v>
      </c>
      <c r="I31" s="49">
        <v>0.3326663872948985</v>
      </c>
      <c r="J31" s="46"/>
      <c r="L31" s="85"/>
      <c r="M31" s="73"/>
      <c r="N31" s="73"/>
      <c r="O31" s="73"/>
      <c r="Q31" s="74"/>
      <c r="R31" s="75"/>
      <c r="S31" s="76"/>
    </row>
    <row r="32" spans="1:19" ht="15" customHeight="1" x14ac:dyDescent="0.25">
      <c r="A32" s="62">
        <v>830013009</v>
      </c>
      <c r="B32" t="s">
        <v>155</v>
      </c>
      <c r="C32" t="s">
        <v>142</v>
      </c>
      <c r="D32" s="43">
        <v>3.7427546419792947</v>
      </c>
      <c r="E32" s="47">
        <v>5130723</v>
      </c>
      <c r="F32" s="49">
        <v>0.2707516562242554</v>
      </c>
      <c r="G32" s="48">
        <v>7019606</v>
      </c>
      <c r="H32" s="49">
        <v>0.16836629852448781</v>
      </c>
      <c r="I32" s="49">
        <v>0.23087649078879927</v>
      </c>
      <c r="J32" s="46">
        <v>8.9091908591658466</v>
      </c>
      <c r="L32" s="85"/>
      <c r="M32" s="73"/>
      <c r="N32" s="73"/>
      <c r="O32" s="73"/>
      <c r="Q32" s="74"/>
      <c r="R32" s="75"/>
      <c r="S32" s="76"/>
    </row>
    <row r="33" spans="1:19" ht="15" customHeight="1" x14ac:dyDescent="0.25">
      <c r="A33" s="62">
        <v>830013230</v>
      </c>
      <c r="B33" t="s">
        <v>156</v>
      </c>
      <c r="C33" t="s">
        <v>142</v>
      </c>
      <c r="D33" s="43">
        <v>2.6014194485616406</v>
      </c>
      <c r="E33" s="47">
        <v>10699607</v>
      </c>
      <c r="F33" s="49">
        <v>0.49912845968400105</v>
      </c>
      <c r="G33" s="48">
        <v>8926480</v>
      </c>
      <c r="H33" s="49">
        <v>0.13907062071682053</v>
      </c>
      <c r="I33" s="49">
        <v>0.27765726243715327</v>
      </c>
      <c r="J33" s="46">
        <v>12.03384135831541</v>
      </c>
      <c r="L33" s="85"/>
      <c r="M33" s="73"/>
      <c r="N33" s="73"/>
      <c r="O33" s="73"/>
      <c r="Q33" s="74"/>
      <c r="R33" s="75"/>
      <c r="S33" s="76"/>
    </row>
    <row r="34" spans="1:19" ht="15" customHeight="1" x14ac:dyDescent="0.25">
      <c r="A34" s="62">
        <v>830031757</v>
      </c>
      <c r="B34" t="s">
        <v>157</v>
      </c>
      <c r="C34" t="s">
        <v>158</v>
      </c>
      <c r="D34" s="43">
        <v>1.7771810444176073</v>
      </c>
      <c r="E34" s="47">
        <v>43624794</v>
      </c>
      <c r="F34" s="49">
        <v>0.54267939074259275</v>
      </c>
      <c r="G34" s="48">
        <v>65211287</v>
      </c>
      <c r="H34" s="49">
        <v>5.9924136489519615E-2</v>
      </c>
      <c r="I34" s="49">
        <v>0.13103309861067455</v>
      </c>
      <c r="J34" s="46">
        <v>1.6129905887896054</v>
      </c>
      <c r="L34" s="85"/>
      <c r="M34" s="73"/>
      <c r="N34" s="73"/>
      <c r="O34" s="73"/>
      <c r="Q34" s="74"/>
      <c r="R34" s="75"/>
      <c r="S34" s="76"/>
    </row>
    <row r="35" spans="1:19" ht="15" customHeight="1" x14ac:dyDescent="0.25">
      <c r="A35" s="62">
        <v>830058737</v>
      </c>
      <c r="B35" t="s">
        <v>159</v>
      </c>
      <c r="C35" t="s">
        <v>142</v>
      </c>
      <c r="D35" s="43">
        <v>1.8643837544405382</v>
      </c>
      <c r="E35" s="47">
        <v>19026791</v>
      </c>
      <c r="F35" s="49">
        <v>0.5001834400153593</v>
      </c>
      <c r="G35" s="48">
        <v>22503187</v>
      </c>
      <c r="H35" s="49">
        <v>0.28470450099029621</v>
      </c>
      <c r="I35" s="49">
        <v>0.56961798344385617</v>
      </c>
      <c r="J35" s="46">
        <v>6.2974313523965986</v>
      </c>
      <c r="L35" s="85"/>
      <c r="M35" s="73"/>
      <c r="N35" s="73"/>
      <c r="O35" s="73"/>
      <c r="Q35" s="74"/>
      <c r="R35" s="75"/>
      <c r="S35" s="76"/>
    </row>
    <row r="36" spans="1:19" ht="15" customHeight="1" x14ac:dyDescent="0.25">
      <c r="A36" s="62">
        <v>830061474</v>
      </c>
      <c r="B36" t="s">
        <v>160</v>
      </c>
      <c r="C36" t="s">
        <v>158</v>
      </c>
      <c r="D36" s="43">
        <v>2.5681391937396119</v>
      </c>
      <c r="E36" s="47">
        <v>13656493</v>
      </c>
      <c r="F36" s="49">
        <v>0.28513297033712404</v>
      </c>
      <c r="G36" s="48">
        <v>22013408</v>
      </c>
      <c r="H36" s="49">
        <v>0.17835876222774066</v>
      </c>
      <c r="I36" s="49">
        <v>0.24949921429703206</v>
      </c>
      <c r="J36" s="46">
        <v>16.102472690171979</v>
      </c>
      <c r="L36" s="85"/>
      <c r="M36" s="73"/>
      <c r="N36" s="73"/>
      <c r="O36" s="73"/>
      <c r="Q36" s="74"/>
      <c r="R36" s="75"/>
      <c r="S36" s="76"/>
    </row>
    <row r="37" spans="1:19" ht="15" customHeight="1" x14ac:dyDescent="0.25">
      <c r="A37" s="62">
        <v>830067768</v>
      </c>
      <c r="B37" t="s">
        <v>161</v>
      </c>
      <c r="C37" t="s">
        <v>142</v>
      </c>
      <c r="D37" s="43">
        <v>2.5415908320676799</v>
      </c>
      <c r="E37" s="47">
        <v>5035497</v>
      </c>
      <c r="F37" s="49">
        <v>0.58243848941356058</v>
      </c>
      <c r="G37" s="48">
        <v>4440223</v>
      </c>
      <c r="H37" s="49">
        <v>8.3544219517988946E-2</v>
      </c>
      <c r="I37" s="49">
        <v>0.20007643760234564</v>
      </c>
      <c r="J37" s="46">
        <v>3.530895895517939</v>
      </c>
      <c r="L37" s="85"/>
      <c r="M37" s="73"/>
      <c r="N37" s="73"/>
      <c r="O37" s="73"/>
      <c r="Q37" s="74"/>
      <c r="R37" s="75"/>
      <c r="S37" s="76"/>
    </row>
    <row r="38" spans="1:19" ht="15" customHeight="1" x14ac:dyDescent="0.25">
      <c r="A38" s="62">
        <v>830083351</v>
      </c>
      <c r="B38" t="s">
        <v>162</v>
      </c>
      <c r="C38" t="s">
        <v>158</v>
      </c>
      <c r="D38" s="43">
        <v>121.08608197626276</v>
      </c>
      <c r="E38" s="47">
        <v>6961150</v>
      </c>
      <c r="F38" s="49">
        <v>7.0230388671193827E-2</v>
      </c>
      <c r="G38" s="48">
        <v>55059717</v>
      </c>
      <c r="H38" s="49">
        <v>3.6015045728739557E-2</v>
      </c>
      <c r="I38" s="49">
        <v>3.8735451546182117E-2</v>
      </c>
      <c r="J38" s="46">
        <v>4.481470119161937</v>
      </c>
      <c r="L38" s="85"/>
      <c r="M38" s="73"/>
      <c r="N38" s="73"/>
      <c r="O38" s="73"/>
      <c r="Q38" s="74"/>
      <c r="R38" s="75"/>
      <c r="S38" s="76"/>
    </row>
    <row r="39" spans="1:19" ht="15" customHeight="1" x14ac:dyDescent="0.25">
      <c r="A39" s="62">
        <v>830116500</v>
      </c>
      <c r="B39" t="s">
        <v>163</v>
      </c>
      <c r="C39" t="s">
        <v>142</v>
      </c>
      <c r="D39" s="43">
        <v>3.4030446325520702</v>
      </c>
      <c r="E39" s="47">
        <v>14430742</v>
      </c>
      <c r="F39" s="49">
        <v>0.22559800659398516</v>
      </c>
      <c r="G39" s="48">
        <v>21892349</v>
      </c>
      <c r="H39" s="49">
        <v>0.44508140535944701</v>
      </c>
      <c r="I39" s="49">
        <v>0.57474207084858731</v>
      </c>
      <c r="J39" s="46">
        <v>141.64485371097928</v>
      </c>
      <c r="L39" s="85"/>
      <c r="M39" s="73"/>
      <c r="N39" s="73"/>
      <c r="O39" s="73"/>
      <c r="Q39" s="74"/>
      <c r="R39" s="75"/>
      <c r="S39" s="76"/>
    </row>
    <row r="40" spans="1:19" ht="15" customHeight="1" x14ac:dyDescent="0.25">
      <c r="A40" s="62">
        <v>830515117</v>
      </c>
      <c r="B40" t="s">
        <v>164</v>
      </c>
      <c r="C40" t="s">
        <v>142</v>
      </c>
      <c r="D40" s="43">
        <v>19.585027180171654</v>
      </c>
      <c r="E40" s="47">
        <v>13395084</v>
      </c>
      <c r="F40" s="49">
        <v>0.28196440336752049</v>
      </c>
      <c r="G40" s="48">
        <v>16327657</v>
      </c>
      <c r="H40" s="49">
        <v>3.9844864464415902E-2</v>
      </c>
      <c r="I40" s="49">
        <v>5.5491489072804503E-2</v>
      </c>
      <c r="J40" s="46">
        <v>1.1276171274603144</v>
      </c>
      <c r="L40" s="85"/>
      <c r="M40" s="73"/>
      <c r="N40" s="73"/>
      <c r="O40" s="73"/>
      <c r="Q40" s="74"/>
      <c r="R40" s="75"/>
      <c r="S40" s="76"/>
    </row>
    <row r="41" spans="1:19" ht="15" customHeight="1" x14ac:dyDescent="0.25">
      <c r="A41" s="62">
        <v>860009250</v>
      </c>
      <c r="B41" t="s">
        <v>165</v>
      </c>
      <c r="C41" t="s">
        <v>142</v>
      </c>
      <c r="D41" s="43">
        <v>2.3663030068169579</v>
      </c>
      <c r="E41" s="47">
        <v>8927223</v>
      </c>
      <c r="F41" s="49">
        <v>0.33358295606995514</v>
      </c>
      <c r="G41" s="48">
        <v>13053038</v>
      </c>
      <c r="H41" s="49">
        <v>6.427732711638616E-2</v>
      </c>
      <c r="I41" s="49">
        <v>9.6452105632420584E-2</v>
      </c>
      <c r="J41" s="46">
        <v>28.966339959506719</v>
      </c>
      <c r="L41" s="85"/>
      <c r="M41" s="73"/>
      <c r="N41" s="73"/>
      <c r="O41" s="73"/>
      <c r="Q41" s="74"/>
      <c r="R41" s="75"/>
      <c r="S41" s="76"/>
    </row>
    <row r="42" spans="1:19" ht="15" customHeight="1" x14ac:dyDescent="0.25">
      <c r="A42" s="62">
        <v>860027091</v>
      </c>
      <c r="B42" t="s">
        <v>166</v>
      </c>
      <c r="C42" t="s">
        <v>142</v>
      </c>
      <c r="D42" s="43">
        <v>2.4355862438815388</v>
      </c>
      <c r="E42" s="47">
        <v>9026583</v>
      </c>
      <c r="F42" s="49">
        <v>0.54698823174434408</v>
      </c>
      <c r="G42" s="48">
        <v>9584794</v>
      </c>
      <c r="H42" s="49">
        <v>0.16223690250315531</v>
      </c>
      <c r="I42" s="49">
        <v>0.3581295539580715</v>
      </c>
      <c r="J42" s="46">
        <v>803.51076779026221</v>
      </c>
      <c r="L42" s="85"/>
      <c r="M42" s="73"/>
      <c r="N42" s="73"/>
      <c r="O42" s="73"/>
      <c r="Q42" s="74"/>
      <c r="R42" s="75"/>
      <c r="S42" s="76"/>
    </row>
    <row r="43" spans="1:19" ht="15" customHeight="1" x14ac:dyDescent="0.25">
      <c r="A43" s="62">
        <v>860032057</v>
      </c>
      <c r="B43" t="s">
        <v>167</v>
      </c>
      <c r="C43" t="s">
        <v>142</v>
      </c>
      <c r="D43" s="43">
        <v>1.3344012751900074</v>
      </c>
      <c r="E43" s="47">
        <v>11455746</v>
      </c>
      <c r="F43" s="49">
        <v>0.52379389769342655</v>
      </c>
      <c r="G43" s="48">
        <v>31965387</v>
      </c>
      <c r="H43" s="49">
        <v>0.1504376827091978</v>
      </c>
      <c r="I43" s="49">
        <v>0.31590876719246352</v>
      </c>
      <c r="J43" s="46">
        <v>21.065101026747161</v>
      </c>
      <c r="L43" s="85"/>
      <c r="M43" s="73"/>
      <c r="N43" s="73"/>
      <c r="O43" s="73"/>
      <c r="Q43" s="74"/>
      <c r="R43" s="75"/>
      <c r="S43" s="76"/>
    </row>
    <row r="44" spans="1:19" ht="15" customHeight="1" x14ac:dyDescent="0.25">
      <c r="A44" s="62">
        <v>860046645</v>
      </c>
      <c r="B44" t="s">
        <v>168</v>
      </c>
      <c r="C44" t="s">
        <v>158</v>
      </c>
      <c r="D44" s="43">
        <v>2.2070930634884345</v>
      </c>
      <c r="E44" s="47">
        <v>32172818</v>
      </c>
      <c r="F44" s="49">
        <v>0.59379705575123354</v>
      </c>
      <c r="G44" s="48">
        <v>29048755</v>
      </c>
      <c r="H44" s="49">
        <v>3.8921363444427537E-2</v>
      </c>
      <c r="I44" s="49">
        <v>9.5817531594727556E-2</v>
      </c>
      <c r="J44" s="46">
        <v>7.274623315865818</v>
      </c>
      <c r="L44" s="85"/>
      <c r="M44" s="73"/>
      <c r="N44" s="73"/>
      <c r="O44" s="73"/>
      <c r="Q44" s="74"/>
      <c r="R44" s="75"/>
      <c r="S44" s="76"/>
    </row>
    <row r="45" spans="1:19" ht="15" customHeight="1" x14ac:dyDescent="0.25">
      <c r="A45" s="62">
        <v>860077758</v>
      </c>
      <c r="B45" t="s">
        <v>169</v>
      </c>
      <c r="C45" t="s">
        <v>158</v>
      </c>
      <c r="D45" s="43">
        <v>21.550308036607003</v>
      </c>
      <c r="E45" s="47">
        <v>19320331</v>
      </c>
      <c r="F45" s="49">
        <v>7.4390212167713368E-2</v>
      </c>
      <c r="G45" s="48">
        <v>51896089</v>
      </c>
      <c r="H45" s="49">
        <v>7.8400580563379979E-2</v>
      </c>
      <c r="I45" s="49">
        <v>8.4701546584753235E-2</v>
      </c>
      <c r="J45" s="46">
        <v>14.045677347614362</v>
      </c>
      <c r="L45" s="85"/>
      <c r="M45" s="73"/>
      <c r="N45" s="73"/>
      <c r="O45" s="73"/>
      <c r="Q45" s="74"/>
      <c r="R45" s="75"/>
      <c r="S45" s="76"/>
    </row>
    <row r="46" spans="1:19" ht="15" customHeight="1" x14ac:dyDescent="0.25">
      <c r="A46" s="62">
        <v>860353765</v>
      </c>
      <c r="B46" t="s">
        <v>170</v>
      </c>
      <c r="C46" t="s">
        <v>158</v>
      </c>
      <c r="D46" s="43">
        <v>1.6924672125185074</v>
      </c>
      <c r="E46" s="47">
        <v>7339523</v>
      </c>
      <c r="F46" s="49">
        <v>0.57184182710768505</v>
      </c>
      <c r="G46" s="48">
        <v>8295890</v>
      </c>
      <c r="H46" s="49">
        <v>0.39098223759997025</v>
      </c>
      <c r="I46" s="49">
        <v>0.91317242634605811</v>
      </c>
      <c r="J46" s="46">
        <v>4.065968321680236</v>
      </c>
      <c r="L46" s="85"/>
      <c r="M46" s="73"/>
      <c r="N46" s="73"/>
      <c r="O46" s="73"/>
      <c r="Q46" s="74"/>
      <c r="R46" s="75"/>
      <c r="S46" s="76"/>
    </row>
    <row r="47" spans="1:19" ht="15" customHeight="1" x14ac:dyDescent="0.25">
      <c r="A47" s="62">
        <v>890116722</v>
      </c>
      <c r="B47" t="s">
        <v>171</v>
      </c>
      <c r="C47" t="s">
        <v>142</v>
      </c>
      <c r="D47" s="43">
        <v>6.4530228860881893</v>
      </c>
      <c r="E47" s="47">
        <v>18000434</v>
      </c>
      <c r="F47" s="49">
        <v>0.20006642981872011</v>
      </c>
      <c r="G47" s="48">
        <v>19871353</v>
      </c>
      <c r="H47" s="49">
        <v>5.5760671341309902E-2</v>
      </c>
      <c r="I47" s="49">
        <v>6.9706627424916665E-2</v>
      </c>
      <c r="J47" s="46"/>
      <c r="L47" s="85"/>
      <c r="M47" s="73"/>
      <c r="N47" s="73"/>
      <c r="O47" s="73"/>
      <c r="Q47" s="74"/>
      <c r="R47" s="75"/>
      <c r="S47" s="76"/>
    </row>
    <row r="48" spans="1:19" ht="15" customHeight="1" x14ac:dyDescent="0.25">
      <c r="A48" s="62">
        <v>890403012</v>
      </c>
      <c r="B48" t="s">
        <v>172</v>
      </c>
      <c r="C48" t="s">
        <v>142</v>
      </c>
      <c r="D48" s="43">
        <v>4.4663645594860775</v>
      </c>
      <c r="E48" s="47">
        <v>17676012</v>
      </c>
      <c r="F48" s="49">
        <v>0.27438248973533008</v>
      </c>
      <c r="G48" s="48">
        <v>20554581</v>
      </c>
      <c r="H48" s="49">
        <v>0.20939358285458839</v>
      </c>
      <c r="I48" s="49">
        <v>0.28857294634222902</v>
      </c>
      <c r="J48" s="46">
        <v>10.040602555052805</v>
      </c>
      <c r="L48" s="85"/>
      <c r="M48" s="73"/>
      <c r="N48" s="73"/>
      <c r="O48" s="73"/>
      <c r="Q48" s="74"/>
      <c r="R48" s="75"/>
      <c r="S48" s="76"/>
    </row>
    <row r="49" spans="1:19" ht="15" customHeight="1" x14ac:dyDescent="0.25">
      <c r="A49" s="62">
        <v>890929122</v>
      </c>
      <c r="B49" t="s">
        <v>173</v>
      </c>
      <c r="C49" t="s">
        <v>142</v>
      </c>
      <c r="D49" s="43">
        <v>2.0363622491602613</v>
      </c>
      <c r="E49" s="47">
        <v>8082128</v>
      </c>
      <c r="F49" s="49">
        <v>0.37990203672496131</v>
      </c>
      <c r="G49" s="48">
        <v>13649295</v>
      </c>
      <c r="H49" s="49">
        <v>0.10577922990667521</v>
      </c>
      <c r="I49" s="49">
        <v>0.17058470785487456</v>
      </c>
      <c r="J49" s="46">
        <v>19.703486502496403</v>
      </c>
      <c r="L49" s="85"/>
      <c r="M49" s="73"/>
      <c r="N49" s="73"/>
      <c r="O49" s="73"/>
      <c r="Q49" s="74"/>
      <c r="R49" s="75"/>
      <c r="S49" s="76"/>
    </row>
    <row r="50" spans="1:19" ht="15" customHeight="1" x14ac:dyDescent="0.25">
      <c r="A50" s="62">
        <v>900039806</v>
      </c>
      <c r="B50" t="s">
        <v>174</v>
      </c>
      <c r="C50" t="s">
        <v>158</v>
      </c>
      <c r="D50" s="43">
        <v>4.361775497858928</v>
      </c>
      <c r="E50" s="47">
        <v>5068401</v>
      </c>
      <c r="F50" s="49">
        <v>0.21240736404588031</v>
      </c>
      <c r="G50" s="48">
        <v>5590290</v>
      </c>
      <c r="H50" s="49">
        <v>0.2886611140744097</v>
      </c>
      <c r="I50" s="49">
        <v>0.36651068191453395</v>
      </c>
      <c r="J50" s="46">
        <v>10.863219676685629</v>
      </c>
      <c r="L50" s="85"/>
      <c r="M50" s="73"/>
      <c r="N50" s="73"/>
      <c r="O50" s="73"/>
      <c r="Q50" s="74"/>
      <c r="R50" s="75"/>
      <c r="S50" s="76"/>
    </row>
    <row r="51" spans="1:19" ht="15" customHeight="1" x14ac:dyDescent="0.25">
      <c r="A51" s="62">
        <v>900059812</v>
      </c>
      <c r="B51" t="s">
        <v>175</v>
      </c>
      <c r="C51" t="s">
        <v>158</v>
      </c>
      <c r="D51" s="43">
        <v>6.4491296429899476</v>
      </c>
      <c r="E51" s="47">
        <v>8572598</v>
      </c>
      <c r="F51" s="49">
        <v>0.55436442202905145</v>
      </c>
      <c r="G51" s="48">
        <v>7918737</v>
      </c>
      <c r="H51" s="49">
        <v>0.1203155850729915</v>
      </c>
      <c r="I51" s="49">
        <v>0.26998648900702221</v>
      </c>
      <c r="J51" s="46"/>
      <c r="L51" s="85"/>
      <c r="M51" s="73"/>
      <c r="N51" s="73"/>
      <c r="O51" s="73"/>
      <c r="Q51" s="74"/>
      <c r="R51" s="75"/>
      <c r="S51" s="76"/>
    </row>
    <row r="52" spans="1:19" ht="15" customHeight="1" x14ac:dyDescent="0.25">
      <c r="A52" s="62">
        <v>900071212</v>
      </c>
      <c r="B52" t="s">
        <v>176</v>
      </c>
      <c r="C52" t="s">
        <v>142</v>
      </c>
      <c r="D52" s="43">
        <v>6.2860274018181235</v>
      </c>
      <c r="E52" s="47">
        <v>10167790</v>
      </c>
      <c r="F52" s="49">
        <v>0.72611963915015454</v>
      </c>
      <c r="G52" s="48">
        <v>6385267</v>
      </c>
      <c r="H52" s="49">
        <v>2.8076560106998029E-2</v>
      </c>
      <c r="I52" s="49">
        <v>0.10251395908738037</v>
      </c>
      <c r="J52" s="46">
        <v>1.1398413991975929</v>
      </c>
      <c r="L52" s="85"/>
      <c r="M52" s="73"/>
      <c r="N52" s="73"/>
      <c r="O52" s="73"/>
      <c r="Q52" s="74"/>
      <c r="R52" s="75"/>
      <c r="S52" s="76"/>
    </row>
    <row r="53" spans="1:19" ht="15" customHeight="1" x14ac:dyDescent="0.25">
      <c r="A53" s="62">
        <v>900139110</v>
      </c>
      <c r="B53" t="s">
        <v>177</v>
      </c>
      <c r="C53" t="s">
        <v>142</v>
      </c>
      <c r="D53" s="43">
        <v>4.1316398871105209</v>
      </c>
      <c r="E53" s="47">
        <v>28093622</v>
      </c>
      <c r="F53" s="49">
        <v>0.49593597386367999</v>
      </c>
      <c r="G53" s="48">
        <v>22814828</v>
      </c>
      <c r="H53" s="49">
        <v>7.8529856744873811E-2</v>
      </c>
      <c r="I53" s="49">
        <v>0.15579341645705153</v>
      </c>
      <c r="J53" s="46"/>
      <c r="L53" s="85"/>
      <c r="M53" s="73"/>
      <c r="N53" s="73"/>
      <c r="O53" s="73"/>
      <c r="Q53" s="74"/>
      <c r="R53" s="75"/>
      <c r="S53" s="76"/>
    </row>
    <row r="54" spans="1:19" ht="15" customHeight="1" x14ac:dyDescent="0.25">
      <c r="A54" s="62">
        <v>900150121</v>
      </c>
      <c r="B54" t="s">
        <v>178</v>
      </c>
      <c r="C54" t="s">
        <v>158</v>
      </c>
      <c r="D54" s="43">
        <v>3.8652242223391684</v>
      </c>
      <c r="E54" s="47">
        <v>6005318</v>
      </c>
      <c r="F54" s="49">
        <v>0.25765458970514077</v>
      </c>
      <c r="G54" s="48">
        <v>6038729</v>
      </c>
      <c r="H54" s="49">
        <v>0.10702313138517618</v>
      </c>
      <c r="I54" s="49">
        <v>0.14416891369028151</v>
      </c>
      <c r="J54" s="46"/>
      <c r="L54" s="85"/>
      <c r="M54" s="73"/>
      <c r="N54" s="73"/>
      <c r="O54" s="73"/>
      <c r="Q54" s="74"/>
      <c r="R54" s="75"/>
      <c r="S54" s="76"/>
    </row>
    <row r="55" spans="1:19" ht="15" customHeight="1" x14ac:dyDescent="0.25">
      <c r="A55" s="62">
        <v>900188602</v>
      </c>
      <c r="B55" t="s">
        <v>179</v>
      </c>
      <c r="C55" t="s">
        <v>158</v>
      </c>
      <c r="D55" s="43">
        <v>94.094020255116902</v>
      </c>
      <c r="E55" s="47">
        <v>23660590</v>
      </c>
      <c r="F55" s="49">
        <v>7.6689567505575547E-3</v>
      </c>
      <c r="G55" s="48">
        <v>32886986</v>
      </c>
      <c r="H55" s="49">
        <v>0.21194343804184912</v>
      </c>
      <c r="I55" s="49">
        <v>0.21358138444185795</v>
      </c>
      <c r="J55" s="46"/>
      <c r="L55" s="85"/>
      <c r="M55" s="73"/>
      <c r="N55" s="73"/>
      <c r="O55" s="73"/>
      <c r="Q55" s="74"/>
      <c r="R55" s="75"/>
      <c r="S55" s="76"/>
    </row>
    <row r="56" spans="1:19" ht="15" customHeight="1" x14ac:dyDescent="0.25">
      <c r="A56" s="62">
        <v>900241492</v>
      </c>
      <c r="B56" t="s">
        <v>180</v>
      </c>
      <c r="C56" t="s">
        <v>142</v>
      </c>
      <c r="D56" s="43">
        <v>8.9653448603564314</v>
      </c>
      <c r="E56" s="47">
        <v>5699491</v>
      </c>
      <c r="F56" s="49">
        <v>0.35964566263917608</v>
      </c>
      <c r="G56" s="48">
        <v>4112004</v>
      </c>
      <c r="H56" s="49">
        <v>5.880181909042053E-2</v>
      </c>
      <c r="I56" s="49">
        <v>9.1827002113811174E-2</v>
      </c>
      <c r="J56" s="46">
        <v>7.3233708301008535</v>
      </c>
      <c r="L56" s="85"/>
      <c r="M56" s="73"/>
      <c r="N56" s="73"/>
      <c r="O56" s="73"/>
      <c r="Q56" s="74"/>
      <c r="R56" s="75"/>
      <c r="S56" s="76"/>
    </row>
    <row r="57" spans="1:19" ht="15" customHeight="1" x14ac:dyDescent="0.25">
      <c r="A57" s="62">
        <v>900269791</v>
      </c>
      <c r="B57" t="s">
        <v>181</v>
      </c>
      <c r="C57" t="s">
        <v>142</v>
      </c>
      <c r="D57" s="43">
        <v>3.199866719901554</v>
      </c>
      <c r="E57" s="47">
        <v>11405363</v>
      </c>
      <c r="F57" s="49">
        <v>0.89845040832198786</v>
      </c>
      <c r="G57" s="48">
        <v>3103649</v>
      </c>
      <c r="H57" s="49">
        <v>2.3934876577444083E-2</v>
      </c>
      <c r="I57" s="49">
        <v>0.23569643345623167</v>
      </c>
      <c r="J57" s="46">
        <v>1.3416655662176835</v>
      </c>
      <c r="L57" s="85"/>
      <c r="M57" s="73"/>
      <c r="N57" s="73"/>
      <c r="O57" s="73"/>
      <c r="Q57" s="74"/>
      <c r="R57" s="75"/>
      <c r="S57" s="76"/>
    </row>
    <row r="58" spans="1:19" ht="15" customHeight="1" x14ac:dyDescent="0.25">
      <c r="A58" s="62">
        <v>900319755</v>
      </c>
      <c r="B58" t="s">
        <v>182</v>
      </c>
      <c r="C58" t="s">
        <v>158</v>
      </c>
      <c r="D58" s="43">
        <v>6.7124041337094722</v>
      </c>
      <c r="E58" s="47">
        <v>27561316</v>
      </c>
      <c r="F58" s="49">
        <v>0.12725338604218134</v>
      </c>
      <c r="G58" s="48">
        <v>35683770</v>
      </c>
      <c r="H58" s="49">
        <v>3.3431419721407528E-2</v>
      </c>
      <c r="I58" s="49">
        <v>3.8305986166820377E-2</v>
      </c>
      <c r="J58" s="46">
        <v>1278.6735266604303</v>
      </c>
      <c r="L58" s="85"/>
      <c r="M58" s="73"/>
      <c r="N58" s="73"/>
      <c r="O58" s="73"/>
      <c r="Q58" s="74"/>
      <c r="R58" s="75"/>
      <c r="S58" s="76"/>
    </row>
    <row r="59" spans="1:19" ht="15" customHeight="1" x14ac:dyDescent="0.25">
      <c r="A59" s="62">
        <v>900327528</v>
      </c>
      <c r="B59" t="s">
        <v>183</v>
      </c>
      <c r="C59" t="s">
        <v>142</v>
      </c>
      <c r="D59" s="43">
        <v>6.1111265071566301</v>
      </c>
      <c r="E59" s="47">
        <v>35669039</v>
      </c>
      <c r="F59" s="49">
        <v>0.59259112405968972</v>
      </c>
      <c r="G59" s="48">
        <v>18659452</v>
      </c>
      <c r="H59" s="49">
        <v>3.0006632269809191E-2</v>
      </c>
      <c r="I59" s="49">
        <v>7.3652377358134638E-2</v>
      </c>
      <c r="J59" s="46">
        <v>11.195120560443142</v>
      </c>
      <c r="L59" s="85"/>
      <c r="M59" s="73"/>
      <c r="N59" s="73"/>
      <c r="O59" s="73"/>
      <c r="Q59" s="74"/>
      <c r="R59" s="75"/>
      <c r="S59" s="76"/>
    </row>
    <row r="60" spans="1:19" ht="15" customHeight="1" x14ac:dyDescent="0.25">
      <c r="A60" s="62">
        <v>900345143</v>
      </c>
      <c r="B60" t="s">
        <v>184</v>
      </c>
      <c r="C60" t="s">
        <v>142</v>
      </c>
      <c r="D60" s="43">
        <v>1.671001449657894</v>
      </c>
      <c r="E60" s="47">
        <v>6383424</v>
      </c>
      <c r="F60" s="49">
        <v>0.50562968287868926</v>
      </c>
      <c r="G60" s="48">
        <v>9557823</v>
      </c>
      <c r="H60" s="49">
        <v>0.34594045815290869</v>
      </c>
      <c r="I60" s="49">
        <v>0.69975976747006097</v>
      </c>
      <c r="J60" s="46">
        <v>24.523620950118069</v>
      </c>
      <c r="L60" s="85"/>
      <c r="M60" s="73"/>
      <c r="N60" s="73"/>
      <c r="O60" s="73"/>
      <c r="Q60" s="74"/>
      <c r="R60" s="75"/>
      <c r="S60" s="76"/>
    </row>
    <row r="61" spans="1:19" ht="15" customHeight="1" x14ac:dyDescent="0.25">
      <c r="A61" s="62">
        <v>900350044</v>
      </c>
      <c r="B61" t="s">
        <v>185</v>
      </c>
      <c r="C61" t="s">
        <v>142</v>
      </c>
      <c r="D61" s="43">
        <v>17.275224479632044</v>
      </c>
      <c r="E61" s="47">
        <v>11110933</v>
      </c>
      <c r="F61" s="49">
        <v>0.17820711529531075</v>
      </c>
      <c r="G61" s="48">
        <v>15882524</v>
      </c>
      <c r="H61" s="49">
        <v>3.224682983493022E-2</v>
      </c>
      <c r="I61" s="49">
        <v>3.9239607004529005E-2</v>
      </c>
      <c r="J61" s="46">
        <v>4.6171923039880278</v>
      </c>
      <c r="L61" s="85"/>
      <c r="M61" s="73"/>
      <c r="N61" s="73"/>
      <c r="O61" s="73"/>
      <c r="Q61" s="74"/>
      <c r="R61" s="75"/>
      <c r="S61" s="76"/>
    </row>
    <row r="62" spans="1:19" ht="15" customHeight="1" x14ac:dyDescent="0.25">
      <c r="A62" s="62">
        <v>900413588</v>
      </c>
      <c r="B62" t="s">
        <v>186</v>
      </c>
      <c r="C62" t="s">
        <v>142</v>
      </c>
      <c r="D62" s="43">
        <v>1.8345875622306282</v>
      </c>
      <c r="E62" s="47">
        <v>13213555</v>
      </c>
      <c r="F62" s="49">
        <v>0.43276054783201801</v>
      </c>
      <c r="G62" s="48">
        <v>21144432</v>
      </c>
      <c r="H62" s="49">
        <v>0.2735275555802959</v>
      </c>
      <c r="I62" s="49">
        <v>0.48220827118931359</v>
      </c>
      <c r="J62" s="46">
        <v>5.9383452340737808</v>
      </c>
      <c r="L62" s="85"/>
      <c r="M62" s="73"/>
      <c r="N62" s="73"/>
      <c r="O62" s="73"/>
      <c r="Q62" s="74"/>
      <c r="R62" s="75"/>
      <c r="S62" s="76"/>
    </row>
    <row r="63" spans="1:19" ht="15" customHeight="1" x14ac:dyDescent="0.25">
      <c r="A63" s="62">
        <v>900494141</v>
      </c>
      <c r="B63" t="s">
        <v>187</v>
      </c>
      <c r="C63" t="s">
        <v>142</v>
      </c>
      <c r="D63" s="43">
        <v>1.2602071400906938</v>
      </c>
      <c r="E63" s="47">
        <v>7579745</v>
      </c>
      <c r="F63" s="49">
        <v>0.79056286457100189</v>
      </c>
      <c r="G63" s="48">
        <v>7717074</v>
      </c>
      <c r="H63" s="49">
        <v>6.333818152448363E-2</v>
      </c>
      <c r="I63" s="49">
        <v>0.30242096939850516</v>
      </c>
      <c r="J63" s="46">
        <v>167.59820466786354</v>
      </c>
      <c r="L63" s="85"/>
      <c r="M63" s="73"/>
      <c r="N63" s="73"/>
      <c r="O63" s="73"/>
      <c r="Q63" s="74"/>
      <c r="R63" s="75"/>
      <c r="S63" s="76"/>
    </row>
    <row r="64" spans="1:19" ht="15" customHeight="1" x14ac:dyDescent="0.25">
      <c r="A64" s="62">
        <v>900536270</v>
      </c>
      <c r="B64" t="s">
        <v>188</v>
      </c>
      <c r="C64" t="s">
        <v>142</v>
      </c>
      <c r="D64" s="43">
        <v>1.6640633950685093</v>
      </c>
      <c r="E64" s="47">
        <v>5065878</v>
      </c>
      <c r="F64" s="49">
        <v>0.65068177069315791</v>
      </c>
      <c r="G64" s="48">
        <v>4921715</v>
      </c>
      <c r="H64" s="49">
        <v>0.16029617257915973</v>
      </c>
      <c r="I64" s="49">
        <v>0.45888293003556685</v>
      </c>
      <c r="J64" s="46">
        <v>5.7704803685354902</v>
      </c>
      <c r="L64" s="85"/>
      <c r="M64" s="73"/>
      <c r="N64" s="73"/>
      <c r="O64" s="73"/>
      <c r="Q64" s="74"/>
      <c r="R64" s="75"/>
      <c r="S64" s="76"/>
    </row>
    <row r="65" spans="1:19" ht="15" customHeight="1" x14ac:dyDescent="0.25">
      <c r="A65" s="62">
        <v>900591676</v>
      </c>
      <c r="B65" t="s">
        <v>189</v>
      </c>
      <c r="C65" t="s">
        <v>158</v>
      </c>
      <c r="D65" s="43">
        <v>1.6525565963358728</v>
      </c>
      <c r="E65" s="47">
        <v>12007444</v>
      </c>
      <c r="F65" s="49">
        <v>0.60322095419667399</v>
      </c>
      <c r="G65" s="48">
        <v>12103325</v>
      </c>
      <c r="H65" s="49">
        <v>1.6823858372140885E-2</v>
      </c>
      <c r="I65" s="49">
        <v>4.2401075737452311E-2</v>
      </c>
      <c r="J65" s="46"/>
      <c r="L65" s="85"/>
      <c r="M65" s="73"/>
      <c r="N65" s="73"/>
      <c r="O65" s="73"/>
      <c r="Q65" s="74"/>
      <c r="R65" s="75"/>
      <c r="S65" s="76"/>
    </row>
    <row r="66" spans="1:19" ht="15" customHeight="1" x14ac:dyDescent="0.25">
      <c r="A66" s="62">
        <v>900620409</v>
      </c>
      <c r="B66" t="s">
        <v>190</v>
      </c>
      <c r="C66" t="s">
        <v>142</v>
      </c>
      <c r="D66" s="43">
        <v>2.8915159217344817</v>
      </c>
      <c r="E66" s="47">
        <v>10204282</v>
      </c>
      <c r="F66" s="49">
        <v>0.1510471530708597</v>
      </c>
      <c r="G66" s="48">
        <v>41817828</v>
      </c>
      <c r="H66" s="49">
        <v>0.10342938732872674</v>
      </c>
      <c r="I66" s="49">
        <v>0.12183172210665748</v>
      </c>
      <c r="J66" s="46">
        <v>5.1441475370937857</v>
      </c>
      <c r="L66" s="85"/>
      <c r="M66" s="73"/>
      <c r="N66" s="73"/>
      <c r="O66" s="73"/>
      <c r="Q66" s="74"/>
      <c r="R66" s="75"/>
      <c r="S66" s="76"/>
    </row>
    <row r="67" spans="1:19" ht="15" customHeight="1" x14ac:dyDescent="0.25">
      <c r="A67" s="62">
        <v>900772587</v>
      </c>
      <c r="B67" t="s">
        <v>191</v>
      </c>
      <c r="C67" t="s">
        <v>158</v>
      </c>
      <c r="D67" s="43">
        <v>67.08679273002015</v>
      </c>
      <c r="E67" s="47">
        <v>6297807</v>
      </c>
      <c r="F67" s="49">
        <v>4.5629681183269072E-2</v>
      </c>
      <c r="G67" s="48">
        <v>62135108</v>
      </c>
      <c r="H67" s="49">
        <v>5.4379076859861541E-2</v>
      </c>
      <c r="I67" s="49">
        <v>5.6979010964300567E-2</v>
      </c>
      <c r="J67" s="46">
        <v>9415.9494680851058</v>
      </c>
      <c r="L67" s="85"/>
      <c r="M67" s="73"/>
      <c r="N67" s="73"/>
      <c r="O67" s="73"/>
      <c r="Q67" s="74"/>
      <c r="R67" s="75"/>
      <c r="S67" s="76"/>
    </row>
    <row r="68" spans="1:19" ht="15" customHeight="1" x14ac:dyDescent="0.25">
      <c r="A68" s="62">
        <v>900796125</v>
      </c>
      <c r="B68" t="s">
        <v>192</v>
      </c>
      <c r="C68" t="s">
        <v>158</v>
      </c>
      <c r="D68" s="43">
        <v>682.39227573818346</v>
      </c>
      <c r="E68" s="47">
        <v>12138322</v>
      </c>
      <c r="F68" s="49">
        <v>2.3283803342332332E-3</v>
      </c>
      <c r="G68" s="48">
        <v>15223576</v>
      </c>
      <c r="H68" s="49">
        <v>6.3451165713847568E-2</v>
      </c>
      <c r="I68" s="49">
        <v>6.3599248954384957E-2</v>
      </c>
      <c r="J68" s="46">
        <v>69.600172525339659</v>
      </c>
      <c r="L68" s="85"/>
      <c r="M68" s="73"/>
      <c r="N68" s="73"/>
      <c r="O68" s="73"/>
      <c r="Q68" s="74"/>
      <c r="R68" s="75"/>
      <c r="S68" s="76"/>
    </row>
    <row r="69" spans="1:19" ht="15" customHeight="1" x14ac:dyDescent="0.25">
      <c r="A69" s="62">
        <v>900863185</v>
      </c>
      <c r="B69" t="s">
        <v>193</v>
      </c>
      <c r="C69" t="s">
        <v>142</v>
      </c>
      <c r="D69" s="43">
        <v>2.735037728319488</v>
      </c>
      <c r="E69" s="47">
        <v>6634642</v>
      </c>
      <c r="F69" s="49">
        <v>0.35623858259768088</v>
      </c>
      <c r="G69" s="48">
        <v>6919402</v>
      </c>
      <c r="H69" s="49">
        <v>5.7343259156367066E-2</v>
      </c>
      <c r="I69" s="49">
        <v>8.9075327607790383E-2</v>
      </c>
      <c r="J69" s="46">
        <v>2.6999767827964902</v>
      </c>
      <c r="L69" s="85"/>
      <c r="M69" s="73"/>
      <c r="N69" s="73"/>
      <c r="O69" s="73"/>
      <c r="Q69" s="74"/>
      <c r="R69" s="75"/>
      <c r="S69" s="76"/>
    </row>
    <row r="70" spans="1:19" ht="15" customHeight="1" x14ac:dyDescent="0.25">
      <c r="A70" s="62">
        <v>901050576</v>
      </c>
      <c r="B70" t="s">
        <v>194</v>
      </c>
      <c r="C70" t="s">
        <v>158</v>
      </c>
      <c r="D70" s="43">
        <v>214.93800107407264</v>
      </c>
      <c r="E70" s="47">
        <v>22308599</v>
      </c>
      <c r="F70" s="49">
        <v>2.0779571104976826E-2</v>
      </c>
      <c r="G70" s="48">
        <v>91246001</v>
      </c>
      <c r="H70" s="49">
        <v>6.5526625987906345E-2</v>
      </c>
      <c r="I70" s="49">
        <v>6.6917135360266361E-2</v>
      </c>
      <c r="J70" s="46">
        <v>0.97001062005387073</v>
      </c>
      <c r="L70" s="85"/>
      <c r="M70" s="73"/>
      <c r="N70" s="73"/>
      <c r="O70" s="73"/>
      <c r="Q70" s="74"/>
      <c r="R70" s="75"/>
      <c r="S70" s="76"/>
    </row>
    <row r="71" spans="1:19" ht="15" customHeight="1" x14ac:dyDescent="0.25">
      <c r="A71" s="62">
        <v>901074431</v>
      </c>
      <c r="B71" t="s">
        <v>195</v>
      </c>
      <c r="C71" t="s">
        <v>142</v>
      </c>
      <c r="D71" s="43">
        <v>3.1838894022626443</v>
      </c>
      <c r="E71" s="47">
        <v>18252002</v>
      </c>
      <c r="F71" s="49">
        <v>0.58775354426720594</v>
      </c>
      <c r="G71" s="48">
        <v>12009175</v>
      </c>
      <c r="H71" s="49">
        <v>1.5302637319339289E-2</v>
      </c>
      <c r="I71" s="49">
        <v>3.7120118576005431E-2</v>
      </c>
      <c r="J71" s="46">
        <v>92.601163273784792</v>
      </c>
      <c r="L71" s="85"/>
      <c r="M71" s="73"/>
      <c r="N71" s="73"/>
      <c r="O71" s="73"/>
      <c r="Q71" s="74"/>
      <c r="R71" s="75"/>
      <c r="S71" s="76"/>
    </row>
    <row r="72" spans="1:19" ht="15" customHeight="1" x14ac:dyDescent="0.25">
      <c r="A72" s="62">
        <v>901237819</v>
      </c>
      <c r="B72" t="s">
        <v>196</v>
      </c>
      <c r="C72" t="s">
        <v>158</v>
      </c>
      <c r="D72" s="43">
        <v>13.456644160601721</v>
      </c>
      <c r="E72" s="47">
        <v>5114150</v>
      </c>
      <c r="F72" s="49">
        <v>1.9662319739559845E-2</v>
      </c>
      <c r="G72" s="48">
        <v>20469788</v>
      </c>
      <c r="H72" s="49">
        <v>5.6807301642156853E-2</v>
      </c>
      <c r="I72" s="49">
        <v>5.7946667547314118E-2</v>
      </c>
      <c r="J72" s="46">
        <v>1.0400498035914703</v>
      </c>
      <c r="L72" s="85"/>
      <c r="M72" s="73"/>
      <c r="N72" s="73"/>
      <c r="O72" s="73"/>
      <c r="Q72" s="74"/>
      <c r="R72" s="75"/>
      <c r="S72" s="76"/>
    </row>
    <row r="73" spans="1:19" ht="15" customHeight="1" x14ac:dyDescent="0.25">
      <c r="A73" s="62">
        <v>901319693</v>
      </c>
      <c r="B73" t="s">
        <v>197</v>
      </c>
      <c r="C73" t="s">
        <v>158</v>
      </c>
      <c r="D73" s="43">
        <v>9.5203365580188795</v>
      </c>
      <c r="E73" s="47">
        <v>15227128</v>
      </c>
      <c r="F73" s="49">
        <v>6.9019053326288604E-2</v>
      </c>
      <c r="G73" s="48">
        <v>24106438</v>
      </c>
      <c r="H73" s="49">
        <v>0.33408725225383007</v>
      </c>
      <c r="I73" s="49">
        <v>0.35885509090973955</v>
      </c>
      <c r="J73" s="46">
        <v>1098.2249587406372</v>
      </c>
      <c r="L73" s="85"/>
      <c r="M73" s="73"/>
      <c r="N73" s="73"/>
      <c r="O73" s="73"/>
      <c r="Q73" s="74"/>
      <c r="R73" s="75"/>
      <c r="S73" s="76"/>
    </row>
    <row r="74" spans="1:19" ht="15" customHeight="1" x14ac:dyDescent="0.25">
      <c r="A74" s="62">
        <v>800028455</v>
      </c>
      <c r="B74" t="s">
        <v>198</v>
      </c>
      <c r="C74" t="s">
        <v>142</v>
      </c>
      <c r="D74" s="43">
        <v>2.9491412353379753</v>
      </c>
      <c r="E74" s="47">
        <v>5340953</v>
      </c>
      <c r="F74" s="49">
        <v>0.42894838587147727</v>
      </c>
      <c r="G74" s="48">
        <v>6560804</v>
      </c>
      <c r="H74" s="49">
        <v>5.2521432265649905E-2</v>
      </c>
      <c r="I74" s="49">
        <v>9.1973178896976648E-2</v>
      </c>
      <c r="J74" s="46">
        <v>3.1819802147271616</v>
      </c>
      <c r="L74" s="85"/>
      <c r="M74" s="73"/>
      <c r="N74" s="73"/>
      <c r="O74" s="73"/>
      <c r="Q74" s="74"/>
      <c r="R74" s="75"/>
      <c r="S74" s="76"/>
    </row>
    <row r="75" spans="1:19" ht="15" customHeight="1" x14ac:dyDescent="0.25">
      <c r="A75" s="62">
        <v>800032277</v>
      </c>
      <c r="B75" t="s">
        <v>199</v>
      </c>
      <c r="C75" t="s">
        <v>142</v>
      </c>
      <c r="D75" s="43">
        <v>4.9079250371380043</v>
      </c>
      <c r="E75" s="47">
        <v>5871673</v>
      </c>
      <c r="F75" s="49">
        <v>0.28943854567898764</v>
      </c>
      <c r="G75" s="48">
        <v>8371791</v>
      </c>
      <c r="H75" s="49">
        <v>0.12920039131083527</v>
      </c>
      <c r="I75" s="49">
        <v>0.18182859557769657</v>
      </c>
      <c r="J75" s="46">
        <v>7.4254446298084895</v>
      </c>
      <c r="L75" s="85"/>
      <c r="M75" s="73"/>
      <c r="N75" s="73"/>
      <c r="O75" s="73"/>
      <c r="Q75" s="74"/>
      <c r="R75" s="75"/>
      <c r="S75" s="76"/>
    </row>
    <row r="76" spans="1:19" ht="15" customHeight="1" x14ac:dyDescent="0.25">
      <c r="A76" s="62">
        <v>800058709</v>
      </c>
      <c r="B76" t="s">
        <v>200</v>
      </c>
      <c r="C76" t="s">
        <v>142</v>
      </c>
      <c r="D76" s="43">
        <v>2.447424090203878</v>
      </c>
      <c r="E76" s="47">
        <v>6246955</v>
      </c>
      <c r="F76" s="49">
        <v>0.39397953142482606</v>
      </c>
      <c r="G76" s="48">
        <v>6786599</v>
      </c>
      <c r="H76" s="49">
        <v>0.1846237441544189</v>
      </c>
      <c r="I76" s="49">
        <v>0.3046493538221427</v>
      </c>
      <c r="J76" s="46">
        <v>56.595122084747615</v>
      </c>
      <c r="L76" s="85"/>
      <c r="M76" s="73"/>
      <c r="N76" s="73"/>
      <c r="O76" s="73"/>
      <c r="Q76" s="74"/>
      <c r="R76" s="75"/>
      <c r="S76" s="76"/>
    </row>
    <row r="77" spans="1:19" ht="15" customHeight="1" x14ac:dyDescent="0.25">
      <c r="A77" s="62">
        <v>800063546</v>
      </c>
      <c r="B77" t="s">
        <v>201</v>
      </c>
      <c r="C77" t="s">
        <v>142</v>
      </c>
      <c r="D77" s="43">
        <v>14.285991950732567</v>
      </c>
      <c r="E77" s="47">
        <v>5030980</v>
      </c>
      <c r="F77" s="49">
        <v>6.2535692431104448E-2</v>
      </c>
      <c r="G77" s="48">
        <v>5691313</v>
      </c>
      <c r="H77" s="49">
        <v>6.9457491519058334E-2</v>
      </c>
      <c r="I77" s="49">
        <v>7.4090811733601714E-2</v>
      </c>
      <c r="J77" s="46">
        <v>0.4469053841800365</v>
      </c>
      <c r="L77" s="85"/>
      <c r="M77" s="73"/>
      <c r="N77" s="73"/>
      <c r="O77" s="73"/>
      <c r="Q77" s="74"/>
      <c r="R77" s="75"/>
      <c r="S77" s="76"/>
    </row>
    <row r="78" spans="1:19" ht="15" customHeight="1" x14ac:dyDescent="0.25">
      <c r="A78" s="62">
        <v>800070853</v>
      </c>
      <c r="B78" t="s">
        <v>202</v>
      </c>
      <c r="C78" t="s">
        <v>203</v>
      </c>
      <c r="D78" s="43">
        <v>2.7246933734227254</v>
      </c>
      <c r="E78" s="47">
        <v>5089120</v>
      </c>
      <c r="F78" s="49">
        <v>0.54495167570906344</v>
      </c>
      <c r="G78" s="48">
        <v>6337200</v>
      </c>
      <c r="H78" s="49">
        <v>9.5492650558832978E-2</v>
      </c>
      <c r="I78" s="49">
        <v>0.20985166950703782</v>
      </c>
      <c r="J78" s="46">
        <v>3.60439941673578</v>
      </c>
      <c r="L78" s="85"/>
      <c r="M78" s="73"/>
      <c r="N78" s="73"/>
      <c r="O78" s="73"/>
      <c r="Q78" s="74"/>
      <c r="R78" s="75"/>
      <c r="S78" s="76"/>
    </row>
    <row r="79" spans="1:19" ht="15" customHeight="1" x14ac:dyDescent="0.25">
      <c r="A79" s="62">
        <v>800076814</v>
      </c>
      <c r="B79" t="s">
        <v>204</v>
      </c>
      <c r="C79" t="s">
        <v>147</v>
      </c>
      <c r="D79" s="43">
        <v>11.578715002298207</v>
      </c>
      <c r="E79" s="47">
        <v>13233708</v>
      </c>
      <c r="F79" s="49">
        <v>0.5173653918416633</v>
      </c>
      <c r="G79" s="48">
        <v>7462366</v>
      </c>
      <c r="H79" s="49">
        <v>0.17154820320882591</v>
      </c>
      <c r="I79" s="49">
        <v>0.35544115633031131</v>
      </c>
      <c r="J79" s="46">
        <v>21.616684188650645</v>
      </c>
      <c r="L79" s="85"/>
      <c r="M79" s="73"/>
      <c r="N79" s="73"/>
      <c r="O79" s="73"/>
      <c r="Q79" s="74"/>
      <c r="R79" s="75"/>
      <c r="S79" s="76"/>
    </row>
    <row r="80" spans="1:19" ht="15" customHeight="1" x14ac:dyDescent="0.25">
      <c r="A80" s="62">
        <v>800081740</v>
      </c>
      <c r="B80" t="s">
        <v>205</v>
      </c>
      <c r="C80" t="s">
        <v>142</v>
      </c>
      <c r="D80" s="43">
        <v>8.4772189032901295</v>
      </c>
      <c r="E80" s="47">
        <v>23436408</v>
      </c>
      <c r="F80" s="49">
        <v>9.7913918470383388E-2</v>
      </c>
      <c r="G80" s="48">
        <v>30221254</v>
      </c>
      <c r="H80" s="49">
        <v>0.1120295769275417</v>
      </c>
      <c r="I80" s="49">
        <v>0.12418945289298716</v>
      </c>
      <c r="J80" s="46"/>
      <c r="L80" s="85"/>
      <c r="M80" s="73"/>
      <c r="N80" s="73"/>
      <c r="O80" s="73"/>
      <c r="Q80" s="74"/>
      <c r="R80" s="75"/>
      <c r="S80" s="76"/>
    </row>
    <row r="81" spans="1:19" ht="15" customHeight="1" x14ac:dyDescent="0.25">
      <c r="A81" s="62">
        <v>800086501</v>
      </c>
      <c r="B81" t="s">
        <v>206</v>
      </c>
      <c r="C81" t="s">
        <v>142</v>
      </c>
      <c r="D81" s="43">
        <v>2.7004396403815205</v>
      </c>
      <c r="E81" s="47">
        <v>19658077</v>
      </c>
      <c r="F81" s="49">
        <v>0.58018863128680032</v>
      </c>
      <c r="G81" s="48">
        <v>27086740</v>
      </c>
      <c r="H81" s="49">
        <v>3.7554964866130233E-2</v>
      </c>
      <c r="I81" s="49">
        <v>8.9456760023539195E-2</v>
      </c>
      <c r="J81" s="46">
        <v>1.2168429172186528</v>
      </c>
      <c r="L81" s="85"/>
      <c r="M81" s="73"/>
      <c r="N81" s="73"/>
      <c r="O81" s="73"/>
      <c r="Q81" s="74"/>
      <c r="R81" s="75"/>
      <c r="S81" s="76"/>
    </row>
    <row r="82" spans="1:19" ht="15" customHeight="1" x14ac:dyDescent="0.25">
      <c r="A82" s="62">
        <v>800086581</v>
      </c>
      <c r="B82" t="s">
        <v>207</v>
      </c>
      <c r="C82" t="s">
        <v>147</v>
      </c>
      <c r="D82" s="43">
        <v>8.2783865769267226</v>
      </c>
      <c r="E82" s="47">
        <v>9213564</v>
      </c>
      <c r="F82" s="49">
        <v>0.62212828825871058</v>
      </c>
      <c r="G82" s="48">
        <v>4143420</v>
      </c>
      <c r="H82" s="49">
        <v>0.14184557438794726</v>
      </c>
      <c r="I82" s="49">
        <v>0.37538024144305909</v>
      </c>
      <c r="J82" s="46"/>
      <c r="L82" s="85"/>
      <c r="M82" s="73"/>
      <c r="N82" s="73"/>
      <c r="O82" s="73"/>
      <c r="Q82" s="74"/>
      <c r="R82" s="75"/>
      <c r="S82" s="76"/>
    </row>
    <row r="83" spans="1:19" ht="15" customHeight="1" x14ac:dyDescent="0.25">
      <c r="A83" s="62">
        <v>800091162</v>
      </c>
      <c r="B83" t="s">
        <v>208</v>
      </c>
      <c r="C83" t="s">
        <v>158</v>
      </c>
      <c r="D83" s="43">
        <v>4.8123597721283033</v>
      </c>
      <c r="E83" s="47">
        <v>5935238</v>
      </c>
      <c r="F83" s="49">
        <v>0.20465162656587349</v>
      </c>
      <c r="G83" s="48">
        <v>7697306</v>
      </c>
      <c r="H83" s="49">
        <v>0.48804415831732179</v>
      </c>
      <c r="I83" s="49">
        <v>0.61362312996261292</v>
      </c>
      <c r="J83" s="46">
        <v>2.1646729762640775</v>
      </c>
      <c r="L83" s="85"/>
      <c r="M83" s="73"/>
      <c r="N83" s="73"/>
      <c r="O83" s="73"/>
      <c r="Q83" s="74"/>
      <c r="R83" s="75"/>
      <c r="S83" s="76"/>
    </row>
    <row r="84" spans="1:19" ht="15" customHeight="1" x14ac:dyDescent="0.25">
      <c r="A84" s="62">
        <v>800097991</v>
      </c>
      <c r="B84" t="s">
        <v>209</v>
      </c>
      <c r="C84" t="s">
        <v>142</v>
      </c>
      <c r="D84" s="43">
        <v>4.6644226082075457</v>
      </c>
      <c r="E84" s="47">
        <v>13892002</v>
      </c>
      <c r="F84" s="49">
        <v>0.22004261810218989</v>
      </c>
      <c r="G84" s="48">
        <v>15341431</v>
      </c>
      <c r="H84" s="49">
        <v>0.26219538235089562</v>
      </c>
      <c r="I84" s="49">
        <v>0.33616629374404511</v>
      </c>
      <c r="J84" s="46">
        <v>11.100456306500215</v>
      </c>
      <c r="L84" s="85"/>
      <c r="M84" s="73"/>
      <c r="N84" s="73"/>
      <c r="O84" s="73"/>
      <c r="Q84" s="74"/>
      <c r="R84" s="75"/>
      <c r="S84" s="76"/>
    </row>
    <row r="85" spans="1:19" ht="15" customHeight="1" x14ac:dyDescent="0.25">
      <c r="A85" s="62">
        <v>800147194</v>
      </c>
      <c r="B85" t="s">
        <v>210</v>
      </c>
      <c r="C85" t="s">
        <v>142</v>
      </c>
      <c r="D85" s="43">
        <v>6.6872351208457541</v>
      </c>
      <c r="E85" s="47">
        <v>5139634</v>
      </c>
      <c r="F85" s="49">
        <v>0.61296419516726253</v>
      </c>
      <c r="G85" s="48">
        <v>2673343</v>
      </c>
      <c r="H85" s="49">
        <v>1.6699617675639301E-2</v>
      </c>
      <c r="I85" s="49">
        <v>4.3147474903145612E-2</v>
      </c>
      <c r="J85" s="46">
        <v>1.6470756225725383</v>
      </c>
      <c r="L85" s="85"/>
      <c r="M85" s="73"/>
      <c r="N85" s="73"/>
      <c r="O85" s="73"/>
      <c r="Q85" s="74"/>
      <c r="R85" s="75"/>
      <c r="S85" s="76"/>
    </row>
    <row r="86" spans="1:19" ht="15" customHeight="1" x14ac:dyDescent="0.25">
      <c r="A86" s="62">
        <v>800163101</v>
      </c>
      <c r="B86" t="s">
        <v>211</v>
      </c>
      <c r="C86" t="s">
        <v>147</v>
      </c>
      <c r="D86" s="43">
        <v>10.547613594067627</v>
      </c>
      <c r="E86" s="47">
        <v>6002451</v>
      </c>
      <c r="F86" s="49">
        <v>0.65162826143798847</v>
      </c>
      <c r="G86" s="48">
        <v>2620702</v>
      </c>
      <c r="H86" s="49">
        <v>3.728307206026759E-2</v>
      </c>
      <c r="I86" s="49">
        <v>0.10702094324345156</v>
      </c>
      <c r="J86" s="46">
        <v>33.889560173997097</v>
      </c>
      <c r="L86" s="85"/>
      <c r="M86" s="73"/>
      <c r="N86" s="73"/>
      <c r="O86" s="73"/>
      <c r="Q86" s="74"/>
      <c r="R86" s="75"/>
      <c r="S86" s="76"/>
    </row>
    <row r="87" spans="1:19" ht="15" customHeight="1" x14ac:dyDescent="0.25">
      <c r="A87" s="62">
        <v>800168477</v>
      </c>
      <c r="B87" t="s">
        <v>212</v>
      </c>
      <c r="C87" t="s">
        <v>142</v>
      </c>
      <c r="D87" s="43">
        <v>10.496469565741517</v>
      </c>
      <c r="E87" s="47">
        <v>9768325</v>
      </c>
      <c r="F87" s="49">
        <v>0.26360143609034198</v>
      </c>
      <c r="G87" s="48">
        <v>8036495</v>
      </c>
      <c r="H87" s="49">
        <v>0.1565458876973394</v>
      </c>
      <c r="I87" s="49">
        <v>0.21258309748217352</v>
      </c>
      <c r="J87" s="46">
        <v>108.29253296146045</v>
      </c>
      <c r="L87" s="85"/>
      <c r="M87" s="73"/>
      <c r="N87" s="73"/>
      <c r="O87" s="73"/>
      <c r="Q87" s="74"/>
      <c r="R87" s="75"/>
      <c r="S87" s="76"/>
    </row>
    <row r="88" spans="1:19" ht="15" customHeight="1" x14ac:dyDescent="0.25">
      <c r="A88" s="62">
        <v>800172871</v>
      </c>
      <c r="B88" t="s">
        <v>213</v>
      </c>
      <c r="C88" t="s">
        <v>142</v>
      </c>
      <c r="D88" s="43">
        <v>2.1636011575878484</v>
      </c>
      <c r="E88" s="47">
        <v>14090015</v>
      </c>
      <c r="F88" s="49">
        <v>0.47757400465186384</v>
      </c>
      <c r="G88" s="48">
        <v>16349088</v>
      </c>
      <c r="H88" s="49">
        <v>9.5164931737481598E-2</v>
      </c>
      <c r="I88" s="49">
        <v>0.18215964095367276</v>
      </c>
      <c r="J88" s="46">
        <v>2.4476521181687056</v>
      </c>
      <c r="L88" s="85"/>
      <c r="M88" s="73"/>
      <c r="N88" s="73"/>
      <c r="O88" s="73"/>
      <c r="Q88" s="74"/>
      <c r="R88" s="75"/>
      <c r="S88" s="76"/>
    </row>
    <row r="89" spans="1:19" ht="15" customHeight="1" x14ac:dyDescent="0.25">
      <c r="A89" s="62">
        <v>800173768</v>
      </c>
      <c r="B89" t="s">
        <v>214</v>
      </c>
      <c r="C89" t="s">
        <v>147</v>
      </c>
      <c r="D89" s="43">
        <v>4.147433246440249</v>
      </c>
      <c r="E89" s="47">
        <v>6096147</v>
      </c>
      <c r="F89" s="49">
        <v>0.36109424242375865</v>
      </c>
      <c r="G89" s="48">
        <v>12806043</v>
      </c>
      <c r="H89" s="49">
        <v>3.5425124847134101E-2</v>
      </c>
      <c r="I89" s="49">
        <v>5.544655753537607E-2</v>
      </c>
      <c r="J89" s="46">
        <v>152.14291836297409</v>
      </c>
      <c r="L89" s="85"/>
      <c r="M89" s="73"/>
      <c r="N89" s="73"/>
      <c r="O89" s="73"/>
      <c r="Q89" s="74"/>
      <c r="R89" s="75"/>
      <c r="S89" s="76"/>
    </row>
    <row r="90" spans="1:19" ht="15" customHeight="1" x14ac:dyDescent="0.25">
      <c r="A90" s="62">
        <v>800177551</v>
      </c>
      <c r="B90" t="s">
        <v>215</v>
      </c>
      <c r="C90" t="s">
        <v>158</v>
      </c>
      <c r="D90" s="43">
        <v>3.5403266576179635</v>
      </c>
      <c r="E90" s="47">
        <v>11798537</v>
      </c>
      <c r="F90" s="49">
        <v>0.27622434344803903</v>
      </c>
      <c r="G90" s="48">
        <v>14236720</v>
      </c>
      <c r="H90" s="49">
        <v>0.23825127644416977</v>
      </c>
      <c r="I90" s="49">
        <v>0.329178350069398</v>
      </c>
      <c r="J90" s="46">
        <v>3.9014550473777012</v>
      </c>
      <c r="L90" s="85"/>
      <c r="M90" s="73"/>
      <c r="N90" s="73"/>
      <c r="O90" s="73"/>
      <c r="Q90" s="74"/>
      <c r="R90" s="75"/>
      <c r="S90" s="76"/>
    </row>
    <row r="91" spans="1:19" ht="15" customHeight="1" x14ac:dyDescent="0.25">
      <c r="A91" s="62">
        <v>800178052</v>
      </c>
      <c r="B91" t="s">
        <v>216</v>
      </c>
      <c r="C91" t="s">
        <v>158</v>
      </c>
      <c r="D91" s="43">
        <v>4.385882703271661</v>
      </c>
      <c r="E91" s="47">
        <v>6549340</v>
      </c>
      <c r="F91" s="49">
        <v>0.11522429366996198</v>
      </c>
      <c r="G91" s="48">
        <v>15891245</v>
      </c>
      <c r="H91" s="49">
        <v>0.23463404473785937</v>
      </c>
      <c r="I91" s="49">
        <v>0.26519042403537296</v>
      </c>
      <c r="J91" s="46">
        <v>55.841705646176472</v>
      </c>
      <c r="L91" s="85"/>
      <c r="M91" s="73"/>
      <c r="N91" s="73"/>
      <c r="O91" s="73"/>
      <c r="Q91" s="74"/>
      <c r="R91" s="75"/>
      <c r="S91" s="76"/>
    </row>
    <row r="92" spans="1:19" ht="15" customHeight="1" x14ac:dyDescent="0.25">
      <c r="A92" s="62">
        <v>800179722</v>
      </c>
      <c r="B92" t="s">
        <v>217</v>
      </c>
      <c r="C92" t="s">
        <v>142</v>
      </c>
      <c r="D92" s="43">
        <v>1.9337152465324245</v>
      </c>
      <c r="E92" s="47">
        <v>10513122</v>
      </c>
      <c r="F92" s="49">
        <v>0.38521118423371953</v>
      </c>
      <c r="G92" s="48">
        <v>18014497</v>
      </c>
      <c r="H92" s="49">
        <v>7.032517008181749E-2</v>
      </c>
      <c r="I92" s="49">
        <v>0.11438915002733632</v>
      </c>
      <c r="J92" s="46"/>
      <c r="L92" s="85"/>
      <c r="M92" s="73"/>
      <c r="N92" s="73"/>
      <c r="O92" s="73"/>
      <c r="Q92" s="74"/>
      <c r="R92" s="75"/>
      <c r="S92" s="76"/>
    </row>
    <row r="93" spans="1:19" ht="15" customHeight="1" x14ac:dyDescent="0.25">
      <c r="A93" s="62">
        <v>800183149</v>
      </c>
      <c r="B93" t="s">
        <v>218</v>
      </c>
      <c r="C93" t="s">
        <v>147</v>
      </c>
      <c r="D93" s="43">
        <v>1.535508405031812</v>
      </c>
      <c r="E93" s="47">
        <v>6493644</v>
      </c>
      <c r="F93" s="49">
        <v>0.63885233501047411</v>
      </c>
      <c r="G93" s="48">
        <v>6854985</v>
      </c>
      <c r="H93" s="49">
        <v>0.18873486561431538</v>
      </c>
      <c r="I93" s="49">
        <v>0.52259749656636745</v>
      </c>
      <c r="J93" s="46">
        <v>19.110709236883519</v>
      </c>
      <c r="L93" s="85"/>
      <c r="M93" s="73"/>
      <c r="N93" s="73"/>
      <c r="O93" s="73"/>
      <c r="Q93" s="74"/>
      <c r="R93" s="75"/>
      <c r="S93" s="76"/>
    </row>
    <row r="94" spans="1:19" ht="15" customHeight="1" x14ac:dyDescent="0.25">
      <c r="A94" s="62">
        <v>800186284</v>
      </c>
      <c r="B94" t="s">
        <v>219</v>
      </c>
      <c r="C94" t="s">
        <v>158</v>
      </c>
      <c r="D94" s="43">
        <v>4.286403418129737</v>
      </c>
      <c r="E94" s="47">
        <v>41027526</v>
      </c>
      <c r="F94" s="49">
        <v>0.31009004023359299</v>
      </c>
      <c r="G94" s="48">
        <v>113710260</v>
      </c>
      <c r="H94" s="49">
        <v>0.18683845682681241</v>
      </c>
      <c r="I94" s="49">
        <v>0.27081571179240993</v>
      </c>
      <c r="J94" s="46">
        <v>4.4039105383865467</v>
      </c>
      <c r="L94" s="85"/>
      <c r="M94" s="73"/>
      <c r="N94" s="73"/>
      <c r="O94" s="73"/>
      <c r="Q94" s="74"/>
      <c r="R94" s="75"/>
      <c r="S94" s="76"/>
    </row>
    <row r="95" spans="1:19" ht="15" customHeight="1" x14ac:dyDescent="0.25">
      <c r="A95" s="62">
        <v>800191462</v>
      </c>
      <c r="B95" t="s">
        <v>220</v>
      </c>
      <c r="C95" t="s">
        <v>142</v>
      </c>
      <c r="D95" s="43">
        <v>7.6208926426623611</v>
      </c>
      <c r="E95" s="47">
        <v>15881224</v>
      </c>
      <c r="F95" s="49">
        <v>0.13511230033198304</v>
      </c>
      <c r="G95" s="48">
        <v>21419308</v>
      </c>
      <c r="H95" s="49">
        <v>0.20316779593611592</v>
      </c>
      <c r="I95" s="49">
        <v>0.2349065618739877</v>
      </c>
      <c r="J95" s="46">
        <v>19.160165115535179</v>
      </c>
      <c r="L95" s="85"/>
      <c r="M95" s="73"/>
      <c r="N95" s="73"/>
      <c r="O95" s="73"/>
      <c r="Q95" s="74"/>
      <c r="R95" s="75"/>
      <c r="S95" s="76"/>
    </row>
    <row r="96" spans="1:19" ht="15" customHeight="1" x14ac:dyDescent="0.25">
      <c r="A96" s="62">
        <v>800191603</v>
      </c>
      <c r="B96" t="s">
        <v>221</v>
      </c>
      <c r="C96" t="s">
        <v>158</v>
      </c>
      <c r="D96" s="43">
        <v>3.1864494464644455</v>
      </c>
      <c r="E96" s="47">
        <v>5536477</v>
      </c>
      <c r="F96" s="49">
        <v>0.2956949411285556</v>
      </c>
      <c r="G96" s="48">
        <v>6746005</v>
      </c>
      <c r="H96" s="49">
        <v>0.1305089043992724</v>
      </c>
      <c r="I96" s="49">
        <v>0.1853016711372138</v>
      </c>
      <c r="J96" s="46">
        <v>6.7058956064588813</v>
      </c>
      <c r="L96" s="85"/>
      <c r="M96" s="73"/>
      <c r="N96" s="73"/>
      <c r="O96" s="73"/>
      <c r="Q96" s="74"/>
      <c r="R96" s="75"/>
      <c r="S96" s="76"/>
    </row>
    <row r="97" spans="1:19" ht="15" customHeight="1" x14ac:dyDescent="0.25">
      <c r="A97" s="62">
        <v>800193010</v>
      </c>
      <c r="B97" t="s">
        <v>222</v>
      </c>
      <c r="C97" t="s">
        <v>203</v>
      </c>
      <c r="D97" s="43">
        <v>1.9067466227667587</v>
      </c>
      <c r="E97" s="47">
        <v>7768432</v>
      </c>
      <c r="F97" s="49">
        <v>0.372601834625371</v>
      </c>
      <c r="G97" s="48">
        <v>19253327</v>
      </c>
      <c r="H97" s="49">
        <v>0.30182621480036886</v>
      </c>
      <c r="I97" s="49">
        <v>0.48107602389966159</v>
      </c>
      <c r="J97" s="46">
        <v>7.2689156482786546</v>
      </c>
      <c r="L97" s="85"/>
      <c r="M97" s="73"/>
      <c r="N97" s="73"/>
      <c r="O97" s="73"/>
      <c r="Q97" s="74"/>
      <c r="R97" s="75"/>
      <c r="S97" s="76"/>
    </row>
    <row r="98" spans="1:19" ht="15" customHeight="1" x14ac:dyDescent="0.25">
      <c r="A98" s="62">
        <v>800194632</v>
      </c>
      <c r="B98" t="s">
        <v>223</v>
      </c>
      <c r="C98" t="s">
        <v>158</v>
      </c>
      <c r="D98" s="43">
        <v>17.478995564569189</v>
      </c>
      <c r="E98" s="47">
        <v>14902104</v>
      </c>
      <c r="F98" s="49">
        <v>0.52814795036369711</v>
      </c>
      <c r="G98" s="48">
        <v>9480902</v>
      </c>
      <c r="H98" s="49">
        <v>6.2336674720069797E-2</v>
      </c>
      <c r="I98" s="49">
        <v>0.13211063673055581</v>
      </c>
      <c r="J98" s="46">
        <v>10.540680647658801</v>
      </c>
      <c r="L98" s="85"/>
      <c r="M98" s="73"/>
      <c r="N98" s="73"/>
      <c r="O98" s="73"/>
      <c r="Q98" s="74"/>
      <c r="R98" s="75"/>
      <c r="S98" s="76"/>
    </row>
    <row r="99" spans="1:19" ht="15" customHeight="1" x14ac:dyDescent="0.25">
      <c r="A99" s="62">
        <v>800213470</v>
      </c>
      <c r="B99" t="s">
        <v>224</v>
      </c>
      <c r="C99" t="s">
        <v>203</v>
      </c>
      <c r="D99" s="43">
        <v>11.431898847239991</v>
      </c>
      <c r="E99" s="47">
        <v>18640155</v>
      </c>
      <c r="F99" s="49">
        <v>0.16561862291551008</v>
      </c>
      <c r="G99" s="48">
        <v>21991029</v>
      </c>
      <c r="H99" s="49">
        <v>0.18887256712756462</v>
      </c>
      <c r="I99" s="49">
        <v>0.22636239532038269</v>
      </c>
      <c r="J99" s="46">
        <v>4.382558306400564</v>
      </c>
      <c r="L99" s="85"/>
      <c r="M99" s="73"/>
      <c r="N99" s="73"/>
      <c r="O99" s="73"/>
      <c r="Q99" s="74"/>
      <c r="R99" s="75"/>
      <c r="S99" s="76"/>
    </row>
    <row r="100" spans="1:19" ht="15" customHeight="1" x14ac:dyDescent="0.25">
      <c r="A100" s="62">
        <v>800215583</v>
      </c>
      <c r="B100" t="s">
        <v>225</v>
      </c>
      <c r="C100" t="s">
        <v>158</v>
      </c>
      <c r="D100" s="43">
        <v>6.751072935839515</v>
      </c>
      <c r="E100" s="47">
        <v>7733324</v>
      </c>
      <c r="F100" s="49">
        <v>0.11004513084916304</v>
      </c>
      <c r="G100" s="48">
        <v>11513784</v>
      </c>
      <c r="H100" s="49">
        <v>6.0180211125927655E-2</v>
      </c>
      <c r="I100" s="49">
        <v>6.7621643761946557E-2</v>
      </c>
      <c r="J100" s="46">
        <v>299.68475750577369</v>
      </c>
      <c r="L100" s="85"/>
      <c r="M100" s="73"/>
      <c r="N100" s="73"/>
      <c r="O100" s="73"/>
      <c r="Q100" s="74"/>
      <c r="R100" s="75"/>
      <c r="S100" s="76"/>
    </row>
    <row r="101" spans="1:19" ht="15" customHeight="1" x14ac:dyDescent="0.25">
      <c r="A101" s="62">
        <v>800217975</v>
      </c>
      <c r="B101" t="s">
        <v>226</v>
      </c>
      <c r="C101" t="s">
        <v>142</v>
      </c>
      <c r="D101" s="43">
        <v>3.2928218583674922</v>
      </c>
      <c r="E101" s="47">
        <v>41244841</v>
      </c>
      <c r="F101" s="49">
        <v>0.28425491251927576</v>
      </c>
      <c r="G101" s="48">
        <v>52879076</v>
      </c>
      <c r="H101" s="49">
        <v>0.19950156579418279</v>
      </c>
      <c r="I101" s="49">
        <v>0.27873270705410963</v>
      </c>
      <c r="J101" s="46">
        <v>31.042094643974128</v>
      </c>
      <c r="L101" s="85"/>
      <c r="M101" s="73"/>
      <c r="N101" s="73"/>
      <c r="O101" s="73"/>
      <c r="Q101" s="74"/>
      <c r="R101" s="75"/>
      <c r="S101" s="76"/>
    </row>
    <row r="102" spans="1:19" ht="15" customHeight="1" x14ac:dyDescent="0.25">
      <c r="A102" s="62">
        <v>804012755</v>
      </c>
      <c r="B102" t="s">
        <v>227</v>
      </c>
      <c r="C102" t="s">
        <v>142</v>
      </c>
      <c r="D102" s="43">
        <v>15.517243321532025</v>
      </c>
      <c r="E102" s="47">
        <v>5412609</v>
      </c>
      <c r="F102" s="49">
        <v>0.32307535997450415</v>
      </c>
      <c r="G102" s="48">
        <v>4044159</v>
      </c>
      <c r="H102" s="49">
        <v>0.15439049718193493</v>
      </c>
      <c r="I102" s="49">
        <v>0.22807634417934605</v>
      </c>
      <c r="J102" s="46"/>
      <c r="L102" s="85"/>
      <c r="M102" s="73"/>
      <c r="N102" s="73"/>
      <c r="O102" s="73"/>
      <c r="Q102" s="74"/>
      <c r="R102" s="75"/>
      <c r="S102" s="76"/>
    </row>
    <row r="103" spans="1:19" ht="15" customHeight="1" x14ac:dyDescent="0.25">
      <c r="A103" s="62">
        <v>804013213</v>
      </c>
      <c r="B103" t="s">
        <v>228</v>
      </c>
      <c r="C103" t="s">
        <v>158</v>
      </c>
      <c r="D103" s="43">
        <v>4.389049167859925</v>
      </c>
      <c r="E103" s="47">
        <v>10070746</v>
      </c>
      <c r="F103" s="49">
        <v>0.37407350303773867</v>
      </c>
      <c r="G103" s="48">
        <v>9158723</v>
      </c>
      <c r="H103" s="49">
        <v>5.3907234873942285E-2</v>
      </c>
      <c r="I103" s="49">
        <v>8.6123906138443104E-2</v>
      </c>
      <c r="J103" s="46">
        <v>9.4193405858540018</v>
      </c>
      <c r="L103" s="85"/>
      <c r="M103" s="73"/>
      <c r="N103" s="73"/>
      <c r="O103" s="73"/>
      <c r="Q103" s="74"/>
      <c r="R103" s="75"/>
      <c r="S103" s="76"/>
    </row>
    <row r="104" spans="1:19" ht="15" customHeight="1" x14ac:dyDescent="0.25">
      <c r="A104" s="62">
        <v>804015242</v>
      </c>
      <c r="B104" t="s">
        <v>229</v>
      </c>
      <c r="C104" t="s">
        <v>142</v>
      </c>
      <c r="D104" s="43">
        <v>6.7901507093251947</v>
      </c>
      <c r="E104" s="47">
        <v>11208070</v>
      </c>
      <c r="F104" s="49">
        <v>0.36115861268443306</v>
      </c>
      <c r="G104" s="48">
        <v>10914860</v>
      </c>
      <c r="H104" s="49">
        <v>0.11615543775126352</v>
      </c>
      <c r="I104" s="49">
        <v>0.18182202978324963</v>
      </c>
      <c r="J104" s="46"/>
      <c r="L104" s="85"/>
      <c r="M104" s="73"/>
      <c r="N104" s="73"/>
      <c r="O104" s="73"/>
      <c r="Q104" s="74"/>
      <c r="R104" s="75"/>
      <c r="S104" s="76"/>
    </row>
    <row r="105" spans="1:19" ht="15" customHeight="1" x14ac:dyDescent="0.25">
      <c r="A105" s="62">
        <v>806010696</v>
      </c>
      <c r="B105" t="s">
        <v>230</v>
      </c>
      <c r="C105" t="s">
        <v>142</v>
      </c>
      <c r="D105" s="43">
        <v>4.7420474576961622</v>
      </c>
      <c r="E105" s="47">
        <v>58791476</v>
      </c>
      <c r="F105" s="49">
        <v>0.54124488746621202</v>
      </c>
      <c r="G105" s="48">
        <v>85950399</v>
      </c>
      <c r="H105" s="49">
        <v>5.6817440277914105E-2</v>
      </c>
      <c r="I105" s="49">
        <v>0.12385135059117061</v>
      </c>
      <c r="J105" s="46">
        <v>5.6356832391853331</v>
      </c>
      <c r="L105" s="85"/>
      <c r="M105" s="73"/>
      <c r="N105" s="73"/>
      <c r="O105" s="73"/>
      <c r="Q105" s="74"/>
      <c r="R105" s="75"/>
      <c r="S105" s="76"/>
    </row>
    <row r="106" spans="1:19" ht="15" customHeight="1" x14ac:dyDescent="0.25">
      <c r="A106" s="62">
        <v>811016508</v>
      </c>
      <c r="B106" t="s">
        <v>231</v>
      </c>
      <c r="C106" t="s">
        <v>142</v>
      </c>
      <c r="D106" s="43">
        <v>53.360567809437043</v>
      </c>
      <c r="E106" s="47">
        <v>10689567</v>
      </c>
      <c r="F106" s="49">
        <v>8.2274883198130713E-2</v>
      </c>
      <c r="G106" s="48">
        <v>14381261</v>
      </c>
      <c r="H106" s="49">
        <v>8.5662319277289109E-2</v>
      </c>
      <c r="I106" s="49">
        <v>9.334202334551886E-2</v>
      </c>
      <c r="J106" s="46">
        <v>0.46987071673716835</v>
      </c>
      <c r="L106" s="85"/>
      <c r="M106" s="73"/>
      <c r="N106" s="73"/>
      <c r="O106" s="73"/>
      <c r="Q106" s="74"/>
      <c r="R106" s="75"/>
      <c r="S106" s="76"/>
    </row>
    <row r="107" spans="1:19" ht="15" customHeight="1" x14ac:dyDescent="0.25">
      <c r="A107" s="62">
        <v>811033850</v>
      </c>
      <c r="B107" t="s">
        <v>232</v>
      </c>
      <c r="C107" t="s">
        <v>142</v>
      </c>
      <c r="D107" s="43">
        <v>6.0705150973480713</v>
      </c>
      <c r="E107" s="47">
        <v>5253439</v>
      </c>
      <c r="F107" s="49">
        <v>0.24290131912213994</v>
      </c>
      <c r="G107" s="48">
        <v>5090515</v>
      </c>
      <c r="H107" s="49">
        <v>6.5118177245492598E-2</v>
      </c>
      <c r="I107" s="49">
        <v>8.6010158107774945E-2</v>
      </c>
      <c r="J107" s="46">
        <v>6.5493328546640344</v>
      </c>
      <c r="L107" s="85"/>
      <c r="M107" s="73"/>
      <c r="N107" s="73"/>
      <c r="O107" s="73"/>
      <c r="Q107" s="74"/>
      <c r="R107" s="75"/>
      <c r="S107" s="76"/>
    </row>
    <row r="108" spans="1:19" ht="15" customHeight="1" x14ac:dyDescent="0.25">
      <c r="A108" s="62">
        <v>811042842</v>
      </c>
      <c r="B108" t="s">
        <v>233</v>
      </c>
      <c r="C108" t="s">
        <v>158</v>
      </c>
      <c r="D108" s="43">
        <v>4.4798922657343114</v>
      </c>
      <c r="E108" s="47">
        <v>15904865</v>
      </c>
      <c r="F108" s="49">
        <v>0.56576819546134993</v>
      </c>
      <c r="G108" s="48">
        <v>10011140</v>
      </c>
      <c r="H108" s="49">
        <v>0.13083593029469009</v>
      </c>
      <c r="I108" s="49">
        <v>0.30130434695748937</v>
      </c>
      <c r="J108" s="46"/>
      <c r="L108" s="85"/>
      <c r="M108" s="73"/>
      <c r="N108" s="73"/>
      <c r="O108" s="73"/>
      <c r="Q108" s="74"/>
      <c r="R108" s="75"/>
      <c r="S108" s="76"/>
    </row>
    <row r="109" spans="1:19" ht="15" customHeight="1" x14ac:dyDescent="0.25">
      <c r="A109" s="62">
        <v>811046878</v>
      </c>
      <c r="B109" t="s">
        <v>234</v>
      </c>
      <c r="C109" t="s">
        <v>142</v>
      </c>
      <c r="D109" s="43">
        <v>4.1469098135849114</v>
      </c>
      <c r="E109" s="47">
        <v>11695462</v>
      </c>
      <c r="F109" s="49">
        <v>0.36557988153448234</v>
      </c>
      <c r="G109" s="48">
        <v>10434295</v>
      </c>
      <c r="H109" s="49">
        <v>0.11274927068677654</v>
      </c>
      <c r="I109" s="49">
        <v>0.17772020055020488</v>
      </c>
      <c r="J109" s="46">
        <v>1.2741420050446648</v>
      </c>
      <c r="L109" s="85"/>
      <c r="M109" s="73"/>
      <c r="N109" s="73"/>
      <c r="O109" s="73"/>
      <c r="Q109" s="74"/>
      <c r="R109" s="75"/>
      <c r="S109" s="76"/>
    </row>
    <row r="110" spans="1:19" ht="15" customHeight="1" x14ac:dyDescent="0.25">
      <c r="A110" s="62">
        <v>823001405</v>
      </c>
      <c r="B110" t="s">
        <v>235</v>
      </c>
      <c r="C110" t="s">
        <v>142</v>
      </c>
      <c r="D110" s="43">
        <v>13.003237316967327</v>
      </c>
      <c r="E110" s="47">
        <v>9321342</v>
      </c>
      <c r="F110" s="49">
        <v>0.28493334756970956</v>
      </c>
      <c r="G110" s="48">
        <v>8518692</v>
      </c>
      <c r="H110" s="49">
        <v>0.12097696460313079</v>
      </c>
      <c r="I110" s="49">
        <v>0.16918278064284986</v>
      </c>
      <c r="J110" s="46">
        <v>4.6329879740385822</v>
      </c>
      <c r="L110" s="85"/>
      <c r="M110" s="73"/>
      <c r="N110" s="73"/>
      <c r="O110" s="73"/>
      <c r="Q110" s="74"/>
      <c r="R110" s="75"/>
      <c r="S110" s="76"/>
    </row>
    <row r="111" spans="1:19" ht="15" customHeight="1" x14ac:dyDescent="0.25">
      <c r="A111" s="62">
        <v>823004340</v>
      </c>
      <c r="B111" t="s">
        <v>236</v>
      </c>
      <c r="C111" t="s">
        <v>147</v>
      </c>
      <c r="D111" s="43">
        <v>3.6984670465230285</v>
      </c>
      <c r="E111" s="47">
        <v>6715567</v>
      </c>
      <c r="F111" s="49">
        <v>0.34254335538383024</v>
      </c>
      <c r="G111" s="48">
        <v>6992438</v>
      </c>
      <c r="H111" s="49">
        <v>0.14637028060883892</v>
      </c>
      <c r="I111" s="49">
        <v>0.22263107660017864</v>
      </c>
      <c r="J111" s="46"/>
      <c r="L111" s="85"/>
      <c r="M111" s="73"/>
      <c r="N111" s="73"/>
      <c r="O111" s="73"/>
      <c r="Q111" s="74"/>
      <c r="R111" s="75"/>
      <c r="S111" s="76"/>
    </row>
    <row r="112" spans="1:19" ht="15" customHeight="1" x14ac:dyDescent="0.25">
      <c r="A112" s="62">
        <v>830006777</v>
      </c>
      <c r="B112" t="s">
        <v>237</v>
      </c>
      <c r="C112" t="s">
        <v>158</v>
      </c>
      <c r="D112" s="43">
        <v>22.475556378142208</v>
      </c>
      <c r="E112" s="47">
        <v>10907070</v>
      </c>
      <c r="F112" s="49">
        <v>9.2841264929095876E-2</v>
      </c>
      <c r="G112" s="48">
        <v>12332227</v>
      </c>
      <c r="H112" s="49">
        <v>0.14930688448864354</v>
      </c>
      <c r="I112" s="49">
        <v>0.16458738555493668</v>
      </c>
      <c r="J112" s="46"/>
      <c r="L112" s="85"/>
      <c r="M112" s="73"/>
      <c r="N112" s="73"/>
      <c r="O112" s="73"/>
      <c r="Q112" s="74"/>
      <c r="R112" s="75"/>
      <c r="S112" s="76"/>
    </row>
    <row r="113" spans="1:19" ht="15" customHeight="1" x14ac:dyDescent="0.25">
      <c r="A113" s="62">
        <v>830008196</v>
      </c>
      <c r="B113" t="s">
        <v>238</v>
      </c>
      <c r="C113" t="s">
        <v>158</v>
      </c>
      <c r="D113" s="43">
        <v>10.345623072068566</v>
      </c>
      <c r="E113" s="47">
        <v>5020179</v>
      </c>
      <c r="F113" s="49">
        <v>4.1175876749165494E-2</v>
      </c>
      <c r="G113" s="48">
        <v>12508552</v>
      </c>
      <c r="H113" s="49">
        <v>8.5880036833533388E-2</v>
      </c>
      <c r="I113" s="49">
        <v>8.9568081101633501E-2</v>
      </c>
      <c r="J113" s="46">
        <v>13.527571509641275</v>
      </c>
      <c r="L113" s="85"/>
      <c r="M113" s="73"/>
      <c r="N113" s="73"/>
      <c r="O113" s="73"/>
      <c r="Q113" s="74"/>
      <c r="R113" s="75"/>
      <c r="S113" s="76"/>
    </row>
    <row r="114" spans="1:19" ht="15" customHeight="1" x14ac:dyDescent="0.25">
      <c r="A114" s="62">
        <v>830010109</v>
      </c>
      <c r="B114" t="s">
        <v>239</v>
      </c>
      <c r="C114" t="s">
        <v>142</v>
      </c>
      <c r="D114" s="43">
        <v>21.490181755857893</v>
      </c>
      <c r="E114" s="47">
        <v>5021201</v>
      </c>
      <c r="F114" s="49">
        <v>4.6454607357394928E-2</v>
      </c>
      <c r="G114" s="48">
        <v>5030074</v>
      </c>
      <c r="H114" s="49">
        <v>0.11236713118620061</v>
      </c>
      <c r="I114" s="49">
        <v>0.11784140750215603</v>
      </c>
      <c r="J114" s="46">
        <v>52.013952263952262</v>
      </c>
      <c r="L114" s="85"/>
      <c r="M114" s="73"/>
      <c r="N114" s="73"/>
      <c r="O114" s="73"/>
      <c r="Q114" s="74"/>
      <c r="R114" s="75"/>
      <c r="S114" s="76"/>
    </row>
    <row r="115" spans="1:19" ht="15" customHeight="1" x14ac:dyDescent="0.25">
      <c r="A115" s="62">
        <v>830021790</v>
      </c>
      <c r="B115" t="s">
        <v>240</v>
      </c>
      <c r="C115" t="s">
        <v>158</v>
      </c>
      <c r="D115" s="43">
        <v>1.6525693166288569</v>
      </c>
      <c r="E115" s="47">
        <v>8900327</v>
      </c>
      <c r="F115" s="49">
        <v>0.60238737792334396</v>
      </c>
      <c r="G115" s="48">
        <v>9002510</v>
      </c>
      <c r="H115" s="49">
        <v>0.15592845833931979</v>
      </c>
      <c r="I115" s="49">
        <v>0.39216174155874306</v>
      </c>
      <c r="J115" s="46"/>
      <c r="L115" s="85"/>
      <c r="M115" s="73"/>
      <c r="N115" s="73"/>
      <c r="O115" s="73"/>
      <c r="Q115" s="74"/>
      <c r="R115" s="75"/>
      <c r="S115" s="76"/>
    </row>
    <row r="116" spans="1:19" ht="15" customHeight="1" x14ac:dyDescent="0.25">
      <c r="A116" s="62">
        <v>830023761</v>
      </c>
      <c r="B116" t="s">
        <v>241</v>
      </c>
      <c r="C116" t="s">
        <v>142</v>
      </c>
      <c r="D116" s="43">
        <v>14.913209023470692</v>
      </c>
      <c r="E116" s="47">
        <v>5583496</v>
      </c>
      <c r="F116" s="49">
        <v>0.35762539708395097</v>
      </c>
      <c r="G116" s="48">
        <v>3848984</v>
      </c>
      <c r="H116" s="49">
        <v>0.11976272262486469</v>
      </c>
      <c r="I116" s="49">
        <v>0.18643751182130142</v>
      </c>
      <c r="J116" s="46">
        <v>11.874027865109044</v>
      </c>
      <c r="L116" s="85"/>
      <c r="M116" s="73"/>
      <c r="N116" s="73"/>
      <c r="O116" s="73"/>
      <c r="Q116" s="74"/>
      <c r="R116" s="75"/>
      <c r="S116" s="76"/>
    </row>
    <row r="117" spans="1:19" ht="15" customHeight="1" x14ac:dyDescent="0.25">
      <c r="A117" s="62">
        <v>830025968</v>
      </c>
      <c r="B117" t="s">
        <v>242</v>
      </c>
      <c r="C117" t="s">
        <v>142</v>
      </c>
      <c r="D117" s="43">
        <v>1.9326310251650169</v>
      </c>
      <c r="E117" s="47">
        <v>5555794</v>
      </c>
      <c r="F117" s="49">
        <v>0.69648442463967852</v>
      </c>
      <c r="G117" s="48">
        <v>3704451</v>
      </c>
      <c r="H117" s="49">
        <v>0.16274368927918337</v>
      </c>
      <c r="I117" s="49">
        <v>0.53619551183157776</v>
      </c>
      <c r="J117" s="46">
        <v>1.2764832142306308</v>
      </c>
      <c r="L117" s="85"/>
      <c r="M117" s="73"/>
      <c r="N117" s="73"/>
      <c r="O117" s="73"/>
      <c r="Q117" s="74"/>
      <c r="R117" s="75"/>
      <c r="S117" s="76"/>
    </row>
    <row r="118" spans="1:19" ht="15" customHeight="1" x14ac:dyDescent="0.25">
      <c r="A118" s="62">
        <v>830026612</v>
      </c>
      <c r="B118" t="s">
        <v>243</v>
      </c>
      <c r="C118" t="s">
        <v>142</v>
      </c>
      <c r="D118" s="43">
        <v>1.9844668962090306</v>
      </c>
      <c r="E118" s="47">
        <v>7270987</v>
      </c>
      <c r="F118" s="49">
        <v>0.4350032516442135</v>
      </c>
      <c r="G118" s="48">
        <v>9607907</v>
      </c>
      <c r="H118" s="49">
        <v>0.17735877105666764</v>
      </c>
      <c r="I118" s="49">
        <v>0.31391113590087832</v>
      </c>
      <c r="J118" s="46">
        <v>226.32665466006304</v>
      </c>
      <c r="L118" s="85"/>
      <c r="M118" s="73"/>
      <c r="N118" s="73"/>
      <c r="O118" s="73"/>
      <c r="Q118" s="74"/>
      <c r="R118" s="75"/>
      <c r="S118" s="76"/>
    </row>
    <row r="119" spans="1:19" ht="15" customHeight="1" x14ac:dyDescent="0.25">
      <c r="A119" s="62">
        <v>830034128</v>
      </c>
      <c r="B119" t="s">
        <v>244</v>
      </c>
      <c r="C119" t="s">
        <v>142</v>
      </c>
      <c r="D119" s="43">
        <v>2.1009800123897469</v>
      </c>
      <c r="E119" s="47">
        <v>6773076</v>
      </c>
      <c r="F119" s="49">
        <v>0.59546195618323305</v>
      </c>
      <c r="G119" s="48">
        <v>6429989</v>
      </c>
      <c r="H119" s="49">
        <v>0.20063957385398831</v>
      </c>
      <c r="I119" s="49">
        <v>0.49597207709064511</v>
      </c>
      <c r="J119" s="46">
        <v>2.8398755086956911</v>
      </c>
      <c r="L119" s="85"/>
      <c r="M119" s="73"/>
      <c r="N119" s="73"/>
      <c r="O119" s="73"/>
      <c r="Q119" s="74"/>
      <c r="R119" s="75"/>
      <c r="S119" s="76"/>
    </row>
    <row r="120" spans="1:19" ht="15" customHeight="1" x14ac:dyDescent="0.25">
      <c r="A120" s="62">
        <v>830041027</v>
      </c>
      <c r="B120" t="s">
        <v>245</v>
      </c>
      <c r="C120" t="s">
        <v>158</v>
      </c>
      <c r="D120" s="43">
        <v>8.5072692609717144</v>
      </c>
      <c r="E120" s="47">
        <v>7084092</v>
      </c>
      <c r="F120" s="49">
        <v>0.39163525456442172</v>
      </c>
      <c r="G120" s="48">
        <v>6967192</v>
      </c>
      <c r="H120" s="49">
        <v>0.18862402374644036</v>
      </c>
      <c r="I120" s="49">
        <v>0.31005087846007401</v>
      </c>
      <c r="J120" s="46">
        <v>2.4585121577866169</v>
      </c>
      <c r="L120" s="85"/>
      <c r="M120" s="73"/>
      <c r="N120" s="73"/>
      <c r="O120" s="73"/>
      <c r="Q120" s="74"/>
      <c r="R120" s="75"/>
      <c r="S120" s="76"/>
    </row>
    <row r="121" spans="1:19" ht="15" customHeight="1" x14ac:dyDescent="0.25">
      <c r="A121" s="62">
        <v>830042921</v>
      </c>
      <c r="B121" t="s">
        <v>246</v>
      </c>
      <c r="C121" t="s">
        <v>142</v>
      </c>
      <c r="D121" s="43">
        <v>4.4402335941349538</v>
      </c>
      <c r="E121" s="47">
        <v>6500084</v>
      </c>
      <c r="F121" s="49">
        <v>0.22085512224906265</v>
      </c>
      <c r="G121" s="48">
        <v>10573571</v>
      </c>
      <c r="H121" s="49">
        <v>4.8350576070365518E-2</v>
      </c>
      <c r="I121" s="49">
        <v>6.2055950633896531E-2</v>
      </c>
      <c r="J121" s="46"/>
      <c r="L121" s="85"/>
      <c r="M121" s="73"/>
      <c r="N121" s="73"/>
      <c r="O121" s="73"/>
      <c r="Q121" s="74"/>
      <c r="R121" s="75"/>
      <c r="S121" s="76"/>
    </row>
    <row r="122" spans="1:19" ht="15" customHeight="1" x14ac:dyDescent="0.25">
      <c r="A122" s="62">
        <v>830043424</v>
      </c>
      <c r="B122" t="s">
        <v>247</v>
      </c>
      <c r="C122" t="s">
        <v>142</v>
      </c>
      <c r="D122" s="43">
        <v>9.3395016392635917</v>
      </c>
      <c r="E122" s="47">
        <v>6778889</v>
      </c>
      <c r="F122" s="49">
        <v>0.10118257637939237</v>
      </c>
      <c r="G122" s="48">
        <v>7220781</v>
      </c>
      <c r="H122" s="49">
        <v>1.5819342799023008E-2</v>
      </c>
      <c r="I122" s="49">
        <v>1.7600173720820504E-2</v>
      </c>
      <c r="J122" s="46">
        <v>1233.8543689320388</v>
      </c>
      <c r="L122" s="85"/>
      <c r="M122" s="73"/>
      <c r="N122" s="73"/>
      <c r="O122" s="73"/>
      <c r="Q122" s="74"/>
      <c r="R122" s="75"/>
      <c r="S122" s="76"/>
    </row>
    <row r="123" spans="1:19" ht="15" customHeight="1" x14ac:dyDescent="0.25">
      <c r="A123" s="62">
        <v>830048751</v>
      </c>
      <c r="B123" t="s">
        <v>248</v>
      </c>
      <c r="C123" t="s">
        <v>158</v>
      </c>
      <c r="D123" s="43">
        <v>3.7900163049030615</v>
      </c>
      <c r="E123" s="47">
        <v>6089989</v>
      </c>
      <c r="F123" s="49">
        <v>0.25401933488840406</v>
      </c>
      <c r="G123" s="48">
        <v>6410185</v>
      </c>
      <c r="H123" s="49">
        <v>0.23132181165893398</v>
      </c>
      <c r="I123" s="49">
        <v>0.31009089441256377</v>
      </c>
      <c r="J123" s="46">
        <v>1.407498672331386</v>
      </c>
      <c r="L123" s="85"/>
      <c r="M123" s="73"/>
      <c r="N123" s="73"/>
      <c r="O123" s="73"/>
      <c r="Q123" s="74"/>
      <c r="R123" s="75"/>
      <c r="S123" s="76"/>
    </row>
    <row r="124" spans="1:19" ht="15" customHeight="1" x14ac:dyDescent="0.25">
      <c r="A124" s="62">
        <v>830050473</v>
      </c>
      <c r="B124" t="s">
        <v>249</v>
      </c>
      <c r="C124" t="s">
        <v>158</v>
      </c>
      <c r="D124" s="43">
        <v>3.4348753728194192</v>
      </c>
      <c r="E124" s="47">
        <v>6785686</v>
      </c>
      <c r="F124" s="49">
        <v>0.28150589032927803</v>
      </c>
      <c r="G124" s="48">
        <v>7112999</v>
      </c>
      <c r="H124" s="49">
        <v>0.63099781805237665</v>
      </c>
      <c r="I124" s="49">
        <v>0.87822267372735463</v>
      </c>
      <c r="J124" s="46"/>
      <c r="L124" s="85"/>
      <c r="M124" s="73"/>
      <c r="N124" s="73"/>
      <c r="O124" s="73"/>
      <c r="Q124" s="74"/>
      <c r="R124" s="75"/>
      <c r="S124" s="76"/>
    </row>
    <row r="125" spans="1:19" ht="15" customHeight="1" x14ac:dyDescent="0.25">
      <c r="A125" s="62">
        <v>830061122</v>
      </c>
      <c r="B125" t="s">
        <v>250</v>
      </c>
      <c r="C125" t="s">
        <v>142</v>
      </c>
      <c r="D125" s="43">
        <v>47.326687639474336</v>
      </c>
      <c r="E125" s="47">
        <v>5978737</v>
      </c>
      <c r="F125" s="49">
        <v>1.8141224518598145E-2</v>
      </c>
      <c r="G125" s="48">
        <v>6984907</v>
      </c>
      <c r="H125" s="49">
        <v>1.190714655108552E-2</v>
      </c>
      <c r="I125" s="49">
        <v>1.2127147863242847E-2</v>
      </c>
      <c r="J125" s="46">
        <v>9.4612978889757624</v>
      </c>
      <c r="L125" s="85"/>
      <c r="M125" s="73"/>
      <c r="N125" s="73"/>
      <c r="O125" s="73"/>
      <c r="Q125" s="74"/>
      <c r="R125" s="75"/>
      <c r="S125" s="76"/>
    </row>
    <row r="126" spans="1:19" ht="15" customHeight="1" x14ac:dyDescent="0.25">
      <c r="A126" s="62">
        <v>830063028</v>
      </c>
      <c r="B126" t="s">
        <v>251</v>
      </c>
      <c r="C126" t="s">
        <v>158</v>
      </c>
      <c r="D126" s="43">
        <v>20.630848002678675</v>
      </c>
      <c r="E126" s="47">
        <v>28141704</v>
      </c>
      <c r="F126" s="49">
        <v>3.3804468968506994E-2</v>
      </c>
      <c r="G126" s="48">
        <v>40973422</v>
      </c>
      <c r="H126" s="49">
        <v>0.15002466457928954</v>
      </c>
      <c r="I126" s="49">
        <v>0.15527360638806298</v>
      </c>
      <c r="J126" s="46">
        <v>21.126688583383142</v>
      </c>
      <c r="L126" s="85"/>
      <c r="M126" s="73"/>
      <c r="N126" s="73"/>
      <c r="O126" s="73"/>
      <c r="Q126" s="74"/>
      <c r="R126" s="75"/>
      <c r="S126" s="76"/>
    </row>
    <row r="127" spans="1:19" ht="15" customHeight="1" x14ac:dyDescent="0.25">
      <c r="A127" s="62">
        <v>830066044</v>
      </c>
      <c r="B127" t="s">
        <v>252</v>
      </c>
      <c r="C127" t="s">
        <v>142</v>
      </c>
      <c r="D127" s="43">
        <v>5.1870306317770734</v>
      </c>
      <c r="E127" s="47">
        <v>8646817</v>
      </c>
      <c r="F127" s="49">
        <v>0.15996228404747351</v>
      </c>
      <c r="G127" s="48">
        <v>10845044</v>
      </c>
      <c r="H127" s="49">
        <v>0.42305095968013479</v>
      </c>
      <c r="I127" s="49">
        <v>0.50360948281998674</v>
      </c>
      <c r="J127" s="46">
        <v>22.405735922744316</v>
      </c>
      <c r="L127" s="85"/>
      <c r="M127" s="73"/>
      <c r="N127" s="73"/>
      <c r="O127" s="73"/>
      <c r="Q127" s="74"/>
      <c r="R127" s="75"/>
      <c r="S127" s="76"/>
    </row>
    <row r="128" spans="1:19" ht="15" customHeight="1" x14ac:dyDescent="0.25">
      <c r="A128" s="62">
        <v>830068345</v>
      </c>
      <c r="B128" t="s">
        <v>253</v>
      </c>
      <c r="C128" t="s">
        <v>142</v>
      </c>
      <c r="D128" s="43">
        <v>3.7675453153294787</v>
      </c>
      <c r="E128" s="47">
        <v>9030719</v>
      </c>
      <c r="F128" s="49">
        <v>0.1875549865883881</v>
      </c>
      <c r="G128" s="48">
        <v>15127168</v>
      </c>
      <c r="H128" s="49">
        <v>0.33019440620607216</v>
      </c>
      <c r="I128" s="49">
        <v>0.40642062017160119</v>
      </c>
      <c r="J128" s="46"/>
      <c r="L128" s="85"/>
      <c r="M128" s="73"/>
      <c r="N128" s="73"/>
      <c r="O128" s="73"/>
      <c r="Q128" s="74"/>
      <c r="R128" s="75"/>
      <c r="S128" s="76"/>
    </row>
    <row r="129" spans="1:19" ht="15" customHeight="1" x14ac:dyDescent="0.25">
      <c r="A129" s="62">
        <v>830082285</v>
      </c>
      <c r="B129" t="s">
        <v>254</v>
      </c>
      <c r="C129" t="s">
        <v>142</v>
      </c>
      <c r="D129" s="43">
        <v>1.3000732266927075</v>
      </c>
      <c r="E129" s="47">
        <v>5657105</v>
      </c>
      <c r="F129" s="49">
        <v>0.78396758732078042</v>
      </c>
      <c r="G129" s="48">
        <v>6438980</v>
      </c>
      <c r="H129" s="49">
        <v>8.2957542906337792E-2</v>
      </c>
      <c r="I129" s="49">
        <v>0.38400507533801936</v>
      </c>
      <c r="J129" s="46">
        <v>1.09715248975774</v>
      </c>
      <c r="L129" s="85"/>
      <c r="M129" s="73"/>
      <c r="N129" s="73"/>
      <c r="O129" s="73"/>
      <c r="Q129" s="74"/>
      <c r="R129" s="75"/>
      <c r="S129" s="76"/>
    </row>
    <row r="130" spans="1:19" ht="15" customHeight="1" x14ac:dyDescent="0.25">
      <c r="A130" s="62">
        <v>830090315</v>
      </c>
      <c r="B130" t="s">
        <v>255</v>
      </c>
      <c r="C130" t="s">
        <v>158</v>
      </c>
      <c r="D130" s="43">
        <v>2.2612800514371747</v>
      </c>
      <c r="E130" s="47">
        <v>5943839</v>
      </c>
      <c r="F130" s="49">
        <v>0.2373763802289528</v>
      </c>
      <c r="G130" s="48">
        <v>39690185</v>
      </c>
      <c r="H130" s="49">
        <v>0.11392496587135904</v>
      </c>
      <c r="I130" s="49">
        <v>0.14938557227687399</v>
      </c>
      <c r="J130" s="46">
        <v>4.8446235680551695</v>
      </c>
      <c r="L130" s="85"/>
      <c r="M130" s="73"/>
      <c r="N130" s="73"/>
      <c r="O130" s="73"/>
      <c r="Q130" s="74"/>
      <c r="R130" s="75"/>
      <c r="S130" s="76"/>
    </row>
    <row r="131" spans="1:19" ht="15" customHeight="1" x14ac:dyDescent="0.25">
      <c r="A131" s="62">
        <v>830095024</v>
      </c>
      <c r="B131" t="s">
        <v>256</v>
      </c>
      <c r="C131" t="s">
        <v>147</v>
      </c>
      <c r="D131" s="43">
        <v>1.9815257553684693</v>
      </c>
      <c r="E131" s="47">
        <v>6538743</v>
      </c>
      <c r="F131" s="49">
        <v>0.31969181523385432</v>
      </c>
      <c r="G131" s="48">
        <v>14573266</v>
      </c>
      <c r="H131" s="49">
        <v>0.11799231288657014</v>
      </c>
      <c r="I131" s="49">
        <v>0.17343950216787368</v>
      </c>
      <c r="J131" s="46">
        <v>18.385475388610459</v>
      </c>
      <c r="L131" s="85"/>
      <c r="M131" s="73"/>
      <c r="N131" s="73"/>
      <c r="O131" s="73"/>
      <c r="Q131" s="74"/>
      <c r="R131" s="75"/>
      <c r="S131" s="76"/>
    </row>
    <row r="132" spans="1:19" ht="15" customHeight="1" x14ac:dyDescent="0.25">
      <c r="A132" s="62">
        <v>830095283</v>
      </c>
      <c r="B132" t="s">
        <v>257</v>
      </c>
      <c r="C132" t="s">
        <v>147</v>
      </c>
      <c r="D132" s="43">
        <v>82.364030570762637</v>
      </c>
      <c r="E132" s="47">
        <v>6004340</v>
      </c>
      <c r="F132" s="49">
        <v>0.38972748219418429</v>
      </c>
      <c r="G132" s="48">
        <v>4302644</v>
      </c>
      <c r="H132" s="49">
        <v>1.1267218080198685E-2</v>
      </c>
      <c r="I132" s="49">
        <v>1.8462601135487852E-2</v>
      </c>
      <c r="J132" s="46">
        <v>9.5719966260995299</v>
      </c>
      <c r="L132" s="85"/>
      <c r="M132" s="73"/>
      <c r="N132" s="73"/>
      <c r="O132" s="73"/>
      <c r="Q132" s="74"/>
      <c r="R132" s="75"/>
      <c r="S132" s="76"/>
    </row>
    <row r="133" spans="1:19" ht="15" customHeight="1" x14ac:dyDescent="0.25">
      <c r="A133" s="62">
        <v>830095352</v>
      </c>
      <c r="B133" t="s">
        <v>258</v>
      </c>
      <c r="C133" t="s">
        <v>158</v>
      </c>
      <c r="D133" s="43">
        <v>3.0071655686405272</v>
      </c>
      <c r="E133" s="47">
        <v>5742587</v>
      </c>
      <c r="F133" s="49">
        <v>0.43260358024439988</v>
      </c>
      <c r="G133" s="48">
        <v>10979544</v>
      </c>
      <c r="H133" s="49">
        <v>7.4360027256830302E-2</v>
      </c>
      <c r="I133" s="49">
        <v>0.13105480519045234</v>
      </c>
      <c r="J133" s="46">
        <v>2.7107225343144457</v>
      </c>
      <c r="L133" s="85"/>
      <c r="M133" s="73"/>
      <c r="N133" s="73"/>
      <c r="O133" s="73"/>
      <c r="Q133" s="74"/>
      <c r="R133" s="75"/>
      <c r="S133" s="76"/>
    </row>
    <row r="134" spans="1:19" ht="15" customHeight="1" x14ac:dyDescent="0.25">
      <c r="A134" s="62">
        <v>830098590</v>
      </c>
      <c r="B134" t="s">
        <v>259</v>
      </c>
      <c r="C134" t="s">
        <v>158</v>
      </c>
      <c r="D134" s="43">
        <v>1.8380692938102334</v>
      </c>
      <c r="E134" s="47">
        <v>9230253</v>
      </c>
      <c r="F134" s="49">
        <v>0.45820330660839154</v>
      </c>
      <c r="G134" s="48">
        <v>18953431</v>
      </c>
      <c r="H134" s="49">
        <v>0.15642480857314239</v>
      </c>
      <c r="I134" s="49">
        <v>0.28871495614698994</v>
      </c>
      <c r="J134" s="46">
        <v>2.1313475796070427</v>
      </c>
      <c r="L134" s="85"/>
      <c r="M134" s="73"/>
      <c r="N134" s="73"/>
      <c r="O134" s="73"/>
      <c r="Q134" s="74"/>
      <c r="R134" s="75"/>
      <c r="S134" s="76"/>
    </row>
    <row r="135" spans="1:19" ht="15" customHeight="1" x14ac:dyDescent="0.25">
      <c r="A135" s="62">
        <v>830113072</v>
      </c>
      <c r="B135" t="s">
        <v>260</v>
      </c>
      <c r="C135" t="s">
        <v>158</v>
      </c>
      <c r="D135" s="43">
        <v>26.477814198474956</v>
      </c>
      <c r="E135" s="47">
        <v>13959753</v>
      </c>
      <c r="F135" s="49">
        <v>3.7479567842424358E-2</v>
      </c>
      <c r="G135" s="48">
        <v>14071194</v>
      </c>
      <c r="H135" s="49">
        <v>0.25053990967440432</v>
      </c>
      <c r="I135" s="49">
        <v>0.26029567924370883</v>
      </c>
      <c r="J135" s="46"/>
      <c r="L135" s="85"/>
      <c r="M135" s="73"/>
      <c r="N135" s="73"/>
      <c r="O135" s="73"/>
      <c r="Q135" s="74"/>
      <c r="R135" s="75"/>
      <c r="S135" s="76"/>
    </row>
    <row r="136" spans="1:19" ht="15" customHeight="1" x14ac:dyDescent="0.25">
      <c r="A136" s="62">
        <v>830126310</v>
      </c>
      <c r="B136" t="s">
        <v>261</v>
      </c>
      <c r="C136" t="s">
        <v>158</v>
      </c>
      <c r="D136" s="43">
        <v>1.7313091172305517</v>
      </c>
      <c r="E136" s="47">
        <v>9015072</v>
      </c>
      <c r="F136" s="49">
        <v>0.5883966356071505</v>
      </c>
      <c r="G136" s="48">
        <v>9257156</v>
      </c>
      <c r="H136" s="49">
        <v>0.24088479759677842</v>
      </c>
      <c r="I136" s="49">
        <v>0.58523524935736204</v>
      </c>
      <c r="J136" s="46">
        <v>3.1924297842275191</v>
      </c>
      <c r="L136" s="85"/>
      <c r="M136" s="73"/>
      <c r="N136" s="73"/>
      <c r="O136" s="73"/>
      <c r="Q136" s="74"/>
      <c r="R136" s="75"/>
      <c r="S136" s="76"/>
    </row>
    <row r="137" spans="1:19" ht="15" customHeight="1" x14ac:dyDescent="0.25">
      <c r="A137" s="62">
        <v>830132647</v>
      </c>
      <c r="B137" t="s">
        <v>262</v>
      </c>
      <c r="C137" t="s">
        <v>147</v>
      </c>
      <c r="D137" s="43">
        <v>68.174291529134095</v>
      </c>
      <c r="E137" s="47">
        <v>7855496</v>
      </c>
      <c r="F137" s="49">
        <v>0.59590565872729695</v>
      </c>
      <c r="G137" s="48">
        <v>3225241</v>
      </c>
      <c r="H137" s="49">
        <v>2.8547351180982398E-2</v>
      </c>
      <c r="I137" s="49">
        <v>7.064526340822283E-2</v>
      </c>
      <c r="J137" s="46">
        <v>40.015454864769936</v>
      </c>
      <c r="L137" s="85"/>
      <c r="M137" s="73"/>
      <c r="N137" s="73"/>
      <c r="O137" s="73"/>
      <c r="Q137" s="74"/>
      <c r="R137" s="75"/>
      <c r="S137" s="76"/>
    </row>
    <row r="138" spans="1:19" ht="15" customHeight="1" x14ac:dyDescent="0.25">
      <c r="A138" s="62">
        <v>830133597</v>
      </c>
      <c r="B138" t="s">
        <v>263</v>
      </c>
      <c r="C138" t="s">
        <v>158</v>
      </c>
      <c r="D138" s="43">
        <v>27.657553952076402</v>
      </c>
      <c r="E138" s="47">
        <v>8061191</v>
      </c>
      <c r="F138" s="49">
        <v>0.39419754969915649</v>
      </c>
      <c r="G138" s="48">
        <v>5686229</v>
      </c>
      <c r="H138" s="49">
        <v>7.8248285049363556E-2</v>
      </c>
      <c r="I138" s="49">
        <v>0.12916468893532077</v>
      </c>
      <c r="J138" s="46"/>
      <c r="L138" s="85"/>
      <c r="M138" s="73"/>
      <c r="N138" s="73"/>
      <c r="O138" s="73"/>
      <c r="Q138" s="74"/>
      <c r="R138" s="75"/>
      <c r="S138" s="76"/>
    </row>
    <row r="139" spans="1:19" ht="15" customHeight="1" x14ac:dyDescent="0.25">
      <c r="A139" s="62">
        <v>830139404</v>
      </c>
      <c r="B139" t="s">
        <v>264</v>
      </c>
      <c r="C139" t="s">
        <v>158</v>
      </c>
      <c r="D139" s="43">
        <v>5.5256897277247825</v>
      </c>
      <c r="E139" s="47">
        <v>8636161</v>
      </c>
      <c r="F139" s="49">
        <v>0.14529704536629667</v>
      </c>
      <c r="G139" s="48">
        <v>11507724</v>
      </c>
      <c r="H139" s="49">
        <v>0.28780227635107652</v>
      </c>
      <c r="I139" s="49">
        <v>0.33672783601692219</v>
      </c>
      <c r="J139" s="46">
        <v>2.5723147819922012</v>
      </c>
      <c r="L139" s="85"/>
      <c r="M139" s="73"/>
      <c r="N139" s="73"/>
      <c r="O139" s="73"/>
      <c r="Q139" s="74"/>
      <c r="R139" s="75"/>
      <c r="S139" s="76"/>
    </row>
    <row r="140" spans="1:19" ht="15" customHeight="1" x14ac:dyDescent="0.25">
      <c r="A140" s="62">
        <v>830502614</v>
      </c>
      <c r="B140" t="s">
        <v>265</v>
      </c>
      <c r="C140" t="s">
        <v>203</v>
      </c>
      <c r="D140" s="43">
        <v>3.2604185520782489</v>
      </c>
      <c r="E140" s="47">
        <v>7905242</v>
      </c>
      <c r="F140" s="49">
        <v>0.34387839588560487</v>
      </c>
      <c r="G140" s="48">
        <v>10861294</v>
      </c>
      <c r="H140" s="49">
        <v>0.1714683085714189</v>
      </c>
      <c r="I140" s="49">
        <v>0.26133617228297107</v>
      </c>
      <c r="J140" s="46"/>
      <c r="L140" s="85"/>
      <c r="M140" s="73"/>
      <c r="N140" s="73"/>
      <c r="O140" s="73"/>
      <c r="Q140" s="74"/>
      <c r="R140" s="75"/>
      <c r="S140" s="76"/>
    </row>
    <row r="141" spans="1:19" ht="15" customHeight="1" x14ac:dyDescent="0.25">
      <c r="A141" s="62">
        <v>860001986</v>
      </c>
      <c r="B141" t="s">
        <v>266</v>
      </c>
      <c r="C141" t="s">
        <v>142</v>
      </c>
      <c r="D141" s="43">
        <v>1.6461888761262295</v>
      </c>
      <c r="E141" s="47">
        <v>20278362</v>
      </c>
      <c r="F141" s="49">
        <v>0.68211073059087179</v>
      </c>
      <c r="G141" s="48">
        <v>18439196</v>
      </c>
      <c r="H141" s="49">
        <v>0.16792201912070098</v>
      </c>
      <c r="I141" s="49">
        <v>0.52824060224751668</v>
      </c>
      <c r="J141" s="46">
        <v>6.5057725074356307</v>
      </c>
      <c r="L141" s="85"/>
      <c r="M141" s="73"/>
      <c r="N141" s="73"/>
      <c r="O141" s="73"/>
      <c r="Q141" s="74"/>
      <c r="R141" s="75"/>
      <c r="S141" s="76"/>
    </row>
    <row r="142" spans="1:19" ht="15" customHeight="1" x14ac:dyDescent="0.25">
      <c r="A142" s="62">
        <v>860036365</v>
      </c>
      <c r="B142" t="s">
        <v>267</v>
      </c>
      <c r="C142" t="s">
        <v>203</v>
      </c>
      <c r="D142" s="43">
        <v>3.5016753929822917</v>
      </c>
      <c r="E142" s="47">
        <v>9231630</v>
      </c>
      <c r="F142" s="49">
        <v>0.2674020470119271</v>
      </c>
      <c r="G142" s="48">
        <v>10109936</v>
      </c>
      <c r="H142" s="49">
        <v>0.27366945855161351</v>
      </c>
      <c r="I142" s="49">
        <v>0.37356022827444207</v>
      </c>
      <c r="J142" s="46"/>
      <c r="L142" s="85"/>
      <c r="M142" s="73"/>
      <c r="N142" s="73"/>
      <c r="O142" s="73"/>
      <c r="Q142" s="74"/>
      <c r="R142" s="75"/>
      <c r="S142" s="76"/>
    </row>
    <row r="143" spans="1:19" ht="15" customHeight="1" x14ac:dyDescent="0.25">
      <c r="A143" s="62">
        <v>860040871</v>
      </c>
      <c r="B143" t="s">
        <v>268</v>
      </c>
      <c r="C143" t="s">
        <v>142</v>
      </c>
      <c r="D143" s="43">
        <v>4.7192121908938498</v>
      </c>
      <c r="E143" s="47">
        <v>7313894</v>
      </c>
      <c r="F143" s="49">
        <v>0.60640446488175748</v>
      </c>
      <c r="G143" s="48">
        <v>4169032</v>
      </c>
      <c r="H143" s="49">
        <v>2.0705666344384671E-2</v>
      </c>
      <c r="I143" s="49">
        <v>5.2606456366849665E-2</v>
      </c>
      <c r="J143" s="46">
        <v>289.33773087071239</v>
      </c>
      <c r="L143" s="85"/>
      <c r="M143" s="73"/>
      <c r="N143" s="73"/>
      <c r="O143" s="73"/>
      <c r="Q143" s="74"/>
      <c r="R143" s="75"/>
      <c r="S143" s="76"/>
    </row>
    <row r="144" spans="1:19" ht="15" customHeight="1" x14ac:dyDescent="0.25">
      <c r="A144" s="62">
        <v>860041968</v>
      </c>
      <c r="B144" t="s">
        <v>269</v>
      </c>
      <c r="C144" t="s">
        <v>142</v>
      </c>
      <c r="D144" s="43">
        <v>15.545929605295774</v>
      </c>
      <c r="E144" s="47">
        <v>12322817</v>
      </c>
      <c r="F144" s="49">
        <v>0.50357019875127373</v>
      </c>
      <c r="G144" s="48">
        <v>7358154</v>
      </c>
      <c r="H144" s="49">
        <v>9.9552871703310938E-2</v>
      </c>
      <c r="I144" s="49">
        <v>0.20053766202773141</v>
      </c>
      <c r="J144" s="46">
        <v>41.015871692239273</v>
      </c>
      <c r="L144" s="85"/>
      <c r="M144" s="73"/>
      <c r="N144" s="73"/>
      <c r="O144" s="73"/>
      <c r="Q144" s="74"/>
      <c r="R144" s="75"/>
      <c r="S144" s="76"/>
    </row>
    <row r="145" spans="1:19" ht="15" customHeight="1" x14ac:dyDescent="0.25">
      <c r="A145" s="62">
        <v>860050146</v>
      </c>
      <c r="B145" t="s">
        <v>270</v>
      </c>
      <c r="C145" t="s">
        <v>142</v>
      </c>
      <c r="D145" s="43">
        <v>1.4696840770999404</v>
      </c>
      <c r="E145" s="47">
        <v>5087578</v>
      </c>
      <c r="F145" s="49">
        <v>0.6630279304733685</v>
      </c>
      <c r="G145" s="48">
        <v>7758575</v>
      </c>
      <c r="H145" s="49">
        <v>0.10848158991080153</v>
      </c>
      <c r="I145" s="49">
        <v>0.32193050914633164</v>
      </c>
      <c r="J145" s="46">
        <v>2.3495588207627041</v>
      </c>
      <c r="L145" s="85"/>
      <c r="M145" s="73"/>
      <c r="N145" s="73"/>
      <c r="O145" s="73"/>
      <c r="Q145" s="74"/>
      <c r="R145" s="75"/>
      <c r="S145" s="76"/>
    </row>
    <row r="146" spans="1:19" ht="15" customHeight="1" x14ac:dyDescent="0.25">
      <c r="A146" s="62">
        <v>860063108</v>
      </c>
      <c r="B146" t="s">
        <v>271</v>
      </c>
      <c r="C146" t="s">
        <v>142</v>
      </c>
      <c r="D146" s="43">
        <v>3.0679607670502849</v>
      </c>
      <c r="E146" s="47">
        <v>8878438</v>
      </c>
      <c r="F146" s="49">
        <v>0.70095179654894513</v>
      </c>
      <c r="G146" s="48">
        <v>3958240</v>
      </c>
      <c r="H146" s="49">
        <v>3.8360466018496193E-2</v>
      </c>
      <c r="I146" s="49">
        <v>0.12827519301507742</v>
      </c>
      <c r="J146" s="46">
        <v>7.8278243709916131</v>
      </c>
      <c r="L146" s="85"/>
      <c r="M146" s="73"/>
      <c r="N146" s="73"/>
      <c r="O146" s="73"/>
      <c r="Q146" s="74"/>
      <c r="R146" s="75"/>
      <c r="S146" s="76"/>
    </row>
    <row r="147" spans="1:19" ht="15" customHeight="1" x14ac:dyDescent="0.25">
      <c r="A147" s="62">
        <v>860065102</v>
      </c>
      <c r="B147" t="s">
        <v>272</v>
      </c>
      <c r="C147" t="s">
        <v>158</v>
      </c>
      <c r="D147" s="43">
        <v>3.8684500347785762</v>
      </c>
      <c r="E147" s="47">
        <v>6037353</v>
      </c>
      <c r="F147" s="49">
        <v>0.24036682461503095</v>
      </c>
      <c r="G147" s="48">
        <v>9464212</v>
      </c>
      <c r="H147" s="49">
        <v>0.15996453626332419</v>
      </c>
      <c r="I147" s="49">
        <v>0.21058129298033476</v>
      </c>
      <c r="J147" s="46">
        <v>4.5932025655740158</v>
      </c>
      <c r="L147" s="85"/>
      <c r="M147" s="73"/>
      <c r="N147" s="73"/>
      <c r="O147" s="73"/>
      <c r="Q147" s="74"/>
      <c r="R147" s="75"/>
      <c r="S147" s="76"/>
    </row>
    <row r="148" spans="1:19" ht="15" customHeight="1" x14ac:dyDescent="0.25">
      <c r="A148" s="62">
        <v>860067561</v>
      </c>
      <c r="B148" t="s">
        <v>273</v>
      </c>
      <c r="C148" t="s">
        <v>142</v>
      </c>
      <c r="D148" s="43">
        <v>1.5734515623573997</v>
      </c>
      <c r="E148" s="47">
        <v>6541046</v>
      </c>
      <c r="F148" s="49">
        <v>0.55032408547683587</v>
      </c>
      <c r="G148" s="48">
        <v>9320336</v>
      </c>
      <c r="H148" s="49">
        <v>0.12021295150212635</v>
      </c>
      <c r="I148" s="49">
        <v>0.26733242235043886</v>
      </c>
      <c r="J148" s="46">
        <v>2.7608158254265667</v>
      </c>
      <c r="L148" s="85"/>
      <c r="M148" s="73"/>
      <c r="N148" s="73"/>
      <c r="O148" s="73"/>
      <c r="Q148" s="74"/>
      <c r="R148" s="75"/>
      <c r="S148" s="76"/>
    </row>
    <row r="149" spans="1:19" ht="15" customHeight="1" x14ac:dyDescent="0.25">
      <c r="A149" s="62">
        <v>860354402</v>
      </c>
      <c r="B149" t="s">
        <v>274</v>
      </c>
      <c r="C149" t="s">
        <v>142</v>
      </c>
      <c r="D149" s="43">
        <v>1.7215294865246655</v>
      </c>
      <c r="E149" s="47">
        <v>5728320</v>
      </c>
      <c r="F149" s="49">
        <v>0.70407991771417111</v>
      </c>
      <c r="G149" s="48">
        <v>6727857</v>
      </c>
      <c r="H149" s="49">
        <v>1.5331211677303903E-2</v>
      </c>
      <c r="I149" s="49">
        <v>5.1808621972791631E-2</v>
      </c>
      <c r="J149" s="46">
        <v>1.6604784771051277</v>
      </c>
      <c r="L149" s="85"/>
      <c r="M149" s="73"/>
      <c r="N149" s="73"/>
      <c r="O149" s="73"/>
      <c r="Q149" s="74"/>
      <c r="R149" s="75"/>
      <c r="S149" s="76"/>
    </row>
    <row r="150" spans="1:19" ht="15" customHeight="1" thickBot="1" x14ac:dyDescent="0.3">
      <c r="A150" s="62">
        <v>860403102</v>
      </c>
      <c r="B150" t="s">
        <v>275</v>
      </c>
      <c r="C150" t="s">
        <v>142</v>
      </c>
      <c r="D150" s="43">
        <v>4.9274755098205105</v>
      </c>
      <c r="E150" s="47">
        <v>7794354</v>
      </c>
      <c r="F150" s="49">
        <v>0.18481369127579278</v>
      </c>
      <c r="G150" s="48">
        <v>8753654</v>
      </c>
      <c r="H150" s="49">
        <v>0.1910707775260809</v>
      </c>
      <c r="I150" s="49">
        <v>0.23438909054436011</v>
      </c>
      <c r="J150" s="46"/>
      <c r="L150" s="85"/>
      <c r="M150" s="73"/>
      <c r="N150" s="73"/>
      <c r="O150" s="73"/>
      <c r="Q150" s="77"/>
      <c r="R150" s="78" t="s">
        <v>121</v>
      </c>
      <c r="S150" s="79" t="s">
        <v>122</v>
      </c>
    </row>
    <row r="151" spans="1:19" ht="15" customHeight="1" thickTop="1" x14ac:dyDescent="0.25">
      <c r="A151" s="62">
        <v>860505064</v>
      </c>
      <c r="B151" t="s">
        <v>276</v>
      </c>
      <c r="C151" t="s">
        <v>142</v>
      </c>
      <c r="D151" s="43">
        <v>2.5660493371186348</v>
      </c>
      <c r="E151" s="47">
        <v>5236573</v>
      </c>
      <c r="F151" s="49">
        <v>0.30048074592931756</v>
      </c>
      <c r="G151" s="48">
        <v>8948393</v>
      </c>
      <c r="H151" s="49">
        <v>0.19721456912350679</v>
      </c>
      <c r="I151" s="49">
        <v>0.28192872172690669</v>
      </c>
      <c r="J151" s="46">
        <v>9.5644636026219914</v>
      </c>
      <c r="L151" s="18" t="e">
        <f>+#REF!*30%</f>
        <v>#REF!</v>
      </c>
      <c r="Q151" s="80" t="s">
        <v>100</v>
      </c>
      <c r="R151" s="81" t="s">
        <v>107</v>
      </c>
      <c r="S151" s="82" t="s">
        <v>108</v>
      </c>
    </row>
    <row r="152" spans="1:19" ht="15" customHeight="1" x14ac:dyDescent="0.25">
      <c r="A152" s="62">
        <v>860519556</v>
      </c>
      <c r="B152" t="s">
        <v>277</v>
      </c>
      <c r="C152" t="s">
        <v>158</v>
      </c>
      <c r="D152" s="43">
        <v>2.0021533494067998</v>
      </c>
      <c r="E152" s="47">
        <v>51466861</v>
      </c>
      <c r="F152" s="49">
        <v>0.60331635289949381</v>
      </c>
      <c r="G152" s="48">
        <v>53017276</v>
      </c>
      <c r="H152" s="49">
        <v>0.10423072874941554</v>
      </c>
      <c r="I152" s="49">
        <v>0.26275529508532275</v>
      </c>
      <c r="J152" s="46">
        <v>2.7199527805839634</v>
      </c>
      <c r="L152" s="18" t="e">
        <f>+#REF!-L151</f>
        <v>#REF!</v>
      </c>
      <c r="Q152" s="83" t="s">
        <v>101</v>
      </c>
      <c r="R152" s="81" t="s">
        <v>109</v>
      </c>
      <c r="S152" s="82" t="s">
        <v>109</v>
      </c>
    </row>
    <row r="153" spans="1:19" ht="15" customHeight="1" x14ac:dyDescent="0.25">
      <c r="A153" s="62">
        <v>860522381</v>
      </c>
      <c r="B153" t="s">
        <v>278</v>
      </c>
      <c r="C153" t="s">
        <v>158</v>
      </c>
      <c r="D153" s="43">
        <v>1.2557464187365486</v>
      </c>
      <c r="E153" s="47">
        <v>10541194</v>
      </c>
      <c r="F153" s="49">
        <v>0.78450847756290898</v>
      </c>
      <c r="G153" s="48">
        <v>11321730</v>
      </c>
      <c r="H153" s="49">
        <v>0.20042205902396837</v>
      </c>
      <c r="I153" s="49">
        <v>0.93006934452596912</v>
      </c>
      <c r="J153" s="46">
        <v>2.2758382351415558</v>
      </c>
      <c r="L153" s="18" t="e">
        <f>+L152*33%</f>
        <v>#REF!</v>
      </c>
      <c r="Q153" s="80" t="s">
        <v>102</v>
      </c>
      <c r="R153" s="81"/>
      <c r="S153" s="82"/>
    </row>
    <row r="154" spans="1:19" ht="15" customHeight="1" x14ac:dyDescent="0.25">
      <c r="A154" s="62">
        <v>890104625</v>
      </c>
      <c r="B154" t="s">
        <v>279</v>
      </c>
      <c r="C154" t="s">
        <v>142</v>
      </c>
      <c r="D154" s="43">
        <v>5.3057738513322725</v>
      </c>
      <c r="E154" s="47">
        <v>14044388</v>
      </c>
      <c r="F154" s="49">
        <v>0.4736016889880213</v>
      </c>
      <c r="G154" s="48">
        <v>10329822</v>
      </c>
      <c r="H154" s="49">
        <v>0.14081290447183836</v>
      </c>
      <c r="I154" s="49">
        <v>0.26750257652067966</v>
      </c>
      <c r="J154" s="46">
        <v>12.668213180515759</v>
      </c>
      <c r="L154" s="18"/>
      <c r="Q154" s="80" t="s">
        <v>103</v>
      </c>
      <c r="R154" s="81"/>
      <c r="S154" s="82"/>
    </row>
    <row r="155" spans="1:19" ht="15" customHeight="1" x14ac:dyDescent="0.25">
      <c r="A155" s="62">
        <v>890316966</v>
      </c>
      <c r="B155" t="s">
        <v>280</v>
      </c>
      <c r="C155" t="s">
        <v>142</v>
      </c>
      <c r="D155" s="43">
        <v>1.7300386916104817</v>
      </c>
      <c r="E155" s="47">
        <v>19087953</v>
      </c>
      <c r="F155" s="49">
        <v>0.69818667407081325</v>
      </c>
      <c r="G155" s="48">
        <v>16913821</v>
      </c>
      <c r="H155" s="49">
        <v>2.2221076229102899E-2</v>
      </c>
      <c r="I155" s="49">
        <v>7.3625232287843179E-2</v>
      </c>
      <c r="J155" s="46"/>
      <c r="L155" s="18"/>
      <c r="Q155" s="80" t="s">
        <v>104</v>
      </c>
      <c r="R155" s="81" t="s">
        <v>117</v>
      </c>
      <c r="S155" s="82" t="s">
        <v>118</v>
      </c>
    </row>
    <row r="156" spans="1:19" ht="15" customHeight="1" x14ac:dyDescent="0.25">
      <c r="A156" s="62">
        <v>890329022</v>
      </c>
      <c r="B156" t="s">
        <v>281</v>
      </c>
      <c r="C156" t="s">
        <v>142</v>
      </c>
      <c r="D156" s="43">
        <v>3.3497975953759003</v>
      </c>
      <c r="E156" s="47">
        <v>5508083</v>
      </c>
      <c r="F156" s="49">
        <v>0.29084277621238958</v>
      </c>
      <c r="G156" s="48">
        <v>5962289</v>
      </c>
      <c r="H156" s="49">
        <v>0.46803249928338392</v>
      </c>
      <c r="I156" s="49">
        <v>0.65998411012951574</v>
      </c>
      <c r="J156" s="46">
        <v>56.121512921444463</v>
      </c>
      <c r="Q156" s="80" t="s">
        <v>114</v>
      </c>
      <c r="R156" s="82" t="s">
        <v>111</v>
      </c>
      <c r="S156" s="82" t="s">
        <v>112</v>
      </c>
    </row>
    <row r="157" spans="1:19" ht="15" customHeight="1" x14ac:dyDescent="0.25">
      <c r="A157" s="62">
        <v>890403077</v>
      </c>
      <c r="B157" t="s">
        <v>282</v>
      </c>
      <c r="C157" t="s">
        <v>158</v>
      </c>
      <c r="D157" s="43">
        <v>1.4430715334089232</v>
      </c>
      <c r="E157" s="47">
        <v>9010709</v>
      </c>
      <c r="F157" s="49">
        <v>0.65890862709749487</v>
      </c>
      <c r="G157" s="48">
        <v>12445800</v>
      </c>
      <c r="H157" s="49">
        <v>9.230553354690027E-2</v>
      </c>
      <c r="I157" s="49">
        <v>0.27061820051744362</v>
      </c>
      <c r="J157" s="46">
        <v>3.8255324755570093</v>
      </c>
    </row>
    <row r="158" spans="1:19" ht="15" customHeight="1" x14ac:dyDescent="0.25">
      <c r="A158" s="62">
        <v>890908097</v>
      </c>
      <c r="B158" t="s">
        <v>283</v>
      </c>
      <c r="C158" t="s">
        <v>142</v>
      </c>
      <c r="D158" s="43">
        <v>2.0729733867218716</v>
      </c>
      <c r="E158" s="47">
        <v>12987507</v>
      </c>
      <c r="F158" s="49">
        <v>0.44291733211609352</v>
      </c>
      <c r="G158" s="48">
        <v>16246340</v>
      </c>
      <c r="H158" s="49">
        <v>5.8666750699373403E-2</v>
      </c>
      <c r="I158" s="49">
        <v>0.10531067305005312</v>
      </c>
      <c r="J158" s="46">
        <v>273.74608000000001</v>
      </c>
    </row>
    <row r="159" spans="1:19" ht="15" customHeight="1" x14ac:dyDescent="0.25">
      <c r="A159" s="62">
        <v>800011651</v>
      </c>
      <c r="B159" t="s">
        <v>426</v>
      </c>
      <c r="C159" t="s">
        <v>23</v>
      </c>
      <c r="D159" s="43">
        <v>4.976371636066383</v>
      </c>
      <c r="E159" s="47">
        <v>25071051</v>
      </c>
      <c r="F159" s="49">
        <v>0.40754460269105486</v>
      </c>
      <c r="G159" s="48">
        <v>24790770</v>
      </c>
      <c r="H159" s="49">
        <v>6.4974374411386718E-2</v>
      </c>
      <c r="I159" s="49">
        <v>0.109669647211442</v>
      </c>
      <c r="J159" s="46">
        <v>11.299217016183327</v>
      </c>
    </row>
    <row r="160" spans="1:19" ht="15" customHeight="1" x14ac:dyDescent="0.25">
      <c r="A160" s="62">
        <v>800024151</v>
      </c>
      <c r="B160" t="s">
        <v>427</v>
      </c>
      <c r="C160" t="s">
        <v>22</v>
      </c>
      <c r="D160" s="43">
        <v>2.559896572461974</v>
      </c>
      <c r="E160" s="47">
        <v>30738974</v>
      </c>
      <c r="F160" s="49">
        <v>0.56426155581553172</v>
      </c>
      <c r="G160" s="48">
        <v>26009270</v>
      </c>
      <c r="H160" s="49">
        <v>0.12340702009581254</v>
      </c>
      <c r="I160" s="49">
        <v>0.28321352348604939</v>
      </c>
      <c r="J160" s="46">
        <v>1.6779851631952845</v>
      </c>
    </row>
    <row r="161" spans="1:10" ht="15" customHeight="1" x14ac:dyDescent="0.25">
      <c r="A161" s="62">
        <v>800029899</v>
      </c>
      <c r="B161" t="s">
        <v>428</v>
      </c>
      <c r="C161" t="s">
        <v>23</v>
      </c>
      <c r="D161" s="43">
        <v>2.87589021581464</v>
      </c>
      <c r="E161" s="47">
        <v>101095453</v>
      </c>
      <c r="F161" s="49">
        <v>0.69083438064417479</v>
      </c>
      <c r="G161" s="48">
        <v>63426561</v>
      </c>
      <c r="H161" s="49">
        <v>4.0870859583370917E-2</v>
      </c>
      <c r="I161" s="49">
        <v>0.1321972982265269</v>
      </c>
      <c r="J161" s="46">
        <v>6.3071074390111805</v>
      </c>
    </row>
    <row r="162" spans="1:10" ht="15" customHeight="1" x14ac:dyDescent="0.25">
      <c r="A162" s="62">
        <v>800063815</v>
      </c>
      <c r="B162" t="s">
        <v>429</v>
      </c>
      <c r="C162" t="s">
        <v>23</v>
      </c>
      <c r="D162" s="43">
        <v>5.3852322533559605</v>
      </c>
      <c r="E162" s="47">
        <v>21943404</v>
      </c>
      <c r="F162" s="49">
        <v>0.32595727361607646</v>
      </c>
      <c r="G162" s="48">
        <v>66115447</v>
      </c>
      <c r="H162" s="49">
        <v>6.1685722207761841E-2</v>
      </c>
      <c r="I162" s="49">
        <v>9.1516041629424366E-2</v>
      </c>
      <c r="J162" s="46">
        <v>2.71002012822224</v>
      </c>
    </row>
    <row r="163" spans="1:10" ht="15" customHeight="1" x14ac:dyDescent="0.25">
      <c r="A163" s="62">
        <v>800143586</v>
      </c>
      <c r="B163" t="s">
        <v>430</v>
      </c>
      <c r="C163" t="s">
        <v>22</v>
      </c>
      <c r="D163" s="43">
        <v>3.2594036950211316</v>
      </c>
      <c r="E163" s="47">
        <v>134795437</v>
      </c>
      <c r="F163" s="49">
        <v>0.63149012405950367</v>
      </c>
      <c r="G163" s="48">
        <v>89186252</v>
      </c>
      <c r="H163" s="49">
        <v>2.0639544095245464E-2</v>
      </c>
      <c r="I163" s="49">
        <v>5.6008116587296437E-2</v>
      </c>
      <c r="J163" s="46">
        <v>3.4190831663772459</v>
      </c>
    </row>
    <row r="164" spans="1:10" ht="15" customHeight="1" x14ac:dyDescent="0.25">
      <c r="A164" s="62">
        <v>800151054</v>
      </c>
      <c r="B164" t="s">
        <v>431</v>
      </c>
      <c r="C164" t="s">
        <v>22</v>
      </c>
      <c r="D164" s="43">
        <v>1.9932472081988581</v>
      </c>
      <c r="E164" s="47">
        <v>29322803</v>
      </c>
      <c r="F164" s="49">
        <v>0.68550204551810801</v>
      </c>
      <c r="G164" s="48">
        <v>20061271</v>
      </c>
      <c r="H164" s="49">
        <v>0.12197817340625795</v>
      </c>
      <c r="I164" s="49">
        <v>0.38785045075159996</v>
      </c>
      <c r="J164" s="46">
        <v>1.9261255699205713</v>
      </c>
    </row>
    <row r="165" spans="1:10" ht="15" customHeight="1" x14ac:dyDescent="0.25">
      <c r="A165" s="62">
        <v>800186313</v>
      </c>
      <c r="B165" t="s">
        <v>432</v>
      </c>
      <c r="C165" t="s">
        <v>22</v>
      </c>
      <c r="D165" s="43">
        <v>2.3759584484780114</v>
      </c>
      <c r="E165" s="47">
        <v>61756184</v>
      </c>
      <c r="F165" s="49">
        <v>0.46265151318208025</v>
      </c>
      <c r="G165" s="48">
        <v>420097076</v>
      </c>
      <c r="H165" s="49">
        <v>6.0024511601315625E-2</v>
      </c>
      <c r="I165" s="49">
        <v>0.11170499791814785</v>
      </c>
      <c r="J165" s="46"/>
    </row>
    <row r="166" spans="1:10" ht="15" customHeight="1" x14ac:dyDescent="0.25">
      <c r="A166" s="62">
        <v>800187291</v>
      </c>
      <c r="B166" t="s">
        <v>433</v>
      </c>
      <c r="C166" t="s">
        <v>22</v>
      </c>
      <c r="D166" s="43">
        <v>3.1896337926456191</v>
      </c>
      <c r="E166" s="47">
        <v>25348000</v>
      </c>
      <c r="F166" s="49">
        <v>0.49000423424101425</v>
      </c>
      <c r="G166" s="48">
        <v>27526641</v>
      </c>
      <c r="H166" s="49">
        <v>8.7758711773950601E-2</v>
      </c>
      <c r="I166" s="49">
        <v>0.17207733409971815</v>
      </c>
      <c r="J166" s="46">
        <v>3.0837641014156101</v>
      </c>
    </row>
    <row r="167" spans="1:10" ht="15" customHeight="1" x14ac:dyDescent="0.25">
      <c r="A167" s="62">
        <v>802005436</v>
      </c>
      <c r="B167" t="s">
        <v>434</v>
      </c>
      <c r="C167" t="s">
        <v>23</v>
      </c>
      <c r="D167" s="43">
        <v>2.2302919087275659</v>
      </c>
      <c r="E167" s="47">
        <v>24029129</v>
      </c>
      <c r="F167" s="49">
        <v>0.58251073723425351</v>
      </c>
      <c r="G167" s="48">
        <v>26346120</v>
      </c>
      <c r="H167" s="49">
        <v>8.3892917360035957E-2</v>
      </c>
      <c r="I167" s="49">
        <v>0.20094628734705527</v>
      </c>
      <c r="J167" s="46">
        <v>3.2045139105365132</v>
      </c>
    </row>
    <row r="168" spans="1:10" ht="15" customHeight="1" x14ac:dyDescent="0.25">
      <c r="A168" s="62">
        <v>806014108</v>
      </c>
      <c r="B168" t="s">
        <v>435</v>
      </c>
      <c r="C168" t="s">
        <v>22</v>
      </c>
      <c r="D168" s="43">
        <v>102.1048004484783</v>
      </c>
      <c r="E168" s="47">
        <v>80617227</v>
      </c>
      <c r="F168" s="49">
        <v>0.11349610422411974</v>
      </c>
      <c r="G168" s="48">
        <v>98501915</v>
      </c>
      <c r="H168" s="49">
        <v>2.4531569873468113E-2</v>
      </c>
      <c r="I168" s="49">
        <v>2.7672264036694108E-2</v>
      </c>
      <c r="J168" s="46">
        <v>11.767475694624324</v>
      </c>
    </row>
    <row r="169" spans="1:10" ht="15" customHeight="1" x14ac:dyDescent="0.25">
      <c r="A169" s="62">
        <v>819005874</v>
      </c>
      <c r="B169" t="s">
        <v>436</v>
      </c>
      <c r="C169" t="s">
        <v>22</v>
      </c>
      <c r="D169" s="43">
        <v>3.4651984731831389</v>
      </c>
      <c r="E169" s="47">
        <v>22550795</v>
      </c>
      <c r="F169" s="49">
        <v>0.68496752652281412</v>
      </c>
      <c r="G169" s="48">
        <v>10332046</v>
      </c>
      <c r="H169" s="49">
        <v>0.23924938938337365</v>
      </c>
      <c r="I169" s="49">
        <v>0.75944357971305976</v>
      </c>
      <c r="J169" s="46"/>
    </row>
    <row r="170" spans="1:10" ht="15" customHeight="1" x14ac:dyDescent="0.25">
      <c r="A170" s="62">
        <v>830000135</v>
      </c>
      <c r="B170" t="s">
        <v>437</v>
      </c>
      <c r="C170" t="s">
        <v>22</v>
      </c>
      <c r="D170" s="43">
        <v>4.5845565859415611</v>
      </c>
      <c r="E170" s="47">
        <v>44024825</v>
      </c>
      <c r="F170" s="49">
        <v>0.69466932282865157</v>
      </c>
      <c r="G170" s="48">
        <v>23720693</v>
      </c>
      <c r="H170" s="49">
        <v>8.7590504828029006E-2</v>
      </c>
      <c r="I170" s="49">
        <v>0.28687096114772026</v>
      </c>
      <c r="J170" s="46">
        <v>2.0496053816170452</v>
      </c>
    </row>
    <row r="171" spans="1:10" ht="15" customHeight="1" x14ac:dyDescent="0.25">
      <c r="A171" s="62">
        <v>860037232</v>
      </c>
      <c r="B171" t="s">
        <v>438</v>
      </c>
      <c r="C171" t="s">
        <v>22</v>
      </c>
      <c r="D171" s="43">
        <v>11.939627015886622</v>
      </c>
      <c r="E171" s="47">
        <v>108272311</v>
      </c>
      <c r="F171" s="49">
        <v>0.21355857085653621</v>
      </c>
      <c r="G171" s="48">
        <v>125771817</v>
      </c>
      <c r="H171" s="49">
        <v>8.872253030163136E-3</v>
      </c>
      <c r="I171" s="49">
        <v>1.1281517861827503E-2</v>
      </c>
      <c r="J171" s="46">
        <v>6.5761898321851434E-2</v>
      </c>
    </row>
    <row r="172" spans="1:10" ht="15" customHeight="1" x14ac:dyDescent="0.25">
      <c r="A172" s="62">
        <v>860530482</v>
      </c>
      <c r="B172" t="s">
        <v>439</v>
      </c>
      <c r="C172" t="s">
        <v>22</v>
      </c>
      <c r="D172" s="43">
        <v>3.0007944875573092</v>
      </c>
      <c r="E172" s="47">
        <v>16825069</v>
      </c>
      <c r="F172" s="49">
        <v>0.55696422455836281</v>
      </c>
      <c r="G172" s="48">
        <v>19112185</v>
      </c>
      <c r="H172" s="49">
        <v>5.8116774031641699E-2</v>
      </c>
      <c r="I172" s="49">
        <v>0.13117851255625665</v>
      </c>
      <c r="J172" s="46"/>
    </row>
    <row r="173" spans="1:10" ht="15" customHeight="1" x14ac:dyDescent="0.25">
      <c r="A173" s="62">
        <v>890100248</v>
      </c>
      <c r="B173" t="s">
        <v>440</v>
      </c>
      <c r="C173" t="s">
        <v>23</v>
      </c>
      <c r="D173" s="43">
        <v>1.4637022431057509</v>
      </c>
      <c r="E173" s="47">
        <v>66103313</v>
      </c>
      <c r="F173" s="49">
        <v>0.67225255725251643</v>
      </c>
      <c r="G173" s="48">
        <v>95248523</v>
      </c>
      <c r="H173" s="49">
        <v>3.1148980607063743E-2</v>
      </c>
      <c r="I173" s="49">
        <v>9.5039583973391378E-2</v>
      </c>
      <c r="J173" s="46">
        <v>1.5071394654840924</v>
      </c>
    </row>
    <row r="174" spans="1:10" ht="15" customHeight="1" x14ac:dyDescent="0.25">
      <c r="A174" s="62">
        <v>890111275</v>
      </c>
      <c r="B174" t="s">
        <v>441</v>
      </c>
      <c r="C174" t="s">
        <v>22</v>
      </c>
      <c r="D174" s="43">
        <v>5.4453862794844827</v>
      </c>
      <c r="E174" s="47">
        <v>35300808</v>
      </c>
      <c r="F174" s="49">
        <v>0.35569820519171336</v>
      </c>
      <c r="G174" s="48">
        <v>29225887</v>
      </c>
      <c r="H174" s="49">
        <v>0.118354107439823</v>
      </c>
      <c r="I174" s="49">
        <v>0.1836935864427314</v>
      </c>
      <c r="J174" s="46"/>
    </row>
    <row r="175" spans="1:10" ht="15" customHeight="1" x14ac:dyDescent="0.25">
      <c r="A175" s="62">
        <v>890113551</v>
      </c>
      <c r="B175" t="s">
        <v>442</v>
      </c>
      <c r="C175" t="s">
        <v>23</v>
      </c>
      <c r="D175" s="43">
        <v>2.4956698243847213</v>
      </c>
      <c r="E175" s="47">
        <v>43449346</v>
      </c>
      <c r="F175" s="49">
        <v>0.6985742184055399</v>
      </c>
      <c r="G175" s="48">
        <v>28166233</v>
      </c>
      <c r="H175" s="49">
        <v>5.3719631437847512E-2</v>
      </c>
      <c r="I175" s="49">
        <v>0.1782184362388822</v>
      </c>
      <c r="J175" s="46">
        <v>2.560241185075169</v>
      </c>
    </row>
    <row r="176" spans="1:10" ht="15" customHeight="1" x14ac:dyDescent="0.25">
      <c r="A176" s="62">
        <v>890401053</v>
      </c>
      <c r="B176" t="s">
        <v>443</v>
      </c>
      <c r="C176" t="s">
        <v>22</v>
      </c>
      <c r="D176" s="43">
        <v>3.307663692436527</v>
      </c>
      <c r="E176" s="47">
        <v>22772773</v>
      </c>
      <c r="F176" s="49">
        <v>0.49860349390862535</v>
      </c>
      <c r="G176" s="48">
        <v>35365623</v>
      </c>
      <c r="H176" s="49">
        <v>0.11457487393747176</v>
      </c>
      <c r="I176" s="49">
        <v>0.22851151243680903</v>
      </c>
      <c r="J176" s="46">
        <v>1.6080030737584636</v>
      </c>
    </row>
    <row r="177" spans="1:10" ht="15" customHeight="1" x14ac:dyDescent="0.25">
      <c r="A177" s="62">
        <v>890403235</v>
      </c>
      <c r="B177" t="s">
        <v>444</v>
      </c>
      <c r="C177" t="s">
        <v>23</v>
      </c>
      <c r="D177" s="43">
        <v>6.8253059973256827</v>
      </c>
      <c r="E177" s="47">
        <v>56703948</v>
      </c>
      <c r="F177" s="49">
        <v>0.58203412196399318</v>
      </c>
      <c r="G177" s="48">
        <v>29855892</v>
      </c>
      <c r="H177" s="49">
        <v>4.3024098222336646E-2</v>
      </c>
      <c r="I177" s="49">
        <v>0.10293686753690025</v>
      </c>
      <c r="J177" s="46"/>
    </row>
    <row r="178" spans="1:10" ht="15" customHeight="1" x14ac:dyDescent="0.25">
      <c r="A178" s="62">
        <v>890404359</v>
      </c>
      <c r="B178" t="s">
        <v>445</v>
      </c>
      <c r="C178" t="s">
        <v>22</v>
      </c>
      <c r="D178" s="43">
        <v>2.6373918800884444</v>
      </c>
      <c r="E178" s="47">
        <v>27502474</v>
      </c>
      <c r="F178" s="49">
        <v>0.41001509575362194</v>
      </c>
      <c r="G178" s="48">
        <v>60448645</v>
      </c>
      <c r="H178" s="49">
        <v>4.1475345905801438E-2</v>
      </c>
      <c r="I178" s="49">
        <v>7.0298995122223165E-2</v>
      </c>
      <c r="J178" s="46">
        <v>6.4324644657372509</v>
      </c>
    </row>
    <row r="179" spans="1:10" ht="15" customHeight="1" x14ac:dyDescent="0.25">
      <c r="A179" s="62">
        <v>890406491</v>
      </c>
      <c r="B179" t="s">
        <v>446</v>
      </c>
      <c r="C179" t="s">
        <v>22</v>
      </c>
      <c r="D179" s="43">
        <v>2.3892343118798109</v>
      </c>
      <c r="E179" s="47">
        <v>30957182</v>
      </c>
      <c r="F179" s="49">
        <v>0.62693641879898354</v>
      </c>
      <c r="G179" s="48">
        <v>23164675</v>
      </c>
      <c r="H179" s="49">
        <v>4.5992500100896873E-2</v>
      </c>
      <c r="I179" s="49">
        <v>0.12328327507292894</v>
      </c>
      <c r="J179" s="46"/>
    </row>
    <row r="180" spans="1:10" ht="15" customHeight="1" x14ac:dyDescent="0.25">
      <c r="A180" s="62">
        <v>890930545</v>
      </c>
      <c r="B180" t="s">
        <v>447</v>
      </c>
      <c r="C180" t="s">
        <v>22</v>
      </c>
      <c r="D180" s="43">
        <v>1.2602791539772471</v>
      </c>
      <c r="E180" s="47">
        <v>53513247</v>
      </c>
      <c r="F180" s="49">
        <v>0.48024338755678875</v>
      </c>
      <c r="G180" s="48">
        <v>561890492</v>
      </c>
      <c r="H180" s="49">
        <v>5.7254153038919968E-3</v>
      </c>
      <c r="I180" s="49">
        <v>1.1015569916424214E-2</v>
      </c>
      <c r="J180" s="46">
        <v>0.20441390200164355</v>
      </c>
    </row>
    <row r="181" spans="1:10" ht="15" customHeight="1" x14ac:dyDescent="0.25">
      <c r="A181" s="62">
        <v>900010332</v>
      </c>
      <c r="B181" t="s">
        <v>448</v>
      </c>
      <c r="C181" t="s">
        <v>22</v>
      </c>
      <c r="D181" s="43">
        <v>1.8239000129195015</v>
      </c>
      <c r="E181" s="47">
        <v>20885268</v>
      </c>
      <c r="F181" s="49">
        <v>0.3423219709463648</v>
      </c>
      <c r="G181" s="48">
        <v>101804015</v>
      </c>
      <c r="H181" s="49">
        <v>1.7555363630538265E-2</v>
      </c>
      <c r="I181" s="49">
        <v>2.6692945263504589E-2</v>
      </c>
      <c r="J181" s="46">
        <v>1.4979342726627791</v>
      </c>
    </row>
    <row r="182" spans="1:10" ht="15" customHeight="1" x14ac:dyDescent="0.25">
      <c r="A182" s="62">
        <v>900011631</v>
      </c>
      <c r="B182" t="s">
        <v>449</v>
      </c>
      <c r="C182" t="s">
        <v>23</v>
      </c>
      <c r="D182" s="43">
        <v>14.231113190224793</v>
      </c>
      <c r="E182" s="47">
        <v>18129827</v>
      </c>
      <c r="F182" s="49">
        <v>0.33793865818689617</v>
      </c>
      <c r="G182" s="48">
        <v>22798845</v>
      </c>
      <c r="H182" s="49">
        <v>1.283299597469543E-2</v>
      </c>
      <c r="I182" s="49">
        <v>1.9383394202644913E-2</v>
      </c>
      <c r="J182" s="46">
        <v>0.51771386263072616</v>
      </c>
    </row>
    <row r="183" spans="1:10" ht="15" customHeight="1" x14ac:dyDescent="0.25">
      <c r="A183" s="62">
        <v>900128706</v>
      </c>
      <c r="B183" t="s">
        <v>450</v>
      </c>
      <c r="C183" t="s">
        <v>22</v>
      </c>
      <c r="D183" s="43">
        <v>7.3826050539905026</v>
      </c>
      <c r="E183" s="47">
        <v>16932247</v>
      </c>
      <c r="F183" s="49">
        <v>0.56139608520129081</v>
      </c>
      <c r="G183" s="48">
        <v>9823261</v>
      </c>
      <c r="H183" s="49">
        <v>0.16049471849726138</v>
      </c>
      <c r="I183" s="49">
        <v>0.36592176467671989</v>
      </c>
      <c r="J183" s="46"/>
    </row>
    <row r="184" spans="1:10" ht="15" customHeight="1" x14ac:dyDescent="0.25">
      <c r="A184" s="62">
        <v>900195166</v>
      </c>
      <c r="B184" t="s">
        <v>451</v>
      </c>
      <c r="C184" t="s">
        <v>22</v>
      </c>
      <c r="D184" s="43">
        <v>4.4446753813423534</v>
      </c>
      <c r="E184" s="47">
        <v>103892219</v>
      </c>
      <c r="F184" s="49">
        <v>0.93975918973493544</v>
      </c>
      <c r="G184" s="48">
        <v>10915930</v>
      </c>
      <c r="H184" s="49">
        <v>1.5091264088333152E-2</v>
      </c>
      <c r="I184" s="49">
        <v>0.25051562258094362</v>
      </c>
      <c r="J184" s="46">
        <v>1.5009921130443518</v>
      </c>
    </row>
    <row r="185" spans="1:10" ht="15" customHeight="1" x14ac:dyDescent="0.25">
      <c r="A185" s="62">
        <v>900453672</v>
      </c>
      <c r="B185" t="s">
        <v>452</v>
      </c>
      <c r="C185" t="s">
        <v>22</v>
      </c>
      <c r="D185" s="43">
        <v>6.7062624800209445</v>
      </c>
      <c r="E185" s="47">
        <v>27179573</v>
      </c>
      <c r="F185" s="49">
        <v>0.74556160755169343</v>
      </c>
      <c r="G185" s="48">
        <v>8768993</v>
      </c>
      <c r="H185" s="49">
        <v>6.2604893536931799E-2</v>
      </c>
      <c r="I185" s="49">
        <v>0.24605128547827557</v>
      </c>
      <c r="J185" s="46"/>
    </row>
    <row r="186" spans="1:10" ht="15" customHeight="1" x14ac:dyDescent="0.25">
      <c r="A186" s="62">
        <v>900481955</v>
      </c>
      <c r="B186" t="s">
        <v>453</v>
      </c>
      <c r="C186" t="s">
        <v>22</v>
      </c>
      <c r="D186" s="43">
        <v>3.6114091839397808</v>
      </c>
      <c r="E186" s="47">
        <v>47528300</v>
      </c>
      <c r="F186" s="49">
        <v>0.691806606358353</v>
      </c>
      <c r="G186" s="48">
        <v>25453742</v>
      </c>
      <c r="H186" s="49">
        <v>5.3810792304909053E-2</v>
      </c>
      <c r="I186" s="49">
        <v>0.17460073257598038</v>
      </c>
      <c r="J186" s="46"/>
    </row>
    <row r="187" spans="1:10" ht="15" customHeight="1" x14ac:dyDescent="0.25">
      <c r="A187" s="62">
        <v>900484728</v>
      </c>
      <c r="B187" t="s">
        <v>454</v>
      </c>
      <c r="C187" t="s">
        <v>22</v>
      </c>
      <c r="D187" s="43">
        <v>54.93740934954814</v>
      </c>
      <c r="E187" s="47">
        <v>27072696</v>
      </c>
      <c r="F187" s="49">
        <v>0.31267137148762253</v>
      </c>
      <c r="G187" s="48">
        <v>23603028</v>
      </c>
      <c r="H187" s="49">
        <v>0.44955621593409506</v>
      </c>
      <c r="I187" s="49">
        <v>0.65406298717266276</v>
      </c>
      <c r="J187" s="46"/>
    </row>
    <row r="188" spans="1:10" ht="15" customHeight="1" x14ac:dyDescent="0.25">
      <c r="A188" s="62">
        <v>900556186</v>
      </c>
      <c r="B188" t="s">
        <v>455</v>
      </c>
      <c r="C188" t="s">
        <v>23</v>
      </c>
      <c r="D188" s="43">
        <v>3.5718165391180428</v>
      </c>
      <c r="E188" s="47">
        <v>96952111</v>
      </c>
      <c r="F188" s="49">
        <v>0.6780877377934813</v>
      </c>
      <c r="G188" s="48">
        <v>44657633</v>
      </c>
      <c r="H188" s="49">
        <v>5.8636716100022156E-2</v>
      </c>
      <c r="I188" s="49">
        <v>0.18215123492998386</v>
      </c>
      <c r="J188" s="46"/>
    </row>
    <row r="189" spans="1:10" ht="15" customHeight="1" x14ac:dyDescent="0.25">
      <c r="A189" s="62">
        <v>900590645</v>
      </c>
      <c r="B189" t="s">
        <v>456</v>
      </c>
      <c r="C189" t="s">
        <v>22</v>
      </c>
      <c r="D189" s="43">
        <v>10.956415019801559</v>
      </c>
      <c r="E189" s="47">
        <v>15247702</v>
      </c>
      <c r="F189" s="49">
        <v>0.61084475983866804</v>
      </c>
      <c r="G189" s="48">
        <v>7076158</v>
      </c>
      <c r="H189" s="49">
        <v>9.1665955852764672E-2</v>
      </c>
      <c r="I189" s="49">
        <v>0.23555112816870397</v>
      </c>
      <c r="J189" s="46">
        <v>51.694848494246813</v>
      </c>
    </row>
    <row r="190" spans="1:10" ht="15" customHeight="1" x14ac:dyDescent="0.25">
      <c r="A190" s="62">
        <v>900655891</v>
      </c>
      <c r="B190" t="s">
        <v>457</v>
      </c>
      <c r="C190" t="s">
        <v>22</v>
      </c>
      <c r="D190" s="43">
        <v>1.3501715135702803</v>
      </c>
      <c r="E190" s="47">
        <v>123522875</v>
      </c>
      <c r="F190" s="49">
        <v>0.69844525938960456</v>
      </c>
      <c r="G190" s="48">
        <v>243493943</v>
      </c>
      <c r="H190" s="49">
        <v>4.9131942188360853E-2</v>
      </c>
      <c r="I190" s="49">
        <v>0.16292876739032477</v>
      </c>
      <c r="J190" s="46"/>
    </row>
    <row r="191" spans="1:10" ht="15" customHeight="1" x14ac:dyDescent="0.25">
      <c r="A191" s="62">
        <v>900685791</v>
      </c>
      <c r="B191" t="s">
        <v>458</v>
      </c>
      <c r="C191" t="s">
        <v>22</v>
      </c>
      <c r="D191" s="43">
        <v>1.6151904031105371</v>
      </c>
      <c r="E191" s="47">
        <v>19576370</v>
      </c>
      <c r="F191" s="49">
        <v>0.49263315005205327</v>
      </c>
      <c r="G191" s="48">
        <v>41989887</v>
      </c>
      <c r="H191" s="49">
        <v>3.7789011839924856E-2</v>
      </c>
      <c r="I191" s="49">
        <v>7.448064816178239E-2</v>
      </c>
      <c r="J191" s="46"/>
    </row>
    <row r="192" spans="1:10" ht="15" customHeight="1" x14ac:dyDescent="0.25">
      <c r="A192" s="62">
        <v>900993835</v>
      </c>
      <c r="B192" t="s">
        <v>459</v>
      </c>
      <c r="C192" t="s">
        <v>22</v>
      </c>
      <c r="D192" s="43">
        <v>9.9471434386901851</v>
      </c>
      <c r="E192" s="47">
        <v>15319129</v>
      </c>
      <c r="F192" s="49">
        <v>0.1934879534031827</v>
      </c>
      <c r="G192" s="48">
        <v>15196971</v>
      </c>
      <c r="H192" s="49">
        <v>0.20450062920478196</v>
      </c>
      <c r="I192" s="49">
        <v>0.25356177885711567</v>
      </c>
      <c r="J192" s="46"/>
    </row>
    <row r="193" spans="1:10" ht="15" customHeight="1" x14ac:dyDescent="0.25">
      <c r="A193" s="62">
        <v>800006785</v>
      </c>
      <c r="B193" t="s">
        <v>460</v>
      </c>
      <c r="C193" t="s">
        <v>93</v>
      </c>
      <c r="D193" s="43">
        <v>5.2617045820533566</v>
      </c>
      <c r="E193" s="47">
        <v>15786074</v>
      </c>
      <c r="F193" s="49">
        <v>0.26451625601294776</v>
      </c>
      <c r="G193" s="48">
        <v>29147298</v>
      </c>
      <c r="H193" s="49">
        <v>0.19308992494468535</v>
      </c>
      <c r="I193" s="49">
        <v>0.26253459240029725</v>
      </c>
      <c r="J193" s="46"/>
    </row>
    <row r="194" spans="1:10" ht="15" customHeight="1" x14ac:dyDescent="0.25">
      <c r="A194" s="62">
        <v>800012888</v>
      </c>
      <c r="B194" t="s">
        <v>461</v>
      </c>
      <c r="C194" t="s">
        <v>22</v>
      </c>
      <c r="D194" s="43">
        <v>7.0890483656113119</v>
      </c>
      <c r="E194" s="47">
        <v>15294630</v>
      </c>
      <c r="F194" s="49">
        <v>0.39145044115036842</v>
      </c>
      <c r="G194" s="48">
        <v>19025038</v>
      </c>
      <c r="H194" s="49">
        <v>0.14512574527979996</v>
      </c>
      <c r="I194" s="49">
        <v>0.2384781044852578</v>
      </c>
      <c r="J194" s="46">
        <v>4.1885740187851157</v>
      </c>
    </row>
    <row r="195" spans="1:10" ht="15" customHeight="1" x14ac:dyDescent="0.25">
      <c r="A195" s="62">
        <v>800040014</v>
      </c>
      <c r="B195" t="s">
        <v>462</v>
      </c>
      <c r="C195" t="s">
        <v>23</v>
      </c>
      <c r="D195" s="43">
        <v>1.3898418285099194</v>
      </c>
      <c r="E195" s="47">
        <v>27113383</v>
      </c>
      <c r="F195" s="49">
        <v>0.75434536303526167</v>
      </c>
      <c r="G195" s="48">
        <v>41207398</v>
      </c>
      <c r="H195" s="49">
        <v>2.8429383585280462E-2</v>
      </c>
      <c r="I195" s="49">
        <v>0.11572907369691239</v>
      </c>
      <c r="J195" s="46">
        <v>5.9699455569924025</v>
      </c>
    </row>
    <row r="196" spans="1:10" ht="15" customHeight="1" x14ac:dyDescent="0.25">
      <c r="A196" s="62">
        <v>800055393</v>
      </c>
      <c r="B196" t="s">
        <v>463</v>
      </c>
      <c r="C196" t="s">
        <v>22</v>
      </c>
      <c r="D196" s="43">
        <v>3.2305872738001713</v>
      </c>
      <c r="E196" s="47">
        <v>15857323</v>
      </c>
      <c r="F196" s="49">
        <v>0.64627178025764576</v>
      </c>
      <c r="G196" s="48">
        <v>10074659</v>
      </c>
      <c r="H196" s="49">
        <v>8.8772005404939472E-2</v>
      </c>
      <c r="I196" s="49">
        <v>0.25096104989756973</v>
      </c>
      <c r="J196" s="46">
        <v>6.3920267376569662</v>
      </c>
    </row>
    <row r="197" spans="1:10" ht="15" customHeight="1" x14ac:dyDescent="0.25">
      <c r="A197" s="62">
        <v>800079482</v>
      </c>
      <c r="B197" t="s">
        <v>464</v>
      </c>
      <c r="C197" t="s">
        <v>22</v>
      </c>
      <c r="D197" s="43">
        <v>3.133661636176472</v>
      </c>
      <c r="E197" s="47">
        <v>36471455</v>
      </c>
      <c r="F197" s="49">
        <v>0.50959535633482211</v>
      </c>
      <c r="G197" s="48">
        <v>34587806</v>
      </c>
      <c r="H197" s="49">
        <v>9.9297019404014641E-2</v>
      </c>
      <c r="I197" s="49">
        <v>0.20247976989347055</v>
      </c>
      <c r="J197" s="46">
        <v>2.9459639089154206</v>
      </c>
    </row>
    <row r="198" spans="1:10" ht="15" customHeight="1" x14ac:dyDescent="0.25">
      <c r="A198" s="62">
        <v>800089522</v>
      </c>
      <c r="B198" t="s">
        <v>465</v>
      </c>
      <c r="C198" t="s">
        <v>23</v>
      </c>
      <c r="D198" s="43">
        <v>2.789648697314782</v>
      </c>
      <c r="E198" s="47">
        <v>16473761</v>
      </c>
      <c r="F198" s="49">
        <v>0.42246631085617209</v>
      </c>
      <c r="G198" s="48">
        <v>22972762</v>
      </c>
      <c r="H198" s="49">
        <v>0.1287657796443675</v>
      </c>
      <c r="I198" s="49">
        <v>0.22295804048289883</v>
      </c>
      <c r="J198" s="46">
        <v>6.9749854629983945</v>
      </c>
    </row>
    <row r="199" spans="1:10" ht="15" customHeight="1" x14ac:dyDescent="0.25">
      <c r="A199" s="62">
        <v>800095951</v>
      </c>
      <c r="B199" t="s">
        <v>466</v>
      </c>
      <c r="C199" t="s">
        <v>22</v>
      </c>
      <c r="D199" s="43">
        <v>8.1839987186846201</v>
      </c>
      <c r="E199" s="47">
        <v>96570443</v>
      </c>
      <c r="F199" s="49">
        <v>0.68167000970794045</v>
      </c>
      <c r="G199" s="48">
        <v>41131320</v>
      </c>
      <c r="H199" s="49">
        <v>7.3060262383413163E-2</v>
      </c>
      <c r="I199" s="49">
        <v>0.22951108790089889</v>
      </c>
      <c r="J199" s="46">
        <v>3.3559170556387024</v>
      </c>
    </row>
    <row r="200" spans="1:10" ht="15" customHeight="1" x14ac:dyDescent="0.25">
      <c r="A200" s="62">
        <v>800104214</v>
      </c>
      <c r="B200" t="s">
        <v>467</v>
      </c>
      <c r="C200" t="s">
        <v>22</v>
      </c>
      <c r="D200" s="43">
        <v>7.2433185344554012</v>
      </c>
      <c r="E200" s="47">
        <v>30690206</v>
      </c>
      <c r="F200" s="49">
        <v>0.1505131988824677</v>
      </c>
      <c r="G200" s="48">
        <v>33272163</v>
      </c>
      <c r="H200" s="49">
        <v>0.28139931992879075</v>
      </c>
      <c r="I200" s="49">
        <v>0.33125802491410011</v>
      </c>
      <c r="J200" s="46"/>
    </row>
    <row r="201" spans="1:10" ht="15" customHeight="1" x14ac:dyDescent="0.25">
      <c r="A201" s="62">
        <v>800107800</v>
      </c>
      <c r="B201" t="s">
        <v>468</v>
      </c>
      <c r="C201" t="s">
        <v>22</v>
      </c>
      <c r="D201" s="43">
        <v>17.262194655055104</v>
      </c>
      <c r="E201" s="47">
        <v>44599947</v>
      </c>
      <c r="F201" s="49">
        <v>0.3043565871651116</v>
      </c>
      <c r="G201" s="48">
        <v>42434964</v>
      </c>
      <c r="H201" s="49">
        <v>9.6857366127381231E-2</v>
      </c>
      <c r="I201" s="49">
        <v>0.13923421733078412</v>
      </c>
      <c r="J201" s="46">
        <v>16.925145377982755</v>
      </c>
    </row>
    <row r="202" spans="1:10" ht="15" customHeight="1" x14ac:dyDescent="0.25">
      <c r="A202" s="62">
        <v>800113677</v>
      </c>
      <c r="B202" t="s">
        <v>469</v>
      </c>
      <c r="C202" t="s">
        <v>22</v>
      </c>
      <c r="D202" s="43">
        <v>5.5499627125474129</v>
      </c>
      <c r="E202" s="47">
        <v>33105101</v>
      </c>
      <c r="F202" s="49">
        <v>0.38893772096923523</v>
      </c>
      <c r="G202" s="48">
        <v>52943405</v>
      </c>
      <c r="H202" s="49">
        <v>6.7084840759955619E-2</v>
      </c>
      <c r="I202" s="49">
        <v>0.10978396648269978</v>
      </c>
      <c r="J202" s="46">
        <v>2.1984051518067331</v>
      </c>
    </row>
    <row r="203" spans="1:10" ht="15" customHeight="1" x14ac:dyDescent="0.25">
      <c r="A203" s="62">
        <v>800119086</v>
      </c>
      <c r="B203" t="s">
        <v>470</v>
      </c>
      <c r="C203" t="s">
        <v>22</v>
      </c>
      <c r="D203" s="43">
        <v>7.5486487167379286</v>
      </c>
      <c r="E203" s="47">
        <v>20275232</v>
      </c>
      <c r="F203" s="49">
        <v>0.22541614328127979</v>
      </c>
      <c r="G203" s="48">
        <v>27517808</v>
      </c>
      <c r="H203" s="49">
        <v>0.17174536623606562</v>
      </c>
      <c r="I203" s="49">
        <v>0.22172598195321372</v>
      </c>
      <c r="J203" s="46">
        <v>11.884557548842011</v>
      </c>
    </row>
    <row r="204" spans="1:10" ht="15" customHeight="1" x14ac:dyDescent="0.25">
      <c r="A204" s="62">
        <v>800140959</v>
      </c>
      <c r="B204" t="s">
        <v>471</v>
      </c>
      <c r="C204" t="s">
        <v>22</v>
      </c>
      <c r="D204" s="43">
        <v>3.2304824363079834</v>
      </c>
      <c r="E204" s="47">
        <v>51325299</v>
      </c>
      <c r="F204" s="49">
        <v>0.7260246629782573</v>
      </c>
      <c r="G204" s="48">
        <v>23356232</v>
      </c>
      <c r="H204" s="49">
        <v>3.0715138439221319E-2</v>
      </c>
      <c r="I204" s="49">
        <v>0.11210913643947362</v>
      </c>
      <c r="J204" s="46">
        <v>0.98399089381326454</v>
      </c>
    </row>
    <row r="205" spans="1:10" ht="15" customHeight="1" x14ac:dyDescent="0.25">
      <c r="A205" s="62">
        <v>800143273</v>
      </c>
      <c r="B205" t="s">
        <v>472</v>
      </c>
      <c r="C205" t="s">
        <v>22</v>
      </c>
      <c r="D205" s="43">
        <v>14.076805713195908</v>
      </c>
      <c r="E205" s="47">
        <v>36614716</v>
      </c>
      <c r="F205" s="49">
        <v>0.35901725242184773</v>
      </c>
      <c r="G205" s="48">
        <v>31066989</v>
      </c>
      <c r="H205" s="49">
        <v>0.37909724541347561</v>
      </c>
      <c r="I205" s="49">
        <v>0.59143127774629201</v>
      </c>
      <c r="J205" s="46">
        <v>13.337661385509023</v>
      </c>
    </row>
    <row r="206" spans="1:10" ht="15" customHeight="1" x14ac:dyDescent="0.25">
      <c r="A206" s="62">
        <v>800177012</v>
      </c>
      <c r="B206" t="s">
        <v>473</v>
      </c>
      <c r="C206" t="s">
        <v>22</v>
      </c>
      <c r="D206" s="43">
        <v>23.400365665155192</v>
      </c>
      <c r="E206" s="47">
        <v>26157691</v>
      </c>
      <c r="F206" s="49">
        <v>0.59472328430920762</v>
      </c>
      <c r="G206" s="48">
        <v>14269274</v>
      </c>
      <c r="H206" s="49">
        <v>0.24260888332801883</v>
      </c>
      <c r="I206" s="49">
        <v>0.59862526993314447</v>
      </c>
      <c r="J206" s="46">
        <v>1.8220280306491639</v>
      </c>
    </row>
    <row r="207" spans="1:10" ht="15" customHeight="1" x14ac:dyDescent="0.25">
      <c r="A207" s="62">
        <v>800177854</v>
      </c>
      <c r="B207" t="s">
        <v>474</v>
      </c>
      <c r="C207" t="s">
        <v>22</v>
      </c>
      <c r="D207" s="43">
        <v>2.0450617349471218</v>
      </c>
      <c r="E207" s="47">
        <v>41549090</v>
      </c>
      <c r="F207" s="49">
        <v>0.45414512976867033</v>
      </c>
      <c r="G207" s="48">
        <v>56841354</v>
      </c>
      <c r="H207" s="49">
        <v>0.25681638998338685</v>
      </c>
      <c r="I207" s="49">
        <v>0.47048474601783763</v>
      </c>
      <c r="J207" s="46">
        <v>7.3487983420062726</v>
      </c>
    </row>
    <row r="208" spans="1:10" ht="15" customHeight="1" x14ac:dyDescent="0.25">
      <c r="A208" s="62">
        <v>800196467</v>
      </c>
      <c r="B208" t="s">
        <v>475</v>
      </c>
      <c r="C208" t="s">
        <v>22</v>
      </c>
      <c r="D208" s="43">
        <v>4.2269792059049021</v>
      </c>
      <c r="E208" s="47">
        <v>20637271</v>
      </c>
      <c r="F208" s="49">
        <v>0.24960217219793704</v>
      </c>
      <c r="G208" s="48">
        <v>36979220</v>
      </c>
      <c r="H208" s="49">
        <v>0.20285730652999695</v>
      </c>
      <c r="I208" s="49">
        <v>0.27033301405492055</v>
      </c>
      <c r="J208" s="46">
        <v>20.623071622786931</v>
      </c>
    </row>
    <row r="209" spans="1:10" ht="15" customHeight="1" x14ac:dyDescent="0.25">
      <c r="A209" s="62">
        <v>800198573</v>
      </c>
      <c r="B209" t="s">
        <v>476</v>
      </c>
      <c r="C209" t="s">
        <v>22</v>
      </c>
      <c r="D209" s="43">
        <v>9.6272671351916657</v>
      </c>
      <c r="E209" s="47">
        <v>15904505</v>
      </c>
      <c r="F209" s="49">
        <v>0.45762420583814056</v>
      </c>
      <c r="G209" s="48">
        <v>11838149</v>
      </c>
      <c r="H209" s="49">
        <v>3.891128524218529E-2</v>
      </c>
      <c r="I209" s="49">
        <v>7.1742296874283296E-2</v>
      </c>
      <c r="J209" s="46">
        <v>3.611950581580794</v>
      </c>
    </row>
    <row r="210" spans="1:10" ht="15" customHeight="1" x14ac:dyDescent="0.25">
      <c r="A210" s="62">
        <v>800208210</v>
      </c>
      <c r="B210" t="s">
        <v>477</v>
      </c>
      <c r="C210" t="s">
        <v>22</v>
      </c>
      <c r="D210" s="43">
        <v>9.7580413965194417</v>
      </c>
      <c r="E210" s="47">
        <v>37105483</v>
      </c>
      <c r="F210" s="49">
        <v>0.32527729831597935</v>
      </c>
      <c r="G210" s="48">
        <v>29032353</v>
      </c>
      <c r="H210" s="49">
        <v>9.8834518553602868E-2</v>
      </c>
      <c r="I210" s="49">
        <v>0.14648168544933302</v>
      </c>
      <c r="J210" s="46">
        <v>18.445524928975733</v>
      </c>
    </row>
    <row r="211" spans="1:10" ht="15" customHeight="1" x14ac:dyDescent="0.25">
      <c r="A211" s="62">
        <v>800209530</v>
      </c>
      <c r="B211" t="s">
        <v>478</v>
      </c>
      <c r="C211" t="s">
        <v>22</v>
      </c>
      <c r="D211" s="43">
        <v>5.9188520567996523</v>
      </c>
      <c r="E211" s="47">
        <v>49969954</v>
      </c>
      <c r="F211" s="49">
        <v>0.4125211559513598</v>
      </c>
      <c r="G211" s="48">
        <v>38098671</v>
      </c>
      <c r="H211" s="49">
        <v>8.1119287083586525E-2</v>
      </c>
      <c r="I211" s="49">
        <v>0.13808035456144913</v>
      </c>
      <c r="J211" s="46">
        <v>1.6180841584447725</v>
      </c>
    </row>
    <row r="212" spans="1:10" ht="15" customHeight="1" x14ac:dyDescent="0.25">
      <c r="A212" s="62">
        <v>800226833</v>
      </c>
      <c r="B212" t="s">
        <v>479</v>
      </c>
      <c r="C212" t="s">
        <v>22</v>
      </c>
      <c r="D212" s="43">
        <v>5.4971765983781493</v>
      </c>
      <c r="E212" s="47">
        <v>107149145</v>
      </c>
      <c r="F212" s="49">
        <v>0.18156313812729827</v>
      </c>
      <c r="G212" s="48">
        <v>118258891</v>
      </c>
      <c r="H212" s="49">
        <v>0.18086314866132863</v>
      </c>
      <c r="I212" s="49">
        <v>0.22098607368134376</v>
      </c>
      <c r="J212" s="46">
        <v>12.026271030445827</v>
      </c>
    </row>
    <row r="213" spans="1:10" ht="15" customHeight="1" x14ac:dyDescent="0.25">
      <c r="A213" s="62">
        <v>800256059</v>
      </c>
      <c r="B213" t="s">
        <v>480</v>
      </c>
      <c r="C213" t="s">
        <v>22</v>
      </c>
      <c r="D213" s="43">
        <v>2.1625799425528398</v>
      </c>
      <c r="E213" s="47">
        <v>38304906</v>
      </c>
      <c r="F213" s="49">
        <v>0.66369333393418939</v>
      </c>
      <c r="G213" s="48">
        <v>25149749</v>
      </c>
      <c r="H213" s="49">
        <v>7.6213855197340433E-2</v>
      </c>
      <c r="I213" s="49">
        <v>0.2266201145784795</v>
      </c>
      <c r="J213" s="46">
        <v>3.8917701444535111</v>
      </c>
    </row>
    <row r="214" spans="1:10" ht="15" customHeight="1" x14ac:dyDescent="0.25">
      <c r="A214" s="62">
        <v>802005147</v>
      </c>
      <c r="B214" t="s">
        <v>481</v>
      </c>
      <c r="C214" t="s">
        <v>22</v>
      </c>
      <c r="D214" s="43">
        <v>3.344053170436891</v>
      </c>
      <c r="E214" s="47">
        <v>19508781</v>
      </c>
      <c r="F214" s="49">
        <v>0.68607349205693247</v>
      </c>
      <c r="G214" s="48">
        <v>12716346</v>
      </c>
      <c r="H214" s="49">
        <v>9.9268187998646562E-2</v>
      </c>
      <c r="I214" s="49">
        <v>0.31621473652887394</v>
      </c>
      <c r="J214" s="46">
        <v>1.296506255388546</v>
      </c>
    </row>
    <row r="215" spans="1:10" ht="15" customHeight="1" x14ac:dyDescent="0.25">
      <c r="A215" s="62">
        <v>802008095</v>
      </c>
      <c r="B215" t="s">
        <v>482</v>
      </c>
      <c r="C215" t="s">
        <v>22</v>
      </c>
      <c r="D215" s="43">
        <v>2.3550265659754968</v>
      </c>
      <c r="E215" s="47">
        <v>24594117</v>
      </c>
      <c r="F215" s="49">
        <v>0.39004108110561397</v>
      </c>
      <c r="G215" s="48">
        <v>28384004</v>
      </c>
      <c r="H215" s="49">
        <v>0.111180039973965</v>
      </c>
      <c r="I215" s="49">
        <v>0.18227463609432976</v>
      </c>
      <c r="J215" s="46"/>
    </row>
    <row r="216" spans="1:10" ht="15" customHeight="1" x14ac:dyDescent="0.25">
      <c r="A216" s="62">
        <v>802014686</v>
      </c>
      <c r="B216" t="s">
        <v>483</v>
      </c>
      <c r="C216" t="s">
        <v>22</v>
      </c>
      <c r="D216" s="43">
        <v>5.7970771208233582</v>
      </c>
      <c r="E216" s="47">
        <v>16745987</v>
      </c>
      <c r="F216" s="49">
        <v>0.16920504471373254</v>
      </c>
      <c r="G216" s="48">
        <v>17140149</v>
      </c>
      <c r="H216" s="49">
        <v>2.4060902072616665E-2</v>
      </c>
      <c r="I216" s="49">
        <v>2.8961300161392995E-2</v>
      </c>
      <c r="J216" s="46"/>
    </row>
    <row r="217" spans="1:10" ht="15" customHeight="1" x14ac:dyDescent="0.25">
      <c r="A217" s="62">
        <v>802015266</v>
      </c>
      <c r="B217" t="s">
        <v>484</v>
      </c>
      <c r="C217" t="s">
        <v>23</v>
      </c>
      <c r="D217" s="43">
        <v>7.3771997829434994</v>
      </c>
      <c r="E217" s="47">
        <v>50828036</v>
      </c>
      <c r="F217" s="49">
        <v>0.60250088871010954</v>
      </c>
      <c r="G217" s="48">
        <v>32466680</v>
      </c>
      <c r="H217" s="49">
        <v>1.3499443817757834E-2</v>
      </c>
      <c r="I217" s="49">
        <v>3.3960940878463707E-2</v>
      </c>
      <c r="J217" s="46"/>
    </row>
    <row r="218" spans="1:10" ht="15" customHeight="1" x14ac:dyDescent="0.25">
      <c r="A218" s="62">
        <v>802018014</v>
      </c>
      <c r="B218" t="s">
        <v>485</v>
      </c>
      <c r="C218" t="s">
        <v>93</v>
      </c>
      <c r="D218" s="43">
        <v>7.4405493736777366</v>
      </c>
      <c r="E218" s="47">
        <v>93827849</v>
      </c>
      <c r="F218" s="49">
        <v>0.75899095826019081</v>
      </c>
      <c r="G218" s="48">
        <v>57127557</v>
      </c>
      <c r="H218" s="49">
        <v>6.5641258786385019E-3</v>
      </c>
      <c r="I218" s="49">
        <v>2.7236015011109262E-2</v>
      </c>
      <c r="J218" s="46"/>
    </row>
    <row r="219" spans="1:10" ht="15" customHeight="1" x14ac:dyDescent="0.25">
      <c r="A219" s="62">
        <v>804000152</v>
      </c>
      <c r="B219" t="s">
        <v>486</v>
      </c>
      <c r="C219" t="s">
        <v>22</v>
      </c>
      <c r="D219" s="43">
        <v>7.0724729619144391</v>
      </c>
      <c r="E219" s="47">
        <v>28487507</v>
      </c>
      <c r="F219" s="49">
        <v>0.51570427692621756</v>
      </c>
      <c r="G219" s="48">
        <v>21706776</v>
      </c>
      <c r="H219" s="49">
        <v>0.10987966107650766</v>
      </c>
      <c r="I219" s="49">
        <v>0.22688546654740438</v>
      </c>
      <c r="J219" s="46"/>
    </row>
    <row r="220" spans="1:10" ht="15" customHeight="1" x14ac:dyDescent="0.25">
      <c r="A220" s="62">
        <v>804000265</v>
      </c>
      <c r="B220" t="s">
        <v>487</v>
      </c>
      <c r="C220" t="s">
        <v>93</v>
      </c>
      <c r="D220" s="43">
        <v>20.759152483139765</v>
      </c>
      <c r="E220" s="47">
        <v>22785405</v>
      </c>
      <c r="F220" s="49">
        <v>0.40020473072181095</v>
      </c>
      <c r="G220" s="48">
        <v>15463431</v>
      </c>
      <c r="H220" s="49">
        <v>0.16507074811387623</v>
      </c>
      <c r="I220" s="49">
        <v>0.27521182071430333</v>
      </c>
      <c r="J220" s="46"/>
    </row>
    <row r="221" spans="1:10" ht="15" customHeight="1" x14ac:dyDescent="0.25">
      <c r="A221" s="62">
        <v>804004100</v>
      </c>
      <c r="B221" t="s">
        <v>488</v>
      </c>
      <c r="C221" t="s">
        <v>22</v>
      </c>
      <c r="D221" s="43">
        <v>2.0134672564178069</v>
      </c>
      <c r="E221" s="47">
        <v>41269991</v>
      </c>
      <c r="F221" s="49">
        <v>0.69257426641773401</v>
      </c>
      <c r="G221" s="48">
        <v>29483641</v>
      </c>
      <c r="H221" s="49">
        <v>0.16941785323593714</v>
      </c>
      <c r="I221" s="49">
        <v>0.55108546464800601</v>
      </c>
      <c r="J221" s="46">
        <v>3.2739271333864881</v>
      </c>
    </row>
    <row r="222" spans="1:10" ht="15" customHeight="1" x14ac:dyDescent="0.25">
      <c r="A222" s="62">
        <v>806003450</v>
      </c>
      <c r="B222" t="s">
        <v>489</v>
      </c>
      <c r="C222" t="s">
        <v>22</v>
      </c>
      <c r="D222" s="43">
        <v>4.4074360247287094</v>
      </c>
      <c r="E222" s="47">
        <v>28532462</v>
      </c>
      <c r="F222" s="49">
        <v>0.39250646369178949</v>
      </c>
      <c r="G222" s="48">
        <v>40046062</v>
      </c>
      <c r="H222" s="49">
        <v>0.17677741758608084</v>
      </c>
      <c r="I222" s="49">
        <v>0.29099473001864701</v>
      </c>
      <c r="J222" s="46">
        <v>3.2104016613477677</v>
      </c>
    </row>
    <row r="223" spans="1:10" ht="15" customHeight="1" x14ac:dyDescent="0.25">
      <c r="A223" s="62">
        <v>806005741</v>
      </c>
      <c r="B223" t="s">
        <v>490</v>
      </c>
      <c r="C223" t="s">
        <v>22</v>
      </c>
      <c r="D223" s="43">
        <v>16.596153295687511</v>
      </c>
      <c r="E223" s="47">
        <v>15800884</v>
      </c>
      <c r="F223" s="49">
        <v>0.41151749400731968</v>
      </c>
      <c r="G223" s="48">
        <v>10854561</v>
      </c>
      <c r="H223" s="49">
        <v>4.4556460335433958E-2</v>
      </c>
      <c r="I223" s="49">
        <v>7.571416292192748E-2</v>
      </c>
      <c r="J223" s="46"/>
    </row>
    <row r="224" spans="1:10" ht="15" customHeight="1" x14ac:dyDescent="0.25">
      <c r="A224" s="62">
        <v>806008768</v>
      </c>
      <c r="B224" t="s">
        <v>491</v>
      </c>
      <c r="C224" t="s">
        <v>93</v>
      </c>
      <c r="D224" s="43">
        <v>3.6918027572743126</v>
      </c>
      <c r="E224" s="47">
        <v>18652718</v>
      </c>
      <c r="F224" s="49">
        <v>0.39629124760184181</v>
      </c>
      <c r="G224" s="48">
        <v>39443647</v>
      </c>
      <c r="H224" s="49">
        <v>7.4810750826089248E-2</v>
      </c>
      <c r="I224" s="49">
        <v>0.12391861229262091</v>
      </c>
      <c r="J224" s="46">
        <v>2.1089519749573382</v>
      </c>
    </row>
    <row r="225" spans="1:10" ht="15" customHeight="1" x14ac:dyDescent="0.25">
      <c r="A225" s="62">
        <v>811006779</v>
      </c>
      <c r="B225" t="s">
        <v>492</v>
      </c>
      <c r="C225" t="s">
        <v>22</v>
      </c>
      <c r="D225" s="43">
        <v>2.6597596942771213</v>
      </c>
      <c r="E225" s="47">
        <v>16342062</v>
      </c>
      <c r="F225" s="49">
        <v>0.3397104842749733</v>
      </c>
      <c r="G225" s="48">
        <v>32424863</v>
      </c>
      <c r="H225" s="49">
        <v>0.1406405708965674</v>
      </c>
      <c r="I225" s="49">
        <v>0.21299834019344971</v>
      </c>
      <c r="J225" s="46">
        <v>19.877684941876026</v>
      </c>
    </row>
    <row r="226" spans="1:10" ht="15" customHeight="1" x14ac:dyDescent="0.25">
      <c r="A226" s="62">
        <v>811006928</v>
      </c>
      <c r="B226" t="s">
        <v>493</v>
      </c>
      <c r="C226" t="s">
        <v>23</v>
      </c>
      <c r="D226" s="43">
        <v>2.2112196951066703</v>
      </c>
      <c r="E226" s="47">
        <v>32024094</v>
      </c>
      <c r="F226" s="49">
        <v>0.69491540113877437</v>
      </c>
      <c r="G226" s="48">
        <v>29180761</v>
      </c>
      <c r="H226" s="49">
        <v>8.0772386728952761E-2</v>
      </c>
      <c r="I226" s="49">
        <v>0.26475406176007543</v>
      </c>
      <c r="J226" s="46">
        <v>3.086444290414144</v>
      </c>
    </row>
    <row r="227" spans="1:10" ht="15" customHeight="1" x14ac:dyDescent="0.25">
      <c r="A227" s="62">
        <v>811028750</v>
      </c>
      <c r="B227" t="s">
        <v>494</v>
      </c>
      <c r="C227" t="s">
        <v>22</v>
      </c>
      <c r="D227" s="43">
        <v>1.3862745734194357</v>
      </c>
      <c r="E227" s="47">
        <v>22918893</v>
      </c>
      <c r="F227" s="49">
        <v>0.9355746684697076</v>
      </c>
      <c r="G227" s="48">
        <v>5589786</v>
      </c>
      <c r="H227" s="49">
        <v>3.6914938398669096E-3</v>
      </c>
      <c r="I227" s="49">
        <v>5.7298794622906851E-2</v>
      </c>
      <c r="J227" s="46">
        <v>1.3828465341191201</v>
      </c>
    </row>
    <row r="228" spans="1:10" ht="15" customHeight="1" x14ac:dyDescent="0.25">
      <c r="A228" s="62">
        <v>811047181</v>
      </c>
      <c r="B228" t="s">
        <v>495</v>
      </c>
      <c r="C228" t="s">
        <v>22</v>
      </c>
      <c r="D228" s="43">
        <v>252.78221234870537</v>
      </c>
      <c r="E228" s="47">
        <v>19720590</v>
      </c>
      <c r="F228" s="49">
        <v>0.18657616807819977</v>
      </c>
      <c r="G228" s="48">
        <v>23357942</v>
      </c>
      <c r="H228" s="49">
        <v>1.44909457881166E-2</v>
      </c>
      <c r="I228" s="49">
        <v>1.7814754399167531E-2</v>
      </c>
      <c r="J228" s="46"/>
    </row>
    <row r="229" spans="1:10" ht="15" customHeight="1" x14ac:dyDescent="0.25">
      <c r="A229" s="62">
        <v>822000138</v>
      </c>
      <c r="B229" t="s">
        <v>496</v>
      </c>
      <c r="C229" t="s">
        <v>22</v>
      </c>
      <c r="D229" s="43">
        <v>17.722482957939544</v>
      </c>
      <c r="E229" s="47">
        <v>112087927</v>
      </c>
      <c r="F229" s="49">
        <v>0.31527835943266286</v>
      </c>
      <c r="G229" s="48">
        <v>108614290</v>
      </c>
      <c r="H229" s="49">
        <v>9.8451549397172142E-2</v>
      </c>
      <c r="I229" s="49">
        <v>0.14378331801460009</v>
      </c>
      <c r="J229" s="46">
        <v>9.1481430062667162</v>
      </c>
    </row>
    <row r="230" spans="1:10" ht="15" customHeight="1" x14ac:dyDescent="0.25">
      <c r="A230" s="62">
        <v>825000164</v>
      </c>
      <c r="B230" t="s">
        <v>497</v>
      </c>
      <c r="C230" t="s">
        <v>22</v>
      </c>
      <c r="D230" s="43">
        <v>2.0977843915861789</v>
      </c>
      <c r="E230" s="47">
        <v>27338622</v>
      </c>
      <c r="F230" s="49">
        <v>0.57977666366016223</v>
      </c>
      <c r="G230" s="48">
        <v>54620333</v>
      </c>
      <c r="H230" s="49">
        <v>2.9255536429859848E-2</v>
      </c>
      <c r="I230" s="49">
        <v>6.961901898327863E-2</v>
      </c>
      <c r="J230" s="46"/>
    </row>
    <row r="231" spans="1:10" ht="15" customHeight="1" x14ac:dyDescent="0.25">
      <c r="A231" s="62">
        <v>829000107</v>
      </c>
      <c r="B231" t="s">
        <v>498</v>
      </c>
      <c r="C231" t="s">
        <v>22</v>
      </c>
      <c r="D231" s="43">
        <v>5.7559413703619668</v>
      </c>
      <c r="E231" s="47">
        <v>34920490</v>
      </c>
      <c r="F231" s="49">
        <v>0.20554019459013448</v>
      </c>
      <c r="G231" s="48">
        <v>67637760</v>
      </c>
      <c r="H231" s="49">
        <v>0.40369010610958767</v>
      </c>
      <c r="I231" s="49">
        <v>0.50813156733753451</v>
      </c>
      <c r="J231" s="46">
        <v>59.353498982823709</v>
      </c>
    </row>
    <row r="232" spans="1:10" ht="15" customHeight="1" x14ac:dyDescent="0.25">
      <c r="A232" s="62">
        <v>829002445</v>
      </c>
      <c r="B232" t="s">
        <v>499</v>
      </c>
      <c r="C232" t="s">
        <v>22</v>
      </c>
      <c r="D232" s="43">
        <v>6.1962984507424199</v>
      </c>
      <c r="E232" s="47">
        <v>22457425</v>
      </c>
      <c r="F232" s="49">
        <v>0.16864661721140811</v>
      </c>
      <c r="G232" s="48">
        <v>26960106</v>
      </c>
      <c r="H232" s="49">
        <v>0.23727148548974894</v>
      </c>
      <c r="I232" s="49">
        <v>0.28540388528145993</v>
      </c>
      <c r="J232" s="46"/>
    </row>
    <row r="233" spans="1:10" ht="15" customHeight="1" x14ac:dyDescent="0.25">
      <c r="A233" s="62">
        <v>830009651</v>
      </c>
      <c r="B233" t="s">
        <v>500</v>
      </c>
      <c r="C233" t="s">
        <v>22</v>
      </c>
      <c r="D233" s="43">
        <v>5.0464398838962925</v>
      </c>
      <c r="E233" s="47">
        <v>43015663</v>
      </c>
      <c r="F233" s="49">
        <v>0.55917199746776036</v>
      </c>
      <c r="G233" s="48">
        <v>36621472</v>
      </c>
      <c r="H233" s="49">
        <v>1.7693212341383081E-2</v>
      </c>
      <c r="I233" s="49">
        <v>4.0136316748818832E-2</v>
      </c>
      <c r="J233" s="46">
        <v>1.2540780866459567</v>
      </c>
    </row>
    <row r="234" spans="1:10" ht="15" customHeight="1" x14ac:dyDescent="0.25">
      <c r="A234" s="62">
        <v>830031936</v>
      </c>
      <c r="B234" t="s">
        <v>501</v>
      </c>
      <c r="C234" t="s">
        <v>23</v>
      </c>
      <c r="D234" s="43">
        <v>3.9412534529690988</v>
      </c>
      <c r="E234" s="47">
        <v>17954967</v>
      </c>
      <c r="F234" s="49">
        <v>0.29366047738121159</v>
      </c>
      <c r="G234" s="48">
        <v>19157972</v>
      </c>
      <c r="H234" s="49">
        <v>7.5116541767261263E-2</v>
      </c>
      <c r="I234" s="49">
        <v>0.10634622495533452</v>
      </c>
      <c r="J234" s="46"/>
    </row>
    <row r="235" spans="1:10" ht="15" customHeight="1" x14ac:dyDescent="0.25">
      <c r="A235" s="62">
        <v>830031937</v>
      </c>
      <c r="B235" t="s">
        <v>502</v>
      </c>
      <c r="C235" t="s">
        <v>23</v>
      </c>
      <c r="D235" s="43">
        <v>11.859986829513939</v>
      </c>
      <c r="E235" s="47">
        <v>52986864</v>
      </c>
      <c r="F235" s="49">
        <v>0.25737602652285302</v>
      </c>
      <c r="G235" s="48">
        <v>43032166</v>
      </c>
      <c r="H235" s="49">
        <v>2.124613934355276E-2</v>
      </c>
      <c r="I235" s="49">
        <v>2.860955221264019E-2</v>
      </c>
      <c r="J235" s="46">
        <v>2437.8831683168319</v>
      </c>
    </row>
    <row r="236" spans="1:10" ht="15" customHeight="1" x14ac:dyDescent="0.25">
      <c r="A236" s="62">
        <v>830041080</v>
      </c>
      <c r="B236" t="s">
        <v>503</v>
      </c>
      <c r="C236" t="s">
        <v>22</v>
      </c>
      <c r="D236" s="43">
        <v>7.8259300557756113</v>
      </c>
      <c r="E236" s="47">
        <v>30148802</v>
      </c>
      <c r="F236" s="49">
        <v>0.67514285692966791</v>
      </c>
      <c r="G236" s="48">
        <v>15673341</v>
      </c>
      <c r="H236" s="49">
        <v>0.11555895271303807</v>
      </c>
      <c r="I236" s="49">
        <v>0.35572236959560821</v>
      </c>
      <c r="J236" s="46">
        <v>11.215474147728987</v>
      </c>
    </row>
    <row r="237" spans="1:10" ht="15" customHeight="1" x14ac:dyDescent="0.25">
      <c r="A237" s="62">
        <v>830081824</v>
      </c>
      <c r="B237" t="s">
        <v>504</v>
      </c>
      <c r="C237" t="s">
        <v>22</v>
      </c>
      <c r="D237" s="43">
        <v>3.2699234026548729</v>
      </c>
      <c r="E237" s="47">
        <v>33363400</v>
      </c>
      <c r="F237" s="49">
        <v>0.37744648337394759</v>
      </c>
      <c r="G237" s="48">
        <v>32711160</v>
      </c>
      <c r="H237" s="49">
        <v>0.22397921829806222</v>
      </c>
      <c r="I237" s="49">
        <v>0.35977504313512576</v>
      </c>
      <c r="J237" s="46">
        <v>3.5143564530877005</v>
      </c>
    </row>
    <row r="238" spans="1:10" ht="15" customHeight="1" x14ac:dyDescent="0.25">
      <c r="A238" s="62">
        <v>830082401</v>
      </c>
      <c r="B238" t="s">
        <v>505</v>
      </c>
      <c r="C238" t="s">
        <v>22</v>
      </c>
      <c r="D238" s="43">
        <v>3.9413740369057004</v>
      </c>
      <c r="E238" s="47">
        <v>19283507</v>
      </c>
      <c r="F238" s="49">
        <v>0.40615022298590459</v>
      </c>
      <c r="G238" s="48">
        <v>17032848</v>
      </c>
      <c r="H238" s="49">
        <v>5.5371189581007403E-2</v>
      </c>
      <c r="I238" s="49">
        <v>9.3241071604701686E-2</v>
      </c>
      <c r="J238" s="46">
        <v>1.3533483027341171</v>
      </c>
    </row>
    <row r="239" spans="1:10" ht="15" customHeight="1" x14ac:dyDescent="0.25">
      <c r="A239" s="62">
        <v>830084347</v>
      </c>
      <c r="B239" t="s">
        <v>506</v>
      </c>
      <c r="C239" t="s">
        <v>22</v>
      </c>
      <c r="D239" s="43">
        <v>197.48033149239305</v>
      </c>
      <c r="E239" s="47">
        <v>31911746</v>
      </c>
      <c r="F239" s="49">
        <v>9.7952639251369711E-2</v>
      </c>
      <c r="G239" s="48">
        <v>33047095</v>
      </c>
      <c r="H239" s="49">
        <v>3.04473341734257E-2</v>
      </c>
      <c r="I239" s="49">
        <v>3.3753587115599719E-2</v>
      </c>
      <c r="J239" s="46">
        <v>8.4236369128530431</v>
      </c>
    </row>
    <row r="240" spans="1:10" ht="15" customHeight="1" x14ac:dyDescent="0.25">
      <c r="A240" s="62">
        <v>830089381</v>
      </c>
      <c r="B240" t="s">
        <v>507</v>
      </c>
      <c r="C240" t="s">
        <v>22</v>
      </c>
      <c r="D240" s="43">
        <v>4.8246343915670913</v>
      </c>
      <c r="E240" s="47">
        <v>126863314</v>
      </c>
      <c r="F240" s="49">
        <v>0.60470151626226776</v>
      </c>
      <c r="G240" s="48">
        <v>67218839</v>
      </c>
      <c r="H240" s="49">
        <v>6.3748080075847813E-2</v>
      </c>
      <c r="I240" s="49">
        <v>0.16126568327072713</v>
      </c>
      <c r="J240" s="46">
        <v>1.3246396650205348</v>
      </c>
    </row>
    <row r="241" spans="1:10" ht="15" customHeight="1" x14ac:dyDescent="0.25">
      <c r="A241" s="62">
        <v>830116891</v>
      </c>
      <c r="B241" t="s">
        <v>508</v>
      </c>
      <c r="C241" t="s">
        <v>22</v>
      </c>
      <c r="D241" s="43">
        <v>5.4675082913808701</v>
      </c>
      <c r="E241" s="47">
        <v>15438355</v>
      </c>
      <c r="F241" s="49">
        <v>0.40039856889536468</v>
      </c>
      <c r="G241" s="48">
        <v>12942232</v>
      </c>
      <c r="H241" s="49">
        <v>0.11178859123755341</v>
      </c>
      <c r="I241" s="49">
        <v>0.18643816615248437</v>
      </c>
      <c r="J241" s="46">
        <v>3.728184891503866</v>
      </c>
    </row>
    <row r="242" spans="1:10" ht="15" customHeight="1" x14ac:dyDescent="0.25">
      <c r="A242" s="62">
        <v>830136490</v>
      </c>
      <c r="B242" t="s">
        <v>509</v>
      </c>
      <c r="C242" t="s">
        <v>22</v>
      </c>
      <c r="D242" s="43">
        <v>23.648544124801663</v>
      </c>
      <c r="E242" s="47">
        <v>25650586</v>
      </c>
      <c r="F242" s="49">
        <v>0.5787046392968298</v>
      </c>
      <c r="G242" s="48">
        <v>12228916</v>
      </c>
      <c r="H242" s="49">
        <v>0.13207350605516766</v>
      </c>
      <c r="I242" s="49">
        <v>0.31349385342085923</v>
      </c>
      <c r="J242" s="46">
        <v>5.6866933372493698</v>
      </c>
    </row>
    <row r="243" spans="1:10" ht="15" customHeight="1" x14ac:dyDescent="0.25">
      <c r="A243" s="62">
        <v>830144105</v>
      </c>
      <c r="B243" t="s">
        <v>510</v>
      </c>
      <c r="C243" t="s">
        <v>23</v>
      </c>
      <c r="D243" s="43">
        <v>8.1164065460712695</v>
      </c>
      <c r="E243" s="47">
        <v>15172805</v>
      </c>
      <c r="F243" s="49">
        <v>0.21451637743588192</v>
      </c>
      <c r="G243" s="48">
        <v>13699147</v>
      </c>
      <c r="H243" s="49">
        <v>0.12570039972711633</v>
      </c>
      <c r="I243" s="49">
        <v>0.16002930693422007</v>
      </c>
      <c r="J243" s="46">
        <v>61.750464762548589</v>
      </c>
    </row>
    <row r="244" spans="1:10" ht="15" customHeight="1" x14ac:dyDescent="0.25">
      <c r="A244" s="62">
        <v>830146140</v>
      </c>
      <c r="B244" t="s">
        <v>511</v>
      </c>
      <c r="C244" t="s">
        <v>22</v>
      </c>
      <c r="D244" s="43">
        <v>3.7050169753488094</v>
      </c>
      <c r="E244" s="47">
        <v>29514754</v>
      </c>
      <c r="F244" s="49">
        <v>0.61309529732360102</v>
      </c>
      <c r="G244" s="48">
        <v>22824596</v>
      </c>
      <c r="H244" s="49">
        <v>0.17522233344669744</v>
      </c>
      <c r="I244" s="49">
        <v>0.45288240808292951</v>
      </c>
      <c r="J244" s="46">
        <v>2.1840907184483087</v>
      </c>
    </row>
    <row r="245" spans="1:10" ht="15" customHeight="1" x14ac:dyDescent="0.25">
      <c r="A245" s="62">
        <v>830509276</v>
      </c>
      <c r="B245" t="s">
        <v>512</v>
      </c>
      <c r="C245" t="s">
        <v>22</v>
      </c>
      <c r="D245" s="43">
        <v>4.5199656002261088</v>
      </c>
      <c r="E245" s="47">
        <v>72519954</v>
      </c>
      <c r="F245" s="49">
        <v>0.34286044252650466</v>
      </c>
      <c r="G245" s="48">
        <v>102006245</v>
      </c>
      <c r="H245" s="49">
        <v>7.0401531623800528E-2</v>
      </c>
      <c r="I245" s="49">
        <v>0.10713330345607762</v>
      </c>
      <c r="J245" s="46">
        <v>1.9020724566143794</v>
      </c>
    </row>
    <row r="246" spans="1:10" ht="15" customHeight="1" x14ac:dyDescent="0.25">
      <c r="A246" s="62">
        <v>830509690</v>
      </c>
      <c r="B246" t="s">
        <v>513</v>
      </c>
      <c r="C246" t="s">
        <v>22</v>
      </c>
      <c r="D246" s="43">
        <v>13.619060080430629</v>
      </c>
      <c r="E246" s="47">
        <v>27679189</v>
      </c>
      <c r="F246" s="49">
        <v>6.7860665918071009E-2</v>
      </c>
      <c r="G246" s="48">
        <v>30129302</v>
      </c>
      <c r="H246" s="49">
        <v>0.30804608333852834</v>
      </c>
      <c r="I246" s="49">
        <v>0.33047214303205563</v>
      </c>
      <c r="J246" s="46">
        <v>72.372200699234625</v>
      </c>
    </row>
    <row r="247" spans="1:10" ht="15" customHeight="1" x14ac:dyDescent="0.25">
      <c r="A247" s="62">
        <v>844002854</v>
      </c>
      <c r="B247" t="s">
        <v>514</v>
      </c>
      <c r="C247" t="s">
        <v>22</v>
      </c>
      <c r="D247" s="43">
        <v>15.275048176775048</v>
      </c>
      <c r="E247" s="47">
        <v>19052450</v>
      </c>
      <c r="F247" s="49">
        <v>0.54990857343433919</v>
      </c>
      <c r="G247" s="48">
        <v>13217717</v>
      </c>
      <c r="H247" s="49">
        <v>8.162404690640139E-2</v>
      </c>
      <c r="I247" s="49">
        <v>0.181349926012185</v>
      </c>
      <c r="J247" s="46">
        <v>13.764891668245847</v>
      </c>
    </row>
    <row r="248" spans="1:10" ht="15" customHeight="1" x14ac:dyDescent="0.25">
      <c r="A248" s="62">
        <v>844004840</v>
      </c>
      <c r="B248" t="s">
        <v>515</v>
      </c>
      <c r="C248" t="s">
        <v>22</v>
      </c>
      <c r="D248" s="43">
        <v>37.323133449383803</v>
      </c>
      <c r="E248" s="47">
        <v>33552986</v>
      </c>
      <c r="F248" s="49">
        <v>0.67615970924263857</v>
      </c>
      <c r="G248" s="48">
        <v>12347119</v>
      </c>
      <c r="H248" s="49">
        <v>0.12125245749843694</v>
      </c>
      <c r="I248" s="49">
        <v>0.37442054296228944</v>
      </c>
      <c r="J248" s="46"/>
    </row>
    <row r="249" spans="1:10" ht="15" customHeight="1" x14ac:dyDescent="0.25">
      <c r="A249" s="62">
        <v>860072279</v>
      </c>
      <c r="B249" t="s">
        <v>516</v>
      </c>
      <c r="C249" t="s">
        <v>23</v>
      </c>
      <c r="D249" s="43">
        <v>3.2873498388347557</v>
      </c>
      <c r="E249" s="47">
        <v>32114959</v>
      </c>
      <c r="F249" s="49">
        <v>0.46990244019362737</v>
      </c>
      <c r="G249" s="48">
        <v>35274433</v>
      </c>
      <c r="H249" s="49">
        <v>0.18173557256754005</v>
      </c>
      <c r="I249" s="49">
        <v>0.34283419948947158</v>
      </c>
      <c r="J249" s="46">
        <v>12.332847563929327</v>
      </c>
    </row>
    <row r="250" spans="1:10" ht="15" customHeight="1" x14ac:dyDescent="0.25">
      <c r="A250" s="62">
        <v>860090819</v>
      </c>
      <c r="B250" t="s">
        <v>517</v>
      </c>
      <c r="C250" t="s">
        <v>22</v>
      </c>
      <c r="D250" s="43">
        <v>2.5164404757629413</v>
      </c>
      <c r="E250" s="47">
        <v>49699391</v>
      </c>
      <c r="F250" s="49">
        <v>0.55633349092486084</v>
      </c>
      <c r="G250" s="48">
        <v>38941149</v>
      </c>
      <c r="H250" s="49">
        <v>0.12009385856064704</v>
      </c>
      <c r="I250" s="49">
        <v>0.27068497644997586</v>
      </c>
      <c r="J250" s="46">
        <v>39.897138142082291</v>
      </c>
    </row>
    <row r="251" spans="1:10" ht="15" customHeight="1" x14ac:dyDescent="0.25">
      <c r="A251" s="62">
        <v>860350277</v>
      </c>
      <c r="B251" t="s">
        <v>518</v>
      </c>
      <c r="C251" t="s">
        <v>22</v>
      </c>
      <c r="D251" s="43">
        <v>2.4807646287901139</v>
      </c>
      <c r="E251" s="47">
        <v>55152087</v>
      </c>
      <c r="F251" s="49">
        <v>0.38367095193940937</v>
      </c>
      <c r="G251" s="48">
        <v>66582840</v>
      </c>
      <c r="H251" s="49">
        <v>8.1486369707288314E-2</v>
      </c>
      <c r="I251" s="49">
        <v>0.1322124439269938</v>
      </c>
      <c r="J251" s="46">
        <v>1.0587972951420854</v>
      </c>
    </row>
    <row r="252" spans="1:10" ht="15" customHeight="1" x14ac:dyDescent="0.25">
      <c r="A252" s="62">
        <v>890111844</v>
      </c>
      <c r="B252" t="s">
        <v>519</v>
      </c>
      <c r="C252" t="s">
        <v>22</v>
      </c>
      <c r="D252" s="43">
        <v>6.2693528191069872</v>
      </c>
      <c r="E252" s="47">
        <v>18848670</v>
      </c>
      <c r="F252" s="49">
        <v>0.61917391977859859</v>
      </c>
      <c r="G252" s="48">
        <v>10608019</v>
      </c>
      <c r="H252" s="49">
        <v>0.10535889329439638</v>
      </c>
      <c r="I252" s="49">
        <v>0.27665881820158883</v>
      </c>
      <c r="J252" s="46">
        <v>1.3589028029550605</v>
      </c>
    </row>
    <row r="253" spans="1:10" ht="15" customHeight="1" x14ac:dyDescent="0.25">
      <c r="A253" s="62">
        <v>890115406</v>
      </c>
      <c r="B253" t="s">
        <v>520</v>
      </c>
      <c r="C253" t="s">
        <v>23</v>
      </c>
      <c r="D253" s="43">
        <v>5.2533256943364837</v>
      </c>
      <c r="E253" s="47">
        <v>142130216</v>
      </c>
      <c r="F253" s="49">
        <v>0.56839252151085251</v>
      </c>
      <c r="G253" s="48">
        <v>83754215</v>
      </c>
      <c r="H253" s="49">
        <v>0.15124499530578986</v>
      </c>
      <c r="I253" s="49">
        <v>0.35042255485291096</v>
      </c>
      <c r="J253" s="46">
        <v>3.0650754108386331</v>
      </c>
    </row>
    <row r="254" spans="1:10" ht="15" customHeight="1" x14ac:dyDescent="0.25">
      <c r="A254" s="62">
        <v>890209174</v>
      </c>
      <c r="B254" t="s">
        <v>521</v>
      </c>
      <c r="C254" t="s">
        <v>22</v>
      </c>
      <c r="D254" s="43">
        <v>3.1223729864606824</v>
      </c>
      <c r="E254" s="47">
        <v>286547961</v>
      </c>
      <c r="F254" s="49">
        <v>0.28182091189742359</v>
      </c>
      <c r="G254" s="48">
        <v>411284897</v>
      </c>
      <c r="H254" s="49">
        <v>4.5338031965119624E-2</v>
      </c>
      <c r="I254" s="49">
        <v>6.3129145245515786E-2</v>
      </c>
      <c r="J254" s="46">
        <v>2.0460518129586691</v>
      </c>
    </row>
    <row r="255" spans="1:10" ht="15" customHeight="1" x14ac:dyDescent="0.25">
      <c r="A255" s="62">
        <v>890910591</v>
      </c>
      <c r="B255" t="s">
        <v>522</v>
      </c>
      <c r="C255" t="s">
        <v>23</v>
      </c>
      <c r="D255" s="43">
        <v>2.2788828653398054</v>
      </c>
      <c r="E255" s="47">
        <v>64939728</v>
      </c>
      <c r="F255" s="49">
        <v>0.51813209973908037</v>
      </c>
      <c r="G255" s="48">
        <v>67742130</v>
      </c>
      <c r="H255" s="49">
        <v>9.8119055002111322E-2</v>
      </c>
      <c r="I255" s="49">
        <v>0.20362231007498582</v>
      </c>
      <c r="J255" s="46">
        <v>1.8417168392582455</v>
      </c>
    </row>
    <row r="256" spans="1:10" ht="15" customHeight="1" x14ac:dyDescent="0.25">
      <c r="A256" s="62">
        <v>890917464</v>
      </c>
      <c r="B256" t="s">
        <v>523</v>
      </c>
      <c r="C256" t="s">
        <v>23</v>
      </c>
      <c r="D256" s="43">
        <v>11.60822388349211</v>
      </c>
      <c r="E256" s="47">
        <v>46158037</v>
      </c>
      <c r="F256" s="49">
        <v>9.8607517916308438E-2</v>
      </c>
      <c r="G256" s="48">
        <v>70550130</v>
      </c>
      <c r="H256" s="49">
        <v>6.3138395994773694E-2</v>
      </c>
      <c r="I256" s="49">
        <v>7.0045398924140898E-2</v>
      </c>
      <c r="J256" s="46"/>
    </row>
    <row r="257" spans="1:10" ht="15" customHeight="1" x14ac:dyDescent="0.25">
      <c r="A257" s="62">
        <v>890929487</v>
      </c>
      <c r="B257" t="s">
        <v>524</v>
      </c>
      <c r="C257" t="s">
        <v>22</v>
      </c>
      <c r="D257" s="43">
        <v>4.7200819779517991</v>
      </c>
      <c r="E257" s="47">
        <v>33506079</v>
      </c>
      <c r="F257" s="49">
        <v>0.28190998593844374</v>
      </c>
      <c r="G257" s="48">
        <v>34722908</v>
      </c>
      <c r="H257" s="49">
        <v>5.5101885585331044E-2</v>
      </c>
      <c r="I257" s="49">
        <v>7.6733953273729269E-2</v>
      </c>
      <c r="J257" s="46">
        <v>40.629875873006192</v>
      </c>
    </row>
    <row r="258" spans="1:10" ht="15" customHeight="1" x14ac:dyDescent="0.25">
      <c r="A258" s="62">
        <v>890932730</v>
      </c>
      <c r="B258" t="s">
        <v>525</v>
      </c>
      <c r="C258" t="s">
        <v>23</v>
      </c>
      <c r="D258" s="43">
        <v>2.7937501520109929</v>
      </c>
      <c r="E258" s="47">
        <v>32302868</v>
      </c>
      <c r="F258" s="49">
        <v>0.55328041533013017</v>
      </c>
      <c r="G258" s="48">
        <v>27342375</v>
      </c>
      <c r="H258" s="49">
        <v>6.1468487414213478E-2</v>
      </c>
      <c r="I258" s="49">
        <v>0.13759971472851207</v>
      </c>
      <c r="J258" s="46">
        <v>15.551912003604512</v>
      </c>
    </row>
    <row r="259" spans="1:10" ht="15" customHeight="1" x14ac:dyDescent="0.25">
      <c r="A259" s="62">
        <v>890937165</v>
      </c>
      <c r="B259" t="s">
        <v>526</v>
      </c>
      <c r="C259" t="s">
        <v>22</v>
      </c>
      <c r="D259" s="43">
        <v>5.3135041736705473</v>
      </c>
      <c r="E259" s="47">
        <v>43650031</v>
      </c>
      <c r="F259" s="49">
        <v>0.38800852278998899</v>
      </c>
      <c r="G259" s="48">
        <v>37452245</v>
      </c>
      <c r="H259" s="49">
        <v>9.0569358327081295E-2</v>
      </c>
      <c r="I259" s="49">
        <v>0.14799120853769915</v>
      </c>
      <c r="J259" s="46">
        <v>2.1442076134687391</v>
      </c>
    </row>
    <row r="260" spans="1:10" ht="15" customHeight="1" x14ac:dyDescent="0.25">
      <c r="A260" s="62">
        <v>891100670</v>
      </c>
      <c r="B260" t="s">
        <v>527</v>
      </c>
      <c r="C260" t="s">
        <v>22</v>
      </c>
      <c r="D260" s="43">
        <v>3.1710493027382927</v>
      </c>
      <c r="E260" s="47">
        <v>36231083</v>
      </c>
      <c r="F260" s="49">
        <v>0.67571368582156877</v>
      </c>
      <c r="G260" s="48">
        <v>18647481</v>
      </c>
      <c r="H260" s="49">
        <v>0.10266855171158569</v>
      </c>
      <c r="I260" s="49">
        <v>0.31659847246928419</v>
      </c>
      <c r="J260" s="46">
        <v>3.7346283598923846</v>
      </c>
    </row>
    <row r="261" spans="1:10" ht="15" customHeight="1" x14ac:dyDescent="0.25">
      <c r="A261" s="62">
        <v>891100881</v>
      </c>
      <c r="B261" t="s">
        <v>528</v>
      </c>
      <c r="C261" t="s">
        <v>22</v>
      </c>
      <c r="D261" s="43">
        <v>4.221656328388705</v>
      </c>
      <c r="E261" s="47">
        <v>58919803</v>
      </c>
      <c r="F261" s="49">
        <v>0.17882559115548519</v>
      </c>
      <c r="G261" s="48">
        <v>87798378</v>
      </c>
      <c r="H261" s="49">
        <v>0.10928739787132696</v>
      </c>
      <c r="I261" s="49">
        <v>0.13308670690932353</v>
      </c>
      <c r="J261" s="46"/>
    </row>
    <row r="262" spans="1:10" ht="15" customHeight="1" x14ac:dyDescent="0.25">
      <c r="A262" s="62">
        <v>900034278</v>
      </c>
      <c r="B262" t="s">
        <v>529</v>
      </c>
      <c r="C262" t="s">
        <v>22</v>
      </c>
      <c r="D262" s="43">
        <v>2.9738879804121736</v>
      </c>
      <c r="E262" s="47">
        <v>34697526</v>
      </c>
      <c r="F262" s="49">
        <v>0.59897535821112791</v>
      </c>
      <c r="G262" s="48">
        <v>24915037</v>
      </c>
      <c r="H262" s="49">
        <v>0.21864698559004633</v>
      </c>
      <c r="I262" s="49">
        <v>0.54522082387435344</v>
      </c>
      <c r="J262" s="46">
        <v>3.6392688669135675</v>
      </c>
    </row>
    <row r="263" spans="1:10" ht="15" customHeight="1" x14ac:dyDescent="0.25">
      <c r="A263" s="62">
        <v>900037384</v>
      </c>
      <c r="B263" t="s">
        <v>530</v>
      </c>
      <c r="C263" t="s">
        <v>22</v>
      </c>
      <c r="D263" s="43">
        <v>6.2132846632318239</v>
      </c>
      <c r="E263" s="47">
        <v>22095626</v>
      </c>
      <c r="F263" s="49">
        <v>0.57645806631090157</v>
      </c>
      <c r="G263" s="48">
        <v>12654962</v>
      </c>
      <c r="H263" s="49">
        <v>0.10862124453895339</v>
      </c>
      <c r="I263" s="49">
        <v>0.256459244998128</v>
      </c>
      <c r="J263" s="46">
        <v>5.6182186746435256</v>
      </c>
    </row>
    <row r="264" spans="1:10" ht="15" customHeight="1" x14ac:dyDescent="0.25">
      <c r="A264" s="62">
        <v>900078306</v>
      </c>
      <c r="B264" t="s">
        <v>531</v>
      </c>
      <c r="C264" t="s">
        <v>22</v>
      </c>
      <c r="D264" s="43">
        <v>4.3956438848604193</v>
      </c>
      <c r="E264" s="47">
        <v>15814427</v>
      </c>
      <c r="F264" s="49">
        <v>0.29485121821929566</v>
      </c>
      <c r="G264" s="48">
        <v>14570191</v>
      </c>
      <c r="H264" s="49">
        <v>0.11535182663808101</v>
      </c>
      <c r="I264" s="49">
        <v>0.16358508958461834</v>
      </c>
      <c r="J264" s="46">
        <v>11.859278830126531</v>
      </c>
    </row>
    <row r="265" spans="1:10" ht="15" customHeight="1" x14ac:dyDescent="0.25">
      <c r="A265" s="62">
        <v>900079924</v>
      </c>
      <c r="B265" t="s">
        <v>532</v>
      </c>
      <c r="C265" t="s">
        <v>22</v>
      </c>
      <c r="D265" s="43">
        <v>3.9726800871703407</v>
      </c>
      <c r="E265" s="47">
        <v>19728670</v>
      </c>
      <c r="F265" s="49">
        <v>0.53863404483831778</v>
      </c>
      <c r="G265" s="48">
        <v>18329901</v>
      </c>
      <c r="H265" s="49">
        <v>7.4861749925464955E-3</v>
      </c>
      <c r="I265" s="49">
        <v>1.6226110550187915E-2</v>
      </c>
      <c r="J265" s="46"/>
    </row>
    <row r="266" spans="1:10" ht="15" customHeight="1" x14ac:dyDescent="0.25">
      <c r="A266" s="62">
        <v>900102268</v>
      </c>
      <c r="B266" t="s">
        <v>533</v>
      </c>
      <c r="C266" t="s">
        <v>22</v>
      </c>
      <c r="D266" s="43">
        <v>3.9088368103694084</v>
      </c>
      <c r="E266" s="47">
        <v>31818262</v>
      </c>
      <c r="F266" s="49">
        <v>0.61558731725529137</v>
      </c>
      <c r="G266" s="48">
        <v>39783158</v>
      </c>
      <c r="H266" s="49">
        <v>0.22016372805790677</v>
      </c>
      <c r="I266" s="49">
        <v>0.5727275346014512</v>
      </c>
      <c r="J266" s="46">
        <v>2.7048124483831071</v>
      </c>
    </row>
    <row r="267" spans="1:10" ht="15" customHeight="1" x14ac:dyDescent="0.25">
      <c r="A267" s="62">
        <v>900103726</v>
      </c>
      <c r="B267" t="s">
        <v>534</v>
      </c>
      <c r="C267" t="s">
        <v>22</v>
      </c>
      <c r="D267" s="43">
        <v>2.6788282301610868</v>
      </c>
      <c r="E267" s="47">
        <v>16571742</v>
      </c>
      <c r="F267" s="49">
        <v>0.67532491764764202</v>
      </c>
      <c r="G267" s="48">
        <v>12719822</v>
      </c>
      <c r="H267" s="49">
        <v>0.12166912078008058</v>
      </c>
      <c r="I267" s="49">
        <v>0.37474117169249693</v>
      </c>
      <c r="J267" s="46">
        <v>57.006326540375049</v>
      </c>
    </row>
    <row r="268" spans="1:10" ht="15" customHeight="1" x14ac:dyDescent="0.25">
      <c r="A268" s="62">
        <v>900107754</v>
      </c>
      <c r="B268" t="s">
        <v>535</v>
      </c>
      <c r="C268" t="s">
        <v>22</v>
      </c>
      <c r="D268" s="43">
        <v>22.482375327230933</v>
      </c>
      <c r="E268" s="47">
        <v>29082496</v>
      </c>
      <c r="F268" s="49">
        <v>0.59979462757931201</v>
      </c>
      <c r="G268" s="48">
        <v>16686557</v>
      </c>
      <c r="H268" s="49">
        <v>3.0212074665574289E-2</v>
      </c>
      <c r="I268" s="49">
        <v>7.5491427021164403E-2</v>
      </c>
      <c r="J268" s="46">
        <v>1.3807340505406458</v>
      </c>
    </row>
    <row r="269" spans="1:10" ht="15" customHeight="1" x14ac:dyDescent="0.25">
      <c r="A269" s="62">
        <v>900121088</v>
      </c>
      <c r="B269" t="s">
        <v>536</v>
      </c>
      <c r="C269" t="s">
        <v>22</v>
      </c>
      <c r="D269" s="43">
        <v>28.968932655215959</v>
      </c>
      <c r="E269" s="47">
        <v>16212024</v>
      </c>
      <c r="F269" s="49">
        <v>0.5130805375221319</v>
      </c>
      <c r="G269" s="48">
        <v>10210557</v>
      </c>
      <c r="H269" s="49">
        <v>0.21935536142999443</v>
      </c>
      <c r="I269" s="49">
        <v>0.45049618742640585</v>
      </c>
      <c r="J269" s="46">
        <v>5.7756316406711052</v>
      </c>
    </row>
    <row r="270" spans="1:10" ht="15" customHeight="1" x14ac:dyDescent="0.25">
      <c r="A270" s="62">
        <v>900133288</v>
      </c>
      <c r="B270" t="s">
        <v>537</v>
      </c>
      <c r="C270" t="s">
        <v>22</v>
      </c>
      <c r="D270" s="43">
        <v>6.0848370786669967</v>
      </c>
      <c r="E270" s="47">
        <v>20522855</v>
      </c>
      <c r="F270" s="49">
        <v>0.57526604393729708</v>
      </c>
      <c r="G270" s="48">
        <v>15142378</v>
      </c>
      <c r="H270" s="49">
        <v>0.42268006999548574</v>
      </c>
      <c r="I270" s="49">
        <v>0.99516429982133581</v>
      </c>
      <c r="J270" s="46">
        <v>4.5419963842835092</v>
      </c>
    </row>
    <row r="271" spans="1:10" ht="15" customHeight="1" x14ac:dyDescent="0.25">
      <c r="A271" s="62">
        <v>900135121</v>
      </c>
      <c r="B271" t="s">
        <v>538</v>
      </c>
      <c r="C271" t="s">
        <v>22</v>
      </c>
      <c r="D271" s="43">
        <v>13.05988045540958</v>
      </c>
      <c r="E271" s="47">
        <v>28432543</v>
      </c>
      <c r="F271" s="49">
        <v>0.18731190563745415</v>
      </c>
      <c r="G271" s="48">
        <v>37413235</v>
      </c>
      <c r="H271" s="49">
        <v>0.13776259356156012</v>
      </c>
      <c r="I271" s="49">
        <v>0.16951471852140024</v>
      </c>
      <c r="J271" s="46">
        <v>20.240036509395424</v>
      </c>
    </row>
    <row r="272" spans="1:10" ht="15" customHeight="1" x14ac:dyDescent="0.25">
      <c r="A272" s="62">
        <v>900156781</v>
      </c>
      <c r="B272" t="s">
        <v>539</v>
      </c>
      <c r="C272" t="s">
        <v>22</v>
      </c>
      <c r="D272" s="43">
        <v>40.1143253313587</v>
      </c>
      <c r="E272" s="47">
        <v>43103126</v>
      </c>
      <c r="F272" s="49">
        <v>0.6963017874657671</v>
      </c>
      <c r="G272" s="48">
        <v>14942629</v>
      </c>
      <c r="H272" s="49">
        <v>0.13315327645013805</v>
      </c>
      <c r="I272" s="49">
        <v>0.43843944730207784</v>
      </c>
      <c r="J272" s="46">
        <v>5.7473695107123248</v>
      </c>
    </row>
    <row r="273" spans="1:10" ht="15" customHeight="1" x14ac:dyDescent="0.25">
      <c r="A273" s="62">
        <v>900210295</v>
      </c>
      <c r="B273" t="s">
        <v>540</v>
      </c>
      <c r="C273" t="s">
        <v>22</v>
      </c>
      <c r="D273" s="43">
        <v>3.6333796254910475</v>
      </c>
      <c r="E273" s="47">
        <v>18706041</v>
      </c>
      <c r="F273" s="49">
        <v>0.54414911883639283</v>
      </c>
      <c r="G273" s="48">
        <v>12952918</v>
      </c>
      <c r="H273" s="49">
        <v>0.25209181379825324</v>
      </c>
      <c r="I273" s="49">
        <v>0.55301376878939557</v>
      </c>
      <c r="J273" s="46">
        <v>26.011939908271874</v>
      </c>
    </row>
    <row r="274" spans="1:10" ht="15" customHeight="1" x14ac:dyDescent="0.25">
      <c r="A274" s="62">
        <v>900229985</v>
      </c>
      <c r="B274" t="s">
        <v>541</v>
      </c>
      <c r="C274" t="s">
        <v>22</v>
      </c>
      <c r="D274" s="43">
        <v>2.8078703623373924</v>
      </c>
      <c r="E274" s="47">
        <v>16149856</v>
      </c>
      <c r="F274" s="49">
        <v>0.59964761208479145</v>
      </c>
      <c r="G274" s="48">
        <v>13138689</v>
      </c>
      <c r="H274" s="49">
        <v>0.11245750059319923</v>
      </c>
      <c r="I274" s="49">
        <v>0.2808962903376433</v>
      </c>
      <c r="J274" s="46">
        <v>2.8291867162088713</v>
      </c>
    </row>
    <row r="275" spans="1:10" ht="15" customHeight="1" x14ac:dyDescent="0.25">
      <c r="A275" s="62">
        <v>900233698</v>
      </c>
      <c r="B275" t="s">
        <v>542</v>
      </c>
      <c r="C275" t="s">
        <v>22</v>
      </c>
      <c r="D275" s="43">
        <v>8.7705097967784784</v>
      </c>
      <c r="E275" s="47">
        <v>19794348</v>
      </c>
      <c r="F275" s="49">
        <v>0.2880970988864997</v>
      </c>
      <c r="G275" s="48">
        <v>18740080</v>
      </c>
      <c r="H275" s="49">
        <v>7.7393239997968391E-2</v>
      </c>
      <c r="I275" s="49">
        <v>0.10871319652851001</v>
      </c>
      <c r="J275" s="46"/>
    </row>
    <row r="276" spans="1:10" ht="15" customHeight="1" x14ac:dyDescent="0.25">
      <c r="A276" s="62">
        <v>900243322</v>
      </c>
      <c r="B276" t="s">
        <v>543</v>
      </c>
      <c r="C276" t="s">
        <v>22</v>
      </c>
      <c r="D276" s="43">
        <v>3.9124762716460699</v>
      </c>
      <c r="E276" s="47">
        <v>16238826</v>
      </c>
      <c r="F276" s="49">
        <v>0.32840679728975403</v>
      </c>
      <c r="G276" s="48">
        <v>22036566</v>
      </c>
      <c r="H276" s="49">
        <v>5.8585919969455426E-2</v>
      </c>
      <c r="I276" s="49">
        <v>8.7234236042040308E-2</v>
      </c>
      <c r="J276" s="46">
        <v>4.1838270180860553</v>
      </c>
    </row>
    <row r="277" spans="1:10" ht="15" customHeight="1" x14ac:dyDescent="0.25">
      <c r="A277" s="62">
        <v>900278276</v>
      </c>
      <c r="B277" t="s">
        <v>544</v>
      </c>
      <c r="C277" t="s">
        <v>23</v>
      </c>
      <c r="D277" s="43">
        <v>12.970679543256761</v>
      </c>
      <c r="E277" s="47">
        <v>46730241</v>
      </c>
      <c r="F277" s="49">
        <v>0.61062001716807313</v>
      </c>
      <c r="G277" s="48">
        <v>25302787</v>
      </c>
      <c r="H277" s="49">
        <v>9.3322285598333166E-2</v>
      </c>
      <c r="I277" s="49">
        <v>0.23966893449326354</v>
      </c>
      <c r="J277" s="46">
        <v>2.4850529052287276</v>
      </c>
    </row>
    <row r="278" spans="1:10" ht="15" customHeight="1" x14ac:dyDescent="0.25">
      <c r="A278" s="62">
        <v>900281931</v>
      </c>
      <c r="B278" t="s">
        <v>545</v>
      </c>
      <c r="C278" t="s">
        <v>22</v>
      </c>
      <c r="D278" s="43">
        <v>15.32159202801321</v>
      </c>
      <c r="E278" s="47">
        <v>83414609</v>
      </c>
      <c r="F278" s="49">
        <v>0.11136683862379158</v>
      </c>
      <c r="G278" s="48">
        <v>82790789</v>
      </c>
      <c r="H278" s="49">
        <v>8.6201167650055449E-2</v>
      </c>
      <c r="I278" s="49">
        <v>9.7004221085512307E-2</v>
      </c>
      <c r="J278" s="46"/>
    </row>
    <row r="279" spans="1:10" ht="15" customHeight="1" x14ac:dyDescent="0.25">
      <c r="A279" s="62">
        <v>900284917</v>
      </c>
      <c r="B279" t="s">
        <v>546</v>
      </c>
      <c r="C279" t="s">
        <v>22</v>
      </c>
      <c r="D279" s="43">
        <v>6.5386864432371947</v>
      </c>
      <c r="E279" s="47">
        <v>43559138</v>
      </c>
      <c r="F279" s="49">
        <v>0.79828057544701292</v>
      </c>
      <c r="G279" s="48">
        <v>10505239</v>
      </c>
      <c r="H279" s="49">
        <v>9.6188367284983603E-2</v>
      </c>
      <c r="I279" s="49">
        <v>0.47684236408138836</v>
      </c>
      <c r="J279" s="46"/>
    </row>
    <row r="280" spans="1:10" ht="15" customHeight="1" x14ac:dyDescent="0.25">
      <c r="A280" s="62">
        <v>900323530</v>
      </c>
      <c r="B280" t="s">
        <v>547</v>
      </c>
      <c r="C280" t="s">
        <v>23</v>
      </c>
      <c r="D280" s="43">
        <v>53.390550997847207</v>
      </c>
      <c r="E280" s="47">
        <v>18008728</v>
      </c>
      <c r="F280" s="49">
        <v>0.22842124268670505</v>
      </c>
      <c r="G280" s="48">
        <v>16909981</v>
      </c>
      <c r="H280" s="49">
        <v>9.0153626476706897E-2</v>
      </c>
      <c r="I280" s="49">
        <v>0.1168430644599778</v>
      </c>
      <c r="J280" s="46">
        <v>29.819106549954725</v>
      </c>
    </row>
    <row r="281" spans="1:10" ht="15" customHeight="1" x14ac:dyDescent="0.25">
      <c r="A281" s="62">
        <v>900341710</v>
      </c>
      <c r="B281" t="s">
        <v>548</v>
      </c>
      <c r="C281" t="s">
        <v>22</v>
      </c>
      <c r="D281" s="43">
        <v>2.9268053539914747</v>
      </c>
      <c r="E281" s="47">
        <v>15241724</v>
      </c>
      <c r="F281" s="49">
        <v>0.44857194614250512</v>
      </c>
      <c r="G281" s="48">
        <v>35076510</v>
      </c>
      <c r="H281" s="49">
        <v>0.18506441510716715</v>
      </c>
      <c r="I281" s="49">
        <v>0.33560935794353541</v>
      </c>
      <c r="J281" s="46">
        <v>2.728760150846687</v>
      </c>
    </row>
    <row r="282" spans="1:10" ht="15" customHeight="1" x14ac:dyDescent="0.25">
      <c r="A282" s="62">
        <v>900351236</v>
      </c>
      <c r="B282" t="s">
        <v>549</v>
      </c>
      <c r="C282" t="s">
        <v>22</v>
      </c>
      <c r="D282" s="43">
        <v>18.451600886245604</v>
      </c>
      <c r="E282" s="47">
        <v>29466522</v>
      </c>
      <c r="F282" s="49">
        <v>0.2976241292942482</v>
      </c>
      <c r="G282" s="48">
        <v>27748786</v>
      </c>
      <c r="H282" s="49">
        <v>0.31408580629392763</v>
      </c>
      <c r="I282" s="49">
        <v>0.44717624763836517</v>
      </c>
      <c r="J282" s="46">
        <v>23.980747526283242</v>
      </c>
    </row>
    <row r="283" spans="1:10" ht="15" customHeight="1" x14ac:dyDescent="0.25">
      <c r="A283" s="62">
        <v>900367716</v>
      </c>
      <c r="B283" t="s">
        <v>550</v>
      </c>
      <c r="C283" t="s">
        <v>22</v>
      </c>
      <c r="D283" s="43">
        <v>7.3409732766574534</v>
      </c>
      <c r="E283" s="47">
        <v>110504452</v>
      </c>
      <c r="F283" s="49">
        <v>0.22803727126878287</v>
      </c>
      <c r="G283" s="48">
        <v>155614352</v>
      </c>
      <c r="H283" s="49">
        <v>7.254231658449585E-2</v>
      </c>
      <c r="I283" s="49">
        <v>9.3971268151410617E-2</v>
      </c>
      <c r="J283" s="46"/>
    </row>
    <row r="284" spans="1:10" ht="15" customHeight="1" x14ac:dyDescent="0.25">
      <c r="A284" s="62">
        <v>900387122</v>
      </c>
      <c r="B284" t="s">
        <v>551</v>
      </c>
      <c r="C284" t="s">
        <v>22</v>
      </c>
      <c r="D284" s="43">
        <v>4.6424564043373522</v>
      </c>
      <c r="E284" s="47">
        <v>26104640</v>
      </c>
      <c r="F284" s="49">
        <v>0.78317045594994572</v>
      </c>
      <c r="G284" s="48">
        <v>7747219</v>
      </c>
      <c r="H284" s="49">
        <v>2.9626189380125172E-3</v>
      </c>
      <c r="I284" s="49">
        <v>1.3663354553421041E-2</v>
      </c>
      <c r="J284" s="46"/>
    </row>
    <row r="285" spans="1:10" ht="15" customHeight="1" x14ac:dyDescent="0.25">
      <c r="A285" s="62">
        <v>900402153</v>
      </c>
      <c r="B285" t="s">
        <v>552</v>
      </c>
      <c r="C285" t="s">
        <v>22</v>
      </c>
      <c r="D285" s="43">
        <v>18.820131207630133</v>
      </c>
      <c r="E285" s="47">
        <v>30297894</v>
      </c>
      <c r="F285" s="49">
        <v>6.8556793216168366E-2</v>
      </c>
      <c r="G285" s="48">
        <v>191101740</v>
      </c>
      <c r="H285" s="49">
        <v>5.4226994083795672E-2</v>
      </c>
      <c r="I285" s="49">
        <v>5.8218250655383878E-2</v>
      </c>
      <c r="J285" s="46">
        <v>70.601133363793281</v>
      </c>
    </row>
    <row r="286" spans="1:10" ht="15" customHeight="1" x14ac:dyDescent="0.25">
      <c r="A286" s="62">
        <v>900440005</v>
      </c>
      <c r="B286" t="s">
        <v>553</v>
      </c>
      <c r="C286" t="s">
        <v>23</v>
      </c>
      <c r="D286" s="43">
        <v>31.475546769700781</v>
      </c>
      <c r="E286" s="47">
        <v>25437177</v>
      </c>
      <c r="F286" s="49">
        <v>0.67204578804735338</v>
      </c>
      <c r="G286" s="48">
        <v>14062795</v>
      </c>
      <c r="H286" s="49">
        <v>6.6879101134433077E-3</v>
      </c>
      <c r="I286" s="49">
        <v>2.039281664846853E-2</v>
      </c>
      <c r="J286" s="46"/>
    </row>
    <row r="287" spans="1:10" ht="15" customHeight="1" x14ac:dyDescent="0.25">
      <c r="A287" s="62">
        <v>900459044</v>
      </c>
      <c r="B287" t="s">
        <v>554</v>
      </c>
      <c r="C287" t="s">
        <v>23</v>
      </c>
      <c r="D287" s="43">
        <v>5.6107270822470232</v>
      </c>
      <c r="E287" s="47">
        <v>37589409</v>
      </c>
      <c r="F287" s="49">
        <v>0.50353312975816356</v>
      </c>
      <c r="G287" s="48">
        <v>25878281</v>
      </c>
      <c r="H287" s="49">
        <v>7.502954922302954E-2</v>
      </c>
      <c r="I287" s="49">
        <v>0.15112700105544105</v>
      </c>
      <c r="J287" s="46">
        <v>2.0337931794804058</v>
      </c>
    </row>
    <row r="288" spans="1:10" ht="15" customHeight="1" x14ac:dyDescent="0.25">
      <c r="A288" s="62">
        <v>900508212</v>
      </c>
      <c r="B288" t="s">
        <v>555</v>
      </c>
      <c r="C288" t="s">
        <v>23</v>
      </c>
      <c r="D288" s="43">
        <v>2.7664861376894678</v>
      </c>
      <c r="E288" s="47">
        <v>46746800</v>
      </c>
      <c r="F288" s="49">
        <v>0.67415639195800803</v>
      </c>
      <c r="G288" s="48">
        <v>27934363</v>
      </c>
      <c r="H288" s="49">
        <v>0.10197671259799604</v>
      </c>
      <c r="I288" s="49">
        <v>0.31296213914024101</v>
      </c>
      <c r="J288" s="46">
        <v>2.3029236737520535</v>
      </c>
    </row>
    <row r="289" spans="1:10" ht="15" customHeight="1" x14ac:dyDescent="0.25">
      <c r="A289" s="62">
        <v>900521357</v>
      </c>
      <c r="B289" t="s">
        <v>556</v>
      </c>
      <c r="C289" t="s">
        <v>22</v>
      </c>
      <c r="D289" s="43">
        <v>3.7486464612911328</v>
      </c>
      <c r="E289" s="47">
        <v>199749402</v>
      </c>
      <c r="F289" s="49">
        <v>0.51670992062644772</v>
      </c>
      <c r="G289" s="48">
        <v>134110496</v>
      </c>
      <c r="H289" s="49">
        <v>0.16090608896940692</v>
      </c>
      <c r="I289" s="49">
        <v>0.33293894461474516</v>
      </c>
      <c r="J289" s="46">
        <v>6.6431543857018047</v>
      </c>
    </row>
    <row r="290" spans="1:10" ht="15" customHeight="1" x14ac:dyDescent="0.25">
      <c r="A290" s="62">
        <v>900525273</v>
      </c>
      <c r="B290" t="s">
        <v>557</v>
      </c>
      <c r="C290" t="s">
        <v>22</v>
      </c>
      <c r="D290" s="43">
        <v>1.1872620207696833</v>
      </c>
      <c r="E290" s="47">
        <v>15434629</v>
      </c>
      <c r="F290" s="49">
        <v>0.91341539808474792</v>
      </c>
      <c r="G290" s="48">
        <v>8944581</v>
      </c>
      <c r="H290" s="49">
        <v>1.7197417387039289E-2</v>
      </c>
      <c r="I290" s="49">
        <v>0.19861981237578372</v>
      </c>
      <c r="J290" s="46"/>
    </row>
    <row r="291" spans="1:10" ht="15" customHeight="1" x14ac:dyDescent="0.25">
      <c r="A291" s="62">
        <v>900614357</v>
      </c>
      <c r="B291" t="s">
        <v>558</v>
      </c>
      <c r="C291" t="s">
        <v>22</v>
      </c>
      <c r="D291" s="43">
        <v>7.3730896473635772</v>
      </c>
      <c r="E291" s="47">
        <v>17133274</v>
      </c>
      <c r="F291" s="49">
        <v>0.67641069889187644</v>
      </c>
      <c r="G291" s="48">
        <v>7427065</v>
      </c>
      <c r="H291" s="49">
        <v>0.22550277895728563</v>
      </c>
      <c r="I291" s="49">
        <v>0.69687958837037245</v>
      </c>
      <c r="J291" s="46">
        <v>3.0962969609954536</v>
      </c>
    </row>
    <row r="292" spans="1:10" ht="15" customHeight="1" x14ac:dyDescent="0.25">
      <c r="A292" s="62">
        <v>900630931</v>
      </c>
      <c r="B292" t="s">
        <v>559</v>
      </c>
      <c r="C292" t="s">
        <v>22</v>
      </c>
      <c r="D292" s="43">
        <v>1.3743407821429907</v>
      </c>
      <c r="E292" s="47">
        <v>18949495</v>
      </c>
      <c r="F292" s="49">
        <v>0.58140373774307752</v>
      </c>
      <c r="G292" s="48">
        <v>36445845</v>
      </c>
      <c r="H292" s="49">
        <v>4.0170193882930305E-2</v>
      </c>
      <c r="I292" s="49">
        <v>9.5964052966805949E-2</v>
      </c>
      <c r="J292" s="46">
        <v>0.42797051150163767</v>
      </c>
    </row>
    <row r="293" spans="1:10" ht="15" customHeight="1" x14ac:dyDescent="0.25">
      <c r="A293" s="62">
        <v>900650584</v>
      </c>
      <c r="B293" t="s">
        <v>560</v>
      </c>
      <c r="C293" t="s">
        <v>23</v>
      </c>
      <c r="D293" s="43">
        <v>112.39187051390194</v>
      </c>
      <c r="E293" s="47">
        <v>34995427</v>
      </c>
      <c r="F293" s="49">
        <v>0.55368493873239477</v>
      </c>
      <c r="G293" s="48">
        <v>16287567</v>
      </c>
      <c r="H293" s="49">
        <v>9.1312712762618167E-2</v>
      </c>
      <c r="I293" s="49">
        <v>0.20459249684130232</v>
      </c>
      <c r="J293" s="46">
        <v>1.4240658119658121</v>
      </c>
    </row>
    <row r="294" spans="1:10" ht="15" customHeight="1" x14ac:dyDescent="0.25">
      <c r="A294" s="62">
        <v>900822587</v>
      </c>
      <c r="B294" t="s">
        <v>561</v>
      </c>
      <c r="C294" t="s">
        <v>22</v>
      </c>
      <c r="D294" s="43">
        <v>2.3203569924565524</v>
      </c>
      <c r="E294" s="47">
        <v>22423908</v>
      </c>
      <c r="F294" s="49">
        <v>0.65420504683849079</v>
      </c>
      <c r="G294" s="48">
        <v>14047782</v>
      </c>
      <c r="H294" s="49">
        <v>2.8285151649858665E-2</v>
      </c>
      <c r="I294" s="49">
        <v>8.1797468098522605E-2</v>
      </c>
      <c r="J294" s="46">
        <v>1.7744848684200367</v>
      </c>
    </row>
    <row r="295" spans="1:10" ht="15" customHeight="1" x14ac:dyDescent="0.25">
      <c r="A295" s="62">
        <v>900849507</v>
      </c>
      <c r="B295" t="s">
        <v>562</v>
      </c>
      <c r="C295" t="s">
        <v>22</v>
      </c>
      <c r="D295" s="43">
        <v>2.0859988044728142</v>
      </c>
      <c r="E295" s="47">
        <v>27961903</v>
      </c>
      <c r="F295" s="49">
        <v>0.49055386867845446</v>
      </c>
      <c r="G295" s="48">
        <v>32658705</v>
      </c>
      <c r="H295" s="49">
        <v>0.1588070357581253</v>
      </c>
      <c r="I295" s="49">
        <v>0.31172488315136809</v>
      </c>
      <c r="J295" s="46">
        <v>3285.1019683768959</v>
      </c>
    </row>
    <row r="296" spans="1:10" ht="15" customHeight="1" x14ac:dyDescent="0.25">
      <c r="A296" s="62">
        <v>900863184</v>
      </c>
      <c r="B296" t="s">
        <v>563</v>
      </c>
      <c r="C296" t="s">
        <v>22</v>
      </c>
      <c r="D296" s="43">
        <v>81.260625652545798</v>
      </c>
      <c r="E296" s="47">
        <v>26367301</v>
      </c>
      <c r="F296" s="49">
        <v>1.2281699732421861E-2</v>
      </c>
      <c r="G296" s="48">
        <v>26420301</v>
      </c>
      <c r="H296" s="49">
        <v>8.9775691804297023E-2</v>
      </c>
      <c r="I296" s="49">
        <v>9.0892000057077316E-2</v>
      </c>
      <c r="J296" s="46">
        <v>183.66302103250479</v>
      </c>
    </row>
    <row r="297" spans="1:10" ht="15" customHeight="1" x14ac:dyDescent="0.25">
      <c r="A297" s="62">
        <v>900904055</v>
      </c>
      <c r="B297" t="s">
        <v>564</v>
      </c>
      <c r="C297" t="s">
        <v>23</v>
      </c>
      <c r="D297" s="43">
        <v>1.8199231094076553</v>
      </c>
      <c r="E297" s="47">
        <v>127232873</v>
      </c>
      <c r="F297" s="49">
        <v>0.63561481773203587</v>
      </c>
      <c r="G297" s="48">
        <v>293614122</v>
      </c>
      <c r="H297" s="49">
        <v>1.5299410688804378E-2</v>
      </c>
      <c r="I297" s="49">
        <v>4.1986917781836122E-2</v>
      </c>
      <c r="J297" s="46">
        <v>0.95263659121685429</v>
      </c>
    </row>
    <row r="298" spans="1:10" ht="15" customHeight="1" x14ac:dyDescent="0.25">
      <c r="A298" s="62">
        <v>900958259</v>
      </c>
      <c r="B298" t="s">
        <v>565</v>
      </c>
      <c r="C298" t="s">
        <v>22</v>
      </c>
      <c r="D298" s="43">
        <v>3.0275355204178145</v>
      </c>
      <c r="E298" s="47">
        <v>15777146</v>
      </c>
      <c r="F298" s="49">
        <v>0.6905309826999928</v>
      </c>
      <c r="G298" s="48">
        <v>8131304</v>
      </c>
      <c r="H298" s="49">
        <v>0.11730842582105938</v>
      </c>
      <c r="I298" s="49">
        <v>0.3790635548738554</v>
      </c>
      <c r="J298" s="46"/>
    </row>
    <row r="299" spans="1:10" ht="15" customHeight="1" x14ac:dyDescent="0.25">
      <c r="A299" s="62">
        <v>900974081</v>
      </c>
      <c r="B299" t="s">
        <v>566</v>
      </c>
      <c r="C299" t="s">
        <v>22</v>
      </c>
      <c r="D299" s="43">
        <v>10.533742474606388</v>
      </c>
      <c r="E299" s="47">
        <v>25302686</v>
      </c>
      <c r="F299" s="49">
        <v>0.29110642499598827</v>
      </c>
      <c r="G299" s="48">
        <v>24102529</v>
      </c>
      <c r="H299" s="49">
        <v>0.24878227215551152</v>
      </c>
      <c r="I299" s="49">
        <v>0.35094445898187698</v>
      </c>
      <c r="J299" s="46"/>
    </row>
    <row r="300" spans="1:10" ht="15" customHeight="1" x14ac:dyDescent="0.25">
      <c r="A300" s="62">
        <v>901009210</v>
      </c>
      <c r="B300" t="s">
        <v>567</v>
      </c>
      <c r="C300" t="s">
        <v>22</v>
      </c>
      <c r="D300" s="43">
        <v>6.8875207868608985</v>
      </c>
      <c r="E300" s="47">
        <v>18583612</v>
      </c>
      <c r="F300" s="49">
        <v>0.40424129939179232</v>
      </c>
      <c r="G300" s="48">
        <v>26497409</v>
      </c>
      <c r="H300" s="49">
        <v>1.2985054864736398E-2</v>
      </c>
      <c r="I300" s="49">
        <v>2.1795829169561447E-2</v>
      </c>
      <c r="J300" s="46"/>
    </row>
    <row r="301" spans="1:10" ht="15" customHeight="1" x14ac:dyDescent="0.25">
      <c r="A301" s="62">
        <v>901031025</v>
      </c>
      <c r="B301" t="s">
        <v>568</v>
      </c>
      <c r="C301" t="s">
        <v>22</v>
      </c>
      <c r="D301" s="43">
        <v>2.3392551758554112</v>
      </c>
      <c r="E301" s="47">
        <v>17884123</v>
      </c>
      <c r="F301" s="49">
        <v>0.52180347812046046</v>
      </c>
      <c r="G301" s="48">
        <v>14937858</v>
      </c>
      <c r="H301" s="49">
        <v>4.0436545266510499E-2</v>
      </c>
      <c r="I301" s="49">
        <v>8.4560517311116495E-2</v>
      </c>
      <c r="J301" s="46"/>
    </row>
    <row r="302" spans="1:10" ht="15" customHeight="1" x14ac:dyDescent="0.25">
      <c r="A302" s="62">
        <v>901175671</v>
      </c>
      <c r="B302" t="s">
        <v>569</v>
      </c>
      <c r="C302" t="s">
        <v>22</v>
      </c>
      <c r="D302" s="43">
        <v>5.1825021485469591</v>
      </c>
      <c r="E302" s="47">
        <v>17709789</v>
      </c>
      <c r="F302" s="49">
        <v>0.18182702394495948</v>
      </c>
      <c r="G302" s="48">
        <v>19053024</v>
      </c>
      <c r="H302" s="49">
        <v>0.10007866525937485</v>
      </c>
      <c r="I302" s="49">
        <v>0.12231969056460539</v>
      </c>
      <c r="J302" s="46"/>
    </row>
    <row r="303" spans="1:10" ht="15" customHeight="1" x14ac:dyDescent="0.25">
      <c r="A303" s="62">
        <v>901192828</v>
      </c>
      <c r="B303" t="s">
        <v>570</v>
      </c>
      <c r="C303" t="s">
        <v>22</v>
      </c>
      <c r="D303" s="43">
        <v>2.7099386661404163</v>
      </c>
      <c r="E303" s="47">
        <v>27614622</v>
      </c>
      <c r="F303" s="49">
        <v>0.56632933045021061</v>
      </c>
      <c r="G303" s="48">
        <v>28314296</v>
      </c>
      <c r="H303" s="49">
        <v>0.39464090111271033</v>
      </c>
      <c r="I303" s="49">
        <v>0.9100013646816435</v>
      </c>
      <c r="J303" s="46">
        <v>1357.036287986517</v>
      </c>
    </row>
    <row r="304" spans="1:10" ht="15" customHeight="1" x14ac:dyDescent="0.25">
      <c r="A304" s="62">
        <v>901244662</v>
      </c>
      <c r="B304" t="s">
        <v>571</v>
      </c>
      <c r="C304" t="s">
        <v>22</v>
      </c>
      <c r="D304" s="43">
        <v>23.879144024302803</v>
      </c>
      <c r="E304" s="47">
        <v>19400782</v>
      </c>
      <c r="F304" s="49">
        <v>0.12324261991480956</v>
      </c>
      <c r="G304" s="48">
        <v>17753241</v>
      </c>
      <c r="H304" s="49">
        <v>0.10783223655781221</v>
      </c>
      <c r="I304" s="49">
        <v>0.12298982478748528</v>
      </c>
      <c r="J304" s="46">
        <v>35794.557377049183</v>
      </c>
    </row>
    <row r="305" spans="1:10" ht="15" customHeight="1" x14ac:dyDescent="0.25">
      <c r="A305" s="62">
        <v>901252860</v>
      </c>
      <c r="B305" t="s">
        <v>572</v>
      </c>
      <c r="C305" t="s">
        <v>22</v>
      </c>
      <c r="D305" s="43">
        <v>5.3377459443858513</v>
      </c>
      <c r="E305" s="47">
        <v>19342829</v>
      </c>
      <c r="F305" s="49">
        <v>0.35726080553957362</v>
      </c>
      <c r="G305" s="48">
        <v>16229648</v>
      </c>
      <c r="H305" s="49">
        <v>2.0354839333101841E-2</v>
      </c>
      <c r="I305" s="49">
        <v>3.1668893866336471E-2</v>
      </c>
      <c r="J305" s="46">
        <v>1.0613134496016783</v>
      </c>
    </row>
    <row r="306" spans="1:10" ht="15" customHeight="1" x14ac:dyDescent="0.25">
      <c r="A306" s="62">
        <v>901333170</v>
      </c>
      <c r="B306" t="s">
        <v>573</v>
      </c>
      <c r="C306" t="s">
        <v>22</v>
      </c>
      <c r="D306" s="43">
        <v>9.349416166402392</v>
      </c>
      <c r="E306" s="47">
        <v>27428642</v>
      </c>
      <c r="F306" s="49">
        <v>9.8938887248470109E-2</v>
      </c>
      <c r="G306" s="48">
        <v>31944105</v>
      </c>
      <c r="H306" s="49">
        <v>0.19261469112920324</v>
      </c>
      <c r="I306" s="49">
        <v>0.21376429234752389</v>
      </c>
      <c r="J306" s="46">
        <v>78.982476635514018</v>
      </c>
    </row>
    <row r="307" spans="1:10" ht="15" customHeight="1" x14ac:dyDescent="0.25">
      <c r="A307" s="62">
        <v>901361107</v>
      </c>
      <c r="B307" t="s">
        <v>574</v>
      </c>
      <c r="C307" t="s">
        <v>22</v>
      </c>
      <c r="D307" s="43">
        <v>17.159684955785764</v>
      </c>
      <c r="E307" s="47">
        <v>25574883</v>
      </c>
      <c r="F307" s="49">
        <v>0.2380425170182289</v>
      </c>
      <c r="G307" s="48">
        <v>22455236</v>
      </c>
      <c r="H307" s="49">
        <v>0.16915200299907113</v>
      </c>
      <c r="I307" s="49">
        <v>0.22199664256478979</v>
      </c>
      <c r="J307" s="46">
        <v>25.306429423560168</v>
      </c>
    </row>
    <row r="308" spans="1:10" ht="15" customHeight="1" x14ac:dyDescent="0.25">
      <c r="A308" s="62">
        <v>800180982</v>
      </c>
      <c r="B308" t="s">
        <v>575</v>
      </c>
      <c r="C308" t="s">
        <v>22</v>
      </c>
      <c r="D308" s="43">
        <v>3.4765202050757105</v>
      </c>
      <c r="E308" s="47">
        <v>22567382</v>
      </c>
      <c r="F308" s="49">
        <v>0.63182928185815634</v>
      </c>
      <c r="G308" s="48">
        <v>14860957</v>
      </c>
      <c r="H308" s="49">
        <v>2.1856610456118288E-2</v>
      </c>
      <c r="I308" s="49">
        <v>5.9365423101621247E-2</v>
      </c>
      <c r="J308" s="46">
        <v>0.58700120231093877</v>
      </c>
    </row>
    <row r="309" spans="1:10" ht="15" customHeight="1" x14ac:dyDescent="0.25">
      <c r="A309" s="62">
        <v>800186228</v>
      </c>
      <c r="B309" t="s">
        <v>576</v>
      </c>
      <c r="C309" t="s">
        <v>23</v>
      </c>
      <c r="D309" s="43">
        <v>1.3491289842498022</v>
      </c>
      <c r="E309" s="47">
        <v>97629269</v>
      </c>
      <c r="F309" s="49">
        <v>0.68982473524502863</v>
      </c>
      <c r="G309" s="48">
        <v>167886488</v>
      </c>
      <c r="H309" s="49">
        <v>4.7234979547902178E-2</v>
      </c>
      <c r="I309" s="49">
        <v>0.15228480448051304</v>
      </c>
      <c r="J309" s="46">
        <v>1.2453745065264308</v>
      </c>
    </row>
    <row r="310" spans="1:10" ht="15" customHeight="1" x14ac:dyDescent="0.25">
      <c r="A310" s="62">
        <v>820003863</v>
      </c>
      <c r="B310" t="s">
        <v>577</v>
      </c>
      <c r="C310" t="s">
        <v>22</v>
      </c>
      <c r="D310" s="43">
        <v>37.261215860722842</v>
      </c>
      <c r="E310" s="47">
        <v>21902971</v>
      </c>
      <c r="F310" s="49">
        <v>0.525966146766769</v>
      </c>
      <c r="G310" s="48">
        <v>10669882</v>
      </c>
      <c r="H310" s="49">
        <v>6.2346936907751012E-2</v>
      </c>
      <c r="I310" s="49">
        <v>0.13152422866532171</v>
      </c>
      <c r="J310" s="46">
        <v>3.3128614797712967</v>
      </c>
    </row>
    <row r="311" spans="1:10" ht="15" customHeight="1" x14ac:dyDescent="0.25">
      <c r="A311" s="62">
        <v>830094920</v>
      </c>
      <c r="B311" t="s">
        <v>578</v>
      </c>
      <c r="C311" t="s">
        <v>22</v>
      </c>
      <c r="D311" s="43">
        <v>1.2150275237936157</v>
      </c>
      <c r="E311" s="47">
        <v>87203049</v>
      </c>
      <c r="F311" s="49">
        <v>0.5375566495197196</v>
      </c>
      <c r="G311" s="48">
        <v>619618017</v>
      </c>
      <c r="H311" s="49">
        <v>2.3356462717293927E-2</v>
      </c>
      <c r="I311" s="49">
        <v>5.0506646258480246E-2</v>
      </c>
      <c r="J311" s="46">
        <v>0.49422291377838679</v>
      </c>
    </row>
    <row r="312" spans="1:10" ht="15" customHeight="1" x14ac:dyDescent="0.25">
      <c r="A312" s="62">
        <v>830132938</v>
      </c>
      <c r="B312" t="s">
        <v>579</v>
      </c>
      <c r="C312" t="s">
        <v>23</v>
      </c>
      <c r="D312" s="43">
        <v>1.8424227605665875</v>
      </c>
      <c r="E312" s="47">
        <v>41138077</v>
      </c>
      <c r="F312" s="49">
        <v>0.54044417992884541</v>
      </c>
      <c r="G312" s="48">
        <v>42863866</v>
      </c>
      <c r="H312" s="49">
        <v>5.0779908247652557E-2</v>
      </c>
      <c r="I312" s="49">
        <v>0.11049780250806122</v>
      </c>
      <c r="J312" s="46">
        <v>99.706608003705028</v>
      </c>
    </row>
    <row r="313" spans="1:10" ht="15" customHeight="1" x14ac:dyDescent="0.25">
      <c r="A313" s="62">
        <v>860005986</v>
      </c>
      <c r="B313" t="s">
        <v>580</v>
      </c>
      <c r="C313" t="s">
        <v>23</v>
      </c>
      <c r="D313" s="43">
        <v>3.9273534730825346</v>
      </c>
      <c r="E313" s="47">
        <v>105966961</v>
      </c>
      <c r="F313" s="49">
        <v>0.50977802327066768</v>
      </c>
      <c r="G313" s="48">
        <v>216961513</v>
      </c>
      <c r="H313" s="49">
        <v>8.5920789248986433E-3</v>
      </c>
      <c r="I313" s="49">
        <v>1.7526915015567759E-2</v>
      </c>
      <c r="J313" s="46">
        <v>0.25025284140565607</v>
      </c>
    </row>
    <row r="314" spans="1:10" ht="15" customHeight="1" x14ac:dyDescent="0.25">
      <c r="A314" s="62">
        <v>860024586</v>
      </c>
      <c r="B314" t="s">
        <v>581</v>
      </c>
      <c r="C314" t="s">
        <v>23</v>
      </c>
      <c r="D314" s="43">
        <v>2.1983277170006934</v>
      </c>
      <c r="E314" s="47">
        <v>248379036</v>
      </c>
      <c r="F314" s="49">
        <v>0.63339033559547919</v>
      </c>
      <c r="G314" s="48">
        <v>539352742</v>
      </c>
      <c r="H314" s="49">
        <v>0.11387232185507726</v>
      </c>
      <c r="I314" s="49">
        <v>0.31060916530948129</v>
      </c>
      <c r="J314" s="46">
        <v>1.3168273269022077</v>
      </c>
    </row>
    <row r="315" spans="1:10" ht="15" customHeight="1" x14ac:dyDescent="0.25">
      <c r="A315" s="62">
        <v>860025054</v>
      </c>
      <c r="B315" t="s">
        <v>582</v>
      </c>
      <c r="C315" t="s">
        <v>23</v>
      </c>
      <c r="D315" s="43">
        <v>1.5010284183859108</v>
      </c>
      <c r="E315" s="47">
        <v>62899281</v>
      </c>
      <c r="F315" s="49">
        <v>0.63714600305694213</v>
      </c>
      <c r="G315" s="48">
        <v>154301689</v>
      </c>
      <c r="H315" s="49">
        <v>6.6835189770163367E-2</v>
      </c>
      <c r="I315" s="49">
        <v>0.18419306479529204</v>
      </c>
      <c r="J315" s="46">
        <v>1.8571847805119792</v>
      </c>
    </row>
    <row r="316" spans="1:10" ht="15" customHeight="1" x14ac:dyDescent="0.25">
      <c r="A316" s="62">
        <v>860034551</v>
      </c>
      <c r="B316" t="s">
        <v>583</v>
      </c>
      <c r="C316" t="s">
        <v>22</v>
      </c>
      <c r="D316" s="43">
        <v>2.1144285363390334</v>
      </c>
      <c r="E316" s="47">
        <v>18143787</v>
      </c>
      <c r="F316" s="49">
        <v>0.68264034716717925</v>
      </c>
      <c r="G316" s="48">
        <v>24380791</v>
      </c>
      <c r="H316" s="49">
        <v>9.4168891713474617E-2</v>
      </c>
      <c r="I316" s="49">
        <v>0.29672609883740031</v>
      </c>
      <c r="J316" s="46">
        <v>3.0991459633315999</v>
      </c>
    </row>
    <row r="317" spans="1:10" ht="15" customHeight="1" x14ac:dyDescent="0.25">
      <c r="A317" s="62">
        <v>860036081</v>
      </c>
      <c r="B317" t="s">
        <v>584</v>
      </c>
      <c r="C317" t="s">
        <v>22</v>
      </c>
      <c r="D317" s="43">
        <v>1.5647800985877867</v>
      </c>
      <c r="E317" s="47">
        <v>35737021</v>
      </c>
      <c r="F317" s="49">
        <v>0.46107939773418499</v>
      </c>
      <c r="G317" s="48">
        <v>77569850</v>
      </c>
      <c r="H317" s="49">
        <v>0.12136037440249052</v>
      </c>
      <c r="I317" s="49">
        <v>0.22519156605304766</v>
      </c>
      <c r="J317" s="46">
        <v>4.8615762092171941</v>
      </c>
    </row>
    <row r="318" spans="1:10" ht="15" customHeight="1" x14ac:dyDescent="0.25">
      <c r="A318" s="62">
        <v>890312765</v>
      </c>
      <c r="B318" t="s">
        <v>585</v>
      </c>
      <c r="C318" t="s">
        <v>22</v>
      </c>
      <c r="D318" s="43">
        <v>1.4995773340041567</v>
      </c>
      <c r="E318" s="47">
        <v>142421726</v>
      </c>
      <c r="F318" s="49">
        <v>0.72339800629405304</v>
      </c>
      <c r="G318" s="48">
        <v>126781173</v>
      </c>
      <c r="H318" s="49">
        <v>0.27879634921995938</v>
      </c>
      <c r="I318" s="49">
        <v>1.007933259932845</v>
      </c>
      <c r="J318" s="46">
        <v>3.2613498772275085</v>
      </c>
    </row>
    <row r="319" spans="1:10" ht="15" customHeight="1" x14ac:dyDescent="0.25">
      <c r="A319" s="62">
        <v>890903035</v>
      </c>
      <c r="B319" t="s">
        <v>586</v>
      </c>
      <c r="C319" t="s">
        <v>22</v>
      </c>
      <c r="D319" s="43">
        <v>1.7012589267794576</v>
      </c>
      <c r="E319" s="47">
        <v>354848965</v>
      </c>
      <c r="F319" s="49">
        <v>0.55501846727951309</v>
      </c>
      <c r="G319" s="48">
        <v>692063156</v>
      </c>
      <c r="H319" s="49">
        <v>3.5805340109737321E-2</v>
      </c>
      <c r="I319" s="49">
        <v>8.0464777697253978E-2</v>
      </c>
      <c r="J319" s="46">
        <v>0.30740875659541583</v>
      </c>
    </row>
    <row r="320" spans="1:10" ht="15" customHeight="1" x14ac:dyDescent="0.25">
      <c r="A320" s="62">
        <v>890911431</v>
      </c>
      <c r="B320" t="s">
        <v>587</v>
      </c>
      <c r="C320" t="s">
        <v>22</v>
      </c>
      <c r="D320" s="43">
        <v>1.9409811256603673</v>
      </c>
      <c r="E320" s="47">
        <v>257629156</v>
      </c>
      <c r="F320" s="49">
        <v>0.52325044026307788</v>
      </c>
      <c r="G320" s="48">
        <v>300808666</v>
      </c>
      <c r="H320" s="49">
        <v>7.3462692545901126E-2</v>
      </c>
      <c r="I320" s="49">
        <v>0.15409074019164062</v>
      </c>
      <c r="J320" s="46">
        <v>2.7859901303509411</v>
      </c>
    </row>
    <row r="321" spans="1:10" ht="15" customHeight="1" x14ac:dyDescent="0.25">
      <c r="A321" s="62">
        <v>890932424</v>
      </c>
      <c r="B321" t="s">
        <v>588</v>
      </c>
      <c r="C321" t="s">
        <v>23</v>
      </c>
      <c r="D321" s="43">
        <v>1.9449731739321288</v>
      </c>
      <c r="E321" s="47">
        <v>190377655</v>
      </c>
      <c r="F321" s="49">
        <v>0.45859571877955291</v>
      </c>
      <c r="G321" s="48">
        <v>527343057</v>
      </c>
      <c r="H321" s="49">
        <v>4.7065495953445849E-2</v>
      </c>
      <c r="I321" s="49">
        <v>8.6932256699835536E-2</v>
      </c>
      <c r="J321" s="46">
        <v>1.1495193084778246</v>
      </c>
    </row>
    <row r="322" spans="1:10" ht="15" customHeight="1" x14ac:dyDescent="0.25">
      <c r="A322" s="62">
        <v>900356846</v>
      </c>
      <c r="B322" t="s">
        <v>589</v>
      </c>
      <c r="C322" t="s">
        <v>22</v>
      </c>
      <c r="D322" s="43">
        <v>1.4498691498613221</v>
      </c>
      <c r="E322" s="47">
        <v>73546566</v>
      </c>
      <c r="F322" s="49">
        <v>0.84094940544800678</v>
      </c>
      <c r="G322" s="48">
        <v>125231920</v>
      </c>
      <c r="H322" s="49">
        <v>0.10083294178483272</v>
      </c>
      <c r="I322" s="49">
        <v>0.6339677136627786</v>
      </c>
      <c r="J322" s="46"/>
    </row>
    <row r="323" spans="1:10" ht="15" customHeight="1" x14ac:dyDescent="0.25">
      <c r="A323" s="62">
        <v>900411315</v>
      </c>
      <c r="B323" t="s">
        <v>590</v>
      </c>
      <c r="C323" t="s">
        <v>23</v>
      </c>
      <c r="D323" s="43">
        <v>2.4110111566677932</v>
      </c>
      <c r="E323" s="47">
        <v>222228417</v>
      </c>
      <c r="F323" s="49">
        <v>0.64046938289233335</v>
      </c>
      <c r="G323" s="48">
        <v>143496488</v>
      </c>
      <c r="H323" s="49">
        <v>8.0298891856674506E-2</v>
      </c>
      <c r="I323" s="49">
        <v>0.22334368211157893</v>
      </c>
      <c r="J323" s="46">
        <v>3.4417742177459791</v>
      </c>
    </row>
    <row r="324" spans="1:10" ht="15" customHeight="1" x14ac:dyDescent="0.25">
      <c r="A324" s="62">
        <v>800014246</v>
      </c>
      <c r="B324" t="s">
        <v>591</v>
      </c>
      <c r="C324" t="s">
        <v>23</v>
      </c>
      <c r="D324" s="43">
        <v>2.0569694167398533</v>
      </c>
      <c r="E324" s="47">
        <v>52329650</v>
      </c>
      <c r="F324" s="49">
        <v>0.77931592060202359</v>
      </c>
      <c r="G324" s="48">
        <v>42232527</v>
      </c>
      <c r="H324" s="49">
        <v>4.6280790974501653E-3</v>
      </c>
      <c r="I324" s="49">
        <v>2.09715132603834E-2</v>
      </c>
      <c r="J324" s="46">
        <v>6.0526125160766539E-2</v>
      </c>
    </row>
    <row r="325" spans="1:10" ht="15" customHeight="1" x14ac:dyDescent="0.25">
      <c r="A325" s="62">
        <v>800127156</v>
      </c>
      <c r="B325" t="s">
        <v>592</v>
      </c>
      <c r="C325" t="s">
        <v>22</v>
      </c>
      <c r="D325" s="43">
        <v>4.2952356026669847</v>
      </c>
      <c r="E325" s="47">
        <v>15964998</v>
      </c>
      <c r="F325" s="49">
        <v>0.18343508599772049</v>
      </c>
      <c r="G325" s="48">
        <v>21567048</v>
      </c>
      <c r="H325" s="49">
        <v>0.11070156540298602</v>
      </c>
      <c r="I325" s="49">
        <v>0.13556982856439137</v>
      </c>
      <c r="J325" s="46">
        <v>46.093374111267003</v>
      </c>
    </row>
    <row r="326" spans="1:10" ht="15" customHeight="1" x14ac:dyDescent="0.25">
      <c r="A326" s="62">
        <v>804003941</v>
      </c>
      <c r="B326" t="s">
        <v>593</v>
      </c>
      <c r="C326" t="s">
        <v>22</v>
      </c>
      <c r="D326" s="43">
        <v>3.2412510467670366</v>
      </c>
      <c r="E326" s="47">
        <v>30524304</v>
      </c>
      <c r="F326" s="49">
        <v>0.41409171053394273</v>
      </c>
      <c r="G326" s="48">
        <v>37662561</v>
      </c>
      <c r="H326" s="49">
        <v>0.11764400237321836</v>
      </c>
      <c r="I326" s="49">
        <v>0.20078910725162849</v>
      </c>
      <c r="J326" s="46">
        <v>3.4931672382191215</v>
      </c>
    </row>
    <row r="327" spans="1:10" ht="15" customHeight="1" x14ac:dyDescent="0.25">
      <c r="A327" s="62">
        <v>830129289</v>
      </c>
      <c r="B327" t="s">
        <v>594</v>
      </c>
      <c r="C327" t="s">
        <v>23</v>
      </c>
      <c r="D327" s="43">
        <v>3.057869254967533</v>
      </c>
      <c r="E327" s="47">
        <v>166840404</v>
      </c>
      <c r="F327" s="49">
        <v>0.69161930341405897</v>
      </c>
      <c r="G327" s="48">
        <v>138711215</v>
      </c>
      <c r="H327" s="49">
        <v>2.9649415992858561E-2</v>
      </c>
      <c r="I327" s="49">
        <v>9.6145499122042871E-2</v>
      </c>
      <c r="J327" s="46">
        <v>1.127242595456057</v>
      </c>
    </row>
    <row r="328" spans="1:10" ht="15" customHeight="1" x14ac:dyDescent="0.25">
      <c r="A328" s="62">
        <v>860015067</v>
      </c>
      <c r="B328" t="s">
        <v>595</v>
      </c>
      <c r="C328" t="s">
        <v>23</v>
      </c>
      <c r="D328" s="43">
        <v>3.1336615032342077</v>
      </c>
      <c r="E328" s="47">
        <v>33523187</v>
      </c>
      <c r="F328" s="49">
        <v>0.39802248636710552</v>
      </c>
      <c r="G328" s="48">
        <v>30455560</v>
      </c>
      <c r="H328" s="49">
        <v>6.4440947704503598E-3</v>
      </c>
      <c r="I328" s="49">
        <v>1.0704876219645937E-2</v>
      </c>
      <c r="J328" s="46"/>
    </row>
    <row r="329" spans="1:10" ht="15" customHeight="1" x14ac:dyDescent="0.25">
      <c r="A329" s="62">
        <v>890201201</v>
      </c>
      <c r="B329" t="s">
        <v>596</v>
      </c>
      <c r="C329" t="s">
        <v>22</v>
      </c>
      <c r="D329" s="43">
        <v>3.5328235653362658</v>
      </c>
      <c r="E329" s="47">
        <v>62093350</v>
      </c>
      <c r="F329" s="49">
        <v>0.22957762007479371</v>
      </c>
      <c r="G329" s="48">
        <v>91721356</v>
      </c>
      <c r="H329" s="49">
        <v>0.1082338153340984</v>
      </c>
      <c r="I329" s="49">
        <v>0.1404863334118174</v>
      </c>
      <c r="J329" s="46">
        <v>5762.7893559928443</v>
      </c>
    </row>
    <row r="330" spans="1:10" ht="15" customHeight="1" x14ac:dyDescent="0.25">
      <c r="A330" s="62">
        <v>900018975</v>
      </c>
      <c r="B330" t="s">
        <v>597</v>
      </c>
      <c r="C330" t="s">
        <v>23</v>
      </c>
      <c r="D330" s="43">
        <v>1.7274321196358431</v>
      </c>
      <c r="E330" s="47">
        <v>83174526</v>
      </c>
      <c r="F330" s="49">
        <v>0.72822292842458447</v>
      </c>
      <c r="G330" s="48">
        <v>159738430</v>
      </c>
      <c r="H330" s="49">
        <v>1.9556794920787435E-2</v>
      </c>
      <c r="I330" s="49">
        <v>7.1958958154277594E-2</v>
      </c>
      <c r="J330" s="46">
        <v>0.59547946629764859</v>
      </c>
    </row>
    <row r="331" spans="1:10" ht="15" customHeight="1" x14ac:dyDescent="0.25">
      <c r="A331" s="62">
        <v>900131199</v>
      </c>
      <c r="B331" t="s">
        <v>598</v>
      </c>
      <c r="C331" t="s">
        <v>22</v>
      </c>
      <c r="D331" s="43">
        <v>3.4507505508923888</v>
      </c>
      <c r="E331" s="47">
        <v>17428863</v>
      </c>
      <c r="F331" s="49">
        <v>0.65250641751975869</v>
      </c>
      <c r="G331" s="48">
        <v>11741240</v>
      </c>
      <c r="H331" s="49">
        <v>9.963376446300376E-2</v>
      </c>
      <c r="I331" s="49">
        <v>0.28672116403378178</v>
      </c>
      <c r="J331" s="46"/>
    </row>
    <row r="332" spans="1:10" ht="15" customHeight="1" x14ac:dyDescent="0.25">
      <c r="A332" s="62">
        <v>900398036</v>
      </c>
      <c r="B332" t="s">
        <v>599</v>
      </c>
      <c r="C332" t="s">
        <v>22</v>
      </c>
      <c r="D332" s="43">
        <v>1.2802286632804596</v>
      </c>
      <c r="E332" s="47">
        <v>17369418</v>
      </c>
      <c r="F332" s="49">
        <v>0.78111045993736672</v>
      </c>
      <c r="G332" s="48">
        <v>17369418</v>
      </c>
      <c r="H332" s="49">
        <v>1.4829110159001423E-2</v>
      </c>
      <c r="I332" s="49">
        <v>6.7747002231162839E-2</v>
      </c>
      <c r="J332" s="46">
        <v>2.1924556003547502</v>
      </c>
    </row>
    <row r="333" spans="1:10" ht="15" customHeight="1" x14ac:dyDescent="0.25">
      <c r="A333" s="62">
        <v>900447078</v>
      </c>
      <c r="B333" t="s">
        <v>600</v>
      </c>
      <c r="C333" t="s">
        <v>23</v>
      </c>
      <c r="D333" s="43">
        <v>1.3833020578532687</v>
      </c>
      <c r="E333" s="47">
        <v>17722316</v>
      </c>
      <c r="F333" s="49">
        <v>0.84120544524155205</v>
      </c>
      <c r="G333" s="48">
        <v>40226286</v>
      </c>
      <c r="H333" s="49">
        <v>1.0687603639987758E-2</v>
      </c>
      <c r="I333" s="49">
        <v>6.7304597794586363E-2</v>
      </c>
      <c r="J333" s="46"/>
    </row>
    <row r="334" spans="1:10" ht="15" customHeight="1" x14ac:dyDescent="0.25">
      <c r="A334" s="62">
        <v>900475730</v>
      </c>
      <c r="B334" t="s">
        <v>601</v>
      </c>
      <c r="C334" t="s">
        <v>23</v>
      </c>
      <c r="D334" s="43">
        <v>3.1700802645304957</v>
      </c>
      <c r="E334" s="47">
        <v>450726131</v>
      </c>
      <c r="F334" s="49">
        <v>0.97504429076235799</v>
      </c>
      <c r="G334" s="48">
        <v>20864831</v>
      </c>
      <c r="H334" s="49">
        <v>3.5904441070382903E-2</v>
      </c>
      <c r="I334" s="49">
        <v>1.4387265346170308</v>
      </c>
      <c r="J334" s="46">
        <v>1.5818919898223636</v>
      </c>
    </row>
    <row r="335" spans="1:10" ht="15" customHeight="1" x14ac:dyDescent="0.25">
      <c r="A335" s="62">
        <v>900637571</v>
      </c>
      <c r="B335" t="s">
        <v>602</v>
      </c>
      <c r="C335" t="s">
        <v>23</v>
      </c>
      <c r="D335" s="43">
        <v>7.1990662568630261</v>
      </c>
      <c r="E335" s="47">
        <v>57720287</v>
      </c>
      <c r="F335" s="49">
        <v>0.40074555587256405</v>
      </c>
      <c r="G335" s="48">
        <v>44034466</v>
      </c>
      <c r="H335" s="49">
        <v>0.17597474268728222</v>
      </c>
      <c r="I335" s="49">
        <v>0.2936561329028039</v>
      </c>
      <c r="J335" s="46">
        <v>2.9225603463590129</v>
      </c>
    </row>
    <row r="336" spans="1:10" ht="15" customHeight="1" x14ac:dyDescent="0.25">
      <c r="A336" s="62">
        <v>900815680</v>
      </c>
      <c r="B336" t="s">
        <v>603</v>
      </c>
      <c r="C336" t="s">
        <v>23</v>
      </c>
      <c r="D336" s="43">
        <v>29.103407585167687</v>
      </c>
      <c r="E336" s="47">
        <v>134488042</v>
      </c>
      <c r="F336" s="49">
        <v>0.11962392195590883</v>
      </c>
      <c r="G336" s="48">
        <v>255539428</v>
      </c>
      <c r="H336" s="49">
        <v>0.19751062754008092</v>
      </c>
      <c r="I336" s="49">
        <v>0.2243480172460901</v>
      </c>
      <c r="J336" s="46">
        <v>5.6924750095545207</v>
      </c>
    </row>
    <row r="337" spans="1:15" ht="15" customHeight="1" x14ac:dyDescent="0.25">
      <c r="A337" s="62">
        <v>900820012</v>
      </c>
      <c r="B337" t="s">
        <v>604</v>
      </c>
      <c r="C337" t="s">
        <v>22</v>
      </c>
      <c r="D337" s="43">
        <v>2.0444465115272714</v>
      </c>
      <c r="E337" s="47">
        <v>44217229</v>
      </c>
      <c r="F337" s="49">
        <v>0.78849794902966319</v>
      </c>
      <c r="G337" s="48">
        <v>18478493</v>
      </c>
      <c r="H337" s="49">
        <v>0.15107746534957903</v>
      </c>
      <c r="I337" s="49">
        <v>0.71430733014862202</v>
      </c>
      <c r="J337" s="46">
        <v>5.8998269742302902</v>
      </c>
    </row>
    <row r="338" spans="1:15" ht="15" customHeight="1" x14ac:dyDescent="0.25">
      <c r="A338" s="62">
        <v>900914418</v>
      </c>
      <c r="B338" t="s">
        <v>605</v>
      </c>
      <c r="C338" t="s">
        <v>22</v>
      </c>
      <c r="D338" s="43">
        <v>2.1044623930469961</v>
      </c>
      <c r="E338" s="47">
        <v>143769057</v>
      </c>
      <c r="F338" s="49">
        <v>0.91575832647905875</v>
      </c>
      <c r="G338" s="48">
        <v>28588255</v>
      </c>
      <c r="H338" s="49">
        <v>9.7963143023028221E-2</v>
      </c>
      <c r="I338" s="49">
        <v>1.1628822045976572</v>
      </c>
      <c r="J338" s="46">
        <v>405.57244113700136</v>
      </c>
    </row>
    <row r="339" spans="1:15" ht="15" customHeight="1" x14ac:dyDescent="0.25">
      <c r="A339" s="62">
        <v>900920562</v>
      </c>
      <c r="B339" t="s">
        <v>606</v>
      </c>
      <c r="C339" t="s">
        <v>23</v>
      </c>
      <c r="D339" s="43">
        <v>5.0137762624007634</v>
      </c>
      <c r="E339" s="47">
        <v>249148318</v>
      </c>
      <c r="F339" s="49">
        <v>0.95472820821077065</v>
      </c>
      <c r="G339" s="48">
        <v>82674644</v>
      </c>
      <c r="H339" s="49">
        <v>0.11181795219386624</v>
      </c>
      <c r="I339" s="49">
        <v>2.4699254828360675</v>
      </c>
      <c r="J339" s="46">
        <v>0.82268455157406772</v>
      </c>
    </row>
    <row r="340" spans="1:15" ht="25.5" customHeight="1" x14ac:dyDescent="0.25">
      <c r="A340" s="62">
        <v>890920656</v>
      </c>
      <c r="B340" t="s">
        <v>284</v>
      </c>
      <c r="C340" t="s">
        <v>142</v>
      </c>
      <c r="D340" s="43">
        <v>4.3460266148849378</v>
      </c>
      <c r="E340" s="47">
        <v>6568625</v>
      </c>
      <c r="F340" s="49">
        <v>0.1676439848278751</v>
      </c>
      <c r="G340" s="48">
        <v>9848185</v>
      </c>
      <c r="H340" s="49">
        <v>0.18786762474836663</v>
      </c>
      <c r="I340" s="49">
        <v>0.22570585341359856</v>
      </c>
      <c r="J340" s="46">
        <v>228.30659408381266</v>
      </c>
      <c r="L340" s="110" t="s">
        <v>126</v>
      </c>
      <c r="M340" s="111"/>
      <c r="N340" s="111"/>
      <c r="O340" s="111"/>
    </row>
    <row r="341" spans="1:15" ht="15" customHeight="1" x14ac:dyDescent="0.25">
      <c r="A341" s="62">
        <v>892003659</v>
      </c>
      <c r="B341" t="s">
        <v>285</v>
      </c>
      <c r="C341" t="s">
        <v>142</v>
      </c>
      <c r="D341" s="43">
        <v>7.3618884645698843</v>
      </c>
      <c r="E341" s="47">
        <v>5424197</v>
      </c>
      <c r="F341" s="49">
        <v>9.384452184073433E-2</v>
      </c>
      <c r="G341" s="48">
        <v>8940226</v>
      </c>
      <c r="H341" s="49">
        <v>0.24483854116304851</v>
      </c>
      <c r="I341" s="49">
        <v>0.27019484742332017</v>
      </c>
      <c r="J341" s="46"/>
    </row>
    <row r="342" spans="1:15" ht="15" customHeight="1" x14ac:dyDescent="0.25">
      <c r="A342" s="62">
        <v>900012579</v>
      </c>
      <c r="B342" t="s">
        <v>286</v>
      </c>
      <c r="C342" t="s">
        <v>142</v>
      </c>
      <c r="D342" s="43">
        <v>3.8594551937326194</v>
      </c>
      <c r="E342" s="47">
        <v>23476130</v>
      </c>
      <c r="F342" s="49">
        <v>0.55315026269865908</v>
      </c>
      <c r="G342" s="48">
        <v>26016245</v>
      </c>
      <c r="H342" s="49">
        <v>4.7557050353699469E-2</v>
      </c>
      <c r="I342" s="49">
        <v>0.10642738796471204</v>
      </c>
      <c r="J342" s="46">
        <v>1.5465940301058547</v>
      </c>
    </row>
    <row r="343" spans="1:15" ht="15" customHeight="1" x14ac:dyDescent="0.25">
      <c r="A343" s="62">
        <v>900013256</v>
      </c>
      <c r="B343" t="s">
        <v>287</v>
      </c>
      <c r="C343" t="s">
        <v>158</v>
      </c>
      <c r="D343" s="43">
        <v>2.0054468448978673</v>
      </c>
      <c r="E343" s="47">
        <v>6829185</v>
      </c>
      <c r="F343" s="49">
        <v>0.61351412753441581</v>
      </c>
      <c r="G343" s="48">
        <v>6393012</v>
      </c>
      <c r="H343" s="49">
        <v>0.15516486949763461</v>
      </c>
      <c r="I343" s="49">
        <v>0.40147617429781141</v>
      </c>
      <c r="J343" s="46">
        <v>1.9291590940180963</v>
      </c>
    </row>
    <row r="344" spans="1:15" ht="15" customHeight="1" x14ac:dyDescent="0.25">
      <c r="A344" s="62">
        <v>900027049</v>
      </c>
      <c r="B344" t="s">
        <v>288</v>
      </c>
      <c r="C344" t="s">
        <v>203</v>
      </c>
      <c r="D344" s="43">
        <v>2.7654316859536925</v>
      </c>
      <c r="E344" s="47">
        <v>13463378</v>
      </c>
      <c r="F344" s="49">
        <v>0.39342458299734612</v>
      </c>
      <c r="G344" s="48">
        <v>19044965</v>
      </c>
      <c r="H344" s="49">
        <v>0.23518034321307268</v>
      </c>
      <c r="I344" s="49">
        <v>0.38771822368799314</v>
      </c>
      <c r="J344" s="46">
        <v>11.521243232279103</v>
      </c>
    </row>
    <row r="345" spans="1:15" ht="15" customHeight="1" x14ac:dyDescent="0.25">
      <c r="A345" s="62">
        <v>900028247</v>
      </c>
      <c r="B345" t="s">
        <v>289</v>
      </c>
      <c r="C345" t="s">
        <v>142</v>
      </c>
      <c r="D345" s="43">
        <v>10.593332187459142</v>
      </c>
      <c r="E345" s="47">
        <v>6530210</v>
      </c>
      <c r="F345" s="49">
        <v>0.15942796029251222</v>
      </c>
      <c r="G345" s="48">
        <v>6284515</v>
      </c>
      <c r="H345" s="49">
        <v>0.26052387796707377</v>
      </c>
      <c r="I345" s="49">
        <v>0.30993640718496179</v>
      </c>
      <c r="J345" s="46">
        <v>7.1523256625209761</v>
      </c>
    </row>
    <row r="346" spans="1:15" ht="15" customHeight="1" x14ac:dyDescent="0.25">
      <c r="A346" s="62">
        <v>900061628</v>
      </c>
      <c r="B346" t="s">
        <v>290</v>
      </c>
      <c r="C346" t="s">
        <v>158</v>
      </c>
      <c r="D346" s="43">
        <v>1.4478141465500012</v>
      </c>
      <c r="E346" s="47">
        <v>5350693</v>
      </c>
      <c r="F346" s="49">
        <v>0.59486219109313898</v>
      </c>
      <c r="G346" s="48">
        <v>8137643</v>
      </c>
      <c r="H346" s="49">
        <v>3.1058277035310618E-2</v>
      </c>
      <c r="I346" s="49">
        <v>7.6661018430029426E-2</v>
      </c>
      <c r="J346" s="46"/>
    </row>
    <row r="347" spans="1:15" ht="15" customHeight="1" x14ac:dyDescent="0.25">
      <c r="A347" s="62">
        <v>900068796</v>
      </c>
      <c r="B347" t="s">
        <v>291</v>
      </c>
      <c r="C347" t="s">
        <v>158</v>
      </c>
      <c r="D347" s="43">
        <v>1.5215550169735808</v>
      </c>
      <c r="E347" s="47">
        <v>12140112</v>
      </c>
      <c r="F347" s="49">
        <v>0.68191628924312442</v>
      </c>
      <c r="G347" s="48">
        <v>13808964</v>
      </c>
      <c r="H347" s="49">
        <v>9.8044140570193894E-2</v>
      </c>
      <c r="I347" s="49">
        <v>0.30823376757300547</v>
      </c>
      <c r="J347" s="46">
        <v>243.31955639398618</v>
      </c>
    </row>
    <row r="348" spans="1:15" ht="15" customHeight="1" x14ac:dyDescent="0.25">
      <c r="A348" s="62">
        <v>900079175</v>
      </c>
      <c r="B348" t="s">
        <v>292</v>
      </c>
      <c r="C348" t="s">
        <v>203</v>
      </c>
      <c r="D348" s="43">
        <v>4.961801009169748</v>
      </c>
      <c r="E348" s="47">
        <v>7485720</v>
      </c>
      <c r="F348" s="49">
        <v>0.1801744221519461</v>
      </c>
      <c r="G348" s="48">
        <v>9016090</v>
      </c>
      <c r="H348" s="49">
        <v>0.51374471690157764</v>
      </c>
      <c r="I348" s="49">
        <v>0.62665124238999392</v>
      </c>
      <c r="J348" s="46">
        <v>33.11535981806886</v>
      </c>
    </row>
    <row r="349" spans="1:15" ht="15" customHeight="1" x14ac:dyDescent="0.25">
      <c r="A349" s="62">
        <v>900081535</v>
      </c>
      <c r="B349" t="s">
        <v>293</v>
      </c>
      <c r="C349" t="s">
        <v>142</v>
      </c>
      <c r="D349" s="43">
        <v>22.03948441699924</v>
      </c>
      <c r="E349" s="47">
        <v>7686439</v>
      </c>
      <c r="F349" s="49">
        <v>0.76027002530795029</v>
      </c>
      <c r="G349" s="48">
        <v>2597364</v>
      </c>
      <c r="H349" s="49">
        <v>4.0930671722103566E-2</v>
      </c>
      <c r="I349" s="49">
        <v>0.17073656214531349</v>
      </c>
      <c r="J349" s="46">
        <v>20.159332666606055</v>
      </c>
    </row>
    <row r="350" spans="1:15" ht="15" customHeight="1" x14ac:dyDescent="0.25">
      <c r="A350" s="62">
        <v>900103929</v>
      </c>
      <c r="B350" t="s">
        <v>294</v>
      </c>
      <c r="C350" t="s">
        <v>142</v>
      </c>
      <c r="D350" s="43">
        <v>3.9800537851672249</v>
      </c>
      <c r="E350" s="47">
        <v>6194459</v>
      </c>
      <c r="F350" s="49">
        <v>0.56258143340401656</v>
      </c>
      <c r="G350" s="48">
        <v>5265737</v>
      </c>
      <c r="H350" s="49">
        <v>0.35464389185403045</v>
      </c>
      <c r="I350" s="49">
        <v>0.81076552057195417</v>
      </c>
      <c r="J350" s="46">
        <v>5.3561071201852748</v>
      </c>
    </row>
    <row r="351" spans="1:15" ht="15" customHeight="1" x14ac:dyDescent="0.25">
      <c r="A351" s="62">
        <v>900116938</v>
      </c>
      <c r="B351" t="s">
        <v>295</v>
      </c>
      <c r="C351" t="s">
        <v>158</v>
      </c>
      <c r="D351" s="43">
        <v>13.73861189156352</v>
      </c>
      <c r="E351" s="47">
        <v>8387739</v>
      </c>
      <c r="F351" s="49">
        <v>0.58349238099006528</v>
      </c>
      <c r="G351" s="48">
        <v>4621020</v>
      </c>
      <c r="H351" s="49">
        <v>0.11545809826202334</v>
      </c>
      <c r="I351" s="49">
        <v>0.27720524905756738</v>
      </c>
      <c r="J351" s="46"/>
    </row>
    <row r="352" spans="1:15" ht="15" customHeight="1" x14ac:dyDescent="0.25">
      <c r="A352" s="62">
        <v>900128900</v>
      </c>
      <c r="B352" t="s">
        <v>296</v>
      </c>
      <c r="C352" t="s">
        <v>147</v>
      </c>
      <c r="D352" s="43">
        <v>1.4210977557719802</v>
      </c>
      <c r="E352" s="47">
        <v>6629139</v>
      </c>
      <c r="F352" s="49">
        <v>0.73389582809741394</v>
      </c>
      <c r="G352" s="48">
        <v>6143208</v>
      </c>
      <c r="H352" s="49">
        <v>0.13027903042771971</v>
      </c>
      <c r="I352" s="49">
        <v>0.48957906032157789</v>
      </c>
      <c r="J352" s="46">
        <v>3.7143209995467608</v>
      </c>
    </row>
    <row r="353" spans="1:10" ht="15" customHeight="1" x14ac:dyDescent="0.25">
      <c r="A353" s="62">
        <v>900129770</v>
      </c>
      <c r="B353" t="s">
        <v>297</v>
      </c>
      <c r="C353" t="s">
        <v>142</v>
      </c>
      <c r="D353" s="43">
        <v>2.6948974312390401</v>
      </c>
      <c r="E353" s="47">
        <v>5149695</v>
      </c>
      <c r="F353" s="49">
        <v>0.47297806055507186</v>
      </c>
      <c r="G353" s="48">
        <v>6418372</v>
      </c>
      <c r="H353" s="49">
        <v>0.15078177916991384</v>
      </c>
      <c r="I353" s="49">
        <v>0.28610152231749736</v>
      </c>
      <c r="J353" s="46"/>
    </row>
    <row r="354" spans="1:10" ht="15" customHeight="1" x14ac:dyDescent="0.25">
      <c r="A354" s="62">
        <v>900138461</v>
      </c>
      <c r="B354" t="s">
        <v>298</v>
      </c>
      <c r="C354" t="s">
        <v>142</v>
      </c>
      <c r="D354" s="43">
        <v>24.28162478494016</v>
      </c>
      <c r="E354" s="47">
        <v>7415570</v>
      </c>
      <c r="F354" s="49">
        <v>0.57877591704870024</v>
      </c>
      <c r="G354" s="48">
        <v>3320707</v>
      </c>
      <c r="H354" s="49">
        <v>0.11737611957375617</v>
      </c>
      <c r="I354" s="49">
        <v>0.27865481657972235</v>
      </c>
      <c r="J354" s="46">
        <v>1.5727773981799702</v>
      </c>
    </row>
    <row r="355" spans="1:10" ht="15" customHeight="1" x14ac:dyDescent="0.25">
      <c r="A355" s="62">
        <v>900154758</v>
      </c>
      <c r="B355" t="s">
        <v>299</v>
      </c>
      <c r="C355" t="s">
        <v>142</v>
      </c>
      <c r="D355" s="43">
        <v>2.3875312799724724</v>
      </c>
      <c r="E355" s="47">
        <v>9710066</v>
      </c>
      <c r="F355" s="49">
        <v>0.59808199803461937</v>
      </c>
      <c r="G355" s="48">
        <v>7565229</v>
      </c>
      <c r="H355" s="49">
        <v>0.23689971591393574</v>
      </c>
      <c r="I355" s="49">
        <v>0.58942300358654043</v>
      </c>
      <c r="J355" s="46">
        <v>5.6285603567646305</v>
      </c>
    </row>
    <row r="356" spans="1:10" ht="15" customHeight="1" x14ac:dyDescent="0.25">
      <c r="A356" s="62">
        <v>900159278</v>
      </c>
      <c r="B356" t="s">
        <v>300</v>
      </c>
      <c r="C356" t="s">
        <v>142</v>
      </c>
      <c r="D356" s="43">
        <v>1.4300840659693255</v>
      </c>
      <c r="E356" s="47">
        <v>6702000</v>
      </c>
      <c r="F356" s="49">
        <v>0.72390549919914571</v>
      </c>
      <c r="G356" s="48">
        <v>8274000</v>
      </c>
      <c r="H356" s="49">
        <v>0.11495595301655098</v>
      </c>
      <c r="I356" s="49">
        <v>0.41636451534928692</v>
      </c>
      <c r="J356" s="46">
        <v>1.9982598607888631</v>
      </c>
    </row>
    <row r="357" spans="1:10" ht="15" customHeight="1" x14ac:dyDescent="0.25">
      <c r="A357" s="62">
        <v>900160063</v>
      </c>
      <c r="B357" t="s">
        <v>301</v>
      </c>
      <c r="C357" t="s">
        <v>158</v>
      </c>
      <c r="D357" s="43">
        <v>5.1814475717254442</v>
      </c>
      <c r="E357" s="47">
        <v>14356603</v>
      </c>
      <c r="F357" s="49">
        <v>0.2287725761139254</v>
      </c>
      <c r="G357" s="48">
        <v>15564190</v>
      </c>
      <c r="H357" s="49">
        <v>3.1208463537898697E-2</v>
      </c>
      <c r="I357" s="49">
        <v>4.0465967069278901E-2</v>
      </c>
      <c r="J357" s="46"/>
    </row>
    <row r="358" spans="1:10" ht="15" customHeight="1" x14ac:dyDescent="0.25">
      <c r="A358" s="62">
        <v>900191089</v>
      </c>
      <c r="B358" t="s">
        <v>302</v>
      </c>
      <c r="C358" t="s">
        <v>158</v>
      </c>
      <c r="D358" s="43">
        <v>59.785678526624537</v>
      </c>
      <c r="E358" s="47">
        <v>9981044</v>
      </c>
      <c r="F358" s="49">
        <v>4.1499662834079958E-2</v>
      </c>
      <c r="G358" s="48">
        <v>9888732</v>
      </c>
      <c r="H358" s="49">
        <v>9.0661817396520794E-2</v>
      </c>
      <c r="I358" s="49">
        <v>9.4587152326506579E-2</v>
      </c>
      <c r="J358" s="46">
        <v>352.16378012048193</v>
      </c>
    </row>
    <row r="359" spans="1:10" ht="15" customHeight="1" x14ac:dyDescent="0.25">
      <c r="A359" s="62">
        <v>900192981</v>
      </c>
      <c r="B359" t="s">
        <v>303</v>
      </c>
      <c r="C359" t="s">
        <v>158</v>
      </c>
      <c r="D359" s="43">
        <v>8.7839514097882763</v>
      </c>
      <c r="E359" s="47">
        <v>8245602</v>
      </c>
      <c r="F359" s="49">
        <v>0.10554722199042703</v>
      </c>
      <c r="G359" s="48">
        <v>9882832</v>
      </c>
      <c r="H359" s="49">
        <v>5.0434490786789715E-2</v>
      </c>
      <c r="I359" s="49">
        <v>5.6385861866315244E-2</v>
      </c>
      <c r="J359" s="46">
        <v>14.889832999331997</v>
      </c>
    </row>
    <row r="360" spans="1:10" ht="15" customHeight="1" x14ac:dyDescent="0.25">
      <c r="A360" s="62">
        <v>900194642</v>
      </c>
      <c r="B360" t="s">
        <v>304</v>
      </c>
      <c r="C360" t="s">
        <v>142</v>
      </c>
      <c r="D360" s="43">
        <v>9.5695191872968639</v>
      </c>
      <c r="E360" s="47">
        <v>14651744</v>
      </c>
      <c r="F360" s="49">
        <v>0.6938119103627538</v>
      </c>
      <c r="G360" s="48">
        <v>9827382</v>
      </c>
      <c r="H360" s="49">
        <v>3.2944551576511376E-2</v>
      </c>
      <c r="I360" s="49">
        <v>0.10759579713091443</v>
      </c>
      <c r="J360" s="46"/>
    </row>
    <row r="361" spans="1:10" ht="15" customHeight="1" x14ac:dyDescent="0.25">
      <c r="A361" s="62">
        <v>900206480</v>
      </c>
      <c r="B361" t="s">
        <v>305</v>
      </c>
      <c r="C361" t="s">
        <v>142</v>
      </c>
      <c r="D361" s="43">
        <v>1.6214273967558015</v>
      </c>
      <c r="E361" s="47">
        <v>17242329</v>
      </c>
      <c r="F361" s="49">
        <v>0.58444358215530334</v>
      </c>
      <c r="G361" s="48">
        <v>25525821</v>
      </c>
      <c r="H361" s="49">
        <v>0.21068219959269455</v>
      </c>
      <c r="I361" s="49">
        <v>0.50698819834237652</v>
      </c>
      <c r="J361" s="46"/>
    </row>
    <row r="362" spans="1:10" ht="15" customHeight="1" x14ac:dyDescent="0.25">
      <c r="A362" s="62">
        <v>900209807</v>
      </c>
      <c r="B362" t="s">
        <v>306</v>
      </c>
      <c r="C362" t="s">
        <v>142</v>
      </c>
      <c r="D362" s="43">
        <v>1.4634730209713345</v>
      </c>
      <c r="E362" s="47">
        <v>21952173</v>
      </c>
      <c r="F362" s="49">
        <v>0.60726151754867363</v>
      </c>
      <c r="G362" s="48">
        <v>30632381</v>
      </c>
      <c r="H362" s="49">
        <v>0.29781386673715154</v>
      </c>
      <c r="I362" s="49">
        <v>0.75830070147012074</v>
      </c>
      <c r="J362" s="46">
        <v>6.8271090994592054</v>
      </c>
    </row>
    <row r="363" spans="1:10" ht="15" customHeight="1" x14ac:dyDescent="0.25">
      <c r="A363" s="62">
        <v>900211067</v>
      </c>
      <c r="B363" t="s">
        <v>307</v>
      </c>
      <c r="C363" t="s">
        <v>142</v>
      </c>
      <c r="D363" s="43">
        <v>3.0519876611968666</v>
      </c>
      <c r="E363" s="47">
        <v>6252351</v>
      </c>
      <c r="F363" s="49">
        <v>0.32390895876724529</v>
      </c>
      <c r="G363" s="48">
        <v>6462018</v>
      </c>
      <c r="H363" s="49">
        <v>0.33473737095898887</v>
      </c>
      <c r="I363" s="49">
        <v>0.49510694646780617</v>
      </c>
      <c r="J363" s="46">
        <v>1.4341818136176423</v>
      </c>
    </row>
    <row r="364" spans="1:10" ht="15" customHeight="1" x14ac:dyDescent="0.25">
      <c r="A364" s="62">
        <v>900212743</v>
      </c>
      <c r="B364" t="s">
        <v>308</v>
      </c>
      <c r="C364" t="s">
        <v>158</v>
      </c>
      <c r="D364" s="43">
        <v>2.6273284286735721</v>
      </c>
      <c r="E364" s="47">
        <v>14925788</v>
      </c>
      <c r="F364" s="49">
        <v>0.56286113438160423</v>
      </c>
      <c r="G364" s="48">
        <v>25736128</v>
      </c>
      <c r="H364" s="49">
        <v>9.2778712815546366E-2</v>
      </c>
      <c r="I364" s="49">
        <v>0.21224082348362583</v>
      </c>
      <c r="J364" s="46">
        <v>1.101975332004381</v>
      </c>
    </row>
    <row r="365" spans="1:10" ht="15" customHeight="1" x14ac:dyDescent="0.25">
      <c r="A365" s="62">
        <v>900222586</v>
      </c>
      <c r="B365" t="s">
        <v>309</v>
      </c>
      <c r="C365" t="s">
        <v>158</v>
      </c>
      <c r="D365" s="43">
        <v>9.8878841368806558</v>
      </c>
      <c r="E365" s="47">
        <v>13398512</v>
      </c>
      <c r="F365" s="49">
        <v>9.9879257315884304E-2</v>
      </c>
      <c r="G365" s="48">
        <v>13585751</v>
      </c>
      <c r="H365" s="49">
        <v>0.1216621014924946</v>
      </c>
      <c r="I365" s="49">
        <v>0.13516197963586996</v>
      </c>
      <c r="J365" s="46">
        <v>127.05161558154016</v>
      </c>
    </row>
    <row r="366" spans="1:10" ht="15" customHeight="1" x14ac:dyDescent="0.25">
      <c r="A366" s="62">
        <v>900232333</v>
      </c>
      <c r="B366" t="s">
        <v>310</v>
      </c>
      <c r="C366" t="s">
        <v>142</v>
      </c>
      <c r="D366" s="43">
        <v>1.8238316529080152</v>
      </c>
      <c r="E366" s="47">
        <v>5934744</v>
      </c>
      <c r="F366" s="49">
        <v>0.65382483943005498</v>
      </c>
      <c r="G366" s="48">
        <v>4623791</v>
      </c>
      <c r="H366" s="49">
        <v>0.12259856330814665</v>
      </c>
      <c r="I366" s="49">
        <v>0.35415182044344135</v>
      </c>
      <c r="J366" s="46">
        <v>5.3845197736397505</v>
      </c>
    </row>
    <row r="367" spans="1:10" ht="15" customHeight="1" x14ac:dyDescent="0.25">
      <c r="A367" s="62">
        <v>900233015</v>
      </c>
      <c r="B367" t="s">
        <v>311</v>
      </c>
      <c r="C367" t="s">
        <v>142</v>
      </c>
      <c r="D367" s="43">
        <v>2.3243076519846442</v>
      </c>
      <c r="E367" s="47">
        <v>19119358</v>
      </c>
      <c r="F367" s="49">
        <v>0.53687497484050895</v>
      </c>
      <c r="G367" s="48">
        <v>18718195</v>
      </c>
      <c r="H367" s="49">
        <v>0.34492704124904594</v>
      </c>
      <c r="I367" s="49">
        <v>0.74478169502988933</v>
      </c>
      <c r="J367" s="46">
        <v>5.1229831034153293</v>
      </c>
    </row>
    <row r="368" spans="1:10" ht="15" customHeight="1" x14ac:dyDescent="0.25">
      <c r="A368" s="62">
        <v>900235978</v>
      </c>
      <c r="B368" t="s">
        <v>312</v>
      </c>
      <c r="C368" t="s">
        <v>158</v>
      </c>
      <c r="D368" s="43">
        <v>2.1634977473297576</v>
      </c>
      <c r="E368" s="47">
        <v>5109448</v>
      </c>
      <c r="F368" s="49">
        <v>0.49117029106831078</v>
      </c>
      <c r="G368" s="48">
        <v>77419955</v>
      </c>
      <c r="H368" s="49">
        <v>0.23611121325611656</v>
      </c>
      <c r="I368" s="49">
        <v>0.46402796281656322</v>
      </c>
      <c r="J368" s="46">
        <v>4.7361862315961218</v>
      </c>
    </row>
    <row r="369" spans="1:10" ht="15" customHeight="1" x14ac:dyDescent="0.25">
      <c r="A369" s="62">
        <v>900248366</v>
      </c>
      <c r="B369" t="s">
        <v>313</v>
      </c>
      <c r="C369" t="s">
        <v>142</v>
      </c>
      <c r="D369" s="43">
        <v>3.0740873756146576</v>
      </c>
      <c r="E369" s="47">
        <v>11145990</v>
      </c>
      <c r="F369" s="49">
        <v>0.21052605715300624</v>
      </c>
      <c r="G369" s="48">
        <v>20242539</v>
      </c>
      <c r="H369" s="49">
        <v>0.25900233540314144</v>
      </c>
      <c r="I369" s="49">
        <v>0.32806951736637385</v>
      </c>
      <c r="J369" s="46"/>
    </row>
    <row r="370" spans="1:10" ht="15" customHeight="1" x14ac:dyDescent="0.25">
      <c r="A370" s="62">
        <v>900253062</v>
      </c>
      <c r="B370" t="s">
        <v>314</v>
      </c>
      <c r="C370" t="s">
        <v>158</v>
      </c>
      <c r="D370" s="43">
        <v>28.316538944994186</v>
      </c>
      <c r="E370" s="47">
        <v>13951813</v>
      </c>
      <c r="F370" s="49">
        <v>8.0865275049641486E-2</v>
      </c>
      <c r="G370" s="48">
        <v>13399635</v>
      </c>
      <c r="H370" s="49">
        <v>0.31406852212554737</v>
      </c>
      <c r="I370" s="49">
        <v>0.34170020302791831</v>
      </c>
      <c r="J370" s="46"/>
    </row>
    <row r="371" spans="1:10" ht="15" customHeight="1" x14ac:dyDescent="0.25">
      <c r="A371" s="62">
        <v>900268896</v>
      </c>
      <c r="B371" t="s">
        <v>315</v>
      </c>
      <c r="C371" t="s">
        <v>142</v>
      </c>
      <c r="D371" s="43">
        <v>1.4626257300020327</v>
      </c>
      <c r="E371" s="47">
        <v>6053726</v>
      </c>
      <c r="F371" s="49">
        <v>0.65004144025828603</v>
      </c>
      <c r="G371" s="48">
        <v>8627303</v>
      </c>
      <c r="H371" s="49">
        <v>0.15623423578663231</v>
      </c>
      <c r="I371" s="49">
        <v>0.44643638921688505</v>
      </c>
      <c r="J371" s="46">
        <v>1.5444903818777493</v>
      </c>
    </row>
    <row r="372" spans="1:10" ht="15" customHeight="1" x14ac:dyDescent="0.25">
      <c r="A372" s="62">
        <v>900269775</v>
      </c>
      <c r="B372" t="s">
        <v>316</v>
      </c>
      <c r="C372" t="s">
        <v>142</v>
      </c>
      <c r="D372" s="43">
        <v>1.3987510566758503</v>
      </c>
      <c r="E372" s="47">
        <v>6480749</v>
      </c>
      <c r="F372" s="49">
        <v>0.68711526160498637</v>
      </c>
      <c r="G372" s="48">
        <v>7400791</v>
      </c>
      <c r="H372" s="49">
        <v>4.4161793162169852E-2</v>
      </c>
      <c r="I372" s="49">
        <v>0.14114396690840209</v>
      </c>
      <c r="J372" s="46">
        <v>18.620906643849047</v>
      </c>
    </row>
    <row r="373" spans="1:10" ht="15" customHeight="1" x14ac:dyDescent="0.25">
      <c r="A373" s="62">
        <v>900274028</v>
      </c>
      <c r="B373" t="s">
        <v>317</v>
      </c>
      <c r="C373" t="s">
        <v>203</v>
      </c>
      <c r="D373" s="43">
        <v>2.0639448041754589</v>
      </c>
      <c r="E373" s="47">
        <v>5591530</v>
      </c>
      <c r="F373" s="49">
        <v>0.47294152499787623</v>
      </c>
      <c r="G373" s="48">
        <v>5856834</v>
      </c>
      <c r="H373" s="49">
        <v>0.12436547812226879</v>
      </c>
      <c r="I373" s="49">
        <v>0.23596144264973193</v>
      </c>
      <c r="J373" s="46">
        <v>5.3584910781447501</v>
      </c>
    </row>
    <row r="374" spans="1:10" ht="15" customHeight="1" x14ac:dyDescent="0.25">
      <c r="A374" s="62">
        <v>900293698</v>
      </c>
      <c r="B374" t="s">
        <v>318</v>
      </c>
      <c r="C374" t="s">
        <v>142</v>
      </c>
      <c r="D374" s="43">
        <v>1.6849511490868863</v>
      </c>
      <c r="E374" s="47">
        <v>5223058</v>
      </c>
      <c r="F374" s="49">
        <v>0.50443152734255881</v>
      </c>
      <c r="G374" s="48">
        <v>7491464</v>
      </c>
      <c r="H374" s="49">
        <v>0.36235844494675168</v>
      </c>
      <c r="I374" s="49">
        <v>0.73119753361959694</v>
      </c>
      <c r="J374" s="46">
        <v>15.349398940790763</v>
      </c>
    </row>
    <row r="375" spans="1:10" ht="15" customHeight="1" x14ac:dyDescent="0.25">
      <c r="A375" s="62">
        <v>900298025</v>
      </c>
      <c r="B375" t="s">
        <v>319</v>
      </c>
      <c r="C375" t="s">
        <v>147</v>
      </c>
      <c r="D375" s="43">
        <v>54.496550754725142</v>
      </c>
      <c r="E375" s="47">
        <v>24737875</v>
      </c>
      <c r="F375" s="49">
        <v>0.24941304727741606</v>
      </c>
      <c r="G375" s="48">
        <v>23373012</v>
      </c>
      <c r="H375" s="49">
        <v>3.8253710398634587E-2</v>
      </c>
      <c r="I375" s="49">
        <v>5.0965061755840452E-2</v>
      </c>
      <c r="J375" s="46">
        <v>4.4775484889490302</v>
      </c>
    </row>
    <row r="376" spans="1:10" ht="15" customHeight="1" x14ac:dyDescent="0.25">
      <c r="A376" s="62">
        <v>900321674</v>
      </c>
      <c r="B376" t="s">
        <v>320</v>
      </c>
      <c r="C376" t="s">
        <v>142</v>
      </c>
      <c r="D376" s="43">
        <v>9.628949000599011</v>
      </c>
      <c r="E376" s="47">
        <v>12201308</v>
      </c>
      <c r="F376" s="49">
        <v>0.58411495610629127</v>
      </c>
      <c r="G376" s="48">
        <v>6665442</v>
      </c>
      <c r="H376" s="49">
        <v>8.4366903960198483E-2</v>
      </c>
      <c r="I376" s="49">
        <v>0.20286111558693332</v>
      </c>
      <c r="J376" s="46"/>
    </row>
    <row r="377" spans="1:10" ht="15" customHeight="1" x14ac:dyDescent="0.25">
      <c r="A377" s="62">
        <v>900335275</v>
      </c>
      <c r="B377" t="s">
        <v>321</v>
      </c>
      <c r="C377" t="s">
        <v>142</v>
      </c>
      <c r="D377" s="43">
        <v>3.9759776974315546</v>
      </c>
      <c r="E377" s="47">
        <v>35452489</v>
      </c>
      <c r="F377" s="49">
        <v>0.17136574721095058</v>
      </c>
      <c r="G377" s="48">
        <v>57604435</v>
      </c>
      <c r="H377" s="49">
        <v>0.46444637978939435</v>
      </c>
      <c r="I377" s="49">
        <v>0.56049623609709909</v>
      </c>
      <c r="J377" s="46">
        <v>9.1418220974132716</v>
      </c>
    </row>
    <row r="378" spans="1:10" ht="15" customHeight="1" x14ac:dyDescent="0.25">
      <c r="A378" s="62">
        <v>900343825</v>
      </c>
      <c r="B378" t="s">
        <v>322</v>
      </c>
      <c r="C378" t="s">
        <v>142</v>
      </c>
      <c r="D378" s="43">
        <v>4.2859681113527586</v>
      </c>
      <c r="E378" s="47">
        <v>21042423</v>
      </c>
      <c r="F378" s="49">
        <v>0.706114246056193</v>
      </c>
      <c r="G378" s="48">
        <v>8369615</v>
      </c>
      <c r="H378" s="49">
        <v>3.7862758871447862E-2</v>
      </c>
      <c r="I378" s="49">
        <v>0.12883495835829964</v>
      </c>
      <c r="J378" s="46">
        <v>3.1995483893939753</v>
      </c>
    </row>
    <row r="379" spans="1:10" ht="15" customHeight="1" x14ac:dyDescent="0.25">
      <c r="A379" s="62">
        <v>900393176</v>
      </c>
      <c r="B379" t="s">
        <v>323</v>
      </c>
      <c r="C379" t="s">
        <v>158</v>
      </c>
      <c r="D379" s="43">
        <v>10.099572396274343</v>
      </c>
      <c r="E379" s="47">
        <v>6447957</v>
      </c>
      <c r="F379" s="49">
        <v>4.9190545165616578E-2</v>
      </c>
      <c r="G379" s="48">
        <v>14137311</v>
      </c>
      <c r="H379" s="49">
        <v>1.5791415947219636E-2</v>
      </c>
      <c r="I379" s="49">
        <v>1.6608391793884989E-2</v>
      </c>
      <c r="J379" s="46">
        <v>0.91866534160713031</v>
      </c>
    </row>
    <row r="380" spans="1:10" ht="15" customHeight="1" x14ac:dyDescent="0.25">
      <c r="A380" s="62">
        <v>900393932</v>
      </c>
      <c r="B380" t="s">
        <v>324</v>
      </c>
      <c r="C380" t="s">
        <v>158</v>
      </c>
      <c r="D380" s="43">
        <v>22.353215744499174</v>
      </c>
      <c r="E380" s="47">
        <v>6701963</v>
      </c>
      <c r="F380" s="49">
        <v>0.53263764456690865</v>
      </c>
      <c r="G380" s="48">
        <v>4676431</v>
      </c>
      <c r="H380" s="49">
        <v>7.3455375356023631E-2</v>
      </c>
      <c r="I380" s="49">
        <v>0.15717007264728167</v>
      </c>
      <c r="J380" s="46">
        <v>1.0190091558942109</v>
      </c>
    </row>
    <row r="381" spans="1:10" ht="15" customHeight="1" x14ac:dyDescent="0.25">
      <c r="A381" s="62">
        <v>900399076</v>
      </c>
      <c r="B381" t="s">
        <v>325</v>
      </c>
      <c r="C381" t="s">
        <v>158</v>
      </c>
      <c r="D381" s="43">
        <v>2.9063019725531585</v>
      </c>
      <c r="E381" s="47">
        <v>6254918</v>
      </c>
      <c r="F381" s="49">
        <v>0.33757991894339479</v>
      </c>
      <c r="G381" s="48">
        <v>6445668</v>
      </c>
      <c r="H381" s="49">
        <v>0.42427313995891675</v>
      </c>
      <c r="I381" s="49">
        <v>0.64048955050120482</v>
      </c>
      <c r="J381" s="46"/>
    </row>
    <row r="382" spans="1:10" ht="15" customHeight="1" x14ac:dyDescent="0.25">
      <c r="A382" s="62">
        <v>900413753</v>
      </c>
      <c r="B382" t="s">
        <v>326</v>
      </c>
      <c r="C382" t="s">
        <v>142</v>
      </c>
      <c r="D382" s="43">
        <v>7.1553698182822565</v>
      </c>
      <c r="E382" s="47">
        <v>7777636</v>
      </c>
      <c r="F382" s="49">
        <v>0.12750002068572053</v>
      </c>
      <c r="G382" s="48">
        <v>8646665</v>
      </c>
      <c r="H382" s="49">
        <v>0.25059297383770973</v>
      </c>
      <c r="I382" s="49">
        <v>0.28721258427382118</v>
      </c>
      <c r="J382" s="46">
        <v>35.002551092318534</v>
      </c>
    </row>
    <row r="383" spans="1:10" ht="15" customHeight="1" x14ac:dyDescent="0.25">
      <c r="A383" s="62">
        <v>900414871</v>
      </c>
      <c r="B383" t="s">
        <v>327</v>
      </c>
      <c r="C383" t="s">
        <v>147</v>
      </c>
      <c r="D383" s="43">
        <v>3.0330313191125065</v>
      </c>
      <c r="E383" s="47">
        <v>7352226</v>
      </c>
      <c r="F383" s="49">
        <v>0.33592054757987283</v>
      </c>
      <c r="G383" s="48">
        <v>11449267</v>
      </c>
      <c r="H383" s="49">
        <v>8.3144822264430859E-2</v>
      </c>
      <c r="I383" s="49">
        <v>0.12520312435721867</v>
      </c>
      <c r="J383" s="46">
        <v>21.279674603645866</v>
      </c>
    </row>
    <row r="384" spans="1:10" ht="15" customHeight="1" x14ac:dyDescent="0.25">
      <c r="A384" s="62">
        <v>900423498</v>
      </c>
      <c r="B384" t="s">
        <v>328</v>
      </c>
      <c r="C384" t="s">
        <v>147</v>
      </c>
      <c r="D384" s="43">
        <v>10.149942194293553</v>
      </c>
      <c r="E384" s="47">
        <v>13232866</v>
      </c>
      <c r="F384" s="49">
        <v>0.6996725198903232</v>
      </c>
      <c r="G384" s="48">
        <v>4994543</v>
      </c>
      <c r="H384" s="49">
        <v>5.505846158249602E-2</v>
      </c>
      <c r="I384" s="49">
        <v>0.18332808427117356</v>
      </c>
      <c r="J384" s="46"/>
    </row>
    <row r="385" spans="1:10" ht="15" customHeight="1" x14ac:dyDescent="0.25">
      <c r="A385" s="62">
        <v>900427417</v>
      </c>
      <c r="B385" t="s">
        <v>329</v>
      </c>
      <c r="C385" t="s">
        <v>142</v>
      </c>
      <c r="D385" s="43">
        <v>3.1854789546205438</v>
      </c>
      <c r="E385" s="47">
        <v>28708233</v>
      </c>
      <c r="F385" s="49">
        <v>0.21079029198925986</v>
      </c>
      <c r="G385" s="48">
        <v>83977218</v>
      </c>
      <c r="H385" s="49">
        <v>4.9800885699683523E-2</v>
      </c>
      <c r="I385" s="49">
        <v>6.3102221366752115E-2</v>
      </c>
      <c r="J385" s="46"/>
    </row>
    <row r="386" spans="1:10" ht="15" customHeight="1" x14ac:dyDescent="0.25">
      <c r="A386" s="62">
        <v>900428526</v>
      </c>
      <c r="B386" t="s">
        <v>330</v>
      </c>
      <c r="C386" t="s">
        <v>158</v>
      </c>
      <c r="D386" s="43">
        <v>112.82190541552283</v>
      </c>
      <c r="E386" s="47">
        <v>14338252</v>
      </c>
      <c r="F386" s="49">
        <v>0.38962315654450996</v>
      </c>
      <c r="G386" s="48">
        <v>14303021</v>
      </c>
      <c r="H386" s="49">
        <v>0.22776765463244961</v>
      </c>
      <c r="I386" s="49">
        <v>0.37315906898269952</v>
      </c>
      <c r="J386" s="46"/>
    </row>
    <row r="387" spans="1:10" ht="15" customHeight="1" x14ac:dyDescent="0.25">
      <c r="A387" s="62">
        <v>900467640</v>
      </c>
      <c r="B387" t="s">
        <v>331</v>
      </c>
      <c r="C387" t="s">
        <v>142</v>
      </c>
      <c r="D387" s="43">
        <v>1.6341359795536259</v>
      </c>
      <c r="E387" s="47">
        <v>5997478</v>
      </c>
      <c r="F387" s="49">
        <v>0.67273254824278195</v>
      </c>
      <c r="G387" s="48">
        <v>5127488</v>
      </c>
      <c r="H387" s="49">
        <v>0.19231174035398071</v>
      </c>
      <c r="I387" s="49">
        <v>0.58762867899447058</v>
      </c>
      <c r="J387" s="46">
        <v>3.9175051714476283</v>
      </c>
    </row>
    <row r="388" spans="1:10" ht="15" customHeight="1" x14ac:dyDescent="0.25">
      <c r="A388" s="62">
        <v>900481102</v>
      </c>
      <c r="B388" t="s">
        <v>332</v>
      </c>
      <c r="C388" t="s">
        <v>158</v>
      </c>
      <c r="D388" s="43">
        <v>211.84038535908459</v>
      </c>
      <c r="E388" s="47">
        <v>18536665</v>
      </c>
      <c r="F388" s="49">
        <v>0.27869687068966859</v>
      </c>
      <c r="G388" s="48">
        <v>13433970</v>
      </c>
      <c r="H388" s="49">
        <v>5.8528719810800593E-2</v>
      </c>
      <c r="I388" s="49">
        <v>8.1143027712582361E-2</v>
      </c>
      <c r="J388" s="46">
        <v>3493.8237179487178</v>
      </c>
    </row>
    <row r="389" spans="1:10" ht="15" customHeight="1" x14ac:dyDescent="0.25">
      <c r="A389" s="62">
        <v>900482392</v>
      </c>
      <c r="B389" t="s">
        <v>333</v>
      </c>
      <c r="C389" t="s">
        <v>158</v>
      </c>
      <c r="D389" s="43">
        <v>14.415541353110054</v>
      </c>
      <c r="E389" s="47">
        <v>61243261</v>
      </c>
      <c r="F389" s="49">
        <v>7.0518770111826765E-2</v>
      </c>
      <c r="G389" s="48">
        <v>63537859</v>
      </c>
      <c r="H389" s="49">
        <v>0.12446982017282146</v>
      </c>
      <c r="I389" s="49">
        <v>0.13391321542641216</v>
      </c>
      <c r="J389" s="46">
        <v>2.4973822942297175</v>
      </c>
    </row>
    <row r="390" spans="1:10" ht="15" customHeight="1" x14ac:dyDescent="0.25">
      <c r="A390" s="62">
        <v>900483711</v>
      </c>
      <c r="B390" t="s">
        <v>334</v>
      </c>
      <c r="C390" t="s">
        <v>142</v>
      </c>
      <c r="D390" s="43">
        <v>1.6043421892846454</v>
      </c>
      <c r="E390" s="47">
        <v>26407656</v>
      </c>
      <c r="F390" s="49">
        <v>0.57069984711455657</v>
      </c>
      <c r="G390" s="48">
        <v>35769527</v>
      </c>
      <c r="H390" s="49">
        <v>0.31107841276381321</v>
      </c>
      <c r="I390" s="49">
        <v>0.7246175215009133</v>
      </c>
      <c r="J390" s="46">
        <v>40.354774523419543</v>
      </c>
    </row>
    <row r="391" spans="1:10" ht="15" customHeight="1" x14ac:dyDescent="0.25">
      <c r="A391" s="62">
        <v>900487011</v>
      </c>
      <c r="B391" t="s">
        <v>335</v>
      </c>
      <c r="C391" t="s">
        <v>158</v>
      </c>
      <c r="D391" s="43">
        <v>3.7983416039276729</v>
      </c>
      <c r="E391" s="47">
        <v>14000853</v>
      </c>
      <c r="F391" s="49">
        <v>0.1736840244861928</v>
      </c>
      <c r="G391" s="48">
        <v>25784662</v>
      </c>
      <c r="H391" s="49">
        <v>1.6966314419962006E-2</v>
      </c>
      <c r="I391" s="49">
        <v>2.0532477796296109E-2</v>
      </c>
      <c r="J391" s="46">
        <v>1.606307837009618</v>
      </c>
    </row>
    <row r="392" spans="1:10" ht="15" customHeight="1" x14ac:dyDescent="0.25">
      <c r="A392" s="62">
        <v>900491956</v>
      </c>
      <c r="B392" t="s">
        <v>336</v>
      </c>
      <c r="C392" t="s">
        <v>158</v>
      </c>
      <c r="D392" s="43">
        <v>4.3445497110688489</v>
      </c>
      <c r="E392" s="47">
        <v>16441395</v>
      </c>
      <c r="F392" s="49">
        <v>0.68972563214369698</v>
      </c>
      <c r="G392" s="48">
        <v>7873128</v>
      </c>
      <c r="H392" s="49">
        <v>0.17326789972811138</v>
      </c>
      <c r="I392" s="49">
        <v>0.55843446213499892</v>
      </c>
      <c r="J392" s="46">
        <v>1.4570343762769191</v>
      </c>
    </row>
    <row r="393" spans="1:10" ht="15" customHeight="1" x14ac:dyDescent="0.25">
      <c r="A393" s="62">
        <v>900502031</v>
      </c>
      <c r="B393" t="s">
        <v>337</v>
      </c>
      <c r="C393" t="s">
        <v>142</v>
      </c>
      <c r="D393" s="43">
        <v>1.6961104117566277</v>
      </c>
      <c r="E393" s="47">
        <v>8520846</v>
      </c>
      <c r="F393" s="49">
        <v>0.68880040069659598</v>
      </c>
      <c r="G393" s="48">
        <v>9424139</v>
      </c>
      <c r="H393" s="49">
        <v>0.30052082896485854</v>
      </c>
      <c r="I393" s="49">
        <v>0.96568514110413695</v>
      </c>
      <c r="J393" s="46">
        <v>3.1668378705851485</v>
      </c>
    </row>
    <row r="394" spans="1:10" ht="15" customHeight="1" x14ac:dyDescent="0.25">
      <c r="A394" s="62">
        <v>900504637</v>
      </c>
      <c r="B394" t="s">
        <v>338</v>
      </c>
      <c r="C394" t="s">
        <v>142</v>
      </c>
      <c r="D394" s="43">
        <v>3.5550641959714948</v>
      </c>
      <c r="E394" s="47">
        <v>10769754</v>
      </c>
      <c r="F394" s="49">
        <v>0.26087798789098321</v>
      </c>
      <c r="G394" s="48">
        <v>11942154</v>
      </c>
      <c r="H394" s="49">
        <v>0.38564892615163404</v>
      </c>
      <c r="I394" s="49">
        <v>0.521766257577988</v>
      </c>
      <c r="J394" s="46">
        <v>2.9021559559745116</v>
      </c>
    </row>
    <row r="395" spans="1:10" ht="15" customHeight="1" x14ac:dyDescent="0.25">
      <c r="A395" s="62">
        <v>900528103</v>
      </c>
      <c r="B395" t="s">
        <v>339</v>
      </c>
      <c r="C395" t="s">
        <v>147</v>
      </c>
      <c r="D395" s="43">
        <v>1.8016065160383303</v>
      </c>
      <c r="E395" s="47">
        <v>24603910</v>
      </c>
      <c r="F395" s="49">
        <v>0.52824251780013687</v>
      </c>
      <c r="G395" s="48">
        <v>27411218</v>
      </c>
      <c r="H395" s="49">
        <v>0.12068522646683166</v>
      </c>
      <c r="I395" s="49">
        <v>0.25582048196471968</v>
      </c>
      <c r="J395" s="46"/>
    </row>
    <row r="396" spans="1:10" ht="15" customHeight="1" x14ac:dyDescent="0.25">
      <c r="A396" s="62">
        <v>900531289</v>
      </c>
      <c r="B396" t="s">
        <v>340</v>
      </c>
      <c r="C396" t="s">
        <v>142</v>
      </c>
      <c r="D396" s="43">
        <v>1.6634850811748894</v>
      </c>
      <c r="E396" s="47">
        <v>19818308</v>
      </c>
      <c r="F396" s="49">
        <v>0.58974442587872478</v>
      </c>
      <c r="G396" s="48">
        <v>20821471</v>
      </c>
      <c r="H396" s="49">
        <v>0.25040902960348371</v>
      </c>
      <c r="I396" s="49">
        <v>0.61037325364764095</v>
      </c>
      <c r="J396" s="46">
        <v>1.9726837374616333</v>
      </c>
    </row>
    <row r="397" spans="1:10" ht="15" customHeight="1" x14ac:dyDescent="0.25">
      <c r="A397" s="62">
        <v>900534209</v>
      </c>
      <c r="B397" t="s">
        <v>341</v>
      </c>
      <c r="C397" t="s">
        <v>158</v>
      </c>
      <c r="D397" s="43">
        <v>6.9145761353059125</v>
      </c>
      <c r="E397" s="47">
        <v>6551298</v>
      </c>
      <c r="F397" s="49">
        <v>0.14462202460885309</v>
      </c>
      <c r="G397" s="48">
        <v>6551298</v>
      </c>
      <c r="H397" s="49">
        <v>5.40969644537483E-2</v>
      </c>
      <c r="I397" s="49">
        <v>6.32433450592539E-2</v>
      </c>
      <c r="J397" s="46"/>
    </row>
    <row r="398" spans="1:10" ht="15" customHeight="1" x14ac:dyDescent="0.25">
      <c r="A398" s="62">
        <v>900541101</v>
      </c>
      <c r="B398" t="s">
        <v>342</v>
      </c>
      <c r="C398" t="s">
        <v>158</v>
      </c>
      <c r="D398" s="43">
        <v>3.3201356354681373</v>
      </c>
      <c r="E398" s="47">
        <v>20805285</v>
      </c>
      <c r="F398" s="49">
        <v>0.48643434713258549</v>
      </c>
      <c r="G398" s="48">
        <v>17143825</v>
      </c>
      <c r="H398" s="49">
        <v>0.59093044703135111</v>
      </c>
      <c r="I398" s="49">
        <v>1.1506424616443529</v>
      </c>
      <c r="J398" s="46">
        <v>5.3924619192344974</v>
      </c>
    </row>
    <row r="399" spans="1:10" ht="15" customHeight="1" x14ac:dyDescent="0.25">
      <c r="A399" s="62">
        <v>900546638</v>
      </c>
      <c r="B399" t="s">
        <v>343</v>
      </c>
      <c r="C399" t="s">
        <v>158</v>
      </c>
      <c r="D399" s="43">
        <v>5.2415230354897284</v>
      </c>
      <c r="E399" s="47">
        <v>12763150</v>
      </c>
      <c r="F399" s="49">
        <v>0.55140174670566244</v>
      </c>
      <c r="G399" s="48">
        <v>12530970</v>
      </c>
      <c r="H399" s="49">
        <v>3.3102162616772846E-2</v>
      </c>
      <c r="I399" s="49">
        <v>7.3790217357475124E-2</v>
      </c>
      <c r="J399" s="46">
        <v>10.779596404714441</v>
      </c>
    </row>
    <row r="400" spans="1:10" ht="15" customHeight="1" x14ac:dyDescent="0.25">
      <c r="A400" s="62">
        <v>900555513</v>
      </c>
      <c r="B400" t="s">
        <v>344</v>
      </c>
      <c r="C400" t="s">
        <v>158</v>
      </c>
      <c r="D400" s="43">
        <v>3.0463110545573846</v>
      </c>
      <c r="E400" s="47">
        <v>12948864</v>
      </c>
      <c r="F400" s="49">
        <v>0.31465902109714528</v>
      </c>
      <c r="G400" s="48">
        <v>15790801</v>
      </c>
      <c r="H400" s="49">
        <v>7.9991423907030984E-2</v>
      </c>
      <c r="I400" s="49">
        <v>0.11671770165427327</v>
      </c>
      <c r="J400" s="46">
        <v>9.3423391000653897</v>
      </c>
    </row>
    <row r="401" spans="1:10" ht="15" customHeight="1" x14ac:dyDescent="0.25">
      <c r="A401" s="62">
        <v>900579723</v>
      </c>
      <c r="B401" t="s">
        <v>345</v>
      </c>
      <c r="C401" t="s">
        <v>142</v>
      </c>
      <c r="D401" s="43">
        <v>4.9546886125869527</v>
      </c>
      <c r="E401" s="47">
        <v>9819302</v>
      </c>
      <c r="F401" s="49">
        <v>0.51284632512028572</v>
      </c>
      <c r="G401" s="48">
        <v>8447329</v>
      </c>
      <c r="H401" s="49">
        <v>0.12597417569017333</v>
      </c>
      <c r="I401" s="49">
        <v>0.2585922721844976</v>
      </c>
      <c r="J401" s="46"/>
    </row>
    <row r="402" spans="1:10" ht="15" customHeight="1" x14ac:dyDescent="0.25">
      <c r="A402" s="62">
        <v>900595360</v>
      </c>
      <c r="B402" t="s">
        <v>346</v>
      </c>
      <c r="C402" t="s">
        <v>142</v>
      </c>
      <c r="D402" s="43">
        <v>13.16378444745318</v>
      </c>
      <c r="E402" s="47">
        <v>14464321</v>
      </c>
      <c r="F402" s="49">
        <v>5.4880252519404323E-2</v>
      </c>
      <c r="G402" s="48">
        <v>20478591</v>
      </c>
      <c r="H402" s="49">
        <v>0.10181569164565116</v>
      </c>
      <c r="I402" s="49">
        <v>0.10772782170413971</v>
      </c>
      <c r="J402" s="46">
        <v>27.115462143559487</v>
      </c>
    </row>
    <row r="403" spans="1:10" ht="15" customHeight="1" x14ac:dyDescent="0.25">
      <c r="A403" s="62">
        <v>900606776</v>
      </c>
      <c r="B403" t="s">
        <v>347</v>
      </c>
      <c r="C403" t="s">
        <v>142</v>
      </c>
      <c r="D403" s="43">
        <v>5.5196019325716668</v>
      </c>
      <c r="E403" s="47">
        <v>9138495</v>
      </c>
      <c r="F403" s="49">
        <v>0.36314581942891522</v>
      </c>
      <c r="G403" s="48">
        <v>9009692</v>
      </c>
      <c r="H403" s="49">
        <v>7.1028421066471045E-2</v>
      </c>
      <c r="I403" s="49">
        <v>0.11153011667879435</v>
      </c>
      <c r="J403" s="46">
        <v>3.3526917238042806</v>
      </c>
    </row>
    <row r="404" spans="1:10" ht="15" customHeight="1" x14ac:dyDescent="0.25">
      <c r="A404" s="62">
        <v>900635225</v>
      </c>
      <c r="B404" t="s">
        <v>348</v>
      </c>
      <c r="C404" t="s">
        <v>142</v>
      </c>
      <c r="D404" s="43">
        <v>9.2340652731101436</v>
      </c>
      <c r="E404" s="47">
        <v>6338427</v>
      </c>
      <c r="F404" s="49">
        <v>0.23569978510187856</v>
      </c>
      <c r="G404" s="48">
        <v>5605510</v>
      </c>
      <c r="H404" s="49">
        <v>0.31798431806830846</v>
      </c>
      <c r="I404" s="49">
        <v>0.41604635439059068</v>
      </c>
      <c r="J404" s="46">
        <v>117.87475360121304</v>
      </c>
    </row>
    <row r="405" spans="1:10" ht="15" customHeight="1" x14ac:dyDescent="0.25">
      <c r="A405" s="62">
        <v>900637861</v>
      </c>
      <c r="B405" t="s">
        <v>349</v>
      </c>
      <c r="C405" t="s">
        <v>142</v>
      </c>
      <c r="D405" s="43">
        <v>2.1433964145811712</v>
      </c>
      <c r="E405" s="47">
        <v>21531546</v>
      </c>
      <c r="F405" s="49">
        <v>0.39049341657791448</v>
      </c>
      <c r="G405" s="48">
        <v>29392943</v>
      </c>
      <c r="H405" s="49">
        <v>0.17308077527944499</v>
      </c>
      <c r="I405" s="49">
        <v>0.28396867234424261</v>
      </c>
      <c r="J405" s="46">
        <v>3.2249542434315126</v>
      </c>
    </row>
    <row r="406" spans="1:10" ht="15" customHeight="1" x14ac:dyDescent="0.25">
      <c r="A406" s="62">
        <v>900644505</v>
      </c>
      <c r="B406" t="s">
        <v>350</v>
      </c>
      <c r="C406" t="s">
        <v>142</v>
      </c>
      <c r="D406" s="43">
        <v>6.8726320634408014</v>
      </c>
      <c r="E406" s="47">
        <v>9237615</v>
      </c>
      <c r="F406" s="49">
        <v>0.21029137230085773</v>
      </c>
      <c r="G406" s="48">
        <v>10495125</v>
      </c>
      <c r="H406" s="49">
        <v>0.16615316778869921</v>
      </c>
      <c r="I406" s="49">
        <v>0.21039806576863068</v>
      </c>
      <c r="J406" s="46">
        <v>7.3093478980470046</v>
      </c>
    </row>
    <row r="407" spans="1:10" ht="15" customHeight="1" x14ac:dyDescent="0.25">
      <c r="A407" s="62">
        <v>900646364</v>
      </c>
      <c r="B407" t="s">
        <v>351</v>
      </c>
      <c r="C407" t="s">
        <v>158</v>
      </c>
      <c r="D407" s="43">
        <v>8.0328015598764733</v>
      </c>
      <c r="E407" s="47">
        <v>8155089</v>
      </c>
      <c r="F407" s="49">
        <v>6.0235964482993759E-2</v>
      </c>
      <c r="G407" s="48">
        <v>18091030</v>
      </c>
      <c r="H407" s="49">
        <v>9.6625826227107928E-2</v>
      </c>
      <c r="I407" s="49">
        <v>0.1028192424643594</v>
      </c>
      <c r="J407" s="46">
        <v>6966.6891385767794</v>
      </c>
    </row>
    <row r="408" spans="1:10" ht="15" customHeight="1" x14ac:dyDescent="0.25">
      <c r="A408" s="62">
        <v>900706046</v>
      </c>
      <c r="B408" t="s">
        <v>352</v>
      </c>
      <c r="C408" t="s">
        <v>142</v>
      </c>
      <c r="D408" s="43">
        <v>2.4490978013487137</v>
      </c>
      <c r="E408" s="47">
        <v>11016340</v>
      </c>
      <c r="F408" s="49">
        <v>0.38691686408969306</v>
      </c>
      <c r="G408" s="48">
        <v>12045958</v>
      </c>
      <c r="H408" s="49">
        <v>8.0128860895094314E-2</v>
      </c>
      <c r="I408" s="49">
        <v>0.13069819768589597</v>
      </c>
      <c r="J408" s="46"/>
    </row>
    <row r="409" spans="1:10" ht="15" customHeight="1" x14ac:dyDescent="0.25">
      <c r="A409" s="62">
        <v>900758901</v>
      </c>
      <c r="B409" t="s">
        <v>353</v>
      </c>
      <c r="C409" t="s">
        <v>158</v>
      </c>
      <c r="D409" s="43">
        <v>18.053263567011122</v>
      </c>
      <c r="E409" s="47">
        <v>5195038</v>
      </c>
      <c r="F409" s="49">
        <v>8.3535400714975033E-2</v>
      </c>
      <c r="G409" s="48">
        <v>5042654</v>
      </c>
      <c r="H409" s="49">
        <v>4.9678224884548067E-2</v>
      </c>
      <c r="I409" s="49">
        <v>5.4206376245524678E-2</v>
      </c>
      <c r="J409" s="46"/>
    </row>
    <row r="410" spans="1:10" ht="15" customHeight="1" x14ac:dyDescent="0.25">
      <c r="A410" s="62">
        <v>900768355</v>
      </c>
      <c r="B410" t="s">
        <v>354</v>
      </c>
      <c r="C410" t="s">
        <v>158</v>
      </c>
      <c r="D410" s="43">
        <v>21.451736058150757</v>
      </c>
      <c r="E410" s="47">
        <v>17565403</v>
      </c>
      <c r="F410" s="49">
        <v>0.2263067337823631</v>
      </c>
      <c r="G410" s="48">
        <v>14970403</v>
      </c>
      <c r="H410" s="49">
        <v>7.4804667089834992E-2</v>
      </c>
      <c r="I410" s="49">
        <v>9.66851727371668E-2</v>
      </c>
      <c r="J410" s="46"/>
    </row>
    <row r="411" spans="1:10" ht="15" customHeight="1" x14ac:dyDescent="0.25">
      <c r="A411" s="62">
        <v>900771796</v>
      </c>
      <c r="B411" t="s">
        <v>355</v>
      </c>
      <c r="C411" t="s">
        <v>142</v>
      </c>
      <c r="D411" s="43">
        <v>4.5900458043768761</v>
      </c>
      <c r="E411" s="47">
        <v>23230393</v>
      </c>
      <c r="F411" s="49">
        <v>0.2275846816664015</v>
      </c>
      <c r="G411" s="48">
        <v>23323510</v>
      </c>
      <c r="H411" s="49">
        <v>3.447556984875523E-2</v>
      </c>
      <c r="I411" s="49">
        <v>4.4633462116122319E-2</v>
      </c>
      <c r="J411" s="46"/>
    </row>
    <row r="412" spans="1:10" ht="15" customHeight="1" x14ac:dyDescent="0.25">
      <c r="A412" s="62">
        <v>900779433</v>
      </c>
      <c r="B412" t="s">
        <v>356</v>
      </c>
      <c r="C412" t="s">
        <v>158</v>
      </c>
      <c r="D412" s="43">
        <v>91.158888205263082</v>
      </c>
      <c r="E412" s="47">
        <v>19196360</v>
      </c>
      <c r="F412" s="49">
        <v>0.83487732668537973</v>
      </c>
      <c r="G412" s="48">
        <v>3398451</v>
      </c>
      <c r="H412" s="49">
        <v>9.9692192517204029E-2</v>
      </c>
      <c r="I412" s="49">
        <v>0.60374623615288259</v>
      </c>
      <c r="J412" s="46">
        <v>1.0057882523183892</v>
      </c>
    </row>
    <row r="413" spans="1:10" ht="15" customHeight="1" x14ac:dyDescent="0.25">
      <c r="A413" s="62">
        <v>900797235</v>
      </c>
      <c r="B413" t="s">
        <v>357</v>
      </c>
      <c r="C413" t="s">
        <v>142</v>
      </c>
      <c r="D413" s="43">
        <v>1.8582140425359339</v>
      </c>
      <c r="E413" s="47">
        <v>6433145</v>
      </c>
      <c r="F413" s="49">
        <v>0.51540337981197049</v>
      </c>
      <c r="G413" s="48">
        <v>7047918</v>
      </c>
      <c r="H413" s="49">
        <v>0.18310250781668669</v>
      </c>
      <c r="I413" s="49">
        <v>0.37784520194474452</v>
      </c>
      <c r="J413" s="46">
        <v>5.9967438152756944</v>
      </c>
    </row>
    <row r="414" spans="1:10" ht="15" customHeight="1" x14ac:dyDescent="0.25">
      <c r="A414" s="62">
        <v>900823820</v>
      </c>
      <c r="B414" t="s">
        <v>358</v>
      </c>
      <c r="C414" t="s">
        <v>142</v>
      </c>
      <c r="D414" s="43">
        <v>3.7762361459557305</v>
      </c>
      <c r="E414" s="47">
        <v>9616299</v>
      </c>
      <c r="F414" s="49">
        <v>0.38142020103808028</v>
      </c>
      <c r="G414" s="48">
        <v>8378784</v>
      </c>
      <c r="H414" s="49">
        <v>0.88003524497063346</v>
      </c>
      <c r="I414" s="49">
        <v>1.4226705211639303</v>
      </c>
      <c r="J414" s="46">
        <v>1.4344028315868158</v>
      </c>
    </row>
    <row r="415" spans="1:10" ht="15" customHeight="1" x14ac:dyDescent="0.25">
      <c r="A415" s="62">
        <v>900843992</v>
      </c>
      <c r="B415" t="s">
        <v>359</v>
      </c>
      <c r="C415" t="s">
        <v>142</v>
      </c>
      <c r="D415" s="43">
        <v>5.3407768707623635</v>
      </c>
      <c r="E415" s="47">
        <v>7558343</v>
      </c>
      <c r="F415" s="49">
        <v>0.16563392295140544</v>
      </c>
      <c r="G415" s="48">
        <v>10314209</v>
      </c>
      <c r="H415" s="49">
        <v>5.8195895057091926E-2</v>
      </c>
      <c r="I415" s="49">
        <v>6.9748635111039542E-2</v>
      </c>
      <c r="J415" s="46">
        <v>1.4711697341513292</v>
      </c>
    </row>
    <row r="416" spans="1:10" ht="15" customHeight="1" x14ac:dyDescent="0.25">
      <c r="A416" s="62">
        <v>900866374</v>
      </c>
      <c r="B416" t="s">
        <v>360</v>
      </c>
      <c r="C416" t="s">
        <v>142</v>
      </c>
      <c r="D416" s="43">
        <v>6.678431525549148</v>
      </c>
      <c r="E416" s="47">
        <v>12953479</v>
      </c>
      <c r="F416" s="49">
        <v>0.14882358962441808</v>
      </c>
      <c r="G416" s="48">
        <v>13046855</v>
      </c>
      <c r="H416" s="49">
        <v>0.20999219273295905</v>
      </c>
      <c r="I416" s="49">
        <v>0.24670819136105981</v>
      </c>
      <c r="J416" s="46">
        <v>251.05420794009828</v>
      </c>
    </row>
    <row r="417" spans="1:10" ht="15" customHeight="1" x14ac:dyDescent="0.25">
      <c r="A417" s="62">
        <v>900887951</v>
      </c>
      <c r="B417" t="s">
        <v>361</v>
      </c>
      <c r="C417" t="s">
        <v>158</v>
      </c>
      <c r="D417" s="43">
        <v>96998.888198757762</v>
      </c>
      <c r="E417" s="47">
        <v>46849980</v>
      </c>
      <c r="F417" s="49">
        <v>0.13816194303138477</v>
      </c>
      <c r="G417" s="48">
        <v>40377512</v>
      </c>
      <c r="H417" s="49">
        <v>1.311415001384298E-2</v>
      </c>
      <c r="I417" s="49">
        <v>1.5216489812448077E-2</v>
      </c>
      <c r="J417" s="46">
        <v>0.1275360176888648</v>
      </c>
    </row>
    <row r="418" spans="1:10" ht="15" customHeight="1" x14ac:dyDescent="0.25">
      <c r="A418" s="62">
        <v>900888903</v>
      </c>
      <c r="B418" t="s">
        <v>362</v>
      </c>
      <c r="C418" t="s">
        <v>142</v>
      </c>
      <c r="D418" s="43">
        <v>2.4678851651401135</v>
      </c>
      <c r="E418" s="47">
        <v>10698248</v>
      </c>
      <c r="F418" s="49">
        <v>0.4845386981650997</v>
      </c>
      <c r="G418" s="48">
        <v>13818934</v>
      </c>
      <c r="H418" s="49">
        <v>0.21506902119104768</v>
      </c>
      <c r="I418" s="49">
        <v>0.41723601834989588</v>
      </c>
      <c r="J418" s="46">
        <v>3.5964008278432789</v>
      </c>
    </row>
    <row r="419" spans="1:10" ht="15" customHeight="1" x14ac:dyDescent="0.25">
      <c r="A419" s="62">
        <v>900915689</v>
      </c>
      <c r="B419" t="s">
        <v>363</v>
      </c>
      <c r="C419" t="s">
        <v>142</v>
      </c>
      <c r="D419" s="43">
        <v>5.5974136555695715</v>
      </c>
      <c r="E419" s="47">
        <v>10172334</v>
      </c>
      <c r="F419" s="49">
        <v>0.17088540962462534</v>
      </c>
      <c r="G419" s="48">
        <v>10915277</v>
      </c>
      <c r="H419" s="49">
        <v>0.2501134069326349</v>
      </c>
      <c r="I419" s="49">
        <v>0.30166325600348942</v>
      </c>
      <c r="J419" s="46">
        <v>12.38062257716415</v>
      </c>
    </row>
    <row r="420" spans="1:10" ht="15" customHeight="1" x14ac:dyDescent="0.25">
      <c r="A420" s="62">
        <v>900916608</v>
      </c>
      <c r="B420" t="s">
        <v>364</v>
      </c>
      <c r="C420" t="s">
        <v>142</v>
      </c>
      <c r="D420" s="43">
        <v>3.1693212340193662</v>
      </c>
      <c r="E420" s="47">
        <v>8782484</v>
      </c>
      <c r="F420" s="49">
        <v>0.43476939474918425</v>
      </c>
      <c r="G420" s="48">
        <v>8292830</v>
      </c>
      <c r="H420" s="49">
        <v>0.24609607672298844</v>
      </c>
      <c r="I420" s="49">
        <v>0.4353905723377906</v>
      </c>
      <c r="J420" s="46">
        <v>4.0445246987290497</v>
      </c>
    </row>
    <row r="421" spans="1:10" ht="15" customHeight="1" x14ac:dyDescent="0.25">
      <c r="A421" s="62">
        <v>900925777</v>
      </c>
      <c r="B421" t="s">
        <v>365</v>
      </c>
      <c r="C421" t="s">
        <v>158</v>
      </c>
      <c r="D421" s="43">
        <v>2.6044011975651187</v>
      </c>
      <c r="E421" s="47">
        <v>9686707</v>
      </c>
      <c r="F421" s="49">
        <v>0.58238079432459089</v>
      </c>
      <c r="G421" s="48">
        <v>7932942</v>
      </c>
      <c r="H421" s="49">
        <v>0.14362899687217617</v>
      </c>
      <c r="I421" s="49">
        <v>0.34392335151322168</v>
      </c>
      <c r="J421" s="46">
        <v>2.7489964533290343</v>
      </c>
    </row>
    <row r="422" spans="1:10" ht="15" customHeight="1" x14ac:dyDescent="0.25">
      <c r="A422" s="62">
        <v>900927711</v>
      </c>
      <c r="B422" t="s">
        <v>366</v>
      </c>
      <c r="C422" t="s">
        <v>158</v>
      </c>
      <c r="D422" s="43">
        <v>19.89143840907586</v>
      </c>
      <c r="E422" s="47">
        <v>8559144</v>
      </c>
      <c r="F422" s="49">
        <v>2.1802662016150727E-2</v>
      </c>
      <c r="G422" s="48">
        <v>20327420</v>
      </c>
      <c r="H422" s="49">
        <v>1.8571313765941035E-2</v>
      </c>
      <c r="I422" s="49">
        <v>1.8985242593501782E-2</v>
      </c>
      <c r="J422" s="46"/>
    </row>
    <row r="423" spans="1:10" ht="15" customHeight="1" x14ac:dyDescent="0.25">
      <c r="A423" s="62">
        <v>900992984</v>
      </c>
      <c r="B423" t="s">
        <v>367</v>
      </c>
      <c r="C423" t="s">
        <v>142</v>
      </c>
      <c r="D423" s="43">
        <v>4.4890172904057621</v>
      </c>
      <c r="E423" s="47">
        <v>8204951</v>
      </c>
      <c r="F423" s="49">
        <v>0.18262011362297664</v>
      </c>
      <c r="G423" s="48">
        <v>12065857</v>
      </c>
      <c r="H423" s="49">
        <v>5.0709857389026294E-2</v>
      </c>
      <c r="I423" s="49">
        <v>6.2039521933667872E-2</v>
      </c>
      <c r="J423" s="46">
        <v>11.550782334968984</v>
      </c>
    </row>
    <row r="424" spans="1:10" ht="15" customHeight="1" x14ac:dyDescent="0.25">
      <c r="A424" s="62">
        <v>901030135</v>
      </c>
      <c r="B424" t="s">
        <v>368</v>
      </c>
      <c r="C424" t="s">
        <v>158</v>
      </c>
      <c r="D424" s="43">
        <v>2.5957343153654673</v>
      </c>
      <c r="E424" s="47">
        <v>7622009</v>
      </c>
      <c r="F424" s="49">
        <v>0.58224579722197856</v>
      </c>
      <c r="G424" s="48">
        <v>11770322</v>
      </c>
      <c r="H424" s="49">
        <v>0.27977752659578714</v>
      </c>
      <c r="I424" s="49">
        <v>0.66971804169843441</v>
      </c>
      <c r="J424" s="46">
        <v>2.3077974999729194</v>
      </c>
    </row>
    <row r="425" spans="1:10" ht="15" customHeight="1" x14ac:dyDescent="0.25">
      <c r="A425" s="62">
        <v>901043572</v>
      </c>
      <c r="B425" t="s">
        <v>369</v>
      </c>
      <c r="C425" t="s">
        <v>142</v>
      </c>
      <c r="D425" s="43">
        <v>4.049466997931634</v>
      </c>
      <c r="E425" s="47">
        <v>6229070</v>
      </c>
      <c r="F425" s="49">
        <v>0.35144138110647805</v>
      </c>
      <c r="G425" s="48">
        <v>5451154</v>
      </c>
      <c r="H425" s="49">
        <v>0.14347017719986452</v>
      </c>
      <c r="I425" s="49">
        <v>0.22121389342513531</v>
      </c>
      <c r="J425" s="46">
        <v>3.1356101442378952</v>
      </c>
    </row>
    <row r="426" spans="1:10" ht="15" customHeight="1" x14ac:dyDescent="0.25">
      <c r="A426" s="62">
        <v>901115366</v>
      </c>
      <c r="B426" t="s">
        <v>370</v>
      </c>
      <c r="C426" t="s">
        <v>158</v>
      </c>
      <c r="D426" s="43">
        <v>1.2199431803725496</v>
      </c>
      <c r="E426" s="47">
        <v>13096421</v>
      </c>
      <c r="F426" s="49">
        <v>0.79211902211448315</v>
      </c>
      <c r="G426" s="48">
        <v>15671537</v>
      </c>
      <c r="H426" s="49">
        <v>0.1547551406231939</v>
      </c>
      <c r="I426" s="49">
        <v>0.74444108449605162</v>
      </c>
      <c r="J426" s="46">
        <v>11.476124148134158</v>
      </c>
    </row>
    <row r="427" spans="1:10" ht="15" customHeight="1" x14ac:dyDescent="0.25">
      <c r="A427" s="62">
        <v>901118824</v>
      </c>
      <c r="B427" t="s">
        <v>371</v>
      </c>
      <c r="C427" t="s">
        <v>142</v>
      </c>
      <c r="D427" s="43">
        <v>2.4647410111209829</v>
      </c>
      <c r="E427" s="47">
        <v>11866778</v>
      </c>
      <c r="F427" s="49">
        <v>0.7235964793249241</v>
      </c>
      <c r="G427" s="48">
        <v>7929784</v>
      </c>
      <c r="H427" s="49">
        <v>0.18369211754810363</v>
      </c>
      <c r="I427" s="49">
        <v>0.66457951439787011</v>
      </c>
      <c r="J427" s="46">
        <v>2.7515958818781123</v>
      </c>
    </row>
    <row r="428" spans="1:10" ht="15" customHeight="1" x14ac:dyDescent="0.25">
      <c r="A428" s="62">
        <v>901149639</v>
      </c>
      <c r="B428" t="s">
        <v>372</v>
      </c>
      <c r="C428" t="s">
        <v>158</v>
      </c>
      <c r="D428" s="43">
        <v>1.5777031664172889</v>
      </c>
      <c r="E428" s="47">
        <v>32142901</v>
      </c>
      <c r="F428" s="49">
        <v>0.62483403120478753</v>
      </c>
      <c r="G428" s="48">
        <v>39580670</v>
      </c>
      <c r="H428" s="49">
        <v>0.14337810099092185</v>
      </c>
      <c r="I428" s="49">
        <v>0.38217245943537592</v>
      </c>
      <c r="J428" s="46">
        <v>5.0796254413757325</v>
      </c>
    </row>
    <row r="429" spans="1:10" ht="15" customHeight="1" x14ac:dyDescent="0.25">
      <c r="A429" s="62">
        <v>901250374</v>
      </c>
      <c r="B429" t="s">
        <v>373</v>
      </c>
      <c r="C429" t="s">
        <v>158</v>
      </c>
      <c r="D429" s="43">
        <v>5.6056995258623239</v>
      </c>
      <c r="E429" s="47">
        <v>6996882</v>
      </c>
      <c r="F429" s="49">
        <v>0.27026924475022446</v>
      </c>
      <c r="G429" s="48">
        <v>6731081</v>
      </c>
      <c r="H429" s="49">
        <v>0.14184685031896471</v>
      </c>
      <c r="I429" s="49">
        <v>0.19438244763359705</v>
      </c>
      <c r="J429" s="46"/>
    </row>
    <row r="430" spans="1:10" ht="15" customHeight="1" x14ac:dyDescent="0.25">
      <c r="A430" s="62">
        <v>901273719</v>
      </c>
      <c r="B430" t="s">
        <v>374</v>
      </c>
      <c r="C430" t="s">
        <v>158</v>
      </c>
      <c r="D430" s="43">
        <v>16.06323387616191</v>
      </c>
      <c r="E430" s="47">
        <v>7904914</v>
      </c>
      <c r="F430" s="49">
        <v>1.6844597576047317E-2</v>
      </c>
      <c r="G430" s="48">
        <v>30629539</v>
      </c>
      <c r="H430" s="49">
        <v>0.14390331280209895</v>
      </c>
      <c r="I430" s="49">
        <v>0.14636883695833619</v>
      </c>
      <c r="J430" s="46">
        <v>707.01939757136097</v>
      </c>
    </row>
    <row r="431" spans="1:10" ht="15" customHeight="1" x14ac:dyDescent="0.25">
      <c r="A431" s="62">
        <v>901295438</v>
      </c>
      <c r="B431" t="s">
        <v>375</v>
      </c>
      <c r="C431" t="s">
        <v>142</v>
      </c>
      <c r="D431" s="43">
        <v>14.375790737867295</v>
      </c>
      <c r="E431" s="47">
        <v>20749075</v>
      </c>
      <c r="F431" s="49">
        <v>6.6934593573594506E-2</v>
      </c>
      <c r="G431" s="48">
        <v>21624234</v>
      </c>
      <c r="H431" s="49">
        <v>0.16722876230152781</v>
      </c>
      <c r="I431" s="49">
        <v>0.17922512307256758</v>
      </c>
      <c r="J431" s="46">
        <v>101.32303267973856</v>
      </c>
    </row>
    <row r="432" spans="1:10" ht="15" customHeight="1" x14ac:dyDescent="0.25">
      <c r="A432" s="62">
        <v>901318909</v>
      </c>
      <c r="B432" t="s">
        <v>376</v>
      </c>
      <c r="C432" t="s">
        <v>158</v>
      </c>
      <c r="D432" s="43">
        <v>19.151890132684812</v>
      </c>
      <c r="E432" s="47">
        <v>7613175</v>
      </c>
      <c r="F432" s="49">
        <v>5.0437002840798058E-2</v>
      </c>
      <c r="G432" s="48">
        <v>7896206</v>
      </c>
      <c r="H432" s="49">
        <v>0.40498310348679911</v>
      </c>
      <c r="I432" s="49">
        <v>0.42649419227411239</v>
      </c>
      <c r="J432" s="46"/>
    </row>
    <row r="433" spans="1:10" ht="15" customHeight="1" x14ac:dyDescent="0.25">
      <c r="A433" s="62">
        <v>901340287</v>
      </c>
      <c r="B433" t="s">
        <v>377</v>
      </c>
      <c r="C433" t="s">
        <v>142</v>
      </c>
      <c r="D433" s="43">
        <v>1.1419923844818696</v>
      </c>
      <c r="E433" s="47">
        <v>17875280</v>
      </c>
      <c r="F433" s="49">
        <v>0.89501912442829312</v>
      </c>
      <c r="G433" s="48">
        <v>15111248</v>
      </c>
      <c r="H433" s="49">
        <v>4.9786872034261652E-2</v>
      </c>
      <c r="I433" s="49">
        <v>0.47424706417365398</v>
      </c>
      <c r="J433" s="46">
        <v>1.8946401501231727</v>
      </c>
    </row>
    <row r="434" spans="1:10" ht="15" customHeight="1" x14ac:dyDescent="0.25">
      <c r="A434" s="62">
        <v>901480564</v>
      </c>
      <c r="B434" t="s">
        <v>378</v>
      </c>
      <c r="C434" t="s">
        <v>158</v>
      </c>
      <c r="D434" s="43">
        <v>13.480425656545934</v>
      </c>
      <c r="E434" s="47">
        <v>5752665</v>
      </c>
      <c r="F434" s="49">
        <v>7.41816338354577E-2</v>
      </c>
      <c r="G434" s="48">
        <v>5752665</v>
      </c>
      <c r="H434" s="49">
        <v>0.29807084459894423</v>
      </c>
      <c r="I434" s="49">
        <v>0.32195391179566341</v>
      </c>
      <c r="J434" s="46">
        <v>161.47279860505668</v>
      </c>
    </row>
    <row r="435" spans="1:10" ht="15" customHeight="1" x14ac:dyDescent="0.25">
      <c r="A435" s="62">
        <v>901542814</v>
      </c>
      <c r="B435" t="s">
        <v>379</v>
      </c>
      <c r="C435" t="s">
        <v>142</v>
      </c>
      <c r="D435" s="43">
        <v>9.9126669484078267</v>
      </c>
      <c r="E435" s="47">
        <v>5314552</v>
      </c>
      <c r="F435" s="49">
        <v>0.22625990467689555</v>
      </c>
      <c r="G435" s="48">
        <v>4573457</v>
      </c>
      <c r="H435" s="49">
        <v>0.1125901817067072</v>
      </c>
      <c r="I435" s="49">
        <v>0.14551421386491661</v>
      </c>
      <c r="J435" s="46"/>
    </row>
    <row r="436" spans="1:10" ht="15" customHeight="1" x14ac:dyDescent="0.25">
      <c r="A436" s="62">
        <v>800185347</v>
      </c>
      <c r="B436" t="s">
        <v>380</v>
      </c>
      <c r="C436" t="s">
        <v>158</v>
      </c>
      <c r="D436" s="43">
        <v>2.2419941044850935</v>
      </c>
      <c r="E436" s="47">
        <v>6764116</v>
      </c>
      <c r="F436" s="49">
        <v>0.57569453062066578</v>
      </c>
      <c r="G436" s="48">
        <v>25979332</v>
      </c>
      <c r="H436" s="49">
        <v>0.13822597666181519</v>
      </c>
      <c r="I436" s="49">
        <v>0.32576996206061032</v>
      </c>
      <c r="J436" s="46">
        <v>2.5670685025909439</v>
      </c>
    </row>
    <row r="437" spans="1:10" ht="15" customHeight="1" x14ac:dyDescent="0.25">
      <c r="A437" s="62">
        <v>830002181</v>
      </c>
      <c r="B437" t="s">
        <v>381</v>
      </c>
      <c r="C437" t="s">
        <v>158</v>
      </c>
      <c r="D437" s="43">
        <v>1.5353411355372</v>
      </c>
      <c r="E437" s="47">
        <v>15601701</v>
      </c>
      <c r="F437" s="49">
        <v>0.66337240526987895</v>
      </c>
      <c r="G437" s="48">
        <v>19114652</v>
      </c>
      <c r="H437" s="49">
        <v>0.32468115688022625</v>
      </c>
      <c r="I437" s="49">
        <v>0.96451141250178141</v>
      </c>
      <c r="J437" s="46">
        <v>18.780547434473906</v>
      </c>
    </row>
    <row r="438" spans="1:10" ht="15" customHeight="1" x14ac:dyDescent="0.25">
      <c r="A438" s="62">
        <v>830012157</v>
      </c>
      <c r="B438" t="s">
        <v>382</v>
      </c>
      <c r="C438" t="s">
        <v>158</v>
      </c>
      <c r="D438" s="43">
        <v>2.8594257923218787</v>
      </c>
      <c r="E438" s="47">
        <v>289454063</v>
      </c>
      <c r="F438" s="49">
        <v>0.20279459781564776</v>
      </c>
      <c r="G438" s="48">
        <v>615088294</v>
      </c>
      <c r="H438" s="49">
        <v>0.31361808322402668</v>
      </c>
      <c r="I438" s="49">
        <v>0.39339683645483259</v>
      </c>
      <c r="J438" s="46">
        <v>58.600603796907052</v>
      </c>
    </row>
    <row r="439" spans="1:10" ht="15" customHeight="1" x14ac:dyDescent="0.25">
      <c r="A439" s="62">
        <v>830126461</v>
      </c>
      <c r="B439" t="s">
        <v>383</v>
      </c>
      <c r="C439" t="s">
        <v>142</v>
      </c>
      <c r="D439" s="43">
        <v>4.3778546361449262</v>
      </c>
      <c r="E439" s="47">
        <v>81368306</v>
      </c>
      <c r="F439" s="49">
        <v>0.64382028883618936</v>
      </c>
      <c r="G439" s="48">
        <v>66636771</v>
      </c>
      <c r="H439" s="49">
        <v>7.6390828637838748E-2</v>
      </c>
      <c r="I439" s="49">
        <v>0.21447271207063739</v>
      </c>
      <c r="J439" s="46">
        <v>1.8241528790414696</v>
      </c>
    </row>
    <row r="440" spans="1:10" ht="15" customHeight="1" x14ac:dyDescent="0.25">
      <c r="A440" s="62">
        <v>830513773</v>
      </c>
      <c r="B440" t="s">
        <v>384</v>
      </c>
      <c r="C440" t="s">
        <v>142</v>
      </c>
      <c r="D440" s="43">
        <v>1.7745683806783108</v>
      </c>
      <c r="E440" s="47">
        <v>50868883</v>
      </c>
      <c r="F440" s="49">
        <v>0.51641771722641128</v>
      </c>
      <c r="G440" s="48">
        <v>71907005</v>
      </c>
      <c r="H440" s="49">
        <v>9.5803173611488227E-2</v>
      </c>
      <c r="I440" s="49">
        <v>0.19811142182879124</v>
      </c>
      <c r="J440" s="46">
        <v>2.1330099240309064</v>
      </c>
    </row>
    <row r="441" spans="1:10" ht="15" customHeight="1" x14ac:dyDescent="0.25">
      <c r="A441" s="62">
        <v>860000656</v>
      </c>
      <c r="B441" t="s">
        <v>385</v>
      </c>
      <c r="C441" t="s">
        <v>142</v>
      </c>
      <c r="D441" s="43">
        <v>1.1732482297296924</v>
      </c>
      <c r="E441" s="47">
        <v>31798478</v>
      </c>
      <c r="F441" s="49">
        <v>0.62782257476236436</v>
      </c>
      <c r="G441" s="48">
        <v>120382808</v>
      </c>
      <c r="H441" s="49">
        <v>6.4834305593518451E-2</v>
      </c>
      <c r="I441" s="49">
        <v>0.17420268183144558</v>
      </c>
      <c r="J441" s="46">
        <v>0.85240307581998698</v>
      </c>
    </row>
    <row r="442" spans="1:10" ht="15" customHeight="1" x14ac:dyDescent="0.25">
      <c r="A442" s="62">
        <v>860002837</v>
      </c>
      <c r="B442" t="s">
        <v>386</v>
      </c>
      <c r="C442" t="s">
        <v>142</v>
      </c>
      <c r="D442" s="43">
        <v>1.5488621534053915</v>
      </c>
      <c r="E442" s="47">
        <v>64610798</v>
      </c>
      <c r="F442" s="49">
        <v>0.59107379837222573</v>
      </c>
      <c r="G442" s="48">
        <v>110452018</v>
      </c>
      <c r="H442" s="49">
        <v>3.0636550403796602E-2</v>
      </c>
      <c r="I442" s="49">
        <v>7.4919509392757308E-2</v>
      </c>
      <c r="J442" s="46">
        <v>1.03778641142464</v>
      </c>
    </row>
    <row r="443" spans="1:10" ht="15" customHeight="1" x14ac:dyDescent="0.25">
      <c r="A443" s="62">
        <v>860008018</v>
      </c>
      <c r="B443" t="s">
        <v>387</v>
      </c>
      <c r="C443" t="s">
        <v>142</v>
      </c>
      <c r="D443" s="43">
        <v>2.6846540458383314</v>
      </c>
      <c r="E443" s="47">
        <v>124948988</v>
      </c>
      <c r="F443" s="49">
        <v>0.36712771546999412</v>
      </c>
      <c r="G443" s="48">
        <v>135164328</v>
      </c>
      <c r="H443" s="49">
        <v>0.16704549995789492</v>
      </c>
      <c r="I443" s="49">
        <v>0.26394819940953651</v>
      </c>
      <c r="J443" s="46">
        <v>2.80618355875272</v>
      </c>
    </row>
    <row r="444" spans="1:10" ht="15" customHeight="1" x14ac:dyDescent="0.25">
      <c r="A444" s="62">
        <v>860031361</v>
      </c>
      <c r="B444" t="s">
        <v>388</v>
      </c>
      <c r="C444" t="s">
        <v>142</v>
      </c>
      <c r="D444" s="43">
        <v>1.8847541010560176</v>
      </c>
      <c r="E444" s="47">
        <v>32125509</v>
      </c>
      <c r="F444" s="49">
        <v>0.39875151398054332</v>
      </c>
      <c r="G444" s="48">
        <v>55976596</v>
      </c>
      <c r="H444" s="49">
        <v>5.4419938122419444E-2</v>
      </c>
      <c r="I444" s="49">
        <v>9.0511559509620768E-2</v>
      </c>
      <c r="J444" s="46">
        <v>0.89784666890425591</v>
      </c>
    </row>
    <row r="445" spans="1:10" ht="15" customHeight="1" x14ac:dyDescent="0.25">
      <c r="A445" s="62">
        <v>860034335</v>
      </c>
      <c r="B445" t="s">
        <v>389</v>
      </c>
      <c r="C445" t="s">
        <v>142</v>
      </c>
      <c r="D445" s="43">
        <v>2.242056347207702</v>
      </c>
      <c r="E445" s="47">
        <v>11133300</v>
      </c>
      <c r="F445" s="49">
        <v>0.59385593346420895</v>
      </c>
      <c r="G445" s="48">
        <v>9622866</v>
      </c>
      <c r="H445" s="49">
        <v>5.6288097111947537E-2</v>
      </c>
      <c r="I445" s="49">
        <v>0.13859145497817385</v>
      </c>
      <c r="J445" s="46">
        <v>1.3616882460509268</v>
      </c>
    </row>
    <row r="446" spans="1:10" ht="15" customHeight="1" x14ac:dyDescent="0.25">
      <c r="A446" s="62">
        <v>860059851</v>
      </c>
      <c r="B446" t="s">
        <v>390</v>
      </c>
      <c r="C446" t="s">
        <v>142</v>
      </c>
      <c r="D446" s="43">
        <v>1.8979384109020021</v>
      </c>
      <c r="E446" s="47">
        <v>25898970</v>
      </c>
      <c r="F446" s="49">
        <v>0.49114471806680249</v>
      </c>
      <c r="G446" s="48">
        <v>35671717</v>
      </c>
      <c r="H446" s="49">
        <v>5.943132203710913E-2</v>
      </c>
      <c r="I446" s="49">
        <v>0.11679415375492018</v>
      </c>
      <c r="J446" s="46">
        <v>0.83247240376384612</v>
      </c>
    </row>
    <row r="447" spans="1:10" ht="15" customHeight="1" x14ac:dyDescent="0.25">
      <c r="A447" s="62">
        <v>860077099</v>
      </c>
      <c r="B447" t="s">
        <v>391</v>
      </c>
      <c r="C447" t="s">
        <v>142</v>
      </c>
      <c r="D447" s="43">
        <v>1.9361571446661541</v>
      </c>
      <c r="E447" s="47">
        <v>11310997</v>
      </c>
      <c r="F447" s="49">
        <v>0.63905895492389286</v>
      </c>
      <c r="G447" s="48">
        <v>11051355</v>
      </c>
      <c r="H447" s="49">
        <v>3.3786341000370632E-2</v>
      </c>
      <c r="I447" s="49">
        <v>9.3606259141978523E-2</v>
      </c>
      <c r="J447" s="46">
        <v>1.8555590034816081</v>
      </c>
    </row>
    <row r="448" spans="1:10" ht="15" customHeight="1" x14ac:dyDescent="0.25">
      <c r="A448" s="62">
        <v>860451192</v>
      </c>
      <c r="B448" t="s">
        <v>392</v>
      </c>
      <c r="C448" t="s">
        <v>158</v>
      </c>
      <c r="D448" s="43">
        <v>3.4902718288961676</v>
      </c>
      <c r="E448" s="47">
        <v>8272815</v>
      </c>
      <c r="F448" s="49">
        <v>0.20203028192733249</v>
      </c>
      <c r="G448" s="48">
        <v>13314811</v>
      </c>
      <c r="H448" s="49">
        <v>0.46876690802871412</v>
      </c>
      <c r="I448" s="49">
        <v>0.58744949515242839</v>
      </c>
      <c r="J448" s="46"/>
    </row>
    <row r="449" spans="1:10" ht="15" customHeight="1" x14ac:dyDescent="0.25">
      <c r="A449" s="62">
        <v>860527800</v>
      </c>
      <c r="B449" t="s">
        <v>393</v>
      </c>
      <c r="C449" t="s">
        <v>147</v>
      </c>
      <c r="D449" s="43">
        <v>1.4900808791315521</v>
      </c>
      <c r="E449" s="47">
        <v>90625641</v>
      </c>
      <c r="F449" s="49">
        <v>0.67421135497520179</v>
      </c>
      <c r="G449" s="48">
        <v>104155543</v>
      </c>
      <c r="H449" s="49">
        <v>3.0093402090065505E-2</v>
      </c>
      <c r="I449" s="49">
        <v>9.2370936033620413E-2</v>
      </c>
      <c r="J449" s="46">
        <v>14.554717791773005</v>
      </c>
    </row>
    <row r="450" spans="1:10" ht="15" customHeight="1" x14ac:dyDescent="0.25">
      <c r="A450" s="62">
        <v>860535490</v>
      </c>
      <c r="B450" t="s">
        <v>394</v>
      </c>
      <c r="C450" t="s">
        <v>142</v>
      </c>
      <c r="D450" s="43">
        <v>5.442514705922644</v>
      </c>
      <c r="E450" s="47">
        <v>34050849</v>
      </c>
      <c r="F450" s="49">
        <v>0.55492076841978222</v>
      </c>
      <c r="G450" s="48">
        <v>24815158</v>
      </c>
      <c r="H450" s="49">
        <v>2.4636355185349883E-2</v>
      </c>
      <c r="I450" s="49">
        <v>5.5352740450010436E-2</v>
      </c>
      <c r="J450" s="46"/>
    </row>
    <row r="451" spans="1:10" ht="15" customHeight="1" x14ac:dyDescent="0.25">
      <c r="A451" s="62">
        <v>890922265</v>
      </c>
      <c r="B451" t="s">
        <v>395</v>
      </c>
      <c r="C451" t="s">
        <v>142</v>
      </c>
      <c r="D451" s="43">
        <v>2.4678311171838843</v>
      </c>
      <c r="E451" s="47">
        <v>35171039</v>
      </c>
      <c r="F451" s="49">
        <v>0.46181648043156659</v>
      </c>
      <c r="G451" s="48">
        <v>39802325</v>
      </c>
      <c r="H451" s="49">
        <v>0.21690986340686047</v>
      </c>
      <c r="I451" s="49">
        <v>0.40304070176804996</v>
      </c>
      <c r="J451" s="46"/>
    </row>
    <row r="452" spans="1:10" ht="15" customHeight="1" x14ac:dyDescent="0.25">
      <c r="A452" s="62">
        <v>890937250</v>
      </c>
      <c r="B452" t="s">
        <v>396</v>
      </c>
      <c r="C452" t="s">
        <v>142</v>
      </c>
      <c r="D452" s="43">
        <v>1.4873950603650876</v>
      </c>
      <c r="E452" s="47">
        <v>53326263</v>
      </c>
      <c r="F452" s="49">
        <v>0.82223274998369733</v>
      </c>
      <c r="G452" s="48">
        <v>38123864</v>
      </c>
      <c r="H452" s="49">
        <v>0.15041009970020672</v>
      </c>
      <c r="I452" s="49">
        <v>0.84610691613001243</v>
      </c>
      <c r="J452" s="46">
        <v>1.1043136952828452</v>
      </c>
    </row>
    <row r="453" spans="1:10" ht="15" customHeight="1" x14ac:dyDescent="0.25">
      <c r="A453" s="62">
        <v>900113435</v>
      </c>
      <c r="B453" t="s">
        <v>397</v>
      </c>
      <c r="C453" t="s">
        <v>142</v>
      </c>
      <c r="D453" s="43">
        <v>1.8276582400496524</v>
      </c>
      <c r="E453" s="47">
        <v>24750172</v>
      </c>
      <c r="F453" s="49">
        <v>0.27731991402748579</v>
      </c>
      <c r="G453" s="48">
        <v>96265536</v>
      </c>
      <c r="H453" s="49">
        <v>0.17265128628231335</v>
      </c>
      <c r="I453" s="49">
        <v>0.23890417023180549</v>
      </c>
      <c r="J453" s="46">
        <v>1.3920915635451323</v>
      </c>
    </row>
    <row r="454" spans="1:10" ht="15" customHeight="1" x14ac:dyDescent="0.25">
      <c r="A454" s="62">
        <v>900179369</v>
      </c>
      <c r="B454" t="s">
        <v>398</v>
      </c>
      <c r="C454" t="s">
        <v>142</v>
      </c>
      <c r="D454" s="43">
        <v>1.5261429491713205</v>
      </c>
      <c r="E454" s="47">
        <v>63410019</v>
      </c>
      <c r="F454" s="49">
        <v>0.45859915185422778</v>
      </c>
      <c r="G454" s="48">
        <v>181233425</v>
      </c>
      <c r="H454" s="49">
        <v>6.6614358827475129E-2</v>
      </c>
      <c r="I454" s="49">
        <v>0.12304073600109913</v>
      </c>
      <c r="J454" s="46">
        <v>2.1195930596190662</v>
      </c>
    </row>
    <row r="455" spans="1:10" ht="15" customHeight="1" x14ac:dyDescent="0.25">
      <c r="A455" s="62">
        <v>900504398</v>
      </c>
      <c r="B455" t="s">
        <v>399</v>
      </c>
      <c r="C455" t="s">
        <v>142</v>
      </c>
      <c r="D455" s="43">
        <v>3.779816399499226</v>
      </c>
      <c r="E455" s="47">
        <v>5579906</v>
      </c>
      <c r="F455" s="49">
        <v>0.25923210051829815</v>
      </c>
      <c r="G455" s="48">
        <v>5735934</v>
      </c>
      <c r="H455" s="49">
        <v>0.26512641305750173</v>
      </c>
      <c r="I455" s="49">
        <v>0.35790753519827806</v>
      </c>
      <c r="J455" s="46">
        <v>63.658842134639833</v>
      </c>
    </row>
    <row r="456" spans="1:10" ht="15" customHeight="1" x14ac:dyDescent="0.25">
      <c r="A456" s="62">
        <v>800241849</v>
      </c>
      <c r="B456" t="s">
        <v>400</v>
      </c>
      <c r="C456" t="s">
        <v>142</v>
      </c>
      <c r="D456" s="43">
        <v>10.3872798068944</v>
      </c>
      <c r="E456" s="47">
        <v>7941282</v>
      </c>
      <c r="F456" s="49">
        <v>0.79583732539473806</v>
      </c>
      <c r="G456" s="48">
        <v>5264660</v>
      </c>
      <c r="H456" s="49">
        <v>1.5933860827063859E-2</v>
      </c>
      <c r="I456" s="49">
        <v>7.8044925978125845E-2</v>
      </c>
      <c r="J456" s="46">
        <v>2.5365468194389571</v>
      </c>
    </row>
    <row r="457" spans="1:10" ht="15" customHeight="1" x14ac:dyDescent="0.25">
      <c r="A457" s="62">
        <v>811015529</v>
      </c>
      <c r="B457" t="s">
        <v>401</v>
      </c>
      <c r="C457" t="s">
        <v>142</v>
      </c>
      <c r="D457" s="43">
        <v>2.3995832808336841</v>
      </c>
      <c r="E457" s="47">
        <v>15484382</v>
      </c>
      <c r="F457" s="49">
        <v>0.40269035878047166</v>
      </c>
      <c r="G457" s="48">
        <v>16660452</v>
      </c>
      <c r="H457" s="49">
        <v>0.11583190427472802</v>
      </c>
      <c r="I457" s="49">
        <v>0.19392270990006755</v>
      </c>
      <c r="J457" s="46">
        <v>47.081007825364672</v>
      </c>
    </row>
    <row r="458" spans="1:10" ht="15" customHeight="1" x14ac:dyDescent="0.25">
      <c r="A458" s="62">
        <v>811043176</v>
      </c>
      <c r="B458" t="s">
        <v>402</v>
      </c>
      <c r="C458" t="s">
        <v>142</v>
      </c>
      <c r="D458" s="43">
        <v>4.9996279774923691</v>
      </c>
      <c r="E458" s="47">
        <v>14857934</v>
      </c>
      <c r="F458" s="49">
        <v>0.22584089007164707</v>
      </c>
      <c r="G458" s="48">
        <v>14587741</v>
      </c>
      <c r="H458" s="49">
        <v>5.6151943787875788E-2</v>
      </c>
      <c r="I458" s="49">
        <v>7.2532820537463613E-2</v>
      </c>
      <c r="J458" s="46">
        <v>4.2614915562787212</v>
      </c>
    </row>
    <row r="459" spans="1:10" ht="15" customHeight="1" x14ac:dyDescent="0.25">
      <c r="A459" s="62">
        <v>830085844</v>
      </c>
      <c r="B459" t="s">
        <v>403</v>
      </c>
      <c r="C459" t="s">
        <v>142</v>
      </c>
      <c r="D459" s="43">
        <v>1.9397311253841312</v>
      </c>
      <c r="E459" s="47">
        <v>46066271</v>
      </c>
      <c r="F459" s="49">
        <v>0.53752412462839583</v>
      </c>
      <c r="G459" s="48">
        <v>54425862</v>
      </c>
      <c r="H459" s="49">
        <v>0.45795921674031975</v>
      </c>
      <c r="I459" s="49">
        <v>0.99023374218675675</v>
      </c>
      <c r="J459" s="46">
        <v>28.727904768961213</v>
      </c>
    </row>
    <row r="460" spans="1:10" ht="15" customHeight="1" x14ac:dyDescent="0.25">
      <c r="A460" s="62">
        <v>830087219</v>
      </c>
      <c r="B460" t="s">
        <v>404</v>
      </c>
      <c r="C460" t="s">
        <v>142</v>
      </c>
      <c r="D460" s="43">
        <v>2.896253129129069</v>
      </c>
      <c r="E460" s="47">
        <v>16607438</v>
      </c>
      <c r="F460" s="49">
        <v>0.25573358770024207</v>
      </c>
      <c r="G460" s="48">
        <v>26994481</v>
      </c>
      <c r="H460" s="49">
        <v>0.2273136439766322</v>
      </c>
      <c r="I460" s="49">
        <v>0.30541972635073072</v>
      </c>
      <c r="J460" s="46">
        <v>10.681157993333221</v>
      </c>
    </row>
    <row r="461" spans="1:10" ht="15" customHeight="1" x14ac:dyDescent="0.25">
      <c r="A461" s="62">
        <v>830507705</v>
      </c>
      <c r="B461" t="s">
        <v>405</v>
      </c>
      <c r="C461" t="s">
        <v>142</v>
      </c>
      <c r="D461" s="43">
        <v>1.8327459454662307</v>
      </c>
      <c r="E461" s="47">
        <v>5667534</v>
      </c>
      <c r="F461" s="49">
        <v>0.63770595639824013</v>
      </c>
      <c r="G461" s="48">
        <v>8656351</v>
      </c>
      <c r="H461" s="49">
        <v>0.10154494398481508</v>
      </c>
      <c r="I461" s="49">
        <v>0.28028322788666959</v>
      </c>
      <c r="J461" s="46">
        <v>6.5164130358879051</v>
      </c>
    </row>
    <row r="462" spans="1:10" ht="15" customHeight="1" x14ac:dyDescent="0.25">
      <c r="A462" s="62">
        <v>860008207</v>
      </c>
      <c r="B462" t="s">
        <v>406</v>
      </c>
      <c r="C462" t="s">
        <v>158</v>
      </c>
      <c r="D462" s="43">
        <v>1.6963868172322072</v>
      </c>
      <c r="E462" s="47">
        <v>20844831</v>
      </c>
      <c r="F462" s="49">
        <v>0.46627706767930011</v>
      </c>
      <c r="G462" s="48">
        <v>35722450</v>
      </c>
      <c r="H462" s="49">
        <v>0.20350063269171498</v>
      </c>
      <c r="I462" s="49">
        <v>0.38128515821283254</v>
      </c>
      <c r="J462" s="46"/>
    </row>
    <row r="463" spans="1:10" ht="15" customHeight="1" x14ac:dyDescent="0.25">
      <c r="A463" s="62">
        <v>860046927</v>
      </c>
      <c r="B463" t="s">
        <v>407</v>
      </c>
      <c r="C463" t="s">
        <v>142</v>
      </c>
      <c r="D463" s="43">
        <v>2.6348818765199415</v>
      </c>
      <c r="E463" s="47">
        <v>82960683</v>
      </c>
      <c r="F463" s="49">
        <v>0.36735870616132738</v>
      </c>
      <c r="G463" s="48">
        <v>107951333</v>
      </c>
      <c r="H463" s="49">
        <v>0.22152932202565595</v>
      </c>
      <c r="I463" s="49">
        <v>0.3501657640485088</v>
      </c>
      <c r="J463" s="46">
        <v>1.0707962636406918</v>
      </c>
    </row>
    <row r="464" spans="1:10" ht="15" customHeight="1" x14ac:dyDescent="0.25">
      <c r="A464" s="62">
        <v>860048081</v>
      </c>
      <c r="B464" t="s">
        <v>408</v>
      </c>
      <c r="C464" t="s">
        <v>142</v>
      </c>
      <c r="D464" s="43">
        <v>1.8668228215505114</v>
      </c>
      <c r="E464" s="47">
        <v>18290694</v>
      </c>
      <c r="F464" s="49">
        <v>0.3444468134365688</v>
      </c>
      <c r="G464" s="48">
        <v>53419722</v>
      </c>
      <c r="H464" s="49">
        <v>9.0459631568356208E-2</v>
      </c>
      <c r="I464" s="49">
        <v>0.13798976715004246</v>
      </c>
      <c r="J464" s="46">
        <v>2.4591661078695317</v>
      </c>
    </row>
    <row r="465" spans="1:10" ht="15" customHeight="1" x14ac:dyDescent="0.25">
      <c r="A465" s="62">
        <v>860515523</v>
      </c>
      <c r="B465" t="s">
        <v>409</v>
      </c>
      <c r="C465" t="s">
        <v>147</v>
      </c>
      <c r="D465" s="43">
        <v>8.0893937154654569</v>
      </c>
      <c r="E465" s="47">
        <v>54540145</v>
      </c>
      <c r="F465" s="49">
        <v>0.95600029862163882</v>
      </c>
      <c r="G465" s="48">
        <v>8415033</v>
      </c>
      <c r="H465" s="49">
        <v>1.8161002908580619E-2</v>
      </c>
      <c r="I465" s="49">
        <v>0.41275286739814332</v>
      </c>
      <c r="J465" s="46">
        <v>2.4861577862765349</v>
      </c>
    </row>
    <row r="466" spans="1:10" ht="15" customHeight="1" x14ac:dyDescent="0.25">
      <c r="A466" s="62">
        <v>900107673</v>
      </c>
      <c r="B466" t="s">
        <v>410</v>
      </c>
      <c r="C466" t="s">
        <v>158</v>
      </c>
      <c r="D466" s="43">
        <v>3.0625225994614191</v>
      </c>
      <c r="E466" s="47">
        <v>13872164</v>
      </c>
      <c r="F466" s="49">
        <v>0.31587576270883233</v>
      </c>
      <c r="G466" s="48">
        <v>23557030</v>
      </c>
      <c r="H466" s="49">
        <v>6.89719022979947E-2</v>
      </c>
      <c r="I466" s="49">
        <v>0.10081780258377224</v>
      </c>
      <c r="J466" s="46">
        <v>5.0647075758383533</v>
      </c>
    </row>
    <row r="467" spans="1:10" ht="15" customHeight="1" x14ac:dyDescent="0.25">
      <c r="A467" s="62">
        <v>900180705</v>
      </c>
      <c r="B467" t="s">
        <v>411</v>
      </c>
      <c r="C467" t="s">
        <v>142</v>
      </c>
      <c r="D467" s="43">
        <v>4.1296401139438572</v>
      </c>
      <c r="E467" s="47">
        <v>5616352</v>
      </c>
      <c r="F467" s="49">
        <v>0.37438689827798233</v>
      </c>
      <c r="G467" s="48">
        <v>6111981</v>
      </c>
      <c r="H467" s="49">
        <v>0.14926221029222733</v>
      </c>
      <c r="I467" s="49">
        <v>0.23858549298500764</v>
      </c>
      <c r="J467" s="46">
        <v>8.0685106594884104</v>
      </c>
    </row>
    <row r="468" spans="1:10" ht="15" customHeight="1" x14ac:dyDescent="0.25">
      <c r="A468" s="62">
        <v>900269883</v>
      </c>
      <c r="B468" t="s">
        <v>412</v>
      </c>
      <c r="C468" t="s">
        <v>158</v>
      </c>
      <c r="D468" s="43">
        <v>4.1201715793402371</v>
      </c>
      <c r="E468" s="47">
        <v>37135240</v>
      </c>
      <c r="F468" s="49">
        <v>0.46243351414218198</v>
      </c>
      <c r="G468" s="48">
        <v>33968694</v>
      </c>
      <c r="H468" s="49">
        <v>3.2076244512678431E-2</v>
      </c>
      <c r="I468" s="49">
        <v>5.9669353199154493E-2</v>
      </c>
      <c r="J468" s="46"/>
    </row>
    <row r="469" spans="1:10" ht="15" customHeight="1" x14ac:dyDescent="0.25">
      <c r="A469" s="62">
        <v>900281916</v>
      </c>
      <c r="B469" t="s">
        <v>413</v>
      </c>
      <c r="C469" t="s">
        <v>147</v>
      </c>
      <c r="D469" s="43">
        <v>2.2788814324572226</v>
      </c>
      <c r="E469" s="47">
        <v>43876487</v>
      </c>
      <c r="F469" s="49">
        <v>0.66538908021635623</v>
      </c>
      <c r="G469" s="48">
        <v>41166275</v>
      </c>
      <c r="H469" s="49">
        <v>4.3829397170096186E-2</v>
      </c>
      <c r="I469" s="49">
        <v>0.13098615310712469</v>
      </c>
      <c r="J469" s="46">
        <v>1.6291851977182636</v>
      </c>
    </row>
    <row r="470" spans="1:10" ht="15" customHeight="1" x14ac:dyDescent="0.25">
      <c r="A470" s="62">
        <v>900309576</v>
      </c>
      <c r="B470" t="s">
        <v>414</v>
      </c>
      <c r="C470" t="s">
        <v>142</v>
      </c>
      <c r="D470" s="43">
        <v>2.0404695172619403</v>
      </c>
      <c r="E470" s="47">
        <v>45006641</v>
      </c>
      <c r="F470" s="49">
        <v>0.59485904390730659</v>
      </c>
      <c r="G470" s="48">
        <v>57459266</v>
      </c>
      <c r="H470" s="49">
        <v>0.14088328484529955</v>
      </c>
      <c r="I470" s="49">
        <v>0.3477389356139704</v>
      </c>
      <c r="J470" s="46">
        <v>3.7245851816461952</v>
      </c>
    </row>
    <row r="471" spans="1:10" ht="15" customHeight="1" x14ac:dyDescent="0.25">
      <c r="A471" s="62">
        <v>900324784</v>
      </c>
      <c r="B471" t="s">
        <v>415</v>
      </c>
      <c r="C471" t="s">
        <v>142</v>
      </c>
      <c r="D471" s="43">
        <v>1.4260941176678115</v>
      </c>
      <c r="E471" s="47">
        <v>27536983</v>
      </c>
      <c r="F471" s="49">
        <v>0.7703651682924243</v>
      </c>
      <c r="G471" s="48">
        <v>21553509</v>
      </c>
      <c r="H471" s="49">
        <v>0.21711364175440617</v>
      </c>
      <c r="I471" s="49">
        <v>0.94547347255613923</v>
      </c>
      <c r="J471" s="46"/>
    </row>
    <row r="472" spans="1:10" ht="15" customHeight="1" x14ac:dyDescent="0.25">
      <c r="A472" s="62">
        <v>900346779</v>
      </c>
      <c r="B472" t="s">
        <v>416</v>
      </c>
      <c r="C472" t="s">
        <v>142</v>
      </c>
      <c r="D472" s="43">
        <v>4.5393944441463097</v>
      </c>
      <c r="E472" s="47">
        <v>20313958</v>
      </c>
      <c r="F472" s="49">
        <v>0.46685142440441396</v>
      </c>
      <c r="G472" s="48">
        <v>17692962</v>
      </c>
      <c r="H472" s="49">
        <v>0.24098545160882065</v>
      </c>
      <c r="I472" s="49">
        <v>0.45200430544077358</v>
      </c>
      <c r="J472" s="46">
        <v>3.4422907068035786</v>
      </c>
    </row>
    <row r="473" spans="1:10" ht="15" customHeight="1" x14ac:dyDescent="0.25">
      <c r="A473" s="62">
        <v>900396394</v>
      </c>
      <c r="B473" t="s">
        <v>417</v>
      </c>
      <c r="C473" t="s">
        <v>142</v>
      </c>
      <c r="D473" s="43">
        <v>1.6875821902203572</v>
      </c>
      <c r="E473" s="47">
        <v>5190943</v>
      </c>
      <c r="F473" s="49">
        <v>0.63045406877244337</v>
      </c>
      <c r="G473" s="48">
        <v>4868193</v>
      </c>
      <c r="H473" s="49">
        <v>7.5829898709107599E-2</v>
      </c>
      <c r="I473" s="49">
        <v>0.20519749319716782</v>
      </c>
      <c r="J473" s="46"/>
    </row>
    <row r="474" spans="1:10" ht="15" customHeight="1" x14ac:dyDescent="0.25">
      <c r="A474" s="62">
        <v>900491651</v>
      </c>
      <c r="B474" t="s">
        <v>418</v>
      </c>
      <c r="C474" t="s">
        <v>158</v>
      </c>
      <c r="D474" s="43">
        <v>1.2893653038365434</v>
      </c>
      <c r="E474" s="47">
        <v>10249133</v>
      </c>
      <c r="F474" s="49">
        <v>0.88632569371886472</v>
      </c>
      <c r="G474" s="48">
        <v>5313183</v>
      </c>
      <c r="H474" s="49">
        <v>0.33015311549296833</v>
      </c>
      <c r="I474" s="49">
        <v>2.9043776583641105</v>
      </c>
      <c r="J474" s="46"/>
    </row>
    <row r="475" spans="1:10" ht="15" customHeight="1" x14ac:dyDescent="0.25">
      <c r="A475" s="62">
        <v>900612118</v>
      </c>
      <c r="B475" t="s">
        <v>419</v>
      </c>
      <c r="C475" t="s">
        <v>158</v>
      </c>
      <c r="D475" s="43">
        <v>1.2892023530640853</v>
      </c>
      <c r="E475" s="47">
        <v>6350283</v>
      </c>
      <c r="F475" s="49">
        <v>0.75802520313182398</v>
      </c>
      <c r="G475" s="48">
        <v>7009350</v>
      </c>
      <c r="H475" s="49">
        <v>4.9309784873432856E-2</v>
      </c>
      <c r="I475" s="49">
        <v>0.20378066439826803</v>
      </c>
      <c r="J475" s="46"/>
    </row>
    <row r="476" spans="1:10" ht="15" customHeight="1" x14ac:dyDescent="0.25">
      <c r="A476" s="62">
        <v>900707908</v>
      </c>
      <c r="B476" t="s">
        <v>420</v>
      </c>
      <c r="C476" t="s">
        <v>158</v>
      </c>
      <c r="D476" s="43">
        <v>1.8886669713510253</v>
      </c>
      <c r="E476" s="47">
        <v>9251711</v>
      </c>
      <c r="F476" s="49">
        <v>0.92151501281992243</v>
      </c>
      <c r="G476" s="48">
        <v>6739985</v>
      </c>
      <c r="H476" s="49">
        <v>6.2550682753951176E-2</v>
      </c>
      <c r="I476" s="49">
        <v>0.79697640276647497</v>
      </c>
      <c r="J476" s="46">
        <v>0.6613980401393913</v>
      </c>
    </row>
    <row r="477" spans="1:10" ht="15" customHeight="1" x14ac:dyDescent="0.25">
      <c r="A477" s="62">
        <v>900839160</v>
      </c>
      <c r="B477" t="s">
        <v>421</v>
      </c>
      <c r="C477" t="s">
        <v>142</v>
      </c>
      <c r="D477" s="43">
        <v>1.4991635507430554</v>
      </c>
      <c r="E477" s="47">
        <v>23066455</v>
      </c>
      <c r="F477" s="49">
        <v>0.66297134798823298</v>
      </c>
      <c r="G477" s="48">
        <v>27660993</v>
      </c>
      <c r="H477" s="49">
        <v>0.14497470060843307</v>
      </c>
      <c r="I477" s="49">
        <v>0.43015541777549343</v>
      </c>
      <c r="J477" s="46">
        <v>2.0307687633851068</v>
      </c>
    </row>
    <row r="478" spans="1:10" ht="15" customHeight="1" x14ac:dyDescent="0.25">
      <c r="A478" s="62">
        <v>900967937</v>
      </c>
      <c r="B478" t="s">
        <v>422</v>
      </c>
      <c r="C478" t="s">
        <v>142</v>
      </c>
      <c r="D478" s="43">
        <v>2.2956347167294053</v>
      </c>
      <c r="E478" s="47">
        <v>7753507</v>
      </c>
      <c r="F478" s="49">
        <v>0.43275521469225497</v>
      </c>
      <c r="G478" s="48">
        <v>7878342</v>
      </c>
      <c r="H478" s="49">
        <v>1.5185847403376551E-2</v>
      </c>
      <c r="I478" s="49">
        <v>2.6771241969439762E-2</v>
      </c>
      <c r="J478" s="46">
        <v>1.2039169125915441</v>
      </c>
    </row>
    <row r="479" spans="1:10" ht="15" customHeight="1" x14ac:dyDescent="0.25">
      <c r="A479" s="62">
        <v>901139964</v>
      </c>
      <c r="B479" t="s">
        <v>423</v>
      </c>
      <c r="C479" t="s">
        <v>158</v>
      </c>
      <c r="D479" s="43">
        <v>2.7693560710041236</v>
      </c>
      <c r="E479" s="47">
        <v>7612175</v>
      </c>
      <c r="F479" s="49">
        <v>0.35331095597390172</v>
      </c>
      <c r="G479" s="48">
        <v>7874662</v>
      </c>
      <c r="H479" s="49">
        <v>0.13831863979073147</v>
      </c>
      <c r="I479" s="49">
        <v>0.21388740240533499</v>
      </c>
      <c r="J479" s="46">
        <v>2.9794534602743314</v>
      </c>
    </row>
    <row r="480" spans="1:10" ht="15" customHeight="1" x14ac:dyDescent="0.25">
      <c r="A480" s="62">
        <v>901303671</v>
      </c>
      <c r="B480" t="s">
        <v>424</v>
      </c>
      <c r="C480" t="s">
        <v>158</v>
      </c>
      <c r="D480" s="43">
        <v>2.7322570377112987</v>
      </c>
      <c r="E480" s="47">
        <v>7754925</v>
      </c>
      <c r="F480" s="49">
        <v>0.36204496052888879</v>
      </c>
      <c r="G480" s="48">
        <v>7888471</v>
      </c>
      <c r="H480" s="49">
        <v>0.95910554468548381</v>
      </c>
      <c r="I480" s="49">
        <v>1.5034061733889876</v>
      </c>
      <c r="J480" s="46">
        <v>40066.135135135133</v>
      </c>
    </row>
    <row r="481" spans="1:12" ht="15" customHeight="1" x14ac:dyDescent="0.25">
      <c r="A481" s="62">
        <v>901399739</v>
      </c>
      <c r="B481" t="s">
        <v>425</v>
      </c>
      <c r="C481" t="s">
        <v>158</v>
      </c>
      <c r="D481" s="43">
        <v>3.6585729842126571</v>
      </c>
      <c r="E481" s="47">
        <v>11005886</v>
      </c>
      <c r="F481" s="49">
        <v>0.22946747476924362</v>
      </c>
      <c r="G481" s="48">
        <v>13901007</v>
      </c>
      <c r="H481" s="49">
        <v>0.76695546239993295</v>
      </c>
      <c r="I481" s="49">
        <v>0.9953576744476138</v>
      </c>
      <c r="J481" s="46">
        <v>22.913494420036532</v>
      </c>
      <c r="L481" s="14">
        <v>379</v>
      </c>
    </row>
    <row r="482" spans="1:12" ht="15" customHeight="1" x14ac:dyDescent="0.25">
      <c r="A482" s="56"/>
      <c r="B482" s="56"/>
      <c r="C482" s="56"/>
      <c r="D482" s="43"/>
      <c r="E482" s="47"/>
      <c r="F482" s="49"/>
      <c r="G482" s="48"/>
      <c r="H482" s="49"/>
      <c r="I482" s="49"/>
      <c r="J482" s="46"/>
      <c r="L482" s="14">
        <v>20</v>
      </c>
    </row>
    <row r="483" spans="1:12" ht="15" customHeight="1" x14ac:dyDescent="0.25">
      <c r="A483" s="42"/>
      <c r="B483" s="42"/>
      <c r="C483" s="42"/>
      <c r="D483" s="43"/>
      <c r="E483" s="47"/>
      <c r="F483" s="49"/>
      <c r="G483" s="48"/>
      <c r="H483" s="49"/>
      <c r="I483" s="49"/>
      <c r="J483" s="46"/>
      <c r="L483" s="14">
        <f>+L481-L482</f>
        <v>359</v>
      </c>
    </row>
    <row r="484" spans="1:12" ht="12.75" thickBot="1" x14ac:dyDescent="0.25">
      <c r="L484" s="14">
        <v>373</v>
      </c>
    </row>
    <row r="485" spans="1:12" ht="40.5" customHeight="1" thickTop="1" thickBot="1" x14ac:dyDescent="0.25">
      <c r="A485" s="27" t="s">
        <v>24</v>
      </c>
      <c r="B485" s="25">
        <f>COUNTA(B20:B483)</f>
        <v>462</v>
      </c>
      <c r="L485" s="57">
        <f>+L484-L483</f>
        <v>14</v>
      </c>
    </row>
    <row r="486" spans="1:12" ht="12.75" thickTop="1" x14ac:dyDescent="0.2"/>
    <row r="487" spans="1:12" ht="15.75" customHeight="1" x14ac:dyDescent="0.2">
      <c r="A487" s="108" t="s">
        <v>25</v>
      </c>
      <c r="B487" s="14" t="s">
        <v>26</v>
      </c>
      <c r="D487" s="13">
        <f>SUBTOTAL(1,D20:D481)</f>
        <v>221.67904937509789</v>
      </c>
      <c r="E487" s="44">
        <f>SUBTOTAL(1,E20:E481)</f>
        <v>30677195.183982685</v>
      </c>
      <c r="F487" s="50">
        <f>SUBTOTAL(1,F20:F481)</f>
        <v>0.44387573438666544</v>
      </c>
      <c r="G487" s="13">
        <f>SUBTOTAL(1,G20:G480)</f>
        <v>38980560.02386117</v>
      </c>
      <c r="H487" s="50">
        <f>SUBTOTAL(1,H20:H481)</f>
        <v>0.13552346949670691</v>
      </c>
      <c r="I487" s="50">
        <f>SUBTOTAL(1,I20:I481)</f>
        <v>0.27745771930970742</v>
      </c>
      <c r="J487" s="13">
        <f>SUBTOTAL(1,J20:J481)</f>
        <v>339.25745785207641</v>
      </c>
    </row>
    <row r="488" spans="1:12" x14ac:dyDescent="0.2">
      <c r="A488" s="108"/>
      <c r="B488" s="14" t="s">
        <v>27</v>
      </c>
      <c r="D488" s="13">
        <f>SUBTOTAL(7,D20:D481)</f>
        <v>4512.4268953723858</v>
      </c>
      <c r="E488" s="44">
        <f>SUBTOTAL(7,E20:E481)</f>
        <v>46231178.919373982</v>
      </c>
      <c r="F488" s="50">
        <f>SUBTOTAL(7,F20:F481)</f>
        <v>0.22140270221521696</v>
      </c>
      <c r="G488" s="13">
        <f>SUBTOTAL(7,G20:G480)</f>
        <v>79159467.675902247</v>
      </c>
      <c r="H488" s="50">
        <f>SUBTOTAL(7,H20:H481)</f>
        <v>0.12083403241507117</v>
      </c>
      <c r="I488" s="50">
        <f>SUBTOTAL(7,I20:I481)</f>
        <v>0.28331275683400253</v>
      </c>
      <c r="J488" s="13">
        <f>SUBTOTAL(7,J20:J481)</f>
        <v>2932.7321968386705</v>
      </c>
    </row>
    <row r="489" spans="1:12" x14ac:dyDescent="0.2">
      <c r="A489" s="108"/>
      <c r="B489" s="14" t="s">
        <v>28</v>
      </c>
      <c r="D489" s="13">
        <f>SUBTOTAL(5,D20:D481)</f>
        <v>1.1419923844818696</v>
      </c>
      <c r="E489" s="44">
        <f>SUBTOTAL(5,E20:E481)</f>
        <v>5020179</v>
      </c>
      <c r="F489" s="50">
        <f>SUBTOTAL(5,F20:F481)</f>
        <v>2.3283803342332332E-3</v>
      </c>
      <c r="G489" s="13">
        <f>SUBTOTAL(5,G20:G480)</f>
        <v>2597364</v>
      </c>
      <c r="H489" s="50">
        <f>SUBTOTAL(5,H20:H481)</f>
        <v>2.9626189380125172E-3</v>
      </c>
      <c r="I489" s="50">
        <f>SUBTOTAL(5,I20:I481)</f>
        <v>1.0704876219645937E-2</v>
      </c>
      <c r="J489" s="13">
        <f>SUBTOTAL(5,J20:J481)</f>
        <v>6.0526125160766539E-2</v>
      </c>
    </row>
    <row r="490" spans="1:12" x14ac:dyDescent="0.2">
      <c r="A490" s="108"/>
      <c r="B490" s="14" t="s">
        <v>29</v>
      </c>
      <c r="D490" s="13">
        <f>SUBTOTAL(4,D20:D481)</f>
        <v>96998.888198757762</v>
      </c>
      <c r="E490" s="44">
        <f>SUBTOTAL(4,E20:E481)</f>
        <v>450726131</v>
      </c>
      <c r="F490" s="50">
        <f>SUBTOTAL(4,F20:F481)</f>
        <v>0.97504429076235799</v>
      </c>
      <c r="G490" s="13">
        <f>SUBTOTAL(4,G20:G480)</f>
        <v>692063156</v>
      </c>
      <c r="H490" s="50">
        <f>SUBTOTAL(4,H20:H481)</f>
        <v>0.95910554468548381</v>
      </c>
      <c r="I490" s="50">
        <f>SUBTOTAL(4,I20:I481)</f>
        <v>2.9043776583641105</v>
      </c>
      <c r="J490" s="13">
        <f>SUBTOTAL(4,J20:J481)</f>
        <v>40066.135135135133</v>
      </c>
    </row>
    <row r="493" spans="1:12" ht="36" x14ac:dyDescent="0.2">
      <c r="A493" s="67" t="s">
        <v>30</v>
      </c>
      <c r="B493" s="99" t="s">
        <v>31</v>
      </c>
      <c r="C493" s="99"/>
      <c r="D493" s="99"/>
      <c r="E493" s="99"/>
      <c r="F493" s="99"/>
      <c r="G493" s="99"/>
      <c r="H493" s="99"/>
      <c r="I493" s="99"/>
      <c r="J493" s="99"/>
    </row>
    <row r="495" spans="1:12" ht="14.25" x14ac:dyDescent="0.2">
      <c r="B495" s="45" t="s">
        <v>32</v>
      </c>
      <c r="C495" s="109" t="s">
        <v>33</v>
      </c>
      <c r="D495" s="109"/>
      <c r="E495" s="32"/>
    </row>
    <row r="496" spans="1:12" ht="14.25" x14ac:dyDescent="0.2">
      <c r="B496" s="2" t="s">
        <v>34</v>
      </c>
      <c r="C496" s="3">
        <f>COUNTIF(D20:D481,"&gt;=0")-COUNTIF(D20:D481,"&gt;1")</f>
        <v>0</v>
      </c>
      <c r="D496" s="4">
        <f>+C496/$B$485</f>
        <v>0</v>
      </c>
      <c r="E496" s="30"/>
      <c r="G496" s="18"/>
    </row>
    <row r="497" spans="2:10" ht="14.25" x14ac:dyDescent="0.2">
      <c r="B497" s="2" t="s">
        <v>35</v>
      </c>
      <c r="C497" s="3">
        <f>COUNTIF(D20:D481,"&gt;=1")-COUNTIF(D20:D481,"&gt;2")</f>
        <v>92</v>
      </c>
      <c r="D497" s="4">
        <f t="shared" ref="D497:D503" si="0">+C497/$B$485</f>
        <v>0.19913419913419914</v>
      </c>
      <c r="E497" s="30"/>
    </row>
    <row r="498" spans="2:10" ht="14.25" x14ac:dyDescent="0.2">
      <c r="B498" s="2" t="s">
        <v>36</v>
      </c>
      <c r="C498" s="3">
        <f>COUNTIF(D20:D481,"&gt;=2")-COUNTIF(D20:D481,"&gt;5")</f>
        <v>195</v>
      </c>
      <c r="D498" s="4">
        <f t="shared" si="0"/>
        <v>0.42207792207792205</v>
      </c>
      <c r="E498" s="30"/>
    </row>
    <row r="499" spans="2:10" ht="14.25" x14ac:dyDescent="0.2">
      <c r="B499" s="5" t="s">
        <v>37</v>
      </c>
      <c r="C499" s="3">
        <f>COUNTIF(D20:D481,"&gt;=5")-COUNTIF(D20:D481,"&gt;10")</f>
        <v>86</v>
      </c>
      <c r="D499" s="4">
        <f t="shared" si="0"/>
        <v>0.18614718614718614</v>
      </c>
      <c r="E499" s="30"/>
    </row>
    <row r="500" spans="2:10" ht="14.25" x14ac:dyDescent="0.2">
      <c r="B500" s="2" t="s">
        <v>38</v>
      </c>
      <c r="C500" s="3">
        <f>COUNTIF(D20:D481,"&gt;=10")-COUNTIF(D20:D481,"&gt;20")</f>
        <v>45</v>
      </c>
      <c r="D500" s="4">
        <f t="shared" si="0"/>
        <v>9.7402597402597407E-2</v>
      </c>
      <c r="E500" s="30"/>
    </row>
    <row r="501" spans="2:10" ht="14.25" x14ac:dyDescent="0.2">
      <c r="B501" s="2" t="s">
        <v>39</v>
      </c>
      <c r="C501" s="3">
        <f>COUNTIF(D20:D481,"&gt;=20")-COUNTIF(D20:D481,"&gt;30")</f>
        <v>18</v>
      </c>
      <c r="D501" s="4">
        <f t="shared" si="0"/>
        <v>3.896103896103896E-2</v>
      </c>
      <c r="E501" s="30"/>
    </row>
    <row r="502" spans="2:10" ht="14.25" x14ac:dyDescent="0.2">
      <c r="B502" s="2" t="s">
        <v>40</v>
      </c>
      <c r="C502" s="3">
        <f>COUNTIF(D20:D481,"&gt;=30")-COUNTIF(D20:D481,"&gt;50")</f>
        <v>5</v>
      </c>
      <c r="D502" s="4">
        <f t="shared" si="0"/>
        <v>1.0822510822510822E-2</v>
      </c>
      <c r="E502" s="30"/>
    </row>
    <row r="503" spans="2:10" ht="14.25" x14ac:dyDescent="0.2">
      <c r="B503" s="2" t="s">
        <v>41</v>
      </c>
      <c r="C503" s="3">
        <f>COUNTIF(D20:D481,"&gt;50")</f>
        <v>21</v>
      </c>
      <c r="D503" s="4">
        <f t="shared" si="0"/>
        <v>4.5454545454545456E-2</v>
      </c>
      <c r="E503" s="30"/>
    </row>
    <row r="504" spans="2:10" ht="14.25" x14ac:dyDescent="0.2">
      <c r="B504" s="28" t="s">
        <v>42</v>
      </c>
      <c r="C504" s="6">
        <f>SUM(C496:C503)</f>
        <v>462</v>
      </c>
      <c r="D504" s="7">
        <f>SUM(D496:D503)</f>
        <v>1</v>
      </c>
      <c r="E504" s="31"/>
    </row>
    <row r="508" spans="2:10" ht="36" customHeight="1" x14ac:dyDescent="0.2">
      <c r="B508" s="99" t="s">
        <v>43</v>
      </c>
      <c r="C508" s="99"/>
      <c r="D508" s="99"/>
      <c r="E508" s="99"/>
      <c r="F508" s="99"/>
      <c r="G508" s="99"/>
      <c r="H508" s="99"/>
      <c r="I508" s="99"/>
      <c r="J508" s="99"/>
    </row>
    <row r="510" spans="2:10" ht="14.25" x14ac:dyDescent="0.2">
      <c r="B510" s="29" t="s">
        <v>32</v>
      </c>
      <c r="C510" s="102" t="s">
        <v>33</v>
      </c>
      <c r="D510" s="103"/>
      <c r="E510" s="32"/>
    </row>
    <row r="511" spans="2:10" ht="14.25" x14ac:dyDescent="0.2">
      <c r="B511" s="2" t="s">
        <v>44</v>
      </c>
      <c r="C511" s="3">
        <f>COUNTIF(E20:E481,"&lt;0")</f>
        <v>0</v>
      </c>
      <c r="D511" s="4">
        <f>+C511/$B$485</f>
        <v>0</v>
      </c>
      <c r="E511" s="30"/>
    </row>
    <row r="512" spans="2:10" ht="14.25" x14ac:dyDescent="0.2">
      <c r="B512" s="2" t="s">
        <v>45</v>
      </c>
      <c r="C512" s="3">
        <f>COUNTIF(E20:E481,"=0")</f>
        <v>0</v>
      </c>
      <c r="D512" s="4">
        <f>+C512/$B$485</f>
        <v>0</v>
      </c>
      <c r="E512" s="30"/>
    </row>
    <row r="513" spans="2:10" ht="14.25" x14ac:dyDescent="0.2">
      <c r="B513" s="2" t="s">
        <v>46</v>
      </c>
      <c r="C513" s="3">
        <f>COUNTIF(E20:E481,"&gt;0")</f>
        <v>462</v>
      </c>
      <c r="D513" s="4">
        <f>+C513/$B$485</f>
        <v>1</v>
      </c>
      <c r="E513" s="30"/>
    </row>
    <row r="514" spans="2:10" ht="14.25" x14ac:dyDescent="0.2">
      <c r="B514" s="28" t="s">
        <v>42</v>
      </c>
      <c r="C514" s="6">
        <f>SUM(C511:C513)</f>
        <v>462</v>
      </c>
      <c r="D514" s="7">
        <f>SUM(D511:D513)</f>
        <v>1</v>
      </c>
      <c r="E514" s="31"/>
    </row>
    <row r="519" spans="2:10" ht="36" customHeight="1" x14ac:dyDescent="0.2">
      <c r="B519" s="99" t="s">
        <v>47</v>
      </c>
      <c r="C519" s="99"/>
      <c r="D519" s="99"/>
      <c r="E519" s="99"/>
      <c r="F519" s="99"/>
      <c r="G519" s="99"/>
      <c r="H519" s="99"/>
      <c r="I519" s="99"/>
      <c r="J519" s="99"/>
    </row>
    <row r="521" spans="2:10" ht="14.25" x14ac:dyDescent="0.2">
      <c r="B521" s="29" t="s">
        <v>32</v>
      </c>
      <c r="C521" s="102" t="s">
        <v>33</v>
      </c>
      <c r="D521" s="103"/>
      <c r="E521" s="35"/>
    </row>
    <row r="522" spans="2:10" ht="14.25" x14ac:dyDescent="0.2">
      <c r="B522" s="2" t="s">
        <v>48</v>
      </c>
      <c r="C522" s="3">
        <f>COUNTIF(F20:F481,"&gt;=0")-COUNTIF(F20:F481,"&gt;15%")</f>
        <v>52</v>
      </c>
      <c r="D522" s="33">
        <f t="shared" ref="D522:D528" si="1">+C522/$B$485</f>
        <v>0.11255411255411256</v>
      </c>
      <c r="E522" s="30"/>
      <c r="F522" s="9"/>
    </row>
    <row r="523" spans="2:10" ht="14.25" x14ac:dyDescent="0.2">
      <c r="B523" s="2" t="s">
        <v>49</v>
      </c>
      <c r="C523" s="3">
        <f>COUNTIF(F20:F481,"&gt;15%")-COUNTIF(F20:F481,"&gt;30%")</f>
        <v>86</v>
      </c>
      <c r="D523" s="33">
        <f t="shared" si="1"/>
        <v>0.18614718614718614</v>
      </c>
      <c r="E523" s="30"/>
      <c r="F523" s="9"/>
    </row>
    <row r="524" spans="2:10" ht="14.25" x14ac:dyDescent="0.2">
      <c r="B524" s="2" t="s">
        <v>50</v>
      </c>
      <c r="C524" s="3">
        <f>COUNTIF(F20:F481,"&gt;30%")-COUNTIF(F20:F481,"&gt;45%")</f>
        <v>83</v>
      </c>
      <c r="D524" s="33">
        <f t="shared" si="1"/>
        <v>0.17965367965367965</v>
      </c>
      <c r="E524" s="30"/>
      <c r="F524" s="9"/>
    </row>
    <row r="525" spans="2:10" ht="14.25" x14ac:dyDescent="0.2">
      <c r="B525" s="2" t="s">
        <v>51</v>
      </c>
      <c r="C525" s="3">
        <f>COUNTIF(F20:F481,"&gt;45%")-COUNTIF(F20:F481,"&gt;60%")</f>
        <v>118</v>
      </c>
      <c r="D525" s="33">
        <f t="shared" si="1"/>
        <v>0.25541125541125542</v>
      </c>
      <c r="E525" s="30"/>
      <c r="F525" s="9"/>
    </row>
    <row r="526" spans="2:10" ht="14.25" x14ac:dyDescent="0.2">
      <c r="B526" s="2" t="s">
        <v>52</v>
      </c>
      <c r="C526" s="3">
        <f>COUNTIF(F20:F481,"&gt;60%")-COUNTIF(F20:F481,"&gt;75%")</f>
        <v>92</v>
      </c>
      <c r="D526" s="33">
        <f t="shared" si="1"/>
        <v>0.19913419913419914</v>
      </c>
      <c r="E526" s="30"/>
      <c r="F526" s="9"/>
    </row>
    <row r="527" spans="2:10" ht="14.25" x14ac:dyDescent="0.2">
      <c r="B527" s="2" t="s">
        <v>53</v>
      </c>
      <c r="C527" s="3">
        <f>COUNTIF(F20:F481,"&gt;75%")-COUNTIF(F20:F481,"&gt;90%")</f>
        <v>23</v>
      </c>
      <c r="D527" s="33">
        <f t="shared" si="1"/>
        <v>4.9783549783549784E-2</v>
      </c>
      <c r="E527" s="30"/>
      <c r="F527" s="9">
        <v>373</v>
      </c>
    </row>
    <row r="528" spans="2:10" ht="14.25" x14ac:dyDescent="0.2">
      <c r="B528" s="2" t="s">
        <v>54</v>
      </c>
      <c r="C528" s="3">
        <f>COUNTIF(F20:F481,"&gt;90%")</f>
        <v>8</v>
      </c>
      <c r="D528" s="33">
        <f t="shared" si="1"/>
        <v>1.7316017316017316E-2</v>
      </c>
      <c r="E528" s="30"/>
      <c r="F528" s="9">
        <v>181</v>
      </c>
    </row>
    <row r="529" spans="2:10" ht="14.25" x14ac:dyDescent="0.2">
      <c r="B529" s="28" t="s">
        <v>42</v>
      </c>
      <c r="C529" s="6">
        <f>SUM(C522:C528)</f>
        <v>462</v>
      </c>
      <c r="D529" s="34">
        <f>SUM(D522:D528)</f>
        <v>1</v>
      </c>
      <c r="E529" s="31"/>
      <c r="F529" s="14">
        <f>+F527-F528</f>
        <v>192</v>
      </c>
    </row>
    <row r="534" spans="2:10" ht="36" customHeight="1" x14ac:dyDescent="0.2">
      <c r="B534" s="99" t="s">
        <v>55</v>
      </c>
      <c r="C534" s="99"/>
      <c r="D534" s="99"/>
      <c r="E534" s="99"/>
      <c r="F534" s="99"/>
      <c r="G534" s="99"/>
      <c r="H534" s="99"/>
      <c r="I534" s="99"/>
      <c r="J534" s="99"/>
    </row>
    <row r="536" spans="2:10" ht="14.25" x14ac:dyDescent="0.2">
      <c r="B536" s="29" t="s">
        <v>32</v>
      </c>
      <c r="C536" s="104" t="s">
        <v>33</v>
      </c>
      <c r="D536" s="104"/>
      <c r="E536" s="36"/>
    </row>
    <row r="537" spans="2:10" ht="14.25" x14ac:dyDescent="0.2">
      <c r="B537" s="2" t="s">
        <v>44</v>
      </c>
      <c r="C537" s="3">
        <f>COUNTIF(G20:G481,"&lt;0")</f>
        <v>0</v>
      </c>
      <c r="D537" s="4">
        <f>+C537/$B$485</f>
        <v>0</v>
      </c>
      <c r="E537" s="10"/>
    </row>
    <row r="538" spans="2:10" ht="14.25" x14ac:dyDescent="0.2">
      <c r="B538" s="2" t="s">
        <v>45</v>
      </c>
      <c r="C538" s="3">
        <f>COUNTIF(G20:G481,"=0")</f>
        <v>0</v>
      </c>
      <c r="D538" s="4">
        <f>+C538/$B$485</f>
        <v>0</v>
      </c>
      <c r="E538" s="10"/>
    </row>
    <row r="539" spans="2:10" ht="14.25" x14ac:dyDescent="0.2">
      <c r="B539" s="2" t="s">
        <v>56</v>
      </c>
      <c r="C539" s="3">
        <f>COUNTIF(G20:G481,"&gt;0")-COUNTIF(G20:G481,"&gt;10000000")</f>
        <v>134</v>
      </c>
      <c r="D539" s="4">
        <f>+C539/$B$485</f>
        <v>0.29004329004329005</v>
      </c>
      <c r="E539" s="10"/>
    </row>
    <row r="540" spans="2:10" ht="14.25" x14ac:dyDescent="0.2">
      <c r="B540" s="2" t="s">
        <v>57</v>
      </c>
      <c r="C540" s="3">
        <f>COUNTIF(G20:G481,"&gt;10000000")-COUNTIF(G20:G481,"&gt;100000000")</f>
        <v>293</v>
      </c>
      <c r="D540" s="4">
        <f>+C540/$B$485</f>
        <v>0.63419913419913421</v>
      </c>
      <c r="E540" s="10"/>
    </row>
    <row r="541" spans="2:10" ht="14.25" x14ac:dyDescent="0.2">
      <c r="B541" s="2" t="s">
        <v>58</v>
      </c>
      <c r="C541" s="3">
        <f>COUNTIF(G20:G481,"&gt;100000000")</f>
        <v>35</v>
      </c>
      <c r="D541" s="4">
        <f>+C541/$B$485</f>
        <v>7.575757575757576E-2</v>
      </c>
      <c r="E541" s="10"/>
    </row>
    <row r="542" spans="2:10" ht="14.25" x14ac:dyDescent="0.2">
      <c r="B542" s="28" t="s">
        <v>42</v>
      </c>
      <c r="C542" s="6">
        <f>SUM(C537:C541)</f>
        <v>462</v>
      </c>
      <c r="D542" s="7">
        <f>SUM(D537:D541)</f>
        <v>1</v>
      </c>
      <c r="E542" s="8"/>
    </row>
    <row r="547" spans="2:10" ht="36" customHeight="1" x14ac:dyDescent="0.2">
      <c r="B547" s="99" t="s">
        <v>59</v>
      </c>
      <c r="C547" s="99"/>
      <c r="D547" s="99"/>
      <c r="E547" s="99"/>
      <c r="F547" s="99"/>
      <c r="G547" s="99"/>
      <c r="H547" s="99"/>
      <c r="I547" s="99"/>
      <c r="J547" s="99"/>
    </row>
    <row r="549" spans="2:10" ht="14.25" x14ac:dyDescent="0.2">
      <c r="B549" s="29" t="s">
        <v>32</v>
      </c>
      <c r="C549" s="109" t="s">
        <v>33</v>
      </c>
      <c r="D549" s="109"/>
      <c r="E549" s="37"/>
    </row>
    <row r="550" spans="2:10" ht="14.25" x14ac:dyDescent="0.2">
      <c r="B550" s="2" t="s">
        <v>60</v>
      </c>
      <c r="C550" s="3">
        <f>COUNTIF(J20:J481,"=0")</f>
        <v>0</v>
      </c>
      <c r="D550" s="4">
        <f t="shared" ref="D550:D556" si="2">+C550/$B$485</f>
        <v>0</v>
      </c>
      <c r="E550" s="10"/>
    </row>
    <row r="551" spans="2:10" ht="14.25" x14ac:dyDescent="0.2">
      <c r="B551" s="2" t="s">
        <v>44</v>
      </c>
      <c r="C551" s="3">
        <f>COUNTIF(J20:J481,"&lt;0")</f>
        <v>0</v>
      </c>
      <c r="D551" s="4">
        <f t="shared" si="2"/>
        <v>0</v>
      </c>
      <c r="E551" s="10"/>
    </row>
    <row r="552" spans="2:10" ht="14.25" x14ac:dyDescent="0.2">
      <c r="B552" s="2" t="s">
        <v>61</v>
      </c>
      <c r="C552" s="3">
        <f>COUNTIF(J20:J481,"&gt;0")-COUNTIF(J20:J481,"&gt;1")</f>
        <v>22</v>
      </c>
      <c r="D552" s="4">
        <f t="shared" si="2"/>
        <v>4.7619047619047616E-2</v>
      </c>
      <c r="E552" s="10"/>
    </row>
    <row r="553" spans="2:10" ht="14.25" x14ac:dyDescent="0.2">
      <c r="B553" s="2" t="s">
        <v>62</v>
      </c>
      <c r="C553" s="3">
        <f>COUNTIF(J20:J481,"&gt;1")-COUNTIF(J20:J481,"&gt;2")</f>
        <v>65</v>
      </c>
      <c r="D553" s="4">
        <f t="shared" si="2"/>
        <v>0.1406926406926407</v>
      </c>
      <c r="E553" s="10"/>
    </row>
    <row r="554" spans="2:10" ht="14.25" x14ac:dyDescent="0.2">
      <c r="B554" s="2" t="s">
        <v>63</v>
      </c>
      <c r="C554" s="3">
        <f>COUNTIF(J20:J481,"&gt;2")-COUNTIF(J20:J481,"&gt;4")</f>
        <v>84</v>
      </c>
      <c r="D554" s="4">
        <f t="shared" si="2"/>
        <v>0.18181818181818182</v>
      </c>
      <c r="E554" s="10"/>
    </row>
    <row r="555" spans="2:10" ht="14.25" x14ac:dyDescent="0.2">
      <c r="B555" s="2" t="s">
        <v>64</v>
      </c>
      <c r="C555" s="3">
        <f>COUNTIF(J20:J481,"&gt;4")-COUNTIF(J20:J481,"&gt;6")</f>
        <v>37</v>
      </c>
      <c r="D555" s="4">
        <f t="shared" si="2"/>
        <v>8.0086580086580081E-2</v>
      </c>
      <c r="E555" s="10"/>
    </row>
    <row r="556" spans="2:10" ht="14.25" x14ac:dyDescent="0.2">
      <c r="B556" s="2" t="s">
        <v>65</v>
      </c>
      <c r="C556" s="3">
        <f>COUNTIF(J20:J481,"&gt;6")+COUNTBLANK(J20:J481)</f>
        <v>254</v>
      </c>
      <c r="D556" s="4">
        <f t="shared" si="2"/>
        <v>0.54978354978354982</v>
      </c>
      <c r="E556" s="10"/>
    </row>
    <row r="557" spans="2:10" ht="14.25" x14ac:dyDescent="0.2">
      <c r="B557" s="28" t="s">
        <v>42</v>
      </c>
      <c r="C557" s="6">
        <f>SUM(C550:C556)</f>
        <v>462</v>
      </c>
      <c r="D557" s="7">
        <f>SUM(D550:D556)</f>
        <v>1</v>
      </c>
      <c r="E557" s="8"/>
    </row>
    <row r="561" spans="2:10" ht="36" customHeight="1" x14ac:dyDescent="0.2">
      <c r="B561" s="99" t="s">
        <v>66</v>
      </c>
      <c r="C561" s="99"/>
      <c r="D561" s="99"/>
      <c r="E561" s="99"/>
      <c r="F561" s="99"/>
      <c r="G561" s="99"/>
      <c r="H561" s="99"/>
      <c r="I561" s="99"/>
      <c r="J561" s="99"/>
    </row>
    <row r="563" spans="2:10" ht="14.25" x14ac:dyDescent="0.2">
      <c r="B563" s="29" t="s">
        <v>32</v>
      </c>
      <c r="C563" s="127" t="s">
        <v>33</v>
      </c>
      <c r="D563" s="127"/>
      <c r="E563" s="32"/>
    </row>
    <row r="564" spans="2:10" ht="14.25" x14ac:dyDescent="0.2">
      <c r="B564" s="2" t="s">
        <v>44</v>
      </c>
      <c r="C564" s="3">
        <f>COUNTIF(H20:H481,"&lt;0%")</f>
        <v>0</v>
      </c>
      <c r="D564" s="4">
        <f t="shared" ref="D564:D570" si="3">+C564/$B$485</f>
        <v>0</v>
      </c>
      <c r="E564" s="30"/>
    </row>
    <row r="565" spans="2:10" ht="14.25" x14ac:dyDescent="0.2">
      <c r="B565" s="2" t="s">
        <v>45</v>
      </c>
      <c r="C565" s="3">
        <f>COUNTIF(H20:H481,"=0%")</f>
        <v>0</v>
      </c>
      <c r="D565" s="4">
        <f t="shared" si="3"/>
        <v>0</v>
      </c>
      <c r="E565" s="30"/>
    </row>
    <row r="566" spans="2:10" ht="14.25" x14ac:dyDescent="0.2">
      <c r="B566" s="2" t="s">
        <v>61</v>
      </c>
      <c r="C566" s="3">
        <f>COUNTIF(H20:H481,"&gt;0%")-COUNTIF(H20:H481,"&gt;1%")</f>
        <v>10</v>
      </c>
      <c r="D566" s="4">
        <f t="shared" si="3"/>
        <v>2.1645021645021644E-2</v>
      </c>
      <c r="E566" s="30"/>
    </row>
    <row r="567" spans="2:10" ht="14.25" x14ac:dyDescent="0.2">
      <c r="B567" s="2" t="s">
        <v>62</v>
      </c>
      <c r="C567" s="3">
        <f>COUNTIF(H20:H481,"&gt;1%")-COUNTIF(H20:H481,"&gt;2%")</f>
        <v>27</v>
      </c>
      <c r="D567" s="4">
        <f t="shared" si="3"/>
        <v>5.844155844155844E-2</v>
      </c>
      <c r="E567" s="30"/>
    </row>
    <row r="568" spans="2:10" ht="14.25" x14ac:dyDescent="0.2">
      <c r="B568" s="2" t="s">
        <v>67</v>
      </c>
      <c r="C568" s="3">
        <f>COUNTIF(H20:H481,"&gt;2%")-COUNTIF(H20:H481,"&gt;3%")</f>
        <v>17</v>
      </c>
      <c r="D568" s="4">
        <f t="shared" si="3"/>
        <v>3.67965367965368E-2</v>
      </c>
      <c r="E568" s="30"/>
    </row>
    <row r="569" spans="2:10" ht="14.25" x14ac:dyDescent="0.2">
      <c r="B569" s="2" t="s">
        <v>68</v>
      </c>
      <c r="C569" s="3">
        <f>COUNTIF(H20:H481,"&gt;3%")-COUNTIF(H20:H481,"&gt;4%")</f>
        <v>29</v>
      </c>
      <c r="D569" s="4">
        <f t="shared" si="3"/>
        <v>6.2770562770562768E-2</v>
      </c>
      <c r="E569" s="30"/>
    </row>
    <row r="570" spans="2:10" ht="14.25" x14ac:dyDescent="0.2">
      <c r="B570" s="2" t="s">
        <v>69</v>
      </c>
      <c r="C570" s="3">
        <f>COUNTIF(H20:H481,"&gt;4%")</f>
        <v>379</v>
      </c>
      <c r="D570" s="4">
        <f t="shared" si="3"/>
        <v>0.82034632034632038</v>
      </c>
      <c r="E570" s="30"/>
    </row>
    <row r="571" spans="2:10" ht="14.25" x14ac:dyDescent="0.2">
      <c r="B571" s="28" t="s">
        <v>42</v>
      </c>
      <c r="C571" s="6">
        <f>SUM(C564:C570)</f>
        <v>462</v>
      </c>
      <c r="D571" s="7">
        <f>SUM(D564:D570)</f>
        <v>1</v>
      </c>
      <c r="E571" s="31"/>
    </row>
    <row r="575" spans="2:10" ht="36" customHeight="1" x14ac:dyDescent="0.2">
      <c r="B575" s="128" t="s">
        <v>70</v>
      </c>
      <c r="C575" s="128"/>
      <c r="D575" s="128"/>
      <c r="E575" s="128"/>
      <c r="F575" s="128"/>
      <c r="G575" s="128"/>
      <c r="H575" s="128"/>
      <c r="I575" s="128"/>
      <c r="J575" s="128"/>
    </row>
    <row r="577" spans="1:13" ht="14.25" x14ac:dyDescent="0.2">
      <c r="B577" s="29" t="s">
        <v>32</v>
      </c>
      <c r="C577" s="104" t="s">
        <v>33</v>
      </c>
      <c r="D577" s="104"/>
      <c r="E577" s="37"/>
    </row>
    <row r="578" spans="1:13" ht="14.25" x14ac:dyDescent="0.2">
      <c r="B578" s="2" t="s">
        <v>44</v>
      </c>
      <c r="C578" s="3">
        <f>COUNTIF(I20:I481,"&lt;0")</f>
        <v>0</v>
      </c>
      <c r="D578" s="4">
        <f t="shared" ref="D578:D584" si="4">+C578/$B$485</f>
        <v>0</v>
      </c>
      <c r="E578" s="10"/>
    </row>
    <row r="579" spans="1:13" ht="14.25" x14ac:dyDescent="0.2">
      <c r="B579" s="2" t="s">
        <v>45</v>
      </c>
      <c r="C579" s="3">
        <f>COUNTIF(I20:I481,"=0")</f>
        <v>0</v>
      </c>
      <c r="D579" s="4">
        <f t="shared" si="4"/>
        <v>0</v>
      </c>
      <c r="E579" s="10"/>
    </row>
    <row r="580" spans="1:13" ht="14.25" x14ac:dyDescent="0.2">
      <c r="B580" s="2" t="s">
        <v>71</v>
      </c>
      <c r="C580" s="3">
        <f>COUNTIF(I20:I481,"&gt;0%")-COUNTIF(I20:I481,"&gt;2%")</f>
        <v>14</v>
      </c>
      <c r="D580" s="4">
        <f t="shared" si="4"/>
        <v>3.0303030303030304E-2</v>
      </c>
      <c r="E580" s="10"/>
    </row>
    <row r="581" spans="1:13" ht="14.25" x14ac:dyDescent="0.2">
      <c r="B581" s="2" t="s">
        <v>63</v>
      </c>
      <c r="C581" s="3">
        <f>COUNTIF(I20:I481,"&gt;2%")-COUNTIF(I20:I481,"&gt;4%")</f>
        <v>17</v>
      </c>
      <c r="D581" s="4">
        <f t="shared" si="4"/>
        <v>3.67965367965368E-2</v>
      </c>
      <c r="E581" s="10"/>
    </row>
    <row r="582" spans="1:13" ht="14.25" x14ac:dyDescent="0.2">
      <c r="B582" s="2" t="s">
        <v>64</v>
      </c>
      <c r="C582" s="3">
        <f>COUNTIF(I20:I481,"&gt;4%")-COUNTIF(I20:I481,"&gt;6%")</f>
        <v>22</v>
      </c>
      <c r="D582" s="4">
        <f t="shared" si="4"/>
        <v>4.7619047619047616E-2</v>
      </c>
      <c r="E582" s="10"/>
    </row>
    <row r="583" spans="1:13" ht="14.25" x14ac:dyDescent="0.2">
      <c r="B583" s="2" t="s">
        <v>72</v>
      </c>
      <c r="C583" s="3">
        <f>COUNTIF(I20:I481,"&gt;6%")-COUNTIF(I20:I481,"&gt;8%")</f>
        <v>30</v>
      </c>
      <c r="D583" s="4">
        <f t="shared" si="4"/>
        <v>6.4935064935064929E-2</v>
      </c>
      <c r="E583" s="10"/>
    </row>
    <row r="584" spans="1:13" ht="14.25" x14ac:dyDescent="0.2">
      <c r="B584" s="2" t="s">
        <v>73</v>
      </c>
      <c r="C584" s="3">
        <f>COUNTIF(I20:I481,"&gt;8%")</f>
        <v>379</v>
      </c>
      <c r="D584" s="4">
        <f t="shared" si="4"/>
        <v>0.82034632034632038</v>
      </c>
      <c r="E584" s="10"/>
    </row>
    <row r="585" spans="1:13" ht="14.25" x14ac:dyDescent="0.2">
      <c r="B585" s="28" t="s">
        <v>42</v>
      </c>
      <c r="C585" s="6">
        <f>SUM(C578:C584)</f>
        <v>462</v>
      </c>
      <c r="D585" s="7">
        <f>SUM(D578:D584)</f>
        <v>1</v>
      </c>
      <c r="E585" s="8"/>
    </row>
    <row r="590" spans="1:13" ht="97.5" customHeight="1" x14ac:dyDescent="0.2">
      <c r="A590" s="67" t="s">
        <v>74</v>
      </c>
      <c r="B590" s="68" t="s">
        <v>75</v>
      </c>
      <c r="C590" s="129" t="s">
        <v>76</v>
      </c>
      <c r="D590" s="129"/>
      <c r="E590" s="129"/>
      <c r="F590" s="68" t="s">
        <v>77</v>
      </c>
      <c r="G590" s="68" t="s">
        <v>78</v>
      </c>
      <c r="H590" s="68" t="s">
        <v>79</v>
      </c>
      <c r="I590" s="68" t="s">
        <v>80</v>
      </c>
      <c r="J590" s="68" t="s">
        <v>81</v>
      </c>
      <c r="K590" s="68"/>
      <c r="L590" s="68" t="s">
        <v>82</v>
      </c>
      <c r="M590" s="68" t="s">
        <v>83</v>
      </c>
    </row>
    <row r="591" spans="1:13" ht="53.25" customHeight="1" x14ac:dyDescent="0.2">
      <c r="B591" s="51"/>
      <c r="C591" s="130"/>
      <c r="D591" s="130"/>
      <c r="E591" s="130"/>
      <c r="F591" s="52"/>
      <c r="G591" s="53"/>
      <c r="H591" s="54"/>
      <c r="I591" s="53"/>
      <c r="J591" s="52"/>
      <c r="K591" s="55"/>
      <c r="L591" s="55"/>
      <c r="M591" s="53"/>
    </row>
    <row r="592" spans="1:13" ht="12.75" thickBot="1" x14ac:dyDescent="0.25"/>
    <row r="593" spans="1:10" ht="35.1" customHeight="1" thickTop="1" thickBot="1" x14ac:dyDescent="0.25">
      <c r="B593" s="112" t="s">
        <v>132</v>
      </c>
      <c r="C593" s="113"/>
      <c r="D593" s="60" t="s">
        <v>15</v>
      </c>
      <c r="E593" s="60" t="s">
        <v>16</v>
      </c>
      <c r="F593" s="60" t="s">
        <v>17</v>
      </c>
      <c r="G593" s="60" t="s">
        <v>18</v>
      </c>
      <c r="H593" s="60" t="s">
        <v>19</v>
      </c>
      <c r="I593" s="60" t="s">
        <v>20</v>
      </c>
      <c r="J593" s="61" t="s">
        <v>21</v>
      </c>
    </row>
    <row r="594" spans="1:10" ht="37.5" thickTop="1" thickBot="1" x14ac:dyDescent="0.25">
      <c r="A594" s="26" t="s">
        <v>84</v>
      </c>
      <c r="B594" s="114" t="s">
        <v>85</v>
      </c>
      <c r="C594" s="115"/>
      <c r="D594" s="17" t="s">
        <v>124</v>
      </c>
      <c r="E594" s="16" t="s">
        <v>611</v>
      </c>
      <c r="F594" s="16" t="s">
        <v>135</v>
      </c>
      <c r="G594" s="16" t="s">
        <v>136</v>
      </c>
      <c r="H594" s="16" t="s">
        <v>123</v>
      </c>
      <c r="I594" s="16" t="s">
        <v>137</v>
      </c>
      <c r="J594" s="16" t="s">
        <v>138</v>
      </c>
    </row>
    <row r="595" spans="1:10" ht="25.5" customHeight="1" thickTop="1" thickBot="1" x14ac:dyDescent="0.25">
      <c r="B595" s="114" t="s">
        <v>87</v>
      </c>
      <c r="C595" s="115"/>
      <c r="D595" s="40">
        <f>COUNTIF(D20:D481,"&gt;=1,3")/$B$485</f>
        <v>0.97402597402597402</v>
      </c>
      <c r="E595" s="64">
        <f>COUNTIF(E20:E481,"&gt;=15448454")/$B$485</f>
        <v>0.54329004329004327</v>
      </c>
      <c r="F595" s="64">
        <f>COUNTIF(F20:F481,"&lt;=75%")/$B$485</f>
        <v>0.9329004329004329</v>
      </c>
      <c r="G595" s="41">
        <v>0</v>
      </c>
      <c r="H595" s="41">
        <f>COUNTIF(H20:H481,"&gt;=2%")/$B$485</f>
        <v>0.91991341991341991</v>
      </c>
      <c r="I595" s="41">
        <f>COUNTIF(I20:I481,"&gt;=3%")/$B$485</f>
        <v>0.94805194805194803</v>
      </c>
      <c r="J595" s="66">
        <f>(COUNTIF(J20:J481,"&gt;=0,5")+COUNTBLANK(J20:J481))/$B$485</f>
        <v>0.97835497835497831</v>
      </c>
    </row>
    <row r="596" spans="1:10" ht="12.75" thickTop="1" x14ac:dyDescent="0.2"/>
    <row r="597" spans="1:10" ht="12.75" thickBot="1" x14ac:dyDescent="0.25"/>
    <row r="598" spans="1:10" ht="37.5" thickTop="1" thickBot="1" x14ac:dyDescent="0.25">
      <c r="B598" s="112" t="s">
        <v>133</v>
      </c>
      <c r="C598" s="113"/>
      <c r="D598" s="60" t="s">
        <v>15</v>
      </c>
      <c r="E598" s="60" t="s">
        <v>16</v>
      </c>
      <c r="F598" s="60" t="s">
        <v>17</v>
      </c>
      <c r="G598" s="60" t="s">
        <v>18</v>
      </c>
      <c r="H598" s="60" t="s">
        <v>19</v>
      </c>
      <c r="I598" s="60" t="s">
        <v>20</v>
      </c>
      <c r="J598" s="61" t="s">
        <v>21</v>
      </c>
    </row>
    <row r="599" spans="1:10" ht="37.5" thickTop="1" thickBot="1" x14ac:dyDescent="0.25">
      <c r="B599" s="114" t="s">
        <v>85</v>
      </c>
      <c r="C599" s="115"/>
      <c r="D599" s="17" t="s">
        <v>134</v>
      </c>
      <c r="E599" s="16" t="str">
        <f>+E594</f>
        <v>MAYOR O IGUAL A 
$ 15,448,454,000</v>
      </c>
      <c r="F599" s="16" t="s">
        <v>135</v>
      </c>
      <c r="G599" s="16" t="str">
        <f>+G594</f>
        <v>N/A</v>
      </c>
      <c r="H599" s="16" t="s">
        <v>137</v>
      </c>
      <c r="I599" s="16" t="s">
        <v>139</v>
      </c>
      <c r="J599" s="16" t="s">
        <v>86</v>
      </c>
    </row>
    <row r="600" spans="1:10" ht="25.5" customHeight="1" thickTop="1" thickBot="1" x14ac:dyDescent="0.25">
      <c r="B600" s="114" t="s">
        <v>87</v>
      </c>
      <c r="C600" s="115"/>
      <c r="D600" s="40">
        <f>COUNTIF(D20:D481,"&gt;=1,4")/$B$485</f>
        <v>0.95454545454545459</v>
      </c>
      <c r="E600" s="64">
        <f>+E595</f>
        <v>0.54329004329004327</v>
      </c>
      <c r="F600" s="64">
        <f>COUNTIF(F20:F481,"&lt;=75%")/$B$485</f>
        <v>0.9329004329004329</v>
      </c>
      <c r="G600" s="41">
        <f>+G595</f>
        <v>0</v>
      </c>
      <c r="H600" s="41">
        <f>COUNTIF(H20:H481,"&gt;=0,03")/$B$485</f>
        <v>0.88311688311688308</v>
      </c>
      <c r="I600" s="41">
        <f>COUNTIF(I20:I481,"&gt;=0,05")/$B$485</f>
        <v>0.91991341991341991</v>
      </c>
      <c r="J600" s="66">
        <f>(COUNTIF(J20:J481,"&gt;=1")+COUNTBLANK(J20:J481))/$B$485</f>
        <v>0.95238095238095233</v>
      </c>
    </row>
    <row r="601" spans="1:10" ht="12.75" thickTop="1" x14ac:dyDescent="0.2"/>
    <row r="606" spans="1:10" x14ac:dyDescent="0.2">
      <c r="G606" s="38"/>
    </row>
    <row r="607" spans="1:10" x14ac:dyDescent="0.2">
      <c r="G607" s="38"/>
    </row>
    <row r="608" spans="1:10" ht="18.75" x14ac:dyDescent="0.2">
      <c r="A608" s="1" t="s">
        <v>88</v>
      </c>
      <c r="B608" s="1" t="s">
        <v>89</v>
      </c>
    </row>
    <row r="609" spans="1:8" ht="18.75" x14ac:dyDescent="0.2">
      <c r="A609" s="1" t="s">
        <v>90</v>
      </c>
      <c r="B609" s="1" t="s">
        <v>140</v>
      </c>
      <c r="C609" s="1"/>
    </row>
    <row r="610" spans="1:8" x14ac:dyDescent="0.2">
      <c r="E610" s="18">
        <f>+F11</f>
        <v>15448454000</v>
      </c>
      <c r="G610" s="38"/>
    </row>
    <row r="611" spans="1:8" x14ac:dyDescent="0.2">
      <c r="D611" s="14" t="s">
        <v>125</v>
      </c>
      <c r="E611" s="18"/>
      <c r="G611" s="18"/>
    </row>
    <row r="612" spans="1:8" x14ac:dyDescent="0.2">
      <c r="G612" s="38"/>
    </row>
    <row r="613" spans="1:8" x14ac:dyDescent="0.2">
      <c r="G613" s="18"/>
    </row>
    <row r="614" spans="1:8" x14ac:dyDescent="0.2">
      <c r="E614" s="18"/>
    </row>
    <row r="615" spans="1:8" ht="15" x14ac:dyDescent="0.25">
      <c r="C615" s="18"/>
      <c r="E615" s="58"/>
      <c r="H615"/>
    </row>
    <row r="616" spans="1:8" ht="15" x14ac:dyDescent="0.25">
      <c r="E616" s="58"/>
    </row>
    <row r="617" spans="1:8" ht="15" x14ac:dyDescent="0.25">
      <c r="E617" s="58"/>
    </row>
    <row r="618" spans="1:8" x14ac:dyDescent="0.2">
      <c r="E618" s="59"/>
    </row>
    <row r="619" spans="1:8" ht="12.75" thickBot="1" x14ac:dyDescent="0.25"/>
    <row r="620" spans="1:8" ht="18" customHeight="1" thickTop="1" thickBot="1" x14ac:dyDescent="0.25">
      <c r="E620" s="91" t="s">
        <v>607</v>
      </c>
      <c r="F620" s="92" t="s">
        <v>83</v>
      </c>
    </row>
    <row r="621" spans="1:8" ht="18" customHeight="1" thickTop="1" x14ac:dyDescent="0.2">
      <c r="E621" s="93">
        <v>2025</v>
      </c>
      <c r="F621" s="94">
        <v>34618416820</v>
      </c>
    </row>
    <row r="622" spans="1:8" ht="18" customHeight="1" thickBot="1" x14ac:dyDescent="0.25">
      <c r="E622" s="93">
        <v>2026</v>
      </c>
      <c r="F622" s="94">
        <v>23898454961</v>
      </c>
    </row>
    <row r="623" spans="1:8" ht="18" customHeight="1" thickBot="1" x14ac:dyDescent="0.25">
      <c r="E623" s="74" t="s">
        <v>42</v>
      </c>
      <c r="F623" s="95">
        <f>SUM(F621:F622)</f>
        <v>58516871781</v>
      </c>
    </row>
    <row r="624" spans="1:8" ht="12.75" thickTop="1" x14ac:dyDescent="0.2"/>
    <row r="625" spans="4:9" x14ac:dyDescent="0.2">
      <c r="E625" s="14" t="s">
        <v>608</v>
      </c>
    </row>
    <row r="626" spans="4:9" ht="43.5" customHeight="1" x14ac:dyDescent="0.2">
      <c r="E626" s="90" t="s">
        <v>609</v>
      </c>
      <c r="F626" s="57">
        <f>+F623-F625</f>
        <v>58516871781</v>
      </c>
    </row>
    <row r="632" spans="4:9" ht="41.25" customHeight="1" x14ac:dyDescent="0.25">
      <c r="D632" s="118" t="s">
        <v>610</v>
      </c>
      <c r="E632" s="119"/>
      <c r="F632" s="119"/>
      <c r="G632" s="119"/>
      <c r="H632" s="119"/>
      <c r="I632" s="119"/>
    </row>
    <row r="634" spans="4:9" x14ac:dyDescent="0.2">
      <c r="D634" s="14" t="s">
        <v>128</v>
      </c>
      <c r="E634" s="88">
        <v>58516871781</v>
      </c>
    </row>
    <row r="635" spans="4:9" x14ac:dyDescent="0.2">
      <c r="D635" s="14" t="s">
        <v>127</v>
      </c>
      <c r="E635" s="88">
        <v>11703374356</v>
      </c>
      <c r="F635" s="89">
        <f>+E635/E634</f>
        <v>0.19999999999658219</v>
      </c>
    </row>
    <row r="636" spans="4:9" x14ac:dyDescent="0.2">
      <c r="E636" s="88">
        <f>+E634-E635</f>
        <v>46813497425</v>
      </c>
    </row>
    <row r="637" spans="4:9" x14ac:dyDescent="0.2">
      <c r="E637" s="88">
        <f>+E636*33%</f>
        <v>15448454150.25</v>
      </c>
    </row>
  </sheetData>
  <autoFilter ref="A19:J483" xr:uid="{00000000-0009-0000-0000-000000000000}"/>
  <mergeCells count="35">
    <mergeCell ref="D632:I632"/>
    <mergeCell ref="F3:J3"/>
    <mergeCell ref="F4:J4"/>
    <mergeCell ref="F5:J5"/>
    <mergeCell ref="B8:F8"/>
    <mergeCell ref="H8:J8"/>
    <mergeCell ref="B600:C600"/>
    <mergeCell ref="B561:J561"/>
    <mergeCell ref="C563:D563"/>
    <mergeCell ref="B575:J575"/>
    <mergeCell ref="C577:D577"/>
    <mergeCell ref="C590:E590"/>
    <mergeCell ref="C591:E591"/>
    <mergeCell ref="B593:C593"/>
    <mergeCell ref="B594:C594"/>
    <mergeCell ref="B595:C595"/>
    <mergeCell ref="B598:C598"/>
    <mergeCell ref="B599:C599"/>
    <mergeCell ref="L8:M8"/>
    <mergeCell ref="C549:D549"/>
    <mergeCell ref="B508:J508"/>
    <mergeCell ref="Q8:S8"/>
    <mergeCell ref="Q19:S19"/>
    <mergeCell ref="B547:J547"/>
    <mergeCell ref="A10:H10"/>
    <mergeCell ref="C510:D510"/>
    <mergeCell ref="B519:J519"/>
    <mergeCell ref="C521:D521"/>
    <mergeCell ref="B534:J534"/>
    <mergeCell ref="C536:D536"/>
    <mergeCell ref="A13:J13"/>
    <mergeCell ref="A487:A490"/>
    <mergeCell ref="B493:J493"/>
    <mergeCell ref="C495:D495"/>
    <mergeCell ref="L340:O340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F58A-30D6-46EF-A518-5EA2986D1CE7}">
  <dimension ref="D9:R48"/>
  <sheetViews>
    <sheetView topLeftCell="B26" workbookViewId="0">
      <selection activeCell="R10" sqref="R10:R16"/>
    </sheetView>
  </sheetViews>
  <sheetFormatPr baseColWidth="10" defaultColWidth="11.42578125" defaultRowHeight="15" x14ac:dyDescent="0.25"/>
  <sheetData>
    <row r="9" spans="4:18" x14ac:dyDescent="0.25">
      <c r="D9" t="s">
        <v>23</v>
      </c>
    </row>
    <row r="10" spans="4:18" x14ac:dyDescent="0.25">
      <c r="D10" t="s">
        <v>22</v>
      </c>
      <c r="R10" t="s">
        <v>23</v>
      </c>
    </row>
    <row r="11" spans="4:18" x14ac:dyDescent="0.25">
      <c r="D11" t="s">
        <v>93</v>
      </c>
      <c r="R11" t="s">
        <v>22</v>
      </c>
    </row>
    <row r="12" spans="4:18" x14ac:dyDescent="0.25">
      <c r="R12" t="s">
        <v>93</v>
      </c>
    </row>
    <row r="13" spans="4:18" x14ac:dyDescent="0.25">
      <c r="R13" t="s">
        <v>158</v>
      </c>
    </row>
    <row r="14" spans="4:18" x14ac:dyDescent="0.25">
      <c r="R14" t="s">
        <v>147</v>
      </c>
    </row>
    <row r="15" spans="4:18" x14ac:dyDescent="0.25">
      <c r="R15" t="s">
        <v>142</v>
      </c>
    </row>
    <row r="16" spans="4:18" x14ac:dyDescent="0.25">
      <c r="R16" t="s">
        <v>203</v>
      </c>
    </row>
    <row r="48" spans="4:4" x14ac:dyDescent="0.25">
      <c r="D48" s="65" t="s">
        <v>91</v>
      </c>
    </row>
  </sheetData>
  <sortState xmlns:xlrd2="http://schemas.microsoft.com/office/spreadsheetml/2017/richdata2" ref="R10:R471">
    <sortCondition ref="R10:R47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 2</vt:lpstr>
      <vt:lpstr>Hoja1</vt:lpstr>
      <vt:lpstr>'Hoja 2'!Área_de_impresión</vt:lpstr>
      <vt:lpstr>'Hoja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Katherinne Rodriguez Lozano</dc:creator>
  <cp:keywords/>
  <dc:description/>
  <cp:lastModifiedBy>Henry Oviedo Gongora</cp:lastModifiedBy>
  <cp:revision/>
  <cp:lastPrinted>2025-06-24T14:10:40Z</cp:lastPrinted>
  <dcterms:created xsi:type="dcterms:W3CDTF">2018-11-28T12:47:08Z</dcterms:created>
  <dcterms:modified xsi:type="dcterms:W3CDTF">2025-07-08T15:49:51Z</dcterms:modified>
  <cp:category/>
  <cp:contentStatus/>
</cp:coreProperties>
</file>