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C:\Users\Erwin Jaraba\Desktop\"/>
    </mc:Choice>
  </mc:AlternateContent>
  <xr:revisionPtr revIDLastSave="0" documentId="8_{E70667F3-22A8-4736-88BF-1939A8B2E93E}" xr6:coauthVersionLast="47" xr6:coauthVersionMax="47" xr10:uidLastSave="{00000000-0000-0000-0000-000000000000}"/>
  <bookViews>
    <workbookView xWindow="-108" yWindow="-108" windowWidth="23256" windowHeight="12456" xr2:uid="{00000000-000D-0000-FFFF-FFFF00000000}"/>
  </bookViews>
  <sheets>
    <sheet name="PRESUPUESTO" sheetId="18" r:id="rId1"/>
    <sheet name="SOCIAL" sheetId="294" r:id="rId2"/>
    <sheet name="AIU" sheetId="155" r:id="rId3"/>
    <sheet name="CRONOGRAMA Y FC" sheetId="185" r:id="rId4"/>
    <sheet name="CANTIDADES" sheetId="186" r:id="rId5"/>
    <sheet name="CORTE Y RELL" sheetId="222" r:id="rId6"/>
    <sheet name="INTERVENTORIA" sheetId="170" r:id="rId7"/>
    <sheet name="Loc" sheetId="74" state="hidden" r:id="rId8"/>
    <sheet name="APU-Básicos" sheetId="36" state="hidden" r:id="rId9"/>
    <sheet name="1,01(2)" sheetId="25" state="hidden" r:id="rId10"/>
    <sheet name="1,02(2)" sheetId="81" state="hidden" r:id="rId11"/>
    <sheet name="Replanteo" sheetId="83" state="hidden" r:id="rId12"/>
    <sheet name="ENSAYOS" sheetId="289" r:id="rId13"/>
    <sheet name="Equ" sheetId="73" r:id="rId14"/>
    <sheet name="1,1" sheetId="291" r:id="rId15"/>
    <sheet name="1,2" sheetId="85" r:id="rId16"/>
    <sheet name="1,3" sheetId="264" r:id="rId17"/>
    <sheet name="2,1" sheetId="214" r:id="rId18"/>
    <sheet name="2,2" sheetId="241" r:id="rId19"/>
    <sheet name="2,3" sheetId="143" r:id="rId20"/>
    <sheet name="3,1" sheetId="189" r:id="rId21"/>
    <sheet name="3,2" sheetId="212" r:id="rId22"/>
    <sheet name="3,3" sheetId="220" r:id="rId23"/>
    <sheet name="FP" sheetId="295" r:id="rId24"/>
    <sheet name="FM" sheetId="167" r:id="rId25"/>
    <sheet name="PAGA" sheetId="187" r:id="rId26"/>
    <sheet name="PMT" sheetId="173" r:id="rId27"/>
    <sheet name="CARACTERIZACION " sheetId="293" r:id="rId28"/>
    <sheet name="Sum" sheetId="72" r:id="rId29"/>
    <sheet name="Transporte" sheetId="190" r:id="rId30"/>
    <sheet name="Apu Basicos" sheetId="256" r:id="rId31"/>
    <sheet name="CARACTERIZACION" sheetId="218" state="hidden" r:id="rId32"/>
    <sheet name="230.2" sheetId="52" state="hidden"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a">#REF!</definedName>
    <definedName name="\b">'[1]CUAD-DIURNA'!#REF!</definedName>
    <definedName name="\c" localSheetId="27">#REF!</definedName>
    <definedName name="\c">#REF!</definedName>
    <definedName name="\m" localSheetId="27">#REF!</definedName>
    <definedName name="\m">#REF!</definedName>
    <definedName name="\q" localSheetId="27">#REF!</definedName>
    <definedName name="\q">#REF!</definedName>
    <definedName name="\w">#N/A</definedName>
    <definedName name="\z">#REF!</definedName>
    <definedName name="_">#N/A</definedName>
    <definedName name="_________APU221">#REF!</definedName>
    <definedName name="_________PJ50">#REF!</definedName>
    <definedName name="_________pj51">#REF!</definedName>
    <definedName name="_________Rc">#REF!</definedName>
    <definedName name="________APU221">#REF!</definedName>
    <definedName name="________APU465" localSheetId="23">[2]!absc</definedName>
    <definedName name="________APU465" localSheetId="1">[2]!absc</definedName>
    <definedName name="________APU465">[2]!absc</definedName>
    <definedName name="________PJ50">#REF!</definedName>
    <definedName name="________pj51">#REF!</definedName>
    <definedName name="________rc">#REF!</definedName>
    <definedName name="_______APU221">#REF!</definedName>
    <definedName name="_______APU465" localSheetId="23">[2]!absc</definedName>
    <definedName name="_______APU465" localSheetId="1">[2]!absc</definedName>
    <definedName name="_______APU465">[2]!absc</definedName>
    <definedName name="_______PJ50">#REF!</definedName>
    <definedName name="_______pj51">#REF!</definedName>
    <definedName name="_______rc">#REF!</definedName>
    <definedName name="______APU221">#REF!</definedName>
    <definedName name="______APU465" localSheetId="23">[2]!absc</definedName>
    <definedName name="______APU465" localSheetId="1">[2]!absc</definedName>
    <definedName name="______APU465">[2]!absc</definedName>
    <definedName name="______PJ50">#REF!</definedName>
    <definedName name="______pj51">#REF!</definedName>
    <definedName name="______rc">#REF!</definedName>
    <definedName name="_____APU221">#REF!</definedName>
    <definedName name="_____APU465" localSheetId="23">[2]!absc</definedName>
    <definedName name="_____APU465" localSheetId="1">[2]!absc</definedName>
    <definedName name="_____APU465">[2]!absc</definedName>
    <definedName name="_____PJ50" localSheetId="30">#REF!</definedName>
    <definedName name="_____PJ50" localSheetId="27">#REF!</definedName>
    <definedName name="_____PJ50" localSheetId="24">#REF!</definedName>
    <definedName name="_____PJ50" localSheetId="6">#REF!</definedName>
    <definedName name="_____PJ50" localSheetId="26">#REF!</definedName>
    <definedName name="_____PJ50">#REF!</definedName>
    <definedName name="_____pj51" localSheetId="30">#REF!</definedName>
    <definedName name="_____pj51" localSheetId="27">#REF!</definedName>
    <definedName name="_____pj51" localSheetId="24">#REF!</definedName>
    <definedName name="_____pj51" localSheetId="6">#REF!</definedName>
    <definedName name="_____pj51" localSheetId="26">#REF!</definedName>
    <definedName name="_____pj51">#REF!</definedName>
    <definedName name="_____rc">#REF!</definedName>
    <definedName name="____APU221">#REF!</definedName>
    <definedName name="____APU465" localSheetId="23">[2]!absc</definedName>
    <definedName name="____APU465" localSheetId="1">[2]!absc</definedName>
    <definedName name="____APU465">[2]!absc</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PJ50" localSheetId="30">#REF!</definedName>
    <definedName name="____PJ50" localSheetId="27">#REF!</definedName>
    <definedName name="____PJ50" localSheetId="24">#REF!</definedName>
    <definedName name="____PJ50" localSheetId="6">#REF!</definedName>
    <definedName name="____PJ50" localSheetId="26">#REF!</definedName>
    <definedName name="____PJ50">#REF!</definedName>
    <definedName name="____pj51" localSheetId="27">#REF!</definedName>
    <definedName name="____pj51" localSheetId="24">#REF!</definedName>
    <definedName name="____pj51" localSheetId="6">#REF!</definedName>
    <definedName name="____pj51" localSheetId="26">#REF!</definedName>
    <definedName name="____pj51">#REF!</definedName>
    <definedName name="____rc">#REF!</definedName>
    <definedName name="___APU221">#REF!</definedName>
    <definedName name="___APU465" localSheetId="23">[2]!absc</definedName>
    <definedName name="___APU465" localSheetId="1">[2]!absc</definedName>
    <definedName name="___APU465">[2]!absc</definedName>
    <definedName name="___EST10">#REF!</definedName>
    <definedName name="___EST11">#REF!</definedName>
    <definedName name="___EST12" localSheetId="27">#REF!</definedName>
    <definedName name="___EST12" localSheetId="24">#REF!</definedName>
    <definedName name="___EST12" localSheetId="6">#REF!</definedName>
    <definedName name="___EST12" localSheetId="26">#REF!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PJ50" localSheetId="27">#REF!</definedName>
    <definedName name="___PJ50" localSheetId="24">#REF!</definedName>
    <definedName name="___PJ50" localSheetId="6">#REF!</definedName>
    <definedName name="___PJ50" localSheetId="26">#REF!</definedName>
    <definedName name="___PJ50">#REF!</definedName>
    <definedName name="___pj51" localSheetId="27">#REF!</definedName>
    <definedName name="___pj51" localSheetId="24">#REF!</definedName>
    <definedName name="___pj51" localSheetId="6">#REF!</definedName>
    <definedName name="___pj51" localSheetId="26">#REF!</definedName>
    <definedName name="___pj51">#REF!</definedName>
    <definedName name="___rc">#REF!</definedName>
    <definedName name="__123Graph_AMAIN" localSheetId="27" hidden="1">'[3]ETAPA 50 SMMLV'!#REF!</definedName>
    <definedName name="__123Graph_AMAIN" localSheetId="24" hidden="1">'[3]ETAPA 50 SMMLV'!#REF!</definedName>
    <definedName name="__123Graph_AMAIN" localSheetId="6" hidden="1">'[3]ETAPA 50 SMMLV'!#REF!</definedName>
    <definedName name="__123Graph_AMAIN" localSheetId="26" hidden="1">'[3]ETAPA 50 SMMLV'!#REF!</definedName>
    <definedName name="__123Graph_AMAIN" hidden="1">'[3]ETAPA 50 SMMLV'!#REF!</definedName>
    <definedName name="__123Graph_BMAIN" localSheetId="27" hidden="1">'[3]ETAPA 50 SMMLV'!#REF!</definedName>
    <definedName name="__123Graph_BMAIN" localSheetId="24" hidden="1">'[3]ETAPA 50 SMMLV'!#REF!</definedName>
    <definedName name="__123Graph_BMAIN" localSheetId="6" hidden="1">'[3]ETAPA 50 SMMLV'!#REF!</definedName>
    <definedName name="__123Graph_BMAIN" localSheetId="26" hidden="1">'[3]ETAPA 50 SMMLV'!#REF!</definedName>
    <definedName name="__123Graph_BMAIN" hidden="1">'[3]ETAPA 50 SMMLV'!#REF!</definedName>
    <definedName name="__123Graph_XMAIN" localSheetId="27" hidden="1">'[3]ETAPA 50 SMMLV'!#REF!</definedName>
    <definedName name="__123Graph_XMAIN" localSheetId="24" hidden="1">'[3]ETAPA 50 SMMLV'!#REF!</definedName>
    <definedName name="__123Graph_XMAIN" localSheetId="6" hidden="1">'[3]ETAPA 50 SMMLV'!#REF!</definedName>
    <definedName name="__123Graph_XMAIN" localSheetId="26" hidden="1">'[3]ETAPA 50 SMMLV'!#REF!</definedName>
    <definedName name="__123Graph_XMAIN" hidden="1">'[3]ETAPA 50 SMMLV'!#REF!</definedName>
    <definedName name="__1Sin_nombre">#REF!</definedName>
    <definedName name="__aiu2">[4]AIU!$J$105</definedName>
    <definedName name="__APU221" localSheetId="27">#REF!</definedName>
    <definedName name="__APU221">#REF!</definedName>
    <definedName name="__APU465" localSheetId="23">[2]!absc</definedName>
    <definedName name="__APU465" localSheetId="1">[2]!absc</definedName>
    <definedName name="__APU465">[2]!absc</definedName>
    <definedName name="__EST1" localSheetId="30">#REF!</definedName>
    <definedName name="__EST1" localSheetId="27">#REF!</definedName>
    <definedName name="__EST1" localSheetId="24">#REF!</definedName>
    <definedName name="__EST1" localSheetId="6">#REF!</definedName>
    <definedName name="__EST1" localSheetId="26">#REF!</definedName>
    <definedName name="__EST1">#REF!</definedName>
    <definedName name="__EST10" localSheetId="30">#REF!</definedName>
    <definedName name="__EST10" localSheetId="27">#REF!</definedName>
    <definedName name="__EST10" localSheetId="24">#REF!</definedName>
    <definedName name="__EST10" localSheetId="6">#REF!</definedName>
    <definedName name="__EST10" localSheetId="26">#REF!</definedName>
    <definedName name="__EST10">#REF!</definedName>
    <definedName name="__EST11" localSheetId="30">#REF!</definedName>
    <definedName name="__EST11" localSheetId="27">#REF!</definedName>
    <definedName name="__EST11" localSheetId="24">#REF!</definedName>
    <definedName name="__EST11" localSheetId="6">#REF!</definedName>
    <definedName name="__EST11" localSheetId="26">#REF!</definedName>
    <definedName name="__EST11">#REF!</definedName>
    <definedName name="__EST12" localSheetId="27">#REF!</definedName>
    <definedName name="__EST12" localSheetId="24">#REF!</definedName>
    <definedName name="__EST12" localSheetId="6">#REF!</definedName>
    <definedName name="__EST12" localSheetId="26">#REF!</definedName>
    <definedName name="__EST12">#REF!</definedName>
    <definedName name="__EST13" localSheetId="27">#REF!</definedName>
    <definedName name="__EST13" localSheetId="24">#REF!</definedName>
    <definedName name="__EST13" localSheetId="6">#REF!</definedName>
    <definedName name="__EST13" localSheetId="26">#REF!</definedName>
    <definedName name="__EST13">#REF!</definedName>
    <definedName name="__EST14" localSheetId="27">#REF!</definedName>
    <definedName name="__EST14" localSheetId="24">#REF!</definedName>
    <definedName name="__EST14" localSheetId="6">#REF!</definedName>
    <definedName name="__EST14" localSheetId="26">#REF!</definedName>
    <definedName name="__EST14">#REF!</definedName>
    <definedName name="__EST15" localSheetId="27">#REF!</definedName>
    <definedName name="__EST15" localSheetId="24">#REF!</definedName>
    <definedName name="__EST15" localSheetId="6">#REF!</definedName>
    <definedName name="__EST15" localSheetId="26">#REF!</definedName>
    <definedName name="__EST15">#REF!</definedName>
    <definedName name="__EST16" localSheetId="27">#REF!</definedName>
    <definedName name="__EST16" localSheetId="24">#REF!</definedName>
    <definedName name="__EST16" localSheetId="6">#REF!</definedName>
    <definedName name="__EST16" localSheetId="26">#REF!</definedName>
    <definedName name="__EST16">#REF!</definedName>
    <definedName name="__EST17" localSheetId="27">#REF!</definedName>
    <definedName name="__EST17" localSheetId="24">#REF!</definedName>
    <definedName name="__EST17" localSheetId="6">#REF!</definedName>
    <definedName name="__EST17" localSheetId="26">#REF!</definedName>
    <definedName name="__EST17">#REF!</definedName>
    <definedName name="__EST18" localSheetId="27">#REF!</definedName>
    <definedName name="__EST18" localSheetId="24">#REF!</definedName>
    <definedName name="__EST18" localSheetId="6">#REF!</definedName>
    <definedName name="__EST18" localSheetId="26">#REF!</definedName>
    <definedName name="__EST18">#REF!</definedName>
    <definedName name="__EST19" localSheetId="27">#REF!</definedName>
    <definedName name="__EST19" localSheetId="24">#REF!</definedName>
    <definedName name="__EST19" localSheetId="6">#REF!</definedName>
    <definedName name="__EST19" localSheetId="26">#REF!</definedName>
    <definedName name="__EST19">#REF!</definedName>
    <definedName name="__EST2" localSheetId="27">#REF!</definedName>
    <definedName name="__EST2" localSheetId="24">#REF!</definedName>
    <definedName name="__EST2" localSheetId="6">#REF!</definedName>
    <definedName name="__EST2" localSheetId="26">#REF!</definedName>
    <definedName name="__EST2">#REF!</definedName>
    <definedName name="__EST23" localSheetId="27">#REF!</definedName>
    <definedName name="__EST23" localSheetId="24">#REF!</definedName>
    <definedName name="__EST23" localSheetId="6">#REF!</definedName>
    <definedName name="__EST23" localSheetId="26">#REF!</definedName>
    <definedName name="__EST23">#REF!</definedName>
    <definedName name="__EST3" localSheetId="27">#REF!</definedName>
    <definedName name="__EST3" localSheetId="24">#REF!</definedName>
    <definedName name="__EST3" localSheetId="6">#REF!</definedName>
    <definedName name="__EST3" localSheetId="26">#REF!</definedName>
    <definedName name="__EST3">#REF!</definedName>
    <definedName name="__EST4" localSheetId="27">#REF!</definedName>
    <definedName name="__EST4" localSheetId="24">#REF!</definedName>
    <definedName name="__EST4" localSheetId="6">#REF!</definedName>
    <definedName name="__EST4" localSheetId="26">#REF!</definedName>
    <definedName name="__EST4">#REF!</definedName>
    <definedName name="__EST5" localSheetId="27">#REF!</definedName>
    <definedName name="__EST5" localSheetId="24">#REF!</definedName>
    <definedName name="__EST5" localSheetId="6">#REF!</definedName>
    <definedName name="__EST5" localSheetId="26">#REF!</definedName>
    <definedName name="__EST5">#REF!</definedName>
    <definedName name="__EST6" localSheetId="27">#REF!</definedName>
    <definedName name="__EST6" localSheetId="24">#REF!</definedName>
    <definedName name="__EST6" localSheetId="6">#REF!</definedName>
    <definedName name="__EST6" localSheetId="26">#REF!</definedName>
    <definedName name="__EST6">#REF!</definedName>
    <definedName name="__EST7" localSheetId="27">#REF!</definedName>
    <definedName name="__EST7" localSheetId="24">#REF!</definedName>
    <definedName name="__EST7" localSheetId="6">#REF!</definedName>
    <definedName name="__EST7" localSheetId="26">#REF!</definedName>
    <definedName name="__EST7">#REF!</definedName>
    <definedName name="__EST8" localSheetId="27">#REF!</definedName>
    <definedName name="__EST8" localSheetId="24">#REF!</definedName>
    <definedName name="__EST8" localSheetId="6">#REF!</definedName>
    <definedName name="__EST8" localSheetId="26">#REF!</definedName>
    <definedName name="__EST8">#REF!</definedName>
    <definedName name="__EST9" localSheetId="27">#REF!</definedName>
    <definedName name="__EST9" localSheetId="24">#REF!</definedName>
    <definedName name="__EST9" localSheetId="6">#REF!</definedName>
    <definedName name="__EST9" localSheetId="26">#REF!</definedName>
    <definedName name="__EST9">#REF!</definedName>
    <definedName name="__EXC1" localSheetId="27">#REF!</definedName>
    <definedName name="__EXC1" localSheetId="24">#REF!</definedName>
    <definedName name="__EXC1" localSheetId="6">#REF!</definedName>
    <definedName name="__EXC1" localSheetId="26">#REF!</definedName>
    <definedName name="__EXC1">#REF!</definedName>
    <definedName name="__EXC10" localSheetId="27">#REF!</definedName>
    <definedName name="__EXC10" localSheetId="24">#REF!</definedName>
    <definedName name="__EXC10" localSheetId="6">#REF!</definedName>
    <definedName name="__EXC10" localSheetId="26">#REF!</definedName>
    <definedName name="__EXC10">#REF!</definedName>
    <definedName name="__EXC11" localSheetId="27">#REF!</definedName>
    <definedName name="__EXC11" localSheetId="24">#REF!</definedName>
    <definedName name="__EXC11" localSheetId="6">#REF!</definedName>
    <definedName name="__EXC11" localSheetId="26">#REF!</definedName>
    <definedName name="__EXC11">#REF!</definedName>
    <definedName name="__EXC12" localSheetId="27">#REF!</definedName>
    <definedName name="__EXC12" localSheetId="24">#REF!</definedName>
    <definedName name="__EXC12" localSheetId="6">#REF!</definedName>
    <definedName name="__EXC12" localSheetId="26">#REF!</definedName>
    <definedName name="__EXC12">#REF!</definedName>
    <definedName name="__EXC2" localSheetId="27">#REF!</definedName>
    <definedName name="__EXC2" localSheetId="24">#REF!</definedName>
    <definedName name="__EXC2" localSheetId="6">#REF!</definedName>
    <definedName name="__EXC2" localSheetId="26">#REF!</definedName>
    <definedName name="__EXC2">#REF!</definedName>
    <definedName name="__EXC3" localSheetId="27">#REF!</definedName>
    <definedName name="__EXC3" localSheetId="24">#REF!</definedName>
    <definedName name="__EXC3" localSheetId="6">#REF!</definedName>
    <definedName name="__EXC3" localSheetId="26">#REF!</definedName>
    <definedName name="__EXC3">#REF!</definedName>
    <definedName name="__EXC4" localSheetId="27">#REF!</definedName>
    <definedName name="__EXC4" localSheetId="24">#REF!</definedName>
    <definedName name="__EXC4" localSheetId="6">#REF!</definedName>
    <definedName name="__EXC4" localSheetId="26">#REF!</definedName>
    <definedName name="__EXC4">#REF!</definedName>
    <definedName name="__EXC5" localSheetId="27">#REF!</definedName>
    <definedName name="__EXC5" localSheetId="24">#REF!</definedName>
    <definedName name="__EXC5" localSheetId="6">#REF!</definedName>
    <definedName name="__EXC5" localSheetId="26">#REF!</definedName>
    <definedName name="__EXC5">#REF!</definedName>
    <definedName name="__EXC6" localSheetId="27">#REF!</definedName>
    <definedName name="__EXC6" localSheetId="24">#REF!</definedName>
    <definedName name="__EXC6" localSheetId="6">#REF!</definedName>
    <definedName name="__EXC6" localSheetId="26">#REF!</definedName>
    <definedName name="__EXC6">#REF!</definedName>
    <definedName name="__EXC7" localSheetId="27">#REF!</definedName>
    <definedName name="__EXC7" localSheetId="24">#REF!</definedName>
    <definedName name="__EXC7" localSheetId="6">#REF!</definedName>
    <definedName name="__EXC7" localSheetId="26">#REF!</definedName>
    <definedName name="__EXC7">#REF!</definedName>
    <definedName name="__EXC8" localSheetId="27">#REF!</definedName>
    <definedName name="__EXC8" localSheetId="24">#REF!</definedName>
    <definedName name="__EXC8" localSheetId="6">#REF!</definedName>
    <definedName name="__EXC8" localSheetId="26">#REF!</definedName>
    <definedName name="__EXC8">#REF!</definedName>
    <definedName name="__EXC9" localSheetId="27">#REF!</definedName>
    <definedName name="__EXC9" localSheetId="24">#REF!</definedName>
    <definedName name="__EXC9" localSheetId="6">#REF!</definedName>
    <definedName name="__EXC9" localSheetId="26">#REF!</definedName>
    <definedName name="__EXC9">#REF!</definedName>
    <definedName name="__inf1">#REF!</definedName>
    <definedName name="__PJ50" localSheetId="27">#REF!</definedName>
    <definedName name="__PJ50" localSheetId="24">#REF!</definedName>
    <definedName name="__PJ50" localSheetId="6">#REF!</definedName>
    <definedName name="__PJ50" localSheetId="26">#REF!</definedName>
    <definedName name="__PJ50">#REF!</definedName>
    <definedName name="__pj51" localSheetId="27">#REF!</definedName>
    <definedName name="__pj51" localSheetId="24">#REF!</definedName>
    <definedName name="__pj51" localSheetId="6">#REF!</definedName>
    <definedName name="__pj51" localSheetId="26">#REF!</definedName>
    <definedName name="__pj51">#REF!</definedName>
    <definedName name="__rc">#REF!</definedName>
    <definedName name="__xlnm.Print_Area_1">#REF!</definedName>
    <definedName name="__xlnm.Print_Area_2">#REF!</definedName>
    <definedName name="__xlnm.Print_Titles_1">#REF!</definedName>
    <definedName name="_01">#REF!</definedName>
    <definedName name="_1Sin_nombre">#REF!</definedName>
    <definedName name="_aiu2">[4]AIU!$J$105</definedName>
    <definedName name="_APU1">[5]APU!$G$41</definedName>
    <definedName name="_APU10">[5]APU!$G$499</definedName>
    <definedName name="_APU101" localSheetId="27">#REF!</definedName>
    <definedName name="_APU101">#REF!</definedName>
    <definedName name="_APU1010" localSheetId="27">#REF!</definedName>
    <definedName name="_APU1010">#REF!</definedName>
    <definedName name="_APU1011" localSheetId="27">#REF!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[5]APU!$G$84</definedName>
    <definedName name="_APU20">[5]APU!$G$675</definedName>
    <definedName name="_APU21" localSheetId="27">#REF!</definedName>
    <definedName name="_APU21">#REF!</definedName>
    <definedName name="_APU22" localSheetId="27">#REF!</definedName>
    <definedName name="_APU22">#REF!</definedName>
    <definedName name="_APU221" localSheetId="30">#REF!</definedName>
    <definedName name="_APU221" localSheetId="27">#REF!</definedName>
    <definedName name="_APU221" localSheetId="24">#REF!</definedName>
    <definedName name="_APU221" localSheetId="6">#REF!</definedName>
    <definedName name="_APU221" localSheetId="26">#REF!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[5]APU!$G$126</definedName>
    <definedName name="_APU30">[5]APU!$G$1267</definedName>
    <definedName name="_APU31" localSheetId="27">#REF!</definedName>
    <definedName name="_APU31">#REF!</definedName>
    <definedName name="_APU310" localSheetId="27">#REF!</definedName>
    <definedName name="_APU310">#REF!</definedName>
    <definedName name="_APU311" localSheetId="27">#REF!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[5]APU!$G$212</definedName>
    <definedName name="_APU41" localSheetId="27">#REF!</definedName>
    <definedName name="_APU41">#REF!</definedName>
    <definedName name="_APU410" localSheetId="27">#REF!</definedName>
    <definedName name="_APU410">#REF!</definedName>
    <definedName name="_APU411" localSheetId="27">#REF!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17">[6]!absc</definedName>
    <definedName name="_APU465" localSheetId="18">[6]!absc</definedName>
    <definedName name="_APU465" localSheetId="21">[6]!absc</definedName>
    <definedName name="_APU465" localSheetId="30">[6]!absc</definedName>
    <definedName name="_APU465" localSheetId="27">[6]!absc</definedName>
    <definedName name="_APU465" localSheetId="23">[6]!absc</definedName>
    <definedName name="_APU465" localSheetId="1">[6]!absc</definedName>
    <definedName name="_APU465">[6]!absc</definedName>
    <definedName name="_APU47" localSheetId="27">#REF!</definedName>
    <definedName name="_APU47">#REF!</definedName>
    <definedName name="_APU48" localSheetId="27">#REF!</definedName>
    <definedName name="_APU48">#REF!</definedName>
    <definedName name="_APU49" localSheetId="27">#REF!</definedName>
    <definedName name="_APU49">#REF!</definedName>
    <definedName name="_APU5">[5]APU!$G$253</definedName>
    <definedName name="_APU51" localSheetId="27">#REF!</definedName>
    <definedName name="_APU51">#REF!</definedName>
    <definedName name="_APU510" localSheetId="27">#REF!</definedName>
    <definedName name="_APU510">#REF!</definedName>
    <definedName name="_APU511" localSheetId="27">#REF!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[5]APU!$G$292</definedName>
    <definedName name="_APU60">[5]APU!$G$2662</definedName>
    <definedName name="_APU61" localSheetId="27">#REF!</definedName>
    <definedName name="_APU61">#REF!</definedName>
    <definedName name="_APU610" localSheetId="27">#REF!</definedName>
    <definedName name="_APU610">#REF!</definedName>
    <definedName name="_APU611" localSheetId="27">#REF!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[5]APU!$G$334</definedName>
    <definedName name="_APU71" localSheetId="27">#REF!</definedName>
    <definedName name="_APU71">#REF!</definedName>
    <definedName name="_APU72" localSheetId="27">#REF!</definedName>
    <definedName name="_APU72">#REF!</definedName>
    <definedName name="_APU73" localSheetId="27">#REF!</definedName>
    <definedName name="_APU73">#REF!</definedName>
    <definedName name="_APU74">#REF!</definedName>
    <definedName name="_APU75">#REF!</definedName>
    <definedName name="_APU76">#REF!</definedName>
    <definedName name="_APU77">#REF!</definedName>
    <definedName name="_APU78">#REF!</definedName>
    <definedName name="_apu79">[5]APU!$G$1310</definedName>
    <definedName name="_APU8">[5]APU!$G$376</definedName>
    <definedName name="_APU80">[5]APU!$G$3411</definedName>
    <definedName name="_APU81" localSheetId="27">#REF!</definedName>
    <definedName name="_APU81">#REF!</definedName>
    <definedName name="_APU810" localSheetId="27">#REF!</definedName>
    <definedName name="_APU810">#REF!</definedName>
    <definedName name="_APU811" localSheetId="27">#REF!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[5]APU!$G$457</definedName>
    <definedName name="_APU91" localSheetId="27">#REF!</definedName>
    <definedName name="_APU91">#REF!</definedName>
    <definedName name="_APU910" localSheetId="27">#REF!</definedName>
    <definedName name="_APU910">#REF!</definedName>
    <definedName name="_APU911" localSheetId="27">#REF!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E">#REF!</definedName>
    <definedName name="_EST1" localSheetId="30">#REF!</definedName>
    <definedName name="_EST1" localSheetId="27">#REF!</definedName>
    <definedName name="_EST1" localSheetId="24">#REF!</definedName>
    <definedName name="_EST1" localSheetId="6">#REF!</definedName>
    <definedName name="_EST1" localSheetId="26">#REF!</definedName>
    <definedName name="_EST1">#REF!</definedName>
    <definedName name="_EST10" localSheetId="30">#REF!</definedName>
    <definedName name="_EST10" localSheetId="27">#REF!</definedName>
    <definedName name="_EST10" localSheetId="24">#REF!</definedName>
    <definedName name="_EST10" localSheetId="6">#REF!</definedName>
    <definedName name="_EST10" localSheetId="26">#REF!</definedName>
    <definedName name="_EST10">#REF!</definedName>
    <definedName name="_EST11" localSheetId="30">#REF!</definedName>
    <definedName name="_EST11" localSheetId="27">#REF!</definedName>
    <definedName name="_EST11" localSheetId="24">#REF!</definedName>
    <definedName name="_EST11" localSheetId="6">#REF!</definedName>
    <definedName name="_EST11" localSheetId="26">#REF!</definedName>
    <definedName name="_EST11">#REF!</definedName>
    <definedName name="_EST12" localSheetId="27">#REF!</definedName>
    <definedName name="_EST12" localSheetId="24">#REF!</definedName>
    <definedName name="_EST12" localSheetId="6">#REF!</definedName>
    <definedName name="_EST12" localSheetId="26">#REF!</definedName>
    <definedName name="_EST12">#REF!</definedName>
    <definedName name="_EST13" localSheetId="27">#REF!</definedName>
    <definedName name="_EST13" localSheetId="24">#REF!</definedName>
    <definedName name="_EST13" localSheetId="6">#REF!</definedName>
    <definedName name="_EST13" localSheetId="26">#REF!</definedName>
    <definedName name="_EST13">#REF!</definedName>
    <definedName name="_EST14" localSheetId="27">#REF!</definedName>
    <definedName name="_EST14" localSheetId="24">#REF!</definedName>
    <definedName name="_EST14" localSheetId="6">#REF!</definedName>
    <definedName name="_EST14" localSheetId="26">#REF!</definedName>
    <definedName name="_EST14">#REF!</definedName>
    <definedName name="_EST15" localSheetId="27">#REF!</definedName>
    <definedName name="_EST15" localSheetId="24">#REF!</definedName>
    <definedName name="_EST15" localSheetId="6">#REF!</definedName>
    <definedName name="_EST15" localSheetId="26">#REF!</definedName>
    <definedName name="_EST15">#REF!</definedName>
    <definedName name="_EST16" localSheetId="27">#REF!</definedName>
    <definedName name="_EST16" localSheetId="24">#REF!</definedName>
    <definedName name="_EST16" localSheetId="6">#REF!</definedName>
    <definedName name="_EST16" localSheetId="26">#REF!</definedName>
    <definedName name="_EST16">#REF!</definedName>
    <definedName name="_EST17" localSheetId="27">#REF!</definedName>
    <definedName name="_EST17" localSheetId="24">#REF!</definedName>
    <definedName name="_EST17" localSheetId="6">#REF!</definedName>
    <definedName name="_EST17" localSheetId="26">#REF!</definedName>
    <definedName name="_EST17">#REF!</definedName>
    <definedName name="_EST18" localSheetId="27">#REF!</definedName>
    <definedName name="_EST18" localSheetId="24">#REF!</definedName>
    <definedName name="_EST18" localSheetId="6">#REF!</definedName>
    <definedName name="_EST18" localSheetId="26">#REF!</definedName>
    <definedName name="_EST18">#REF!</definedName>
    <definedName name="_EST19" localSheetId="27">#REF!</definedName>
    <definedName name="_EST19" localSheetId="24">#REF!</definedName>
    <definedName name="_EST19" localSheetId="6">#REF!</definedName>
    <definedName name="_EST19" localSheetId="26">#REF!</definedName>
    <definedName name="_EST19">#REF!</definedName>
    <definedName name="_EST2" localSheetId="27">#REF!</definedName>
    <definedName name="_EST2" localSheetId="24">#REF!</definedName>
    <definedName name="_EST2" localSheetId="6">#REF!</definedName>
    <definedName name="_EST2" localSheetId="26">#REF!</definedName>
    <definedName name="_EST2">#REF!</definedName>
    <definedName name="_EST23" localSheetId="27">#REF!</definedName>
    <definedName name="_EST23" localSheetId="24">#REF!</definedName>
    <definedName name="_EST23" localSheetId="6">#REF!</definedName>
    <definedName name="_EST23" localSheetId="26">#REF!</definedName>
    <definedName name="_EST23">#REF!</definedName>
    <definedName name="_EST3" localSheetId="27">#REF!</definedName>
    <definedName name="_EST3" localSheetId="24">#REF!</definedName>
    <definedName name="_EST3" localSheetId="6">#REF!</definedName>
    <definedName name="_EST3" localSheetId="26">#REF!</definedName>
    <definedName name="_EST3">#REF!</definedName>
    <definedName name="_EST4" localSheetId="27">#REF!</definedName>
    <definedName name="_EST4" localSheetId="24">#REF!</definedName>
    <definedName name="_EST4" localSheetId="6">#REF!</definedName>
    <definedName name="_EST4" localSheetId="26">#REF!</definedName>
    <definedName name="_EST4">#REF!</definedName>
    <definedName name="_EST5" localSheetId="27">#REF!</definedName>
    <definedName name="_EST5" localSheetId="24">#REF!</definedName>
    <definedName name="_EST5" localSheetId="6">#REF!</definedName>
    <definedName name="_EST5" localSheetId="26">#REF!</definedName>
    <definedName name="_EST5">#REF!</definedName>
    <definedName name="_EST6" localSheetId="27">#REF!</definedName>
    <definedName name="_EST6" localSheetId="24">#REF!</definedName>
    <definedName name="_EST6" localSheetId="6">#REF!</definedName>
    <definedName name="_EST6" localSheetId="26">#REF!</definedName>
    <definedName name="_EST6">#REF!</definedName>
    <definedName name="_EST7" localSheetId="27">#REF!</definedName>
    <definedName name="_EST7" localSheetId="24">#REF!</definedName>
    <definedName name="_EST7" localSheetId="6">#REF!</definedName>
    <definedName name="_EST7" localSheetId="26">#REF!</definedName>
    <definedName name="_EST7">#REF!</definedName>
    <definedName name="_EST8" localSheetId="27">#REF!</definedName>
    <definedName name="_EST8" localSheetId="24">#REF!</definedName>
    <definedName name="_EST8" localSheetId="6">#REF!</definedName>
    <definedName name="_EST8" localSheetId="26">#REF!</definedName>
    <definedName name="_EST8">#REF!</definedName>
    <definedName name="_EST9" localSheetId="27">#REF!</definedName>
    <definedName name="_EST9" localSheetId="24">#REF!</definedName>
    <definedName name="_EST9" localSheetId="6">#REF!</definedName>
    <definedName name="_EST9" localSheetId="26">#REF!</definedName>
    <definedName name="_EST9">#REF!</definedName>
    <definedName name="_EXC1" localSheetId="27">#REF!</definedName>
    <definedName name="_EXC1" localSheetId="24">#REF!</definedName>
    <definedName name="_EXC1" localSheetId="6">#REF!</definedName>
    <definedName name="_EXC1" localSheetId="26">#REF!</definedName>
    <definedName name="_EXC1">#REF!</definedName>
    <definedName name="_EXC10" localSheetId="27">#REF!</definedName>
    <definedName name="_EXC10" localSheetId="24">#REF!</definedName>
    <definedName name="_EXC10" localSheetId="6">#REF!</definedName>
    <definedName name="_EXC10" localSheetId="26">#REF!</definedName>
    <definedName name="_EXC10">#REF!</definedName>
    <definedName name="_EXC11" localSheetId="27">#REF!</definedName>
    <definedName name="_EXC11" localSheetId="24">#REF!</definedName>
    <definedName name="_EXC11" localSheetId="6">#REF!</definedName>
    <definedName name="_EXC11" localSheetId="26">#REF!</definedName>
    <definedName name="_EXC11">#REF!</definedName>
    <definedName name="_EXC12" localSheetId="27">#REF!</definedName>
    <definedName name="_EXC12" localSheetId="24">#REF!</definedName>
    <definedName name="_EXC12" localSheetId="6">#REF!</definedName>
    <definedName name="_EXC12" localSheetId="26">#REF!</definedName>
    <definedName name="_EXC12">#REF!</definedName>
    <definedName name="_EXC2" localSheetId="27">#REF!</definedName>
    <definedName name="_EXC2" localSheetId="24">#REF!</definedName>
    <definedName name="_EXC2" localSheetId="6">#REF!</definedName>
    <definedName name="_EXC2" localSheetId="26">#REF!</definedName>
    <definedName name="_EXC2">#REF!</definedName>
    <definedName name="_EXC3" localSheetId="27">#REF!</definedName>
    <definedName name="_EXC3" localSheetId="24">#REF!</definedName>
    <definedName name="_EXC3" localSheetId="6">#REF!</definedName>
    <definedName name="_EXC3" localSheetId="26">#REF!</definedName>
    <definedName name="_EXC3">#REF!</definedName>
    <definedName name="_EXC4" localSheetId="27">#REF!</definedName>
    <definedName name="_EXC4" localSheetId="24">#REF!</definedName>
    <definedName name="_EXC4" localSheetId="6">#REF!</definedName>
    <definedName name="_EXC4" localSheetId="26">#REF!</definedName>
    <definedName name="_EXC4">#REF!</definedName>
    <definedName name="_EXC5" localSheetId="27">#REF!</definedName>
    <definedName name="_EXC5" localSheetId="24">#REF!</definedName>
    <definedName name="_EXC5" localSheetId="6">#REF!</definedName>
    <definedName name="_EXC5" localSheetId="26">#REF!</definedName>
    <definedName name="_EXC5">#REF!</definedName>
    <definedName name="_EXC6" localSheetId="27">#REF!</definedName>
    <definedName name="_EXC6" localSheetId="24">#REF!</definedName>
    <definedName name="_EXC6" localSheetId="6">#REF!</definedName>
    <definedName name="_EXC6" localSheetId="26">#REF!</definedName>
    <definedName name="_EXC6">#REF!</definedName>
    <definedName name="_EXC7" localSheetId="27">#REF!</definedName>
    <definedName name="_EXC7" localSheetId="24">#REF!</definedName>
    <definedName name="_EXC7" localSheetId="6">#REF!</definedName>
    <definedName name="_EXC7" localSheetId="26">#REF!</definedName>
    <definedName name="_EXC7">#REF!</definedName>
    <definedName name="_EXC8" localSheetId="27">#REF!</definedName>
    <definedName name="_EXC8" localSheetId="24">#REF!</definedName>
    <definedName name="_EXC8" localSheetId="6">#REF!</definedName>
    <definedName name="_EXC8" localSheetId="26">#REF!</definedName>
    <definedName name="_EXC8">#REF!</definedName>
    <definedName name="_EXC9" localSheetId="27">#REF!</definedName>
    <definedName name="_EXC9" localSheetId="24">#REF!</definedName>
    <definedName name="_EXC9" localSheetId="6">#REF!</definedName>
    <definedName name="_EXC9" localSheetId="26">#REF!</definedName>
    <definedName name="_EXC9">#REF!</definedName>
    <definedName name="_Fill" localSheetId="27" hidden="1">#REF!</definedName>
    <definedName name="_Fill" localSheetId="24" hidden="1">#REF!</definedName>
    <definedName name="_Fill" localSheetId="6" hidden="1">#REF!</definedName>
    <definedName name="_Fill" localSheetId="26" hidden="1">#REF!</definedName>
    <definedName name="_Fill" hidden="1">#REF!</definedName>
    <definedName name="_inf1">#REF!</definedName>
    <definedName name="_Key1" localSheetId="27" hidden="1">#REF!</definedName>
    <definedName name="_Key1" localSheetId="24" hidden="1">#REF!</definedName>
    <definedName name="_Key1" localSheetId="6" hidden="1">#REF!</definedName>
    <definedName name="_Key1" localSheetId="26" hidden="1">#REF!</definedName>
    <definedName name="_Key1" hidden="1">#REF!</definedName>
    <definedName name="_Key2" localSheetId="27" hidden="1">#REF!</definedName>
    <definedName name="_Key2" localSheetId="24" hidden="1">#REF!</definedName>
    <definedName name="_Key2" localSheetId="6" hidden="1">#REF!</definedName>
    <definedName name="_Key2" localSheetId="26" hidden="1">#REF!</definedName>
    <definedName name="_Key2" hidden="1">#REF!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Order1" hidden="1">255</definedName>
    <definedName name="_Order2" hidden="1">255</definedName>
    <definedName name="_PJ50" localSheetId="30">#REF!</definedName>
    <definedName name="_PJ50" localSheetId="27">#REF!</definedName>
    <definedName name="_PJ50" localSheetId="24">#REF!</definedName>
    <definedName name="_PJ50" localSheetId="6">#REF!</definedName>
    <definedName name="_PJ50" localSheetId="26">#REF!</definedName>
    <definedName name="_PJ50">#REF!</definedName>
    <definedName name="_pj51" localSheetId="30">#REF!</definedName>
    <definedName name="_pj51" localSheetId="27">#REF!</definedName>
    <definedName name="_pj51" localSheetId="24">#REF!</definedName>
    <definedName name="_pj51" localSheetId="6">#REF!</definedName>
    <definedName name="_pj51" localSheetId="26">#REF!</definedName>
    <definedName name="_pj51">#REF!</definedName>
    <definedName name="_rc">#REF!</definedName>
    <definedName name="_Regression_Out" localSheetId="30" hidden="1">#REF!</definedName>
    <definedName name="_Regression_Out" localSheetId="27" hidden="1">#REF!</definedName>
    <definedName name="_Regression_Out" localSheetId="24" hidden="1">#REF!</definedName>
    <definedName name="_Regression_Out" localSheetId="6" hidden="1">#REF!</definedName>
    <definedName name="_Regression_Out" localSheetId="26" hidden="1">#REF!</definedName>
    <definedName name="_Regression_Out" hidden="1">#REF!</definedName>
    <definedName name="_Regression_X" localSheetId="27" hidden="1">#REF!</definedName>
    <definedName name="_Regression_X" localSheetId="24" hidden="1">#REF!</definedName>
    <definedName name="_Regression_X" localSheetId="6" hidden="1">#REF!</definedName>
    <definedName name="_Regression_X" localSheetId="26" hidden="1">#REF!</definedName>
    <definedName name="_Regression_X" hidden="1">#REF!</definedName>
    <definedName name="_Regression_Y" localSheetId="27" hidden="1">#REF!</definedName>
    <definedName name="_Regression_Y" localSheetId="24" hidden="1">#REF!</definedName>
    <definedName name="_Regression_Y" localSheetId="6" hidden="1">#REF!</definedName>
    <definedName name="_Regression_Y" localSheetId="26" hidden="1">#REF!</definedName>
    <definedName name="_Regression_Y" hidden="1">#REF!</definedName>
    <definedName name="_Sort" localSheetId="27" hidden="1">#REF!</definedName>
    <definedName name="_Sort" localSheetId="24" hidden="1">#REF!</definedName>
    <definedName name="_Sort" localSheetId="6" hidden="1">#REF!</definedName>
    <definedName name="_Sort" localSheetId="26" hidden="1">#REF!</definedName>
    <definedName name="_Sort" hidden="1">#REF!</definedName>
    <definedName name="_TC212">[7]FLEXIBLE!#REF!</definedName>
    <definedName name="_TIT1" localSheetId="27">#REF!</definedName>
    <definedName name="_TIT1">#REF!</definedName>
    <definedName name="_TLL3" localSheetId="27">#REF!</definedName>
    <definedName name="_TLL3">#REF!</definedName>
    <definedName name="_Toc125968806_3" localSheetId="27">#REF!</definedName>
    <definedName name="_Toc125968806_3">#REF!</definedName>
    <definedName name="_TP1">#REF!</definedName>
    <definedName name="_V1">#REF!</definedName>
    <definedName name="a" localSheetId="27">IF('CARACTERIZACION '!Loan_Amount*'CARACTERIZACION '!Interest_Rate*'CARACTERIZACION '!Loan_Years*'CARACTERIZACION '!Loan_Start&gt;0,1,0)</definedName>
    <definedName name="a" localSheetId="24">#REF!</definedName>
    <definedName name="a" localSheetId="6">#REF!</definedName>
    <definedName name="a" localSheetId="26">#REF!</definedName>
    <definedName name="a">#REF!</definedName>
    <definedName name="a_BASICOS" localSheetId="27">#REF!</definedName>
    <definedName name="a_BASICOS" localSheetId="24">#REF!</definedName>
    <definedName name="a_BASICOS" localSheetId="6">#REF!</definedName>
    <definedName name="a_BASICOS" localSheetId="26">#REF!</definedName>
    <definedName name="a_BASICOS">#REF!</definedName>
    <definedName name="a_CIMENTACION" localSheetId="27">#REF!</definedName>
    <definedName name="a_CIMENTACION" localSheetId="24">#REF!</definedName>
    <definedName name="a_CIMENTACION" localSheetId="6">#REF!</definedName>
    <definedName name="a_CIMENTACION" localSheetId="26">#REF!</definedName>
    <definedName name="a_CIMENTACION">#REF!</definedName>
    <definedName name="A_impresión_IM" localSheetId="27">#REF!</definedName>
    <definedName name="A_impresión_IM" localSheetId="24">#REF!</definedName>
    <definedName name="A_impresión_IM" localSheetId="6">#REF!</definedName>
    <definedName name="A_impresión_IM" localSheetId="26">#REF!</definedName>
    <definedName name="A_impresión_IM">#REF!</definedName>
    <definedName name="a_PREELIMINAR" localSheetId="27">#REF!</definedName>
    <definedName name="a_PREELIMINAR" localSheetId="24">#REF!</definedName>
    <definedName name="a_PREELIMINAR" localSheetId="6">#REF!</definedName>
    <definedName name="a_PREELIMINAR" localSheetId="26">#REF!</definedName>
    <definedName name="a_PREELIMINAR">#REF!</definedName>
    <definedName name="A0">#REF!</definedName>
    <definedName name="AA" localSheetId="14" hidden="1">{#N/A,#N/A,TRUE,"INGENIERIA";#N/A,#N/A,TRUE,"COMPRAS";#N/A,#N/A,TRUE,"DIRECCION";#N/A,#N/A,TRUE,"RESUMEN"}</definedName>
    <definedName name="AA" localSheetId="16" hidden="1">{#N/A,#N/A,TRUE,"INGENIERIA";#N/A,#N/A,TRUE,"COMPRAS";#N/A,#N/A,TRUE,"DIRECCION";#N/A,#N/A,TRUE,"RESUMEN"}</definedName>
    <definedName name="AA" localSheetId="30" hidden="1">{#N/A,#N/A,TRUE,"INGENIERIA";#N/A,#N/A,TRUE,"COMPRAS";#N/A,#N/A,TRUE,"DIRECCION";#N/A,#N/A,TRUE,"RESUMEN"}</definedName>
    <definedName name="AA" localSheetId="27" hidden="1">{#N/A,#N/A,TRUE,"INGENIERIA";#N/A,#N/A,TRUE,"COMPRAS";#N/A,#N/A,TRUE,"DIRECCION";#N/A,#N/A,TRUE,"RESUMEN"}</definedName>
    <definedName name="AA" localSheetId="12" hidden="1">{#N/A,#N/A,TRUE,"INGENIERIA";#N/A,#N/A,TRUE,"COMPRAS";#N/A,#N/A,TRUE,"DIRECCION";#N/A,#N/A,TRUE,"RESUMEN"}</definedName>
    <definedName name="AA" localSheetId="24" hidden="1">{#N/A,#N/A,TRUE,"INGENIERIA";#N/A,#N/A,TRUE,"COMPRAS";#N/A,#N/A,TRUE,"DIRECCION";#N/A,#N/A,TRUE,"RESUMEN"}</definedName>
    <definedName name="AA" localSheetId="6" hidden="1">{#N/A,#N/A,TRUE,"INGENIERIA";#N/A,#N/A,TRUE,"COMPRAS";#N/A,#N/A,TRUE,"DIRECCION";#N/A,#N/A,TRUE,"RESUMEN"}</definedName>
    <definedName name="AA" localSheetId="26" hidden="1">{#N/A,#N/A,TRUE,"INGENIERIA";#N/A,#N/A,TRUE,"COMPRAS";#N/A,#N/A,TRUE,"DIRECCION";#N/A,#N/A,TRUE,"RESUMEN"}</definedName>
    <definedName name="AA" hidden="1">{#N/A,#N/A,TRUE,"INGENIERIA";#N/A,#N/A,TRUE,"COMPRAS";#N/A,#N/A,TRUE,"DIRECCION";#N/A,#N/A,TRUE,"RESUMEN"}</definedName>
    <definedName name="aaa">#REF!</definedName>
    <definedName name="AAAA">'[8]PU (2)'!$F$10</definedName>
    <definedName name="AAAAAAAAAAAAAAAAAAFFFFFFFFFFFFFFF" localSheetId="27">#REF!</definedName>
    <definedName name="AAAAAAAAAAAAAAAAAAFFFFFFFFFFFFFFF">#REF!</definedName>
    <definedName name="AALALAJSHSHYDTD" localSheetId="27">#REF!</definedName>
    <definedName name="AALALAJSHSHYDTD">#REF!</definedName>
    <definedName name="ab" localSheetId="30">#REF!</definedName>
    <definedName name="AB" localSheetId="27" hidden="1">{#N/A,#N/A,TRUE,"INGENIERIA";#N/A,#N/A,TRUE,"COMPRAS";#N/A,#N/A,TRUE,"DIRECCION";#N/A,#N/A,TRUE,"RESUMEN"}</definedName>
    <definedName name="ab" localSheetId="24">#REF!</definedName>
    <definedName name="ab" localSheetId="6">#REF!</definedName>
    <definedName name="ab" localSheetId="26">#REF!</definedName>
    <definedName name="ab">#REF!</definedName>
    <definedName name="absc">#N/A</definedName>
    <definedName name="AC" localSheetId="14" hidden="1">{#N/A,#N/A,TRUE,"INGENIERIA";#N/A,#N/A,TRUE,"COMPRAS";#N/A,#N/A,TRUE,"DIRECCION";#N/A,#N/A,TRUE,"RESUMEN"}</definedName>
    <definedName name="AC" localSheetId="16" hidden="1">{#N/A,#N/A,TRUE,"INGENIERIA";#N/A,#N/A,TRUE,"COMPRAS";#N/A,#N/A,TRUE,"DIRECCION";#N/A,#N/A,TRUE,"RESUMEN"}</definedName>
    <definedName name="AC" localSheetId="30" hidden="1">{#N/A,#N/A,TRUE,"INGENIERIA";#N/A,#N/A,TRUE,"COMPRAS";#N/A,#N/A,TRUE,"DIRECCION";#N/A,#N/A,TRUE,"RESUMEN"}</definedName>
    <definedName name="AC" localSheetId="27" hidden="1">{#N/A,#N/A,TRUE,"INGENIERIA";#N/A,#N/A,TRUE,"COMPRAS";#N/A,#N/A,TRUE,"DIRECCION";#N/A,#N/A,TRUE,"RESUMEN"}</definedName>
    <definedName name="AC" localSheetId="12" hidden="1">{#N/A,#N/A,TRUE,"INGENIERIA";#N/A,#N/A,TRUE,"COMPRAS";#N/A,#N/A,TRUE,"DIRECCION";#N/A,#N/A,TRUE,"RESUMEN"}</definedName>
    <definedName name="AC" localSheetId="24" hidden="1">{#N/A,#N/A,TRUE,"INGENIERIA";#N/A,#N/A,TRUE,"COMPRAS";#N/A,#N/A,TRUE,"DIRECCION";#N/A,#N/A,TRUE,"RESUMEN"}</definedName>
    <definedName name="AC" localSheetId="6" hidden="1">{#N/A,#N/A,TRUE,"INGENIERIA";#N/A,#N/A,TRUE,"COMPRAS";#N/A,#N/A,TRUE,"DIRECCION";#N/A,#N/A,TRUE,"RESUMEN"}</definedName>
    <definedName name="AC" localSheetId="26" hidden="1">{#N/A,#N/A,TRUE,"INGENIERIA";#N/A,#N/A,TRUE,"COMPRAS";#N/A,#N/A,TRUE,"DIRECCION";#N/A,#N/A,TRUE,"RESUMEN"}</definedName>
    <definedName name="AC" hidden="1">{#N/A,#N/A,TRUE,"INGENIERIA";#N/A,#N/A,TRUE,"COMPRAS";#N/A,#N/A,TRUE,"DIRECCION";#N/A,#N/A,TRUE,"RESUMEN"}</definedName>
    <definedName name="ACCESORIO_CODO">[9]Materiales!#REF!</definedName>
    <definedName name="AccessDatabase" localSheetId="2" hidden="1">"A:\SAIN.mdb"</definedName>
    <definedName name="AccessDatabase" localSheetId="27" hidden="1">"A:\SAIN.mdb"</definedName>
    <definedName name="AccessDatabase" localSheetId="24" hidden="1">"A:\SAIN.mdb"</definedName>
    <definedName name="AccessDatabase" localSheetId="6" hidden="1">"A:\SAIN.mdb"</definedName>
    <definedName name="AccessDatabase" localSheetId="26" hidden="1">"A:\SAIN.mdb"</definedName>
    <definedName name="AccessDatabase" localSheetId="1" hidden="1">"A:\SAIN.mdb"</definedName>
    <definedName name="AccessDatabase" hidden="1">"C:\C-314\VOLUMENES\volfin4.mdb"</definedName>
    <definedName name="Accsesorios_gabinete">#REF!</definedName>
    <definedName name="ACERO">#REF!</definedName>
    <definedName name="ACERO_1_2" localSheetId="14">[9]Materiales!#REF!</definedName>
    <definedName name="ACERO_1_2" localSheetId="16">[9]Materiales!#REF!</definedName>
    <definedName name="ACERO_1_2" localSheetId="30">[9]Materiales!#REF!</definedName>
    <definedName name="ACERO_1_2" localSheetId="27">[9]Materiales!#REF!</definedName>
    <definedName name="ACERO_1_2" localSheetId="12">[9]Materiales!#REF!</definedName>
    <definedName name="ACERO_1_2">[9]Materiales!#REF!</definedName>
    <definedName name="ACERO_1_4" localSheetId="30">[9]Materiales!#REF!</definedName>
    <definedName name="ACERO_1_4">[9]Materiales!#REF!</definedName>
    <definedName name="acero_3" localSheetId="30">[9]Materiales!#REF!</definedName>
    <definedName name="acero_3">[9]Materiales!#REF!</definedName>
    <definedName name="ACERO_3_8" localSheetId="30">[9]Materiales!#REF!</definedName>
    <definedName name="ACERO_3_8">[9]Materiales!#REF!</definedName>
    <definedName name="acero_4" localSheetId="30">[9]Materiales!#REF!</definedName>
    <definedName name="acero_4">[9]Materiales!#REF!</definedName>
    <definedName name="ACERO_5_8">[9]Materiales!#REF!</definedName>
    <definedName name="Acero_de_40_000_psi" localSheetId="27">#REF!</definedName>
    <definedName name="Acero_de_40_000_psi">#REF!</definedName>
    <definedName name="Acero_de_60_000_psi" localSheetId="27">#REF!</definedName>
    <definedName name="Acero_de_60_000_psi">#REF!</definedName>
    <definedName name="ACERO2" localSheetId="27">#REF!</definedName>
    <definedName name="ACERO2">#REF!</definedName>
    <definedName name="ACERO37">#REF!</definedName>
    <definedName name="ACERO6">#REF!</definedName>
    <definedName name="ACOM">#N/A</definedName>
    <definedName name="ACONDICIONADOR_PARA_SILLA_Y">[9]Materiales!#REF!</definedName>
    <definedName name="ACT">'[1]CUAD-DIURNA'!#REF!</definedName>
    <definedName name="ACTIVIDADES">[10]aactividad!$A$3:$B$15</definedName>
    <definedName name="actores" localSheetId="27">#REF!</definedName>
    <definedName name="actores">#REF!</definedName>
    <definedName name="AD" localSheetId="14" hidden="1">{#N/A,#N/A,TRUE,"INGENIERIA";#N/A,#N/A,TRUE,"COMPRAS";#N/A,#N/A,TRUE,"DIRECCION";#N/A,#N/A,TRUE,"RESUMEN"}</definedName>
    <definedName name="AD" localSheetId="16" hidden="1">{#N/A,#N/A,TRUE,"INGENIERIA";#N/A,#N/A,TRUE,"COMPRAS";#N/A,#N/A,TRUE,"DIRECCION";#N/A,#N/A,TRUE,"RESUMEN"}</definedName>
    <definedName name="AD" localSheetId="30" hidden="1">{#N/A,#N/A,TRUE,"INGENIERIA";#N/A,#N/A,TRUE,"COMPRAS";#N/A,#N/A,TRUE,"DIRECCION";#N/A,#N/A,TRUE,"RESUMEN"}</definedName>
    <definedName name="AD" localSheetId="27" hidden="1">{#N/A,#N/A,TRUE,"INGENIERIA";#N/A,#N/A,TRUE,"COMPRAS";#N/A,#N/A,TRUE,"DIRECCION";#N/A,#N/A,TRUE,"RESUMEN"}</definedName>
    <definedName name="AD" localSheetId="12" hidden="1">{#N/A,#N/A,TRUE,"INGENIERIA";#N/A,#N/A,TRUE,"COMPRAS";#N/A,#N/A,TRUE,"DIRECCION";#N/A,#N/A,TRUE,"RESUMEN"}</definedName>
    <definedName name="AD" localSheetId="24" hidden="1">{#N/A,#N/A,TRUE,"INGENIERIA";#N/A,#N/A,TRUE,"COMPRAS";#N/A,#N/A,TRUE,"DIRECCION";#N/A,#N/A,TRUE,"RESUMEN"}</definedName>
    <definedName name="AD" localSheetId="6" hidden="1">{#N/A,#N/A,TRUE,"INGENIERIA";#N/A,#N/A,TRUE,"COMPRAS";#N/A,#N/A,TRUE,"DIRECCION";#N/A,#N/A,TRUE,"RESUMEN"}</definedName>
    <definedName name="AD" localSheetId="26" hidden="1">{#N/A,#N/A,TRUE,"INGENIERIA";#N/A,#N/A,TRUE,"COMPRAS";#N/A,#N/A,TRUE,"DIRECCION";#N/A,#N/A,TRUE,"RESUMEN"}</definedName>
    <definedName name="AD" hidden="1">{#N/A,#N/A,TRUE,"INGENIERIA";#N/A,#N/A,TRUE,"COMPRAS";#N/A,#N/A,TRUE,"DIRECCION";#N/A,#N/A,TRUE,"RESUMEN"}</definedName>
    <definedName name="Adaptador_3_4__PVC">#REF!</definedName>
    <definedName name="Adaptador_Pres._1">#REF!</definedName>
    <definedName name="Adaptador_Pres._1_2">#REF!</definedName>
    <definedName name="Adaptador_Pres._3_4">#REF!</definedName>
    <definedName name="Adaptadores__PVC_1_2">#REF!</definedName>
    <definedName name="addddddddddddaaaaaaaaaaaaggggggggggggggg">#REF!</definedName>
    <definedName name="ADHESIVO_PARA_SILLA_Y">[9]Materiales!#REF!</definedName>
    <definedName name="ADIFLEX">[9]Materiales!#REF!</definedName>
    <definedName name="AdminDetail" localSheetId="30">#REF!</definedName>
    <definedName name="AdminDetail" localSheetId="27">#REF!</definedName>
    <definedName name="AdminDetail" localSheetId="24">#REF!</definedName>
    <definedName name="AdminDetail" localSheetId="6">#REF!</definedName>
    <definedName name="AdminDetail" localSheetId="26">#REF!</definedName>
    <definedName name="AdminDetail">#REF!</definedName>
    <definedName name="AdminHeading" localSheetId="30">#REF!</definedName>
    <definedName name="AdminHeading" localSheetId="27">#REF!</definedName>
    <definedName name="AdminHeading" localSheetId="24">#REF!</definedName>
    <definedName name="AdminHeading" localSheetId="6">#REF!</definedName>
    <definedName name="AdminHeading" localSheetId="26">#REF!</definedName>
    <definedName name="AdminHeading">#REF!</definedName>
    <definedName name="AdminSumDetail" localSheetId="30">#REF!</definedName>
    <definedName name="AdminSumDetail" localSheetId="27">#REF!</definedName>
    <definedName name="AdminSumDetail" localSheetId="24">#REF!</definedName>
    <definedName name="AdminSumDetail" localSheetId="6">#REF!</definedName>
    <definedName name="AdminSumDetail" localSheetId="26">#REF!</definedName>
    <definedName name="AdminSumDetail">#REF!</definedName>
    <definedName name="AdminSumHeading" localSheetId="27">#REF!</definedName>
    <definedName name="AdminSumHeading" localSheetId="24">#REF!</definedName>
    <definedName name="AdminSumHeading" localSheetId="6">#REF!</definedName>
    <definedName name="AdminSumHeading" localSheetId="26">#REF!</definedName>
    <definedName name="AdminSumHeading">#REF!</definedName>
    <definedName name="AdminTotalDetail" localSheetId="27">#REF!</definedName>
    <definedName name="AdminTotalDetail" localSheetId="24">#REF!</definedName>
    <definedName name="AdminTotalDetail" localSheetId="6">#REF!</definedName>
    <definedName name="AdminTotalDetail" localSheetId="26">#REF!</definedName>
    <definedName name="AdminTotalDetail">#REF!</definedName>
    <definedName name="AdminTotalHeading" localSheetId="27">#REF!</definedName>
    <definedName name="AdminTotalHeading" localSheetId="24">#REF!</definedName>
    <definedName name="AdminTotalHeading" localSheetId="6">#REF!</definedName>
    <definedName name="AdminTotalHeading" localSheetId="26">#REF!</definedName>
    <definedName name="AdminTotalHeading">#REF!</definedName>
    <definedName name="ADMON">10%</definedName>
    <definedName name="adoq" localSheetId="17">[11]!absc</definedName>
    <definedName name="adoq" localSheetId="18">[11]!absc</definedName>
    <definedName name="adoq" localSheetId="21">[11]!absc</definedName>
    <definedName name="adoq" localSheetId="30">[11]!absc</definedName>
    <definedName name="adoq" localSheetId="27">[11]!absc</definedName>
    <definedName name="adoq" localSheetId="23">[11]!absc</definedName>
    <definedName name="adoq" localSheetId="1">[11]!absc</definedName>
    <definedName name="adoq">[11]!absc</definedName>
    <definedName name="ADOQUIN_DE_CONCRETO" localSheetId="14">[9]Materiales!#REF!</definedName>
    <definedName name="ADOQUIN_DE_CONCRETO" localSheetId="16">[9]Materiales!#REF!</definedName>
    <definedName name="ADOQUIN_DE_CONCRETO" localSheetId="30">[9]Materiales!#REF!</definedName>
    <definedName name="ADOQUIN_DE_CONCRETO">[9]Materiales!#REF!</definedName>
    <definedName name="AE" localSheetId="14" hidden="1">{#N/A,#N/A,TRUE,"INGENIERIA";#N/A,#N/A,TRUE,"COMPRAS";#N/A,#N/A,TRUE,"DIRECCION";#N/A,#N/A,TRUE,"RESUMEN"}</definedName>
    <definedName name="AE" localSheetId="16" hidden="1">{#N/A,#N/A,TRUE,"INGENIERIA";#N/A,#N/A,TRUE,"COMPRAS";#N/A,#N/A,TRUE,"DIRECCION";#N/A,#N/A,TRUE,"RESUMEN"}</definedName>
    <definedName name="AE" localSheetId="30" hidden="1">{#N/A,#N/A,TRUE,"INGENIERIA";#N/A,#N/A,TRUE,"COMPRAS";#N/A,#N/A,TRUE,"DIRECCION";#N/A,#N/A,TRUE,"RESUMEN"}</definedName>
    <definedName name="AE" localSheetId="27" hidden="1">{#N/A,#N/A,TRUE,"INGENIERIA";#N/A,#N/A,TRUE,"COMPRAS";#N/A,#N/A,TRUE,"DIRECCION";#N/A,#N/A,TRUE,"RESUMEN"}</definedName>
    <definedName name="AE" localSheetId="12" hidden="1">{#N/A,#N/A,TRUE,"INGENIERIA";#N/A,#N/A,TRUE,"COMPRAS";#N/A,#N/A,TRUE,"DIRECCION";#N/A,#N/A,TRUE,"RESUMEN"}</definedName>
    <definedName name="AE" localSheetId="24" hidden="1">{#N/A,#N/A,TRUE,"INGENIERIA";#N/A,#N/A,TRUE,"COMPRAS";#N/A,#N/A,TRUE,"DIRECCION";#N/A,#N/A,TRUE,"RESUMEN"}</definedName>
    <definedName name="AE" localSheetId="6" hidden="1">{#N/A,#N/A,TRUE,"INGENIERIA";#N/A,#N/A,TRUE,"COMPRAS";#N/A,#N/A,TRUE,"DIRECCION";#N/A,#N/A,TRUE,"RESUMEN"}</definedName>
    <definedName name="AE" localSheetId="26" hidden="1">{#N/A,#N/A,TRUE,"INGENIERIA";#N/A,#N/A,TRUE,"COMPRAS";#N/A,#N/A,TRUE,"DIRECCION";#N/A,#N/A,TRUE,"RESUMEN"}</definedName>
    <definedName name="AE" hidden="1">{#N/A,#N/A,TRUE,"INGENIERIA";#N/A,#N/A,TRUE,"COMPRAS";#N/A,#N/A,TRUE,"DIRECCION";#N/A,#N/A,TRUE,"RESUMEN"}</definedName>
    <definedName name="AF" localSheetId="14" hidden="1">{#N/A,#N/A,TRUE,"INGENIERIA";#N/A,#N/A,TRUE,"COMPRAS";#N/A,#N/A,TRUE,"DIRECCION";#N/A,#N/A,TRUE,"RESUMEN"}</definedName>
    <definedName name="AF" localSheetId="16" hidden="1">{#N/A,#N/A,TRUE,"INGENIERIA";#N/A,#N/A,TRUE,"COMPRAS";#N/A,#N/A,TRUE,"DIRECCION";#N/A,#N/A,TRUE,"RESUMEN"}</definedName>
    <definedName name="AF" localSheetId="30" hidden="1">{#N/A,#N/A,TRUE,"INGENIERIA";#N/A,#N/A,TRUE,"COMPRAS";#N/A,#N/A,TRUE,"DIRECCION";#N/A,#N/A,TRUE,"RESUMEN"}</definedName>
    <definedName name="AF" localSheetId="27" hidden="1">{#N/A,#N/A,TRUE,"INGENIERIA";#N/A,#N/A,TRUE,"COMPRAS";#N/A,#N/A,TRUE,"DIRECCION";#N/A,#N/A,TRUE,"RESUMEN"}</definedName>
    <definedName name="AF" localSheetId="12" hidden="1">{#N/A,#N/A,TRUE,"INGENIERIA";#N/A,#N/A,TRUE,"COMPRAS";#N/A,#N/A,TRUE,"DIRECCION";#N/A,#N/A,TRUE,"RESUMEN"}</definedName>
    <definedName name="AF" localSheetId="24" hidden="1">{#N/A,#N/A,TRUE,"INGENIERIA";#N/A,#N/A,TRUE,"COMPRAS";#N/A,#N/A,TRUE,"DIRECCION";#N/A,#N/A,TRUE,"RESUMEN"}</definedName>
    <definedName name="AF" localSheetId="6" hidden="1">{#N/A,#N/A,TRUE,"INGENIERIA";#N/A,#N/A,TRUE,"COMPRAS";#N/A,#N/A,TRUE,"DIRECCION";#N/A,#N/A,TRUE,"RESUMEN"}</definedName>
    <definedName name="AF" localSheetId="26" hidden="1">{#N/A,#N/A,TRUE,"INGENIERIA";#N/A,#N/A,TRUE,"COMPRAS";#N/A,#N/A,TRUE,"DIRECCION";#N/A,#N/A,TRUE,"RESUMEN"}</definedName>
    <definedName name="AF" hidden="1">{#N/A,#N/A,TRUE,"INGENIERIA";#N/A,#N/A,TRUE,"COMPRAS";#N/A,#N/A,TRUE,"DIRECCION";#N/A,#N/A,TRUE,"RESUMEN"}</definedName>
    <definedName name="afa">#N/A</definedName>
    <definedName name="AFINADOCUBIERTA">#REF!</definedName>
    <definedName name="AG"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UA">[12]Materiales!$F$7</definedName>
    <definedName name="AH" localSheetId="14" hidden="1">{#N/A,#N/A,TRUE,"INGENIERIA";#N/A,#N/A,TRUE,"COMPRAS";#N/A,#N/A,TRUE,"DIRECCION";#N/A,#N/A,TRUE,"RESUMEN"}</definedName>
    <definedName name="AH" localSheetId="16" hidden="1">{#N/A,#N/A,TRUE,"INGENIERIA";#N/A,#N/A,TRUE,"COMPRAS";#N/A,#N/A,TRUE,"DIRECCION";#N/A,#N/A,TRUE,"RESUMEN"}</definedName>
    <definedName name="AH" localSheetId="30" hidden="1">{#N/A,#N/A,TRUE,"INGENIERIA";#N/A,#N/A,TRUE,"COMPRAS";#N/A,#N/A,TRUE,"DIRECCION";#N/A,#N/A,TRUE,"RESUMEN"}</definedName>
    <definedName name="AH" localSheetId="27" hidden="1">{#N/A,#N/A,TRUE,"INGENIERIA";#N/A,#N/A,TRUE,"COMPRAS";#N/A,#N/A,TRUE,"DIRECCION";#N/A,#N/A,TRUE,"RESUMEN"}</definedName>
    <definedName name="AH" localSheetId="12" hidden="1">{#N/A,#N/A,TRUE,"INGENIERIA";#N/A,#N/A,TRUE,"COMPRAS";#N/A,#N/A,TRUE,"DIRECCION";#N/A,#N/A,TRUE,"RESUMEN"}</definedName>
    <definedName name="AH" localSheetId="24" hidden="1">{#N/A,#N/A,TRUE,"INGENIERIA";#N/A,#N/A,TRUE,"COMPRAS";#N/A,#N/A,TRUE,"DIRECCION";#N/A,#N/A,TRUE,"RESUMEN"}</definedName>
    <definedName name="AH" localSheetId="6" hidden="1">{#N/A,#N/A,TRUE,"INGENIERIA";#N/A,#N/A,TRUE,"COMPRAS";#N/A,#N/A,TRUE,"DIRECCION";#N/A,#N/A,TRUE,"RESUMEN"}</definedName>
    <definedName name="AH" localSheetId="26" hidden="1">{#N/A,#N/A,TRUE,"INGENIERIA";#N/A,#N/A,TRUE,"COMPRAS";#N/A,#N/A,TRUE,"DIRECCION";#N/A,#N/A,TRUE,"RESUMEN"}</definedName>
    <definedName name="AH" hidden="1">{#N/A,#N/A,TRUE,"INGENIERIA";#N/A,#N/A,TRUE,"COMPRAS";#N/A,#N/A,TRUE,"DIRECCION";#N/A,#N/A,TRUE,"RESUMEN"}</definedName>
    <definedName name="ahe">#REF!</definedName>
    <definedName name="Ai">#REF!</definedName>
    <definedName name="AimcorFundsFlow" localSheetId="30">#REF!</definedName>
    <definedName name="AimcorFundsFlow" localSheetId="27">#REF!</definedName>
    <definedName name="AimcorFundsFlow" localSheetId="24">#REF!</definedName>
    <definedName name="AimcorFundsFlow" localSheetId="6">#REF!</definedName>
    <definedName name="AimcorFundsFlow" localSheetId="26">#REF!</definedName>
    <definedName name="AimcorFundsFlow">#REF!</definedName>
    <definedName name="AimcorFundsFlowHeading" localSheetId="30">#REF!</definedName>
    <definedName name="AimcorFundsFlowHeading" localSheetId="27">#REF!</definedName>
    <definedName name="AimcorFundsFlowHeading" localSheetId="24">#REF!</definedName>
    <definedName name="AimcorFundsFlowHeading" localSheetId="6">#REF!</definedName>
    <definedName name="AimcorFundsFlowHeading" localSheetId="26">#REF!</definedName>
    <definedName name="AimcorFundsFlowHeading">#REF!</definedName>
    <definedName name="AimcorFundsFlowPA" localSheetId="30">#REF!</definedName>
    <definedName name="AimcorFundsFlowPA" localSheetId="27">#REF!</definedName>
    <definedName name="AimcorFundsFlowPA" localSheetId="24">#REF!</definedName>
    <definedName name="AimcorFundsFlowPA" localSheetId="6">#REF!</definedName>
    <definedName name="AimcorFundsFlowPA" localSheetId="26">#REF!</definedName>
    <definedName name="AimcorFundsFlowPA">#REF!</definedName>
    <definedName name="AimcorFundsFlowPAHeading" localSheetId="27">#REF!</definedName>
    <definedName name="AimcorFundsFlowPAHeading" localSheetId="24">#REF!</definedName>
    <definedName name="AimcorFundsFlowPAHeading" localSheetId="6">#REF!</definedName>
    <definedName name="AimcorFundsFlowPAHeading" localSheetId="26">#REF!</definedName>
    <definedName name="AimcorFundsFlowPAHeading">#REF!</definedName>
    <definedName name="AimcorPostDetail" localSheetId="27">#REF!</definedName>
    <definedName name="AimcorPostDetail" localSheetId="24">#REF!</definedName>
    <definedName name="AimcorPostDetail" localSheetId="6">#REF!</definedName>
    <definedName name="AimcorPostDetail" localSheetId="26">#REF!</definedName>
    <definedName name="AimcorPostDetail">#REF!</definedName>
    <definedName name="AimcorPostHeading" localSheetId="27">#REF!</definedName>
    <definedName name="AimcorPostHeading" localSheetId="24">#REF!</definedName>
    <definedName name="AimcorPostHeading" localSheetId="6">#REF!</definedName>
    <definedName name="AimcorPostHeading" localSheetId="26">#REF!</definedName>
    <definedName name="AimcorPostHeading">#REF!</definedName>
    <definedName name="AimcorTotalDetail" localSheetId="27">#REF!</definedName>
    <definedName name="AimcorTotalDetail" localSheetId="24">#REF!</definedName>
    <definedName name="AimcorTotalDetail" localSheetId="6">#REF!</definedName>
    <definedName name="AimcorTotalDetail" localSheetId="26">#REF!</definedName>
    <definedName name="AimcorTotalDetail">#REF!</definedName>
    <definedName name="AimcorTotalHeading" localSheetId="27">#REF!</definedName>
    <definedName name="AimcorTotalHeading" localSheetId="24">#REF!</definedName>
    <definedName name="AimcorTotalHeading" localSheetId="6">#REF!</definedName>
    <definedName name="AimcorTotalHeading" localSheetId="26">#REF!</definedName>
    <definedName name="AimcorTotalHeading">#REF!</definedName>
    <definedName name="AimSumDetail" localSheetId="27">#REF!</definedName>
    <definedName name="AimSumDetail" localSheetId="24">#REF!</definedName>
    <definedName name="AimSumDetail" localSheetId="6">#REF!</definedName>
    <definedName name="AimSumDetail" localSheetId="26">#REF!</definedName>
    <definedName name="AimSumDetail">#REF!</definedName>
    <definedName name="AimSumHeading" localSheetId="27">#REF!</definedName>
    <definedName name="AimSumHeading" localSheetId="24">#REF!</definedName>
    <definedName name="AimSumHeading" localSheetId="6">#REF!</definedName>
    <definedName name="AimSumHeading" localSheetId="26">#REF!</definedName>
    <definedName name="AimSumHeading">#REF!</definedName>
    <definedName name="Aisladores">#REF!</definedName>
    <definedName name="AIU">'[13]Itemes Renovación'!#REF!</definedName>
    <definedName name="aj" localSheetId="27">#REF!</definedName>
    <definedName name="aj">#REF!</definedName>
    <definedName name="Ak" localSheetId="27">#REF!</definedName>
    <definedName name="Ak">#REF!</definedName>
    <definedName name="alalallalla" localSheetId="27">#REF!</definedName>
    <definedName name="alalallalla">#REF!</definedName>
    <definedName name="Alambre_de_cobre_N__10_AWG">#REF!</definedName>
    <definedName name="Alambre_de_cobre_N__12_AWG">#REF!</definedName>
    <definedName name="Alambre_de_cobre_N__14_AWG">#REF!</definedName>
    <definedName name="Alambre_de_timbre_2x22_AWG">#REF!</definedName>
    <definedName name="ALAMBRE_GALVANIZADO">[9]Materiales!#REF!</definedName>
    <definedName name="Alambre_negro" localSheetId="27">#REF!</definedName>
    <definedName name="Alambre_negro">#REF!</definedName>
    <definedName name="alc" localSheetId="17">[14]!absc</definedName>
    <definedName name="alc" localSheetId="18">[14]!absc</definedName>
    <definedName name="alc" localSheetId="21">[14]!absc</definedName>
    <definedName name="alc" localSheetId="30">[14]!absc</definedName>
    <definedName name="alc" localSheetId="27">[14]!absc</definedName>
    <definedName name="alc" localSheetId="23">[14]!absc</definedName>
    <definedName name="alc" localSheetId="1">[14]!absc</definedName>
    <definedName name="alc">[14]!absc</definedName>
    <definedName name="ALFAGIAS" localSheetId="27">#REF!</definedName>
    <definedName name="ALFAGIAS">#REF!</definedName>
    <definedName name="ALNEGRO" localSheetId="27">#REF!</definedName>
    <definedName name="ALNEGRO">#REF!</definedName>
    <definedName name="Alumino_ventanas" localSheetId="27">#REF!</definedName>
    <definedName name="Alumino_ventanas">#REF!</definedName>
    <definedName name="Am">#REF!</definedName>
    <definedName name="Amperimetro_0_500_5A">#REF!</definedName>
    <definedName name="An">#REF!</definedName>
    <definedName name="ANABANCO">'[15]ANALISIS RESUMIDOS'!$A$2:$D$2609</definedName>
    <definedName name="ANALISIS__DE__PRECIOS__UNITARIOS" localSheetId="27">#REF!</definedName>
    <definedName name="ANALISIS__DE__PRECIOS__UNITARIOS">#REF!</definedName>
    <definedName name="ANDEN" localSheetId="27">#REF!</definedName>
    <definedName name="ANDEN">#REF!</definedName>
    <definedName name="Angulo_de_platina__1_x1_x1_8" localSheetId="27">'[16]L. MAT.'!#REF!</definedName>
    <definedName name="Angulo_de_platina__1_x1_x1_8">'[16]L. MAT.'!#REF!</definedName>
    <definedName name="ANTIC" localSheetId="27">'[17]1'!#REF!</definedName>
    <definedName name="ANTIC">'[17]1'!#REF!</definedName>
    <definedName name="Añ" localSheetId="27">#REF!</definedName>
    <definedName name="Añ">#REF!</definedName>
    <definedName name="AÑOWUIE">'[18]Res-Accide-10'!$R$2:$R$7</definedName>
    <definedName name="ao" localSheetId="27">#REF!</definedName>
    <definedName name="ao">#REF!</definedName>
    <definedName name="Ap" localSheetId="27">#REF!</definedName>
    <definedName name="Ap">#REF!</definedName>
    <definedName name="APR">[19]dts!$B$25</definedName>
    <definedName name="APU" localSheetId="17">[20]!absc</definedName>
    <definedName name="APU" localSheetId="18">[20]!absc</definedName>
    <definedName name="APU" localSheetId="21">[20]!absc</definedName>
    <definedName name="APU" localSheetId="30">[20]!absc</definedName>
    <definedName name="APU" localSheetId="27">[20]!absc</definedName>
    <definedName name="APU" localSheetId="23">[20]!absc</definedName>
    <definedName name="APU" localSheetId="1">[20]!absc</definedName>
    <definedName name="APU">[20]!absc</definedName>
    <definedName name="APU221.1" localSheetId="30">#REF!</definedName>
    <definedName name="APU221.1" localSheetId="27">#REF!</definedName>
    <definedName name="APU221.1" localSheetId="24">#REF!</definedName>
    <definedName name="APU221.1" localSheetId="6">#REF!</definedName>
    <definedName name="APU221.1" localSheetId="26">#REF!</definedName>
    <definedName name="APU221.1">#REF!</definedName>
    <definedName name="APU221.2" localSheetId="30">#REF!</definedName>
    <definedName name="APU221.2" localSheetId="27">#REF!</definedName>
    <definedName name="APU221.2" localSheetId="24">#REF!</definedName>
    <definedName name="APU221.2" localSheetId="6">#REF!</definedName>
    <definedName name="APU221.2" localSheetId="26">#REF!</definedName>
    <definedName name="APU221.2">#REF!</definedName>
    <definedName name="Aq">#REF!</definedName>
    <definedName name="Ar">#REF!</definedName>
    <definedName name="AREA">#REF!</definedName>
    <definedName name="_xlnm.Extract">'[21]AC2-AG96'!#REF!</definedName>
    <definedName name="_xlnm.Print_Area" localSheetId="14">#REF!</definedName>
    <definedName name="_xlnm.Print_Area" localSheetId="15">'1,2'!$A$1:$G$52</definedName>
    <definedName name="_xlnm.Print_Area" localSheetId="19">'2,3'!$A$1:$G$60</definedName>
    <definedName name="_xlnm.Print_Area" localSheetId="2">AIU!$A$1:$L$74</definedName>
    <definedName name="_xlnm.Print_Area" localSheetId="30">#REF!</definedName>
    <definedName name="_xlnm.Print_Area" localSheetId="8">'APU-Básicos'!$A$1:$G$332</definedName>
    <definedName name="_xlnm.Print_Area" localSheetId="4">CANTIDADES!$A$1:$S$220</definedName>
    <definedName name="_xlnm.Print_Area" localSheetId="31">CARACTERIZACION!$A$1:$I$42</definedName>
    <definedName name="_xlnm.Print_Area" localSheetId="27">'CARACTERIZACION '!$A$1:$I$39</definedName>
    <definedName name="_xlnm.Print_Area" localSheetId="5">'CORTE Y RELL'!$A$1:$Z$4</definedName>
    <definedName name="_xlnm.Print_Area" localSheetId="3">'CRONOGRAMA Y FC'!$A$1:$M$44</definedName>
    <definedName name="_xlnm.Print_Area" localSheetId="12">#REF!</definedName>
    <definedName name="_xlnm.Print_Area" localSheetId="13">Equ!$A$1:$E$48</definedName>
    <definedName name="_xlnm.Print_Area" localSheetId="24">FM!$A$1:$J$51</definedName>
    <definedName name="_xlnm.Print_Area" localSheetId="23">FP!$A$1:$AJ$64</definedName>
    <definedName name="_xlnm.Print_Area" localSheetId="6">INTERVENTORIA!$A$1:$K$66</definedName>
    <definedName name="_xlnm.Print_Area" localSheetId="25">PAGA!$A$1:$K$58</definedName>
    <definedName name="_xlnm.Print_Area" localSheetId="26">PMT!$A$1:$J$27</definedName>
    <definedName name="_xlnm.Print_Area" localSheetId="0">PRESUPUESTO!$A$1:$I$54</definedName>
    <definedName name="_xlnm.Print_Area" localSheetId="1">SOCIAL!$A$1:$L$44</definedName>
    <definedName name="_xlnm.Print_Area" localSheetId="28">Sum!$A$1:$E$71</definedName>
    <definedName name="_xlnm.Print_Area" localSheetId="29">Transporte!$A$1:$E$41</definedName>
    <definedName name="_xlnm.Print_Area">#REF!</definedName>
    <definedName name="AREAPRIVADA" localSheetId="27">#REF!</definedName>
    <definedName name="AREAPRIVADA">#REF!</definedName>
    <definedName name="ARELAL">[5]APU!$G$1096</definedName>
    <definedName name="ARENA">[22]MATERIALES!$D$2</definedName>
    <definedName name="ARENA_BLANCA">[12]Materiales!$F$19</definedName>
    <definedName name="Arrendamiento" localSheetId="27">#REF!</definedName>
    <definedName name="Arrendamiento">#REF!</definedName>
    <definedName name="ArrendamientoCostos" localSheetId="27">#REF!</definedName>
    <definedName name="ArrendamientoCostos">#REF!</definedName>
    <definedName name="as" localSheetId="27">[23]FLUJOS!#REF!</definedName>
    <definedName name="as">[23]FLUJOS!#REF!</definedName>
    <definedName name="ASD" localSheetId="27">[24]FLEXIBLE!#REF!</definedName>
    <definedName name="ASD">[24]FLEXIBLE!#REF!</definedName>
    <definedName name="asdfñk" localSheetId="17">[25]!absc</definedName>
    <definedName name="asdfñk" localSheetId="18">[25]!absc</definedName>
    <definedName name="asdfñk" localSheetId="21">[25]!absc</definedName>
    <definedName name="asdfñk" localSheetId="30">[25]!absc</definedName>
    <definedName name="asdfñk" localSheetId="27">[25]!absc</definedName>
    <definedName name="asdfñk" localSheetId="23">[25]!absc</definedName>
    <definedName name="asdfñk" localSheetId="1">[25]!absc</definedName>
    <definedName name="asdfñk">[25]!absc</definedName>
    <definedName name="AsistenciaCarretera" localSheetId="27">#REF!</definedName>
    <definedName name="AsistenciaCarretera">#REF!</definedName>
    <definedName name="AsistenciaCostos" localSheetId="27">#REF!</definedName>
    <definedName name="AsistenciaCostos">#REF!</definedName>
    <definedName name="ass" localSheetId="27" hidden="1">#REF!</definedName>
    <definedName name="ass" hidden="1">#REF!</definedName>
    <definedName name="At">#REF!</definedName>
    <definedName name="au">#REF!</definedName>
    <definedName name="aur">#REF!</definedName>
    <definedName name="auto1" localSheetId="30">#REF!</definedName>
    <definedName name="auto1" localSheetId="27">#REF!</definedName>
    <definedName name="auto1" localSheetId="24">#REF!</definedName>
    <definedName name="auto1" localSheetId="6">#REF!</definedName>
    <definedName name="auto1" localSheetId="26">#REF!</definedName>
    <definedName name="auto1">#REF!</definedName>
    <definedName name="auto2" localSheetId="30">#REF!</definedName>
    <definedName name="auto2" localSheetId="27">#REF!</definedName>
    <definedName name="auto2" localSheetId="24">#REF!</definedName>
    <definedName name="auto2" localSheetId="6">#REF!</definedName>
    <definedName name="auto2" localSheetId="26">#REF!</definedName>
    <definedName name="auto2">#REF!</definedName>
    <definedName name="AUXILIARES">[26]AUXILIARES!$A$2:$A$4</definedName>
    <definedName name="AUXILIARESTOTAL">[26]AUXILIARES!$A$2:$D$4</definedName>
    <definedName name="av" localSheetId="27">#REF!</definedName>
    <definedName name="av">#REF!</definedName>
    <definedName name="AWSXDUJHOLÑH" localSheetId="27">'[1]CUAD-DIURNA'!#REF!</definedName>
    <definedName name="AWSXDUJHOLÑH">'[1]CUAD-DIURNA'!#REF!</definedName>
    <definedName name="ax" localSheetId="27">#REF!</definedName>
    <definedName name="ax">#REF!</definedName>
    <definedName name="Ay" localSheetId="27">#REF!</definedName>
    <definedName name="Ay">#REF!</definedName>
    <definedName name="Azimut" localSheetId="27">#REF!</definedName>
    <definedName name="Azimut">#REF!</definedName>
    <definedName name="b" localSheetId="30">#REF!</definedName>
    <definedName name="b" localSheetId="27">#REF!</definedName>
    <definedName name="b" localSheetId="24">#REF!</definedName>
    <definedName name="b" localSheetId="6">#REF!</definedName>
    <definedName name="b" localSheetId="26">#REF!</definedName>
    <definedName name="b">#REF!</definedName>
    <definedName name="b_MAMPOSTERIA" localSheetId="27">#REF!</definedName>
    <definedName name="b_MAMPOSTERIA" localSheetId="24">#REF!</definedName>
    <definedName name="b_MAMPOSTERIA" localSheetId="6">#REF!</definedName>
    <definedName name="b_MAMPOSTERIA" localSheetId="26">#REF!</definedName>
    <definedName name="b_MAMPOSTERIA">#REF!</definedName>
    <definedName name="Ba">#REF!</definedName>
    <definedName name="BAJA">#REF!</definedName>
    <definedName name="Balasto">#REF!</definedName>
    <definedName name="Baldocin_0_205x0_205">#REF!</definedName>
    <definedName name="Baldosa_de_granito_0_3x0_3">#REF!</definedName>
    <definedName name="BARNIZTOT">#REF!</definedName>
    <definedName name="Barraje_de_cobre_150_A_3_2_M">#REF!</definedName>
    <definedName name="Barraje_de_neutros">#REF!</definedName>
    <definedName name="Barraje_puesta_tierra_de_seguridad">#REF!</definedName>
    <definedName name="BASE">[27]Par_Dise!#REF!</definedName>
    <definedName name="_xlnm.Database" localSheetId="27">#REF!</definedName>
    <definedName name="_xlnm.Database" localSheetId="24">#REF!</definedName>
    <definedName name="_xlnm.Database" localSheetId="6">#REF!</definedName>
    <definedName name="_xlnm.Database" localSheetId="26">#REF!</definedName>
    <definedName name="_xlnm.Database">#REF!</definedName>
    <definedName name="BB">'[8]PU (2)'!#REF!</definedName>
    <definedName name="bbb" localSheetId="27">#REF!</definedName>
    <definedName name="bbb">#REF!</definedName>
    <definedName name="BBBBBBBBBBBBBBBHHHHHHHHHHH" localSheetId="27">#REF!</definedName>
    <definedName name="BBBBBBBBBBBBBBBHHHHHHHHHHH">#REF!</definedName>
    <definedName name="Bc" localSheetId="27">#REF!</definedName>
    <definedName name="Bc">#REF!</definedName>
    <definedName name="BD">#REF!</definedName>
    <definedName name="Be">#REF!</definedName>
    <definedName name="Beg_Bal" localSheetId="27">#REF!</definedName>
    <definedName name="Beg_Bal" localSheetId="24">#REF!</definedName>
    <definedName name="Beg_Bal" localSheetId="6">#REF!</definedName>
    <definedName name="Beg_Bal" localSheetId="26">#REF!</definedName>
    <definedName name="Beg_Bal">#REF!</definedName>
    <definedName name="Bf">#REF!</definedName>
    <definedName name="Bg">#REF!</definedName>
    <definedName name="bgh">#REF!</definedName>
    <definedName name="Bh">#REF!</definedName>
    <definedName name="BHT">#REF!</definedName>
    <definedName name="Bi">#REF!</definedName>
    <definedName name="bimestre">'[28]ESTADO RED'!$E$8</definedName>
    <definedName name="Bisagra_de_piso_pivotante" localSheetId="27">#REF!</definedName>
    <definedName name="Bisagra_de_piso_pivotante">#REF!</definedName>
    <definedName name="Bk" localSheetId="27">#REF!</definedName>
    <definedName name="Bk">#REF!</definedName>
    <definedName name="bl" localSheetId="27">#REF!</definedName>
    <definedName name="bl">#REF!</definedName>
    <definedName name="BLOQCEMEN">#REF!</definedName>
    <definedName name="Bloque_de_concreto_0_10">#REF!</definedName>
    <definedName name="Bloque_de_concreto_0_20">#REF!</definedName>
    <definedName name="Bm">#REF!</definedName>
    <definedName name="Bn">#REF!</definedName>
    <definedName name="BNGTRHY">[29]Insumos!$A$22:$A$828</definedName>
    <definedName name="bnm" localSheetId="27">#REF!</definedName>
    <definedName name="bnm">#REF!</definedName>
    <definedName name="bny" localSheetId="27">#REF!</definedName>
    <definedName name="bny">#REF!</definedName>
    <definedName name="bolívar" localSheetId="27">#REF!</definedName>
    <definedName name="bolívar">#REF!</definedName>
    <definedName name="BOMBAS">#N/A</definedName>
    <definedName name="Bombilla_100w">#REF!</definedName>
    <definedName name="bonny">[5]APU!$G$1181</definedName>
    <definedName name="bonny2">[5]APU!$G$3251</definedName>
    <definedName name="BORDILLOS" localSheetId="27">#REF!</definedName>
    <definedName name="BORDILLOS">#REF!</definedName>
    <definedName name="BREA" localSheetId="27">#REF!</definedName>
    <definedName name="BREA">#REF!</definedName>
    <definedName name="Breaker_de_1x15_A" localSheetId="27">#REF!</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'[16]L. MAT.'!#REF!</definedName>
    <definedName name="Brilladora">'[16]L. MAT.'!#REF!</definedName>
    <definedName name="BUENO">'[30]ESTADO VÍA-CRIT.TECNICO'!#REF!&lt;2.5</definedName>
    <definedName name="BuiltIn_Print_Area">"#REF!"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je_sanit__4_x2">#REF!</definedName>
    <definedName name="Buje_sanit__4_x3">#REF!</definedName>
    <definedName name="Bulldozer_Komatzu_D50A_15">#REF!</definedName>
    <definedName name="Bulldozer_Komatzu_D53A_16">#REF!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27">#REF!</definedName>
    <definedName name="C_" localSheetId="24">#REF!</definedName>
    <definedName name="C_" localSheetId="6">#REF!</definedName>
    <definedName name="C_" localSheetId="26">#REF!</definedName>
    <definedName name="C_">#REF!</definedName>
    <definedName name="c_ESTRUCTURA" localSheetId="27">#REF!</definedName>
    <definedName name="c_ESTRUCTURA" localSheetId="24">#REF!</definedName>
    <definedName name="c_ESTRUCTURA" localSheetId="6">#REF!</definedName>
    <definedName name="c_ESTRUCTURA" localSheetId="26">#REF!</definedName>
    <definedName name="c_ESTRUCTURA">#REF!</definedName>
    <definedName name="Ca">#REF!</definedName>
    <definedName name="CAB">#N/A</definedName>
    <definedName name="CABALLETE">#REF!</definedName>
    <definedName name="Caballete_asbt_cemt">#REF!</definedName>
    <definedName name="CABALLETETOTAL">#REF!</definedName>
    <definedName name="Cable_N__6_AWG_CU">#REF!</definedName>
    <definedName name="Caja_2x4_PVC">#REF!</definedName>
    <definedName name="Caja_galvanizada">#REF!</definedName>
    <definedName name="Caja_octogonal_PVC">#REF!</definedName>
    <definedName name="CAJADESARE">#REF!</definedName>
    <definedName name="CAJAS60">#REF!</definedName>
    <definedName name="CalMexTlDetail" localSheetId="27">#REF!</definedName>
    <definedName name="CalMexTlDetail" localSheetId="24">#REF!</definedName>
    <definedName name="CalMexTlDetail" localSheetId="6">#REF!</definedName>
    <definedName name="CalMexTlDetail" localSheetId="26">#REF!</definedName>
    <definedName name="CalMexTlDetail">#REF!</definedName>
    <definedName name="CalMexTlHeading" localSheetId="27">#REF!</definedName>
    <definedName name="CalMexTlHeading" localSheetId="24">#REF!</definedName>
    <definedName name="CalMexTlHeading" localSheetId="6">#REF!</definedName>
    <definedName name="CalMexTlHeading" localSheetId="26">#REF!</definedName>
    <definedName name="CalMexTlHeading">#REF!</definedName>
    <definedName name="CalSumDetail" localSheetId="27">#REF!</definedName>
    <definedName name="CalSumDetail" localSheetId="24">#REF!</definedName>
    <definedName name="CalSumDetail" localSheetId="6">#REF!</definedName>
    <definedName name="CalSumDetail" localSheetId="26">#REF!</definedName>
    <definedName name="CalSumDetail">#REF!</definedName>
    <definedName name="CalSumHeading" localSheetId="27">#REF!</definedName>
    <definedName name="CalSumHeading" localSheetId="24">#REF!</definedName>
    <definedName name="CalSumHeading" localSheetId="6">#REF!</definedName>
    <definedName name="CalSumHeading" localSheetId="26">#REF!</definedName>
    <definedName name="CalSumHeading">#REF!</definedName>
    <definedName name="CalTotalDetail" localSheetId="27">#REF!</definedName>
    <definedName name="CalTotalDetail" localSheetId="24">#REF!</definedName>
    <definedName name="CalTotalDetail" localSheetId="6">#REF!</definedName>
    <definedName name="CalTotalDetail" localSheetId="26">#REF!</definedName>
    <definedName name="CalTotalDetail">#REF!</definedName>
    <definedName name="CalTotalHeading" localSheetId="27">#REF!</definedName>
    <definedName name="CalTotalHeading" localSheetId="24">#REF!</definedName>
    <definedName name="CalTotalHeading" localSheetId="6">#REF!</definedName>
    <definedName name="CalTotalHeading" localSheetId="26">#REF!</definedName>
    <definedName name="CalTotalHeading">#REF!</definedName>
    <definedName name="Camion">#REF!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7">#REF!</definedName>
    <definedName name="CANT" localSheetId="24">#REF!</definedName>
    <definedName name="CANT" localSheetId="6">#REF!</definedName>
    <definedName name="CANT" localSheetId="26">#REF!</definedName>
    <definedName name="CANT">#REF!</definedName>
    <definedName name="CapitalCongelado">#REF!</definedName>
    <definedName name="CarbonDetail" localSheetId="27">#REF!</definedName>
    <definedName name="CarbonDetail" localSheetId="24">#REF!</definedName>
    <definedName name="CarbonDetail" localSheetId="6">#REF!</definedName>
    <definedName name="CarbonDetail" localSheetId="26">#REF!</definedName>
    <definedName name="CarbonDetail">#REF!</definedName>
    <definedName name="CarbonFundsFlow" localSheetId="27">#REF!</definedName>
    <definedName name="CarbonFundsFlow" localSheetId="24">#REF!</definedName>
    <definedName name="CarbonFundsFlow" localSheetId="6">#REF!</definedName>
    <definedName name="CarbonFundsFlow" localSheetId="26">#REF!</definedName>
    <definedName name="CarbonFundsFlow">#REF!</definedName>
    <definedName name="CarbonFundsFlowHeading" localSheetId="27">#REF!</definedName>
    <definedName name="CarbonFundsFlowHeading" localSheetId="24">#REF!</definedName>
    <definedName name="CarbonFundsFlowHeading" localSheetId="6">#REF!</definedName>
    <definedName name="CarbonFundsFlowHeading" localSheetId="26">#REF!</definedName>
    <definedName name="CarbonFundsFlowHeading">#REF!</definedName>
    <definedName name="CarbonFundsFlowPA" localSheetId="27">#REF!</definedName>
    <definedName name="CarbonFundsFlowPA" localSheetId="24">#REF!</definedName>
    <definedName name="CarbonFundsFlowPA" localSheetId="6">#REF!</definedName>
    <definedName name="CarbonFundsFlowPA" localSheetId="26">#REF!</definedName>
    <definedName name="CarbonFundsFlowPA">#REF!</definedName>
    <definedName name="CarbonFundsFlowPAHeading" localSheetId="27">#REF!</definedName>
    <definedName name="CarbonFundsFlowPAHeading" localSheetId="24">#REF!</definedName>
    <definedName name="CarbonFundsFlowPAHeading" localSheetId="6">#REF!</definedName>
    <definedName name="CarbonFundsFlowPAHeading" localSheetId="26">#REF!</definedName>
    <definedName name="CarbonFundsFlowPAHeading">#REF!</definedName>
    <definedName name="CarbonHeading" localSheetId="27">#REF!</definedName>
    <definedName name="CarbonHeading" localSheetId="24">#REF!</definedName>
    <definedName name="CarbonHeading" localSheetId="6">#REF!</definedName>
    <definedName name="CarbonHeading" localSheetId="26">#REF!</definedName>
    <definedName name="CarbonHeading">#REF!</definedName>
    <definedName name="CarbonPostDetail" localSheetId="27">#REF!</definedName>
    <definedName name="CarbonPostDetail" localSheetId="24">#REF!</definedName>
    <definedName name="CarbonPostDetail" localSheetId="6">#REF!</definedName>
    <definedName name="CarbonPostDetail" localSheetId="26">#REF!</definedName>
    <definedName name="CarbonPostDetail">#REF!</definedName>
    <definedName name="CarbonPostHeading" localSheetId="27">#REF!</definedName>
    <definedName name="CarbonPostHeading" localSheetId="24">#REF!</definedName>
    <definedName name="CarbonPostHeading" localSheetId="6">#REF!</definedName>
    <definedName name="CarbonPostHeading" localSheetId="26">#REF!</definedName>
    <definedName name="CarbonPostHeading">#REF!</definedName>
    <definedName name="CARBUROTOT">#REF!</definedName>
    <definedName name="CarElimDetail" localSheetId="27">#REF!</definedName>
    <definedName name="CarElimDetail" localSheetId="24">#REF!</definedName>
    <definedName name="CarElimDetail" localSheetId="6">#REF!</definedName>
    <definedName name="CarElimDetail" localSheetId="26">#REF!</definedName>
    <definedName name="CarElimDetail">#REF!</definedName>
    <definedName name="CarElimHeading" localSheetId="27">#REF!</definedName>
    <definedName name="CarElimHeading" localSheetId="24">#REF!</definedName>
    <definedName name="CarElimHeading" localSheetId="6">#REF!</definedName>
    <definedName name="CarElimHeading" localSheetId="26">#REF!</definedName>
    <definedName name="CarElimHeading">#REF!</definedName>
    <definedName name="CARGA">#N/A</definedName>
    <definedName name="CARGADOR">[22]EQUIPO!$D$10</definedName>
    <definedName name="Cargador_Dresser_515B" localSheetId="27">#REF!</definedName>
    <definedName name="Cargador_Dresser_515B">#REF!</definedName>
    <definedName name="CarSumDetail" localSheetId="27">#REF!</definedName>
    <definedName name="CarSumDetail" localSheetId="24">#REF!</definedName>
    <definedName name="CarSumDetail" localSheetId="6">#REF!</definedName>
    <definedName name="CarSumDetail" localSheetId="26">#REF!</definedName>
    <definedName name="CarSumDetail">#REF!</definedName>
    <definedName name="CarSumHeading" localSheetId="27">#REF!</definedName>
    <definedName name="CarSumHeading" localSheetId="24">#REF!</definedName>
    <definedName name="CarSumHeading" localSheetId="6">#REF!</definedName>
    <definedName name="CarSumHeading" localSheetId="26">#REF!</definedName>
    <definedName name="CarSumHeading">#REF!</definedName>
    <definedName name="CASETONES">#REF!</definedName>
    <definedName name="categoria">#REF!</definedName>
    <definedName name="Category">#REF!</definedName>
    <definedName name="CategoryArea">'[31]Civil work'!$16:$19,'[31]Civil work'!$29:$39,'[31]Civil work'!$49:$60,'[31]Civil work'!$70:$71,'[31]Civil work'!$81:$87</definedName>
    <definedName name="CAUCHO_PARA_SILLA_Y_160x110">[9]Materiales!#REF!</definedName>
    <definedName name="CAUCHO_PARA_SILLA_Y_200x110">[9]Materiales!#REF!</definedName>
    <definedName name="CAUCHO_PARA_SILLA_Y_250x110">[9]Materiales!#REF!</definedName>
    <definedName name="CAUCHO_PARA_SILLA_Y_250x160">[9]Materiales!#REF!</definedName>
    <definedName name="CAUCHO_PARA_SILLA_Y_315x110">[9]Materiales!#REF!</definedName>
    <definedName name="causa" localSheetId="27">#REF!</definedName>
    <definedName name="causa">#REF!</definedName>
    <definedName name="CB" localSheetId="27">#REF!</definedName>
    <definedName name="CB">#REF!</definedName>
    <definedName name="cc" localSheetId="27" hidden="1">#REF!</definedName>
    <definedName name="cc" hidden="1">#REF!</definedName>
    <definedName name="CCCCCC" localSheetId="27">'[32]A. P. U.'!#REF!</definedName>
    <definedName name="CCCCCC" localSheetId="24">'[32]A. P. U.'!#REF!</definedName>
    <definedName name="CCCCCC" localSheetId="6">'[32]A. P. U.'!#REF!</definedName>
    <definedName name="CCCCCC" localSheetId="26">'[32]A. P. U.'!#REF!</definedName>
    <definedName name="CCCCCC">'[32]A. P. U.'!#REF!</definedName>
    <definedName name="ccto210" localSheetId="30">#REF!</definedName>
    <definedName name="ccto210" localSheetId="27">#REF!</definedName>
    <definedName name="ccto210" localSheetId="24">#REF!</definedName>
    <definedName name="ccto210" localSheetId="6">#REF!</definedName>
    <definedName name="ccto210" localSheetId="26">#REF!</definedName>
    <definedName name="ccto210">#REF!</definedName>
    <definedName name="cd">#REF!</definedName>
    <definedName name="CDIRECTO">#REF!</definedName>
    <definedName name="Ce">#REF!</definedName>
    <definedName name="CEMENTBLAN.">#REF!</definedName>
    <definedName name="CEMENTO">[12]Materiales!$F$27</definedName>
    <definedName name="Cemento_Blanco" localSheetId="27">#REF!</definedName>
    <definedName name="Cemento_Blanco">#REF!</definedName>
    <definedName name="CENEFAMALLA" localSheetId="27">#REF!</definedName>
    <definedName name="CENEFAMALLA">#REF!</definedName>
    <definedName name="Cera_para_pisos" localSheetId="27">'[16]L. MAT.'!#REF!</definedName>
    <definedName name="Cera_para_pisos">'[16]L. MAT.'!#REF!</definedName>
    <definedName name="Cerradura_de_perilla" localSheetId="27">#REF!</definedName>
    <definedName name="Cerradura_de_perilla">#REF!</definedName>
    <definedName name="Cf" localSheetId="27">#REF!</definedName>
    <definedName name="Cf">#REF!</definedName>
    <definedName name="Cg" localSheetId="27">#REF!</definedName>
    <definedName name="Cg">#REF!</definedName>
    <definedName name="Ch">#REF!</definedName>
    <definedName name="CHEQUE3_4">#REF!</definedName>
    <definedName name="China">#REF!</definedName>
    <definedName name="Ci">#REF!</definedName>
    <definedName name="CICLOPEO" localSheetId="30">#REF!</definedName>
    <definedName name="CICLOPEO">#REF!</definedName>
    <definedName name="CIELORASOTOT">#REF!</definedName>
    <definedName name="CIP">#REF!</definedName>
    <definedName name="Cj">#REF!</definedName>
    <definedName name="Ck">#REF!</definedName>
    <definedName name="clase">#REF!</definedName>
    <definedName name="Cll">#REF!</definedName>
    <definedName name="CLOSETTOT">#REF!</definedName>
    <definedName name="Cm">#REF!</definedName>
    <definedName name="Cn">#REF!</definedName>
    <definedName name="Cñ">#REF!</definedName>
    <definedName name="co">#REF!</definedName>
    <definedName name="cod">#REF!</definedName>
    <definedName name="CODIGO">#REF!</definedName>
    <definedName name="Codo_Pres.._1">#REF!</definedName>
    <definedName name="Codo_Pres._1_2">#REF!</definedName>
    <definedName name="Codo_Pres._3_4">#REF!</definedName>
    <definedName name="CODO_PVC_4" localSheetId="30">[9]Materiales!#REF!</definedName>
    <definedName name="CODO_PVC_4">[9]Materiales!#REF!</definedName>
    <definedName name="CODO_PVC_6" localSheetId="30">[9]Materiales!#REF!</definedName>
    <definedName name="CODO_PVC_6">[9]Materiales!#REF!</definedName>
    <definedName name="Codo_Sanit._2" localSheetId="27">#REF!</definedName>
    <definedName name="Codo_Sanit._2">#REF!</definedName>
    <definedName name="Codo_Sanit._3" localSheetId="27">#REF!</definedName>
    <definedName name="Codo_Sanit._3">#REF!</definedName>
    <definedName name="Codo_Sanit._4" localSheetId="27">#REF!</definedName>
    <definedName name="Codo_Sanit._4">#REF!</definedName>
    <definedName name="CODO_SANITARIO_PVC_45x110">[9]Materiales!#REF!</definedName>
    <definedName name="CODO_SANITARIO_PVC_45x160">[9]Materiales!#REF!</definedName>
    <definedName name="Codos_PVC_3">'[16]L. MAT.'!#REF!</definedName>
    <definedName name="COLAMARRE2" localSheetId="27">#REF!</definedName>
    <definedName name="COLAMARRE2">#REF!</definedName>
    <definedName name="COLUMNA20X20" localSheetId="27">#REF!</definedName>
    <definedName name="COLUMNA20X20">#REF!</definedName>
    <definedName name="COLUMNAS20X30" localSheetId="27">#REF!</definedName>
    <definedName name="COLUMNAS20X30">#REF!</definedName>
    <definedName name="Combustible">#REF!</definedName>
    <definedName name="CombustibleCostos">#REF!</definedName>
    <definedName name="Compactador_Bomag_15_ton.">#REF!</definedName>
    <definedName name="Compactador_Patecabra">#REF!</definedName>
    <definedName name="COMPRESOR">[22]EQUIPO!$D$5</definedName>
    <definedName name="Concepto" localSheetId="27">'[33] AdoVh'!#REF!</definedName>
    <definedName name="Concepto" localSheetId="24">'[34] AdoVh'!#REF!</definedName>
    <definedName name="Concepto" localSheetId="6">'[34] AdoVh'!#REF!</definedName>
    <definedName name="Concepto" localSheetId="26">'[34] AdoVh'!#REF!</definedName>
    <definedName name="Concepto">'[34] AdoVh'!#REF!</definedName>
    <definedName name="CONCRE124" localSheetId="27">#REF!</definedName>
    <definedName name="CONCRE124">#REF!</definedName>
    <definedName name="CONCRE3" localSheetId="27">#REF!</definedName>
    <definedName name="CONCRE3">#REF!</definedName>
    <definedName name="CONCRETO_1_2_3" localSheetId="27">#REF!</definedName>
    <definedName name="CONCRETO_1_2_3">#REF!</definedName>
    <definedName name="CONCRETO_1_2_4">#REF!</definedName>
    <definedName name="CONCRETO_1_3_5">#REF!</definedName>
    <definedName name="CONCRETO_1_4_8">#REF!</definedName>
    <definedName name="CONCRETO_CICLOPEO">#REF!</definedName>
    <definedName name="CONCRETO0_05">#REF!</definedName>
    <definedName name="Conductores">#REF!</definedName>
    <definedName name="ConductoresCostos">#REF!</definedName>
    <definedName name="Congelar_Capital_Vencido">#REF!</definedName>
    <definedName name="CONSTRUCCION_DE_DOS_GALPONES">#REF!</definedName>
    <definedName name="CONTAB">[19]dts!$B$11</definedName>
    <definedName name="CONTRATISTA">[19]dts!$B$4</definedName>
    <definedName name="CONTRATO">[19]dts!$B$3</definedName>
    <definedName name="CORTE_Y_SELLO_DE_JUNTAS">[9]Materiales!#REF!</definedName>
    <definedName name="costa" localSheetId="27">#REF!</definedName>
    <definedName name="costa">#REF!</definedName>
    <definedName name="cp" localSheetId="27">#REF!</definedName>
    <definedName name="cp">#REF!</definedName>
    <definedName name="CPM">[26]AUXILIARES!$A$2:$D$4</definedName>
    <definedName name="Cq" localSheetId="27">#REF!</definedName>
    <definedName name="Cq">#REF!</definedName>
    <definedName name="CR">[29]Insumos!$A$22:$A$828</definedName>
    <definedName name="CRGAPR">[19]dts!$B$26</definedName>
    <definedName name="CRGELB">[19]dts!$B$22</definedName>
    <definedName name="CRGRVS">[19]dts!$B$24</definedName>
    <definedName name="_xlnm.Criteria">'[21]AC2-AG96'!#REF!</definedName>
    <definedName name="CRITICA" localSheetId="27">#REF!</definedName>
    <definedName name="CRITICA">#REF!</definedName>
    <definedName name="CRONO">[26]INSUMOS!$A$2:$L$116</definedName>
    <definedName name="crrc" localSheetId="27">#REF!</definedName>
    <definedName name="crrc">#REF!</definedName>
    <definedName name="crrd" localSheetId="27">#REF!</definedName>
    <definedName name="crrd">#REF!</definedName>
    <definedName name="CRUCE_200_CANAL_S1" localSheetId="27">#REF!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t">#REF!</definedName>
    <definedName name="Cu">#REF!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_011">[12]Cuadrillas!$H$12</definedName>
    <definedName name="CUADRILLA_014">[12]Cuadrillas!$H$21</definedName>
    <definedName name="CUADRILLA_102">[12]Cuadrillas!$H$30</definedName>
    <definedName name="CUADRILLA_104">[12]Cuadrillas!$H$39</definedName>
    <definedName name="CUADRILLA_112">[12]Cuadrillas!$H$57</definedName>
    <definedName name="CUADRILLA_114">[12]Cuadrillas!$H$66</definedName>
    <definedName name="CUADRILLA_1212">[12]Cuadrillas!$H$48</definedName>
    <definedName name="Cuadrilla_A" localSheetId="27">#REF!</definedName>
    <definedName name="Cuadrilla_A">#REF!</definedName>
    <definedName name="Cuadrilla_B" localSheetId="27">#REF!</definedName>
    <definedName name="Cuadrilla_B">#REF!</definedName>
    <definedName name="Cuadrilla_C" localSheetId="27">#REF!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1">[35]Hoja3!$A$15:$A$73</definedName>
    <definedName name="cuadrilla2">[35]Hoja5!$A$16:$A$59</definedName>
    <definedName name="cuadrilla3">[35]Hoja6!$A$16:$A$63</definedName>
    <definedName name="cuadrilla4">[35]Hoja2!$A$12:$A$568</definedName>
    <definedName name="cuadrilla5">[35]Hoja5!$A$12:$G$59</definedName>
    <definedName name="CUADRILLAS">'[26]MANO DE OBRA'!$G$8:$G$20</definedName>
    <definedName name="cuadrillas1">[35]Hoja3!$A$11:$I$73</definedName>
    <definedName name="CUADRILLASTOTAL">'[26]MANO DE OBRA'!$G$8:$M$20</definedName>
    <definedName name="CUADRO" localSheetId="27">#REF!</definedName>
    <definedName name="CUADRO">#REF!</definedName>
    <definedName name="Cubierta_Angulo_1_x1_x1_8" localSheetId="27">#REF!</definedName>
    <definedName name="Cubierta_Angulo_1_x1_x1_8">#REF!</definedName>
    <definedName name="Cubierta_Angulo_1_x1_x3_16" localSheetId="27">#REF!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oldadura">#REF!</definedName>
    <definedName name="CUBIERTATOTAL">#REF!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PVC_1">#REF!</definedName>
    <definedName name="Curva_PVC_1_2">#REF!</definedName>
    <definedName name="Curva_PVC_3_4">#REF!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w">#REF!</definedName>
    <definedName name="cx">#REF!</definedName>
    <definedName name="Cy">#REF!</definedName>
    <definedName name="czz" localSheetId="30" hidden="1">'[3]ETAPA 50 SMMLV'!#REF!</definedName>
    <definedName name="czz" localSheetId="27" hidden="1">'[3]ETAPA 50 SMMLV'!#REF!</definedName>
    <definedName name="czz" localSheetId="24" hidden="1">'[3]ETAPA 50 SMMLV'!#REF!</definedName>
    <definedName name="czz" localSheetId="6" hidden="1">'[3]ETAPA 50 SMMLV'!#REF!</definedName>
    <definedName name="czz" localSheetId="26" hidden="1">'[3]ETAPA 50 SMMLV'!#REF!</definedName>
    <definedName name="czz" hidden="1">'[3]ETAPA 50 SMMLV'!#REF!</definedName>
    <definedName name="D" localSheetId="30">#REF!</definedName>
    <definedName name="D" localSheetId="27">#REF!</definedName>
    <definedName name="D" localSheetId="24">#REF!</definedName>
    <definedName name="D" localSheetId="6">#REF!</definedName>
    <definedName name="D" localSheetId="26">#REF!</definedName>
    <definedName name="D">#REF!</definedName>
    <definedName name="d_CUBIERTA" localSheetId="30">#REF!</definedName>
    <definedName name="d_CUBIERTA" localSheetId="27">#REF!</definedName>
    <definedName name="d_CUBIERTA" localSheetId="24">#REF!</definedName>
    <definedName name="d_CUBIERTA" localSheetId="6">#REF!</definedName>
    <definedName name="d_CUBIERTA" localSheetId="26">#REF!</definedName>
    <definedName name="d_CUBIERTA">#REF!</definedName>
    <definedName name="d_percápita" localSheetId="30">#REF!</definedName>
    <definedName name="d_percápita" localSheetId="27">#REF!</definedName>
    <definedName name="d_percápita" localSheetId="24">#REF!</definedName>
    <definedName name="d_percápita" localSheetId="6">#REF!</definedName>
    <definedName name="d_percápita" localSheetId="26">#REF!</definedName>
    <definedName name="d_percápita">#REF!</definedName>
    <definedName name="DATOS">#REF!</definedName>
    <definedName name="dblgarantiaExtendida">#REF!</definedName>
    <definedName name="dblPunRentabilidad">#REF!</definedName>
    <definedName name="dblUtilVehiculo">#REF!</definedName>
    <definedName name="dc">#REF!</definedName>
    <definedName name="DCF">#REF!</definedName>
    <definedName name="DD" localSheetId="27">#REF!</definedName>
    <definedName name="DD" localSheetId="24">#REF!</definedName>
    <definedName name="DD" localSheetId="6">#REF!</definedName>
    <definedName name="DD" localSheetId="26">#REF!</definedName>
    <definedName name="DD">#REF!</definedName>
    <definedName name="DDDDDD">#REF!</definedName>
    <definedName name="de">#REF!</definedName>
    <definedName name="Deflexión">#REF!</definedName>
    <definedName name="DENS">#REF!</definedName>
    <definedName name="densi">#REF!</definedName>
    <definedName name="Department">#REF!</definedName>
    <definedName name="DESCAPOTOT">#REF!</definedName>
    <definedName name="descriminado" localSheetId="14">IF([0]!Loan_Amount*[0]!Interest_Rate*[0]!Loan_Years*[0]!Loan_Start&gt;0,1,0)</definedName>
    <definedName name="descriminado" localSheetId="16">IF([0]!Loan_Amount*[0]!Interest_Rate*[0]!Loan_Years*[0]!Loan_Start&gt;0,1,0)</definedName>
    <definedName name="descriminado" localSheetId="30">IF('Apu Basicos'!Loan_Amount*[0]!Interest_Rate*'Apu Basicos'!Loan_Years*'Apu Basicos'!Loan_Start&gt;0,1,0)</definedName>
    <definedName name="descriminado" localSheetId="27">IF('CARACTERIZACION '!Loan_Amount*'CARACTERIZACION '!Interest_Rate*'CARACTERIZACION '!Loan_Years*'CARACTERIZACION '!Loan_Start&gt;0,1,0)</definedName>
    <definedName name="descriminado" localSheetId="12">IF([0]!Loan_Amount*[0]!Interest_Rate*[0]!Loan_Years*[0]!Loan_Start&gt;0,1,0)</definedName>
    <definedName name="descriminado" localSheetId="24">IF(FM!Loan_Amount*FM!Interest_Rate*FM!Loan_Years*FM!Loan_Start&gt;0,1,0)</definedName>
    <definedName name="descriminado" localSheetId="6">IF(INTERVENTORIA!Loan_Amount*INTERVENTORIA!Interest_Rate*INTERVENTORIA!Loan_Years*INTERVENTORIA!Loan_Start&gt;0,1,0)</definedName>
    <definedName name="descriminado" localSheetId="26">IF(PMT!Loan_Amount*PMT!Interest_Rate*PMT!Loan_Years*PMT!Loan_Start&gt;0,1,0)</definedName>
    <definedName name="descriminado">IF([0]!Loan_Amount*[0]!Interest_Rate*[0]!Loan_Years*[0]!Loan_Start&gt;0,1,0)</definedName>
    <definedName name="df" localSheetId="27">#REF!</definedName>
    <definedName name="df">#REF!</definedName>
    <definedName name="DFEFWEFSGERGAERGEGQER" localSheetId="27">#REF!</definedName>
    <definedName name="DFEFWEFSGERGAERGEGQER">#REF!</definedName>
    <definedName name="DGGERE" localSheetId="27">#REF!</definedName>
    <definedName name="DGGERE">#REF!</definedName>
    <definedName name="di">#REF!</definedName>
    <definedName name="DIAGRAMA">[26]INSUMOS!$A$2:$A$116</definedName>
    <definedName name="DiasSupuestosCierre" localSheetId="27">#REF!</definedName>
    <definedName name="DiasSupuestosCierre">#REF!</definedName>
    <definedName name="diego" localSheetId="30">#REF!</definedName>
    <definedName name="diego" localSheetId="27">#REF!</definedName>
    <definedName name="diego" localSheetId="24">#REF!</definedName>
    <definedName name="diego" localSheetId="6">#REF!</definedName>
    <definedName name="diego" localSheetId="26">#REF!</definedName>
    <definedName name="diego">#REF!</definedName>
    <definedName name="diego1" localSheetId="30">#REF!</definedName>
    <definedName name="diego1" localSheetId="27">#REF!</definedName>
    <definedName name="diego1" localSheetId="24">#REF!</definedName>
    <definedName name="diego1" localSheetId="6">#REF!</definedName>
    <definedName name="diego1" localSheetId="26">#REF!</definedName>
    <definedName name="diego1">#REF!</definedName>
    <definedName name="Dif.Este">#REF!</definedName>
    <definedName name="Dif.Norte">#REF!</definedName>
    <definedName name="Dilataciones_en_bronce">#REF!</definedName>
    <definedName name="DINTELES">#REF!</definedName>
    <definedName name="Director_Administrativo">#REF!</definedName>
    <definedName name="Distancia">#REF!</definedName>
    <definedName name="DISTANCIA_ARENA">'[12]Concretos y morteros'!$J$12</definedName>
    <definedName name="DISTANCIA_CEMENTO">'[12]Concretos y morteros'!$L$12</definedName>
    <definedName name="DISTANCIA_TRITURADO">'[12]Concretos y morteros'!$K$12</definedName>
    <definedName name="DistanciasPRS7801">[36]Hoja1!$K$3:$L$55</definedName>
    <definedName name="DistanciasPRS9003">[36]Hoja1!$A$3:$B$52</definedName>
    <definedName name="DistanciasPRS9004">[36]Hoja1!$F$3:$G$33</definedName>
    <definedName name="DISTRIBUCION">'[8]PU (2)'!#REF!</definedName>
    <definedName name="distrital" localSheetId="27">#REF!</definedName>
    <definedName name="distrital">#REF!</definedName>
    <definedName name="Division_acrilica_para_ducha" localSheetId="27">#REF!</definedName>
    <definedName name="Division_acrilica_para_ducha">#REF!</definedName>
    <definedName name="dj" localSheetId="27">#REF!</definedName>
    <definedName name="dj">#REF!</definedName>
    <definedName name="djdiffehefhfh">#REF!</definedName>
    <definedName name="DKEQEFEFJIJW">#REF!</definedName>
    <definedName name="dl">#REF!</definedName>
    <definedName name="dm">#REF!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R">#REF!</definedName>
    <definedName name="DOT">#REF!</definedName>
    <definedName name="dota">#REF!</definedName>
    <definedName name="Dp" localSheetId="30">#REF!</definedName>
    <definedName name="Dp" localSheetId="27">#REF!</definedName>
    <definedName name="Dp" localSheetId="24">#REF!</definedName>
    <definedName name="Dp" localSheetId="6">#REF!</definedName>
    <definedName name="Dp" localSheetId="26">#REF!</definedName>
    <definedName name="Dp">#REF!</definedName>
    <definedName name="drf">#REF!</definedName>
    <definedName name="DSA">#REF!</definedName>
    <definedName name="dt">#REF!</definedName>
    <definedName name="DTFSMedida">#REF!</definedName>
    <definedName name="DtmFechaCotizacion">#REF!</definedName>
    <definedName name="DtmFechVigenCotiza">#REF!</definedName>
    <definedName name="DTS">#REF!</definedName>
    <definedName name="Ducha_Tayrona">#REF!</definedName>
    <definedName name="DUCHATAYRONATOT">#REF!</definedName>
    <definedName name="Dv" localSheetId="30">#REF!</definedName>
    <definedName name="Dv" localSheetId="27">#REF!</definedName>
    <definedName name="Dv" localSheetId="24">#REF!</definedName>
    <definedName name="Dv" localSheetId="6">#REF!</definedName>
    <definedName name="Dv" localSheetId="26">#REF!</definedName>
    <definedName name="Dv">#REF!</definedName>
    <definedName name="e" localSheetId="30">#REF!</definedName>
    <definedName name="e" localSheetId="27">#REF!</definedName>
    <definedName name="e" localSheetId="24">#REF!</definedName>
    <definedName name="e" localSheetId="6">#REF!</definedName>
    <definedName name="e" localSheetId="26">#REF!</definedName>
    <definedName name="e">#REF!</definedName>
    <definedName name="e_INSTALACIONES_HIDRAULICAS" localSheetId="27">#REF!</definedName>
    <definedName name="e_INSTALACIONES_HIDRAULICAS" localSheetId="24">#REF!</definedName>
    <definedName name="e_INSTALACIONES_HIDRAULICAS" localSheetId="6">#REF!</definedName>
    <definedName name="e_INSTALACIONES_HIDRAULICAS" localSheetId="26">#REF!</definedName>
    <definedName name="e_INSTALACIONES_HIDRAULICAS">#REF!</definedName>
    <definedName name="E2.160">#REF!</definedName>
    <definedName name="ee">#REF!</definedName>
    <definedName name="EEE" hidden="1">#REF!</definedName>
    <definedName name="EEEEEEEEESSSSSSSSSSSSS">#REF!</definedName>
    <definedName name="eeeeeeeeggggggg">#REF!</definedName>
    <definedName name="EEEGGGNNNLLLL">#REF!</definedName>
    <definedName name="ef">#REF!</definedName>
    <definedName name="egefqe">#REF!</definedName>
    <definedName name="el">#REF!</definedName>
    <definedName name="ELB">[19]dts!$B$21</definedName>
    <definedName name="ELECTROMAG" localSheetId="27">#REF!</definedName>
    <definedName name="ELECTROMAG">#REF!</definedName>
    <definedName name="ELEMENVERT" localSheetId="27">#REF!</definedName>
    <definedName name="ELEMENVERT">#REF!</definedName>
    <definedName name="ELTOTAL" localSheetId="27">#REF!</definedName>
    <definedName name="ELTOTAL">#REF!</definedName>
    <definedName name="ENCHAP11">#REF!</definedName>
    <definedName name="ENCHAP20">#REF!</definedName>
    <definedName name="ENCHAPBAÑO">#REF!</definedName>
    <definedName name="ENCHAPLABOR">#REF!</definedName>
    <definedName name="ENCHAPTABLETA">#REF!</definedName>
    <definedName name="End_Bal" localSheetId="27">#REF!</definedName>
    <definedName name="End_Bal" localSheetId="24">#REF!</definedName>
    <definedName name="End_Bal" localSheetId="6">#REF!</definedName>
    <definedName name="End_Bal" localSheetId="26">#REF!</definedName>
    <definedName name="End_Bal">#REF!</definedName>
    <definedName name="ENTIDAD">[19]dts!$B$5</definedName>
    <definedName name="EQUI" localSheetId="27">[37]EQUIPO!$B$2:$B$36</definedName>
    <definedName name="EQUI" localSheetId="24">[38]EQUIPO!$B$2:$B$36</definedName>
    <definedName name="EQUI" localSheetId="6">[39]EQUIPO!$B$2:$B$36</definedName>
    <definedName name="EQUI" localSheetId="26">[39]EQUIPO!$B$2:$B$36</definedName>
    <definedName name="EQUI">[40]EQUIPO!$B$2:$B$36</definedName>
    <definedName name="EQUIPO" localSheetId="30">#REF!</definedName>
    <definedName name="EQUIPO" localSheetId="27">#REF!</definedName>
    <definedName name="EQUIPO" localSheetId="24">#REF!</definedName>
    <definedName name="EQUIPO" localSheetId="6">#REF!</definedName>
    <definedName name="EQUIPO" localSheetId="26">#REF!</definedName>
    <definedName name="EQUIPO">#REF!</definedName>
    <definedName name="EQUIPO_1" localSheetId="27">[37]EQUIPO!$B$2:$D$36</definedName>
    <definedName name="EQUIPO_1" localSheetId="24">[38]EQUIPO!$B$2:$D$36</definedName>
    <definedName name="EQUIPO_1" localSheetId="6">[39]EQUIPO!$B$2:$D$36</definedName>
    <definedName name="EQUIPO_1" localSheetId="26">[39]EQUIPO!$B$2:$D$36</definedName>
    <definedName name="EQUIPO_1">[40]EQUIPO!$B$2:$D$36</definedName>
    <definedName name="Equipo_de_topografia" localSheetId="27">#REF!</definedName>
    <definedName name="Equipo_de_topografia">#REF!</definedName>
    <definedName name="equipos">[41]Hoja4!$A$3:$A$8</definedName>
    <definedName name="er" localSheetId="27">#REF!</definedName>
    <definedName name="er">#REF!</definedName>
    <definedName name="ERR" localSheetId="27">#REF!</definedName>
    <definedName name="ERR">#REF!</definedName>
    <definedName name="erra" localSheetId="27">#REF!</definedName>
    <definedName name="erra">#REF!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MALTMADETOT">#REF!</definedName>
    <definedName name="ESP220.1">'[42]220.1'!$H$52</definedName>
    <definedName name="ESP320.1">'[43]320.1'!$H$52</definedName>
    <definedName name="ESP330.1">'[42]330.1'!$H$52</definedName>
    <definedName name="ESP330.2">'[43]330.2'!$H$52</definedName>
    <definedName name="ESP640.1.2">'[42]640.1.2'!$H$50</definedName>
    <definedName name="ESP673.1">'[42]673.1'!$H$49</definedName>
    <definedName name="ESP673.2">'[42]673.2'!$H$53</definedName>
    <definedName name="ESP700.1">'[43]700.1'!$H$52</definedName>
    <definedName name="Este" localSheetId="27">#REF!</definedName>
    <definedName name="Este">#REF!</definedName>
    <definedName name="EXC" localSheetId="27">#REF!</definedName>
    <definedName name="EXC">#REF!</definedName>
    <definedName name="Excel_BuiltIn_Print_Area_1" localSheetId="30">#REF!</definedName>
    <definedName name="Excel_BuiltIn_Print_Area_1" localSheetId="27">#REF!</definedName>
    <definedName name="Excel_BuiltIn_Print_Area_1" localSheetId="24">#REF!</definedName>
    <definedName name="Excel_BuiltIn_Print_Area_1" localSheetId="6">#REF!</definedName>
    <definedName name="Excel_BuiltIn_Print_Area_1" localSheetId="26">#REF!</definedName>
    <definedName name="Excel_BuiltIn_Print_Area_1">#REF!</definedName>
    <definedName name="Excel_BuiltIn_Print_Area_1_1" localSheetId="30">#REF!</definedName>
    <definedName name="Excel_BuiltIn_Print_Area_1_1" localSheetId="27">#REF!</definedName>
    <definedName name="Excel_BuiltIn_Print_Area_1_1" localSheetId="24">#REF!</definedName>
    <definedName name="Excel_BuiltIn_Print_Area_1_1" localSheetId="6">#REF!</definedName>
    <definedName name="Excel_BuiltIn_Print_Area_1_1" localSheetId="26">#REF!</definedName>
    <definedName name="Excel_BuiltIn_Print_Area_1_1">#REF!</definedName>
    <definedName name="Excel_BuiltIn_Print_Area_1_1_1" localSheetId="30">#REF!</definedName>
    <definedName name="Excel_BuiltIn_Print_Area_1_1_1" localSheetId="27">#REF!</definedName>
    <definedName name="Excel_BuiltIn_Print_Area_1_1_1" localSheetId="24">#REF!</definedName>
    <definedName name="Excel_BuiltIn_Print_Area_1_1_1" localSheetId="6">#REF!</definedName>
    <definedName name="Excel_BuiltIn_Print_Area_1_1_1" localSheetId="26">#REF!</definedName>
    <definedName name="Excel_BuiltIn_Print_Area_1_1_1">#REF!</definedName>
    <definedName name="Excel_BuiltIn_Print_Area_1_1_1_1" localSheetId="27">#REF!</definedName>
    <definedName name="Excel_BuiltIn_Print_Area_1_1_1_1" localSheetId="24">#REF!</definedName>
    <definedName name="Excel_BuiltIn_Print_Area_1_1_1_1" localSheetId="6">#REF!</definedName>
    <definedName name="Excel_BuiltIn_Print_Area_1_1_1_1" localSheetId="26">#REF!</definedName>
    <definedName name="Excel_BuiltIn_Print_Area_1_1_1_1">#REF!</definedName>
    <definedName name="Excel_BuiltIn_Print_Area_4">#REF!</definedName>
    <definedName name="Excel_BuiltIn_Print_Area_7" localSheetId="27">#REF!</definedName>
    <definedName name="Excel_BuiltIn_Print_Area_7" localSheetId="24">#REF!</definedName>
    <definedName name="Excel_BuiltIn_Print_Area_7" localSheetId="6">#REF!</definedName>
    <definedName name="Excel_BuiltIn_Print_Area_7" localSheetId="26">#REF!</definedName>
    <definedName name="Excel_BuiltIn_Print_Area_7">#REF!</definedName>
    <definedName name="Excel_BuiltIn_Print_Titles_1" localSheetId="27">#REF!</definedName>
    <definedName name="Excel_BuiltIn_Print_Titles_1" localSheetId="24">#REF!</definedName>
    <definedName name="Excel_BuiltIn_Print_Titles_1" localSheetId="6">#REF!</definedName>
    <definedName name="Excel_BuiltIn_Print_Titles_1" localSheetId="26">#REF!</definedName>
    <definedName name="Excel_BuiltIn_Print_Titles_1">#REF!</definedName>
    <definedName name="Excel_BuiltIn_Print_Titles_1_1" localSheetId="27">#REF!</definedName>
    <definedName name="Excel_BuiltIn_Print_Titles_1_1" localSheetId="24">#REF!</definedName>
    <definedName name="Excel_BuiltIn_Print_Titles_1_1" localSheetId="6">#REF!</definedName>
    <definedName name="Excel_BuiltIn_Print_Titles_1_1" localSheetId="26">#REF!</definedName>
    <definedName name="Excel_BuiltIn_Print_Titles_1_1">#REF!</definedName>
    <definedName name="Excel_BuiltIn_Print_Titles_1_1_1" localSheetId="27">#REF!</definedName>
    <definedName name="Excel_BuiltIn_Print_Titles_1_1_1" localSheetId="24">#REF!</definedName>
    <definedName name="Excel_BuiltIn_Print_Titles_1_1_1" localSheetId="6">#REF!</definedName>
    <definedName name="Excel_BuiltIn_Print_Titles_1_1_1" localSheetId="26">#REF!</definedName>
    <definedName name="Excel_BuiltIn_Print_Titles_1_1_1">#REF!</definedName>
    <definedName name="Excel_BuiltIn_Print_Titles_3" localSheetId="27">'[44]COSTOS OFICINA'!#REF!</definedName>
    <definedName name="Excel_BuiltIn_Print_Titles_3" localSheetId="24">'[44]COSTOS OFICINA'!#REF!</definedName>
    <definedName name="Excel_BuiltIn_Print_Titles_3" localSheetId="6">'[44]COSTOS OFICINA'!#REF!</definedName>
    <definedName name="Excel_BuiltIn_Print_Titles_3" localSheetId="26">'[44]COSTOS OFICINA'!#REF!</definedName>
    <definedName name="Excel_BuiltIn_Print_Titles_3">'[44]COSTOS OFICINA'!#REF!</definedName>
    <definedName name="Excel_BuiltIn_Print_Titles_4" localSheetId="27">'[44]COSTOS CAMPAMENTO'!#REF!</definedName>
    <definedName name="Excel_BuiltIn_Print_Titles_4" localSheetId="24">'[44]COSTOS CAMPAMENTO'!#REF!</definedName>
    <definedName name="Excel_BuiltIn_Print_Titles_4" localSheetId="6">'[44]COSTOS CAMPAMENTO'!#REF!</definedName>
    <definedName name="Excel_BuiltIn_Print_Titles_4" localSheetId="26">'[44]COSTOS CAMPAMENTO'!#REF!</definedName>
    <definedName name="Excel_BuiltIn_Print_Titles_4">'[44]COSTOS CAMPAMENTO'!#REF!</definedName>
    <definedName name="EXCROC">'[45]Análisis de precios'!$H$52</definedName>
    <definedName name="Extra_Pay" localSheetId="30">#REF!</definedName>
    <definedName name="Extra_Pay" localSheetId="27">#REF!</definedName>
    <definedName name="Extra_Pay" localSheetId="24">#REF!</definedName>
    <definedName name="Extra_Pay" localSheetId="6">#REF!</definedName>
    <definedName name="Extra_Pay" localSheetId="26">#REF!</definedName>
    <definedName name="Extra_Pay">#REF!</definedName>
    <definedName name="Extractor_120v_de_10">#REF!</definedName>
    <definedName name="f_INSTAC_AIRE_ACONDICIONADO" localSheetId="30">#REF!</definedName>
    <definedName name="f_INSTAC_AIRE_ACONDICIONADO" localSheetId="27">#REF!</definedName>
    <definedName name="f_INSTAC_AIRE_ACONDICIONADO" localSheetId="24">#REF!</definedName>
    <definedName name="f_INSTAC_AIRE_ACONDICIONADO" localSheetId="6">#REF!</definedName>
    <definedName name="f_INSTAC_AIRE_ACONDICIONADO" localSheetId="26">#REF!</definedName>
    <definedName name="f_INSTAC_AIRE_ACONDICIONADO">#REF!</definedName>
    <definedName name="f_INSTAC_ELECTRICAS_TELEF" localSheetId="30">#REF!</definedName>
    <definedName name="f_INSTAC_ELECTRICAS_TELEF" localSheetId="27">#REF!</definedName>
    <definedName name="f_INSTAC_ELECTRICAS_TELEF" localSheetId="24">#REF!</definedName>
    <definedName name="f_INSTAC_ELECTRICAS_TELEF" localSheetId="6">#REF!</definedName>
    <definedName name="f_INSTAC_ELECTRICAS_TELEF" localSheetId="26">#REF!</definedName>
    <definedName name="f_INSTAC_ELECTRICAS_TELEF">#REF!</definedName>
    <definedName name="f_INSTALA_GAS" localSheetId="27">#REF!</definedName>
    <definedName name="f_INSTALA_GAS" localSheetId="24">#REF!</definedName>
    <definedName name="f_INSTALA_GAS" localSheetId="6">#REF!</definedName>
    <definedName name="f_INSTALA_GAS" localSheetId="26">#REF!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_PRU">#REF!</definedName>
    <definedName name="FacConv">[46]CálculoTarifasMR!$M$1</definedName>
    <definedName name="FACTOR">[27]Par_Dise!#REF!</definedName>
    <definedName name="fb" localSheetId="27">#REF!</definedName>
    <definedName name="fb">#REF!</definedName>
    <definedName name="fcc" localSheetId="27">#REF!</definedName>
    <definedName name="fcc">#REF!</definedName>
    <definedName name="fd" localSheetId="30">'[32]A. P. U.'!#REF!</definedName>
    <definedName name="fd" localSheetId="27">'[32]A. P. U.'!#REF!</definedName>
    <definedName name="fd" localSheetId="24">'[32]A. P. U.'!#REF!</definedName>
    <definedName name="fd" localSheetId="6">'[32]A. P. U.'!#REF!</definedName>
    <definedName name="fd" localSheetId="26">'[32]A. P. U.'!#REF!</definedName>
    <definedName name="fd">'[32]A. P. U.'!#REF!</definedName>
    <definedName name="fda" localSheetId="27">#REF!</definedName>
    <definedName name="fda">#REF!</definedName>
    <definedName name="FECHA">[19]dts!$B$9</definedName>
    <definedName name="Fechas" localSheetId="27">#REF!</definedName>
    <definedName name="Fechas">#REF!</definedName>
    <definedName name="Festivos" localSheetId="27">'[47]días habiles 2015'!$D$2:$D$21</definedName>
    <definedName name="Festivos" localSheetId="24">'[48]días habiles 2015'!$D$2:$D$21</definedName>
    <definedName name="Festivos" localSheetId="6">'[49]días habiles 2015'!$D$2:$D$21</definedName>
    <definedName name="Festivos" localSheetId="26">'[49]días habiles 2015'!$D$2:$D$21</definedName>
    <definedName name="Festivos">'[50]días habiles 2015'!$D$2:$D$21</definedName>
    <definedName name="FF" localSheetId="27">#REF!</definedName>
    <definedName name="FF">#REF!</definedName>
    <definedName name="ffffffffffrrrrrrrrrrrrreeeeeeeeeeee" localSheetId="27">#REF!</definedName>
    <definedName name="ffffffffffrrrrrrrrrrrrreeeeeeeeeeee">#REF!</definedName>
    <definedName name="FFFFFHHHHHHH" localSheetId="27">#REF!</definedName>
    <definedName name="FFFFFHHHHHHH">#REF!</definedName>
    <definedName name="fg">#REF!</definedName>
    <definedName name="FGV">#REF!</definedName>
    <definedName name="fhfhhfhfhfhfhfhfhfhhfhfhfhfh">'[32]A. P. U.'!#REF!</definedName>
    <definedName name="fi" localSheetId="27">#REF!</definedName>
    <definedName name="fi">#REF!</definedName>
    <definedName name="filename">MID(CELL("nombrearchivo"),FIND("[",CELL("nombrearchivo")),FIND("]",CELL("nombrearchivo"))-FIND("[",CELL("nombrearchivo"))+1)</definedName>
    <definedName name="Fin_de_semana" localSheetId="27">'[47]días habiles 2015'!$M$1:$M$2</definedName>
    <definedName name="Fin_de_semana" localSheetId="24">'[48]días habiles 2015'!$M$1:$M$2</definedName>
    <definedName name="Fin_de_semana" localSheetId="6">'[49]días habiles 2015'!$M$1:$M$2</definedName>
    <definedName name="Fin_de_semana" localSheetId="26">'[49]días habiles 2015'!$M$1:$M$2</definedName>
    <definedName name="Fin_de_semana">'[50]días habiles 2015'!$M$1:$M$2</definedName>
    <definedName name="FINAL">[23]FLUJOS!#REF!</definedName>
    <definedName name="fk" localSheetId="27">#REF!</definedName>
    <definedName name="fk">#REF!</definedName>
    <definedName name="flq" localSheetId="27">#REF!</definedName>
    <definedName name="flq">#REF!</definedName>
    <definedName name="FlsSumDetail" localSheetId="30">#REF!</definedName>
    <definedName name="FlsSumDetail" localSheetId="27">#REF!</definedName>
    <definedName name="FlsSumDetail" localSheetId="24">#REF!</definedName>
    <definedName name="FlsSumDetail" localSheetId="6">#REF!</definedName>
    <definedName name="FlsSumDetail" localSheetId="26">#REF!</definedName>
    <definedName name="FlsSumDetail">#REF!</definedName>
    <definedName name="FlsSumHeading" localSheetId="30">#REF!</definedName>
    <definedName name="FlsSumHeading" localSheetId="27">#REF!</definedName>
    <definedName name="FlsSumHeading" localSheetId="24">#REF!</definedName>
    <definedName name="FlsSumHeading" localSheetId="6">#REF!</definedName>
    <definedName name="FlsSumHeading" localSheetId="26">#REF!</definedName>
    <definedName name="FlsSumHeading">#REF!</definedName>
    <definedName name="FlsTotDetail" localSheetId="30">#REF!</definedName>
    <definedName name="FlsTotDetail" localSheetId="27">#REF!</definedName>
    <definedName name="FlsTotDetail" localSheetId="24">#REF!</definedName>
    <definedName name="FlsTotDetail" localSheetId="6">#REF!</definedName>
    <definedName name="FlsTotDetail" localSheetId="26">#REF!</definedName>
    <definedName name="FlsTotDetail">#REF!</definedName>
    <definedName name="FlsTotHeading" localSheetId="27">#REF!</definedName>
    <definedName name="FlsTotHeading" localSheetId="24">#REF!</definedName>
    <definedName name="FlsTotHeading" localSheetId="6">#REF!</definedName>
    <definedName name="FlsTotHeading" localSheetId="26">#REF!</definedName>
    <definedName name="FlsTotHeading">#REF!</definedName>
    <definedName name="Fluid">'[51]Actual Data (MAP)'!$E$1:$F$8</definedName>
    <definedName name="fm" localSheetId="27">#REF!</definedName>
    <definedName name="fm">#REF!</definedName>
    <definedName name="FORMACOL" localSheetId="27">#REF!</definedName>
    <definedName name="FORMACOL">#REF!</definedName>
    <definedName name="FORMALETA">[12]Materiales!$F$37</definedName>
    <definedName name="FORMALOSA" localSheetId="27">#REF!</definedName>
    <definedName name="FORMALOSA">#REF!</definedName>
    <definedName name="FORMAV" localSheetId="27">#REF!</definedName>
    <definedName name="FORMAV">#REF!</definedName>
    <definedName name="FORMAVIGACIMIEN" localSheetId="27">#REF!</definedName>
    <definedName name="FORMAVIGACIMIEN">#REF!</definedName>
    <definedName name="FORMAZAPATA">#REF!</definedName>
    <definedName name="frdesd">#REF!</definedName>
    <definedName name="FrecInctoMmtoAnno">#REF!</definedName>
    <definedName name="FrecInctoMmtoAno">#REF!</definedName>
    <definedName name="fres">#REF!</definedName>
    <definedName name="fu">#REF!</definedName>
    <definedName name="FuelControl">#REF!</definedName>
    <definedName name="FuelCostos">#REF!</definedName>
    <definedName name="Full_Print" localSheetId="30">#REF!</definedName>
    <definedName name="Full_Print" localSheetId="27">#REF!</definedName>
    <definedName name="Full_Print" localSheetId="24">#REF!</definedName>
    <definedName name="Full_Print" localSheetId="6">#REF!</definedName>
    <definedName name="Full_Print" localSheetId="26">#REF!</definedName>
    <definedName name="Full_Print">#REF!</definedName>
    <definedName name="fv">#REF!</definedName>
    <definedName name="fy">#REF!</definedName>
    <definedName name="fyy">#REF!</definedName>
    <definedName name="g_CARPINT_METALICA_MADERA" localSheetId="30">#REF!</definedName>
    <definedName name="g_CARPINT_METALICA_MADERA" localSheetId="27">#REF!</definedName>
    <definedName name="g_CARPINT_METALICA_MADERA" localSheetId="24">#REF!</definedName>
    <definedName name="g_CARPINT_METALICA_MADERA" localSheetId="6">#REF!</definedName>
    <definedName name="g_CARPINT_METALICA_MADERA" localSheetId="26">#REF!</definedName>
    <definedName name="g_CARPINT_METALICA_MADERA">#REF!</definedName>
    <definedName name="ga">#REF!</definedName>
    <definedName name="Gabinete_lam._Galv._Pint._1_8x1_2x_6">#REF!</definedName>
    <definedName name="GanSumDetail" localSheetId="30">#REF!</definedName>
    <definedName name="GanSumDetail" localSheetId="27">#REF!</definedName>
    <definedName name="GanSumDetail" localSheetId="24">#REF!</definedName>
    <definedName name="GanSumDetail" localSheetId="6">#REF!</definedName>
    <definedName name="GanSumDetail" localSheetId="26">#REF!</definedName>
    <definedName name="GanSumDetail">#REF!</definedName>
    <definedName name="GanSumHeading" localSheetId="27">#REF!</definedName>
    <definedName name="GanSumHeading" localSheetId="24">#REF!</definedName>
    <definedName name="GanSumHeading" localSheetId="6">#REF!</definedName>
    <definedName name="GanSumHeading" localSheetId="26">#REF!</definedName>
    <definedName name="GanSumHeading">#REF!</definedName>
    <definedName name="GanTotalDetail" localSheetId="27">#REF!</definedName>
    <definedName name="GanTotalDetail" localSheetId="24">#REF!</definedName>
    <definedName name="GanTotalDetail" localSheetId="6">#REF!</definedName>
    <definedName name="GanTotalDetail" localSheetId="26">#REF!</definedName>
    <definedName name="GanTotalDetail">#REF!</definedName>
    <definedName name="GanTotalHeading" localSheetId="27">#REF!</definedName>
    <definedName name="GanTotalHeading" localSheetId="24">#REF!</definedName>
    <definedName name="GanTotalHeading" localSheetId="6">#REF!</definedName>
    <definedName name="GanTotalHeading" localSheetId="26">#REF!</definedName>
    <definedName name="GanTotalHeading">#REF!</definedName>
    <definedName name="GarantiaExtendida">#REF!</definedName>
    <definedName name="GarantiaExtendidaCostos">#REF!</definedName>
    <definedName name="GASTOS_GENERALES">'[52]Precios E'!#REF!</definedName>
    <definedName name="gb" localSheetId="27">#REF!</definedName>
    <definedName name="gb">#REF!</definedName>
    <definedName name="gc" localSheetId="27">#REF!</definedName>
    <definedName name="gc">#REF!</definedName>
    <definedName name="gd" localSheetId="27">#REF!</definedName>
    <definedName name="gd">#REF!</definedName>
    <definedName name="gdj">#REF!</definedName>
    <definedName name="Ge">#REF!</definedName>
    <definedName name="gf">#REF!</definedName>
    <definedName name="gft">#REF!</definedName>
    <definedName name="gg">#REF!</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JJJJKKK">#REF!</definedName>
    <definedName name="gh">#REF!</definedName>
    <definedName name="ghjbkikk">#REF!</definedName>
    <definedName name="ghu">#REF!</definedName>
    <definedName name="Gi">#REF!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#REF!</definedName>
    <definedName name="Grados">#REF!</definedName>
    <definedName name="Graniplast">#REF!</definedName>
    <definedName name="Granito_N_2">#REF!</definedName>
    <definedName name="GRAVILLA">[22]MATERIALES!$D$3</definedName>
    <definedName name="Grifería_Ducha" localSheetId="27">#REF!</definedName>
    <definedName name="Grifería_Ducha">#REF!</definedName>
    <definedName name="grl" localSheetId="27">#REF!</definedName>
    <definedName name="grl">#REF!</definedName>
    <definedName name="GRUPO1" localSheetId="30">#REF!</definedName>
    <definedName name="GRUPO1" localSheetId="27">#REF!</definedName>
    <definedName name="GRUPO1" localSheetId="24">#REF!</definedName>
    <definedName name="GRUPO1" localSheetId="6">#REF!</definedName>
    <definedName name="GRUPO1" localSheetId="26">#REF!</definedName>
    <definedName name="GRUPO1">#REF!</definedName>
    <definedName name="GRUPO2" localSheetId="30">#REF!</definedName>
    <definedName name="GRUPO2" localSheetId="27">#REF!</definedName>
    <definedName name="GRUPO2" localSheetId="24">#REF!</definedName>
    <definedName name="GRUPO2" localSheetId="6">#REF!</definedName>
    <definedName name="GRUPO2" localSheetId="26">#REF!</definedName>
    <definedName name="GRUPO2">#REF!</definedName>
    <definedName name="gte">#REF!</definedName>
    <definedName name="gtgtgtgt">#REF!</definedName>
    <definedName name="GTI">#REF!</definedName>
    <definedName name="Guarda_camilla_en_acero_inox.h_0_9">#REF!</definedName>
    <definedName name="Guarda_camilla_en_madera_h__0_90_m">#REF!</definedName>
    <definedName name="Gv">#REF!</definedName>
    <definedName name="Gw">#REF!</definedName>
    <definedName name="gy">#REF!</definedName>
    <definedName name="h" localSheetId="30">#REF!</definedName>
    <definedName name="h" localSheetId="27">#REF!</definedName>
    <definedName name="h" localSheetId="24">#REF!</definedName>
    <definedName name="h" localSheetId="6">#REF!</definedName>
    <definedName name="h" localSheetId="26">#REF!</definedName>
    <definedName name="h">#REF!</definedName>
    <definedName name="h_PISOS_Y_PAVIMENTO" localSheetId="27">#REF!</definedName>
    <definedName name="h_PISOS_Y_PAVIMENTO" localSheetId="24">#REF!</definedName>
    <definedName name="h_PISOS_Y_PAVIMENTO" localSheetId="6">#REF!</definedName>
    <definedName name="h_PISOS_Y_PAVIMENTO" localSheetId="26">#REF!</definedName>
    <definedName name="h_PISOS_Y_PAVIMENTO">#REF!</definedName>
    <definedName name="HA">#REF!</definedName>
    <definedName name="hab___viv" localSheetId="27">#REF!</definedName>
    <definedName name="hab___viv" localSheetId="24">#REF!</definedName>
    <definedName name="hab___viv" localSheetId="6">#REF!</definedName>
    <definedName name="hab___viv" localSheetId="26">#REF!</definedName>
    <definedName name="hab___viv">#REF!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eader_Row" localSheetId="27">ROW(#REF!)</definedName>
    <definedName name="Header_Row">ROW(#REF!)</definedName>
    <definedName name="HERRAMIENTAS">[53]MATERIALES!$A$13</definedName>
    <definedName name="HG" localSheetId="27">#REF!</definedName>
    <definedName name="HG">#REF!</definedName>
    <definedName name="hgt" localSheetId="27">#REF!</definedName>
    <definedName name="hgt">#REF!</definedName>
    <definedName name="hgu" localSheetId="27">#REF!</definedName>
    <definedName name="hgu">#REF!</definedName>
    <definedName name="hh">#REF!</definedName>
    <definedName name="HHAHHAHAHAHAHH">#REF!</definedName>
    <definedName name="HHHHHHTTTTKKKK">#REF!</definedName>
    <definedName name="HHHSHS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 localSheetId="14">[9]Materiales!#REF!</definedName>
    <definedName name="HIDROSELLO_DE_CAUCHO_10_S8" localSheetId="16">[9]Materiales!#REF!</definedName>
    <definedName name="HIDROSELLO_DE_CAUCHO_10_S8" localSheetId="30">[9]Materiales!#REF!</definedName>
    <definedName name="HIDROSELLO_DE_CAUCHO_10_S8" localSheetId="27">[9]Materiales!#REF!</definedName>
    <definedName name="HIDROSELLO_DE_CAUCHO_10_S8" localSheetId="12">[9]Materiales!#REF!</definedName>
    <definedName name="HIDROSELLO_DE_CAUCHO_10_S8">[9]Materiales!#REF!</definedName>
    <definedName name="HIDROSELLO_DE_CAUCHO_12_S8" localSheetId="30">[9]Materiales!#REF!</definedName>
    <definedName name="HIDROSELLO_DE_CAUCHO_12_S8" localSheetId="27">[9]Materiales!#REF!</definedName>
    <definedName name="HIDROSELLO_DE_CAUCHO_12_S8">[9]Materiales!#REF!</definedName>
    <definedName name="HIDROSELLO_DE_CAUCHO_14_S8" localSheetId="30">[9]Materiales!#REF!</definedName>
    <definedName name="HIDROSELLO_DE_CAUCHO_14_S8" localSheetId="27">[9]Materiales!#REF!</definedName>
    <definedName name="HIDROSELLO_DE_CAUCHO_14_S8">[9]Materiales!#REF!</definedName>
    <definedName name="HIDROSELLO_DE_CAUCHO_16_S8" localSheetId="30">[9]Materiales!#REF!</definedName>
    <definedName name="HIDROSELLO_DE_CAUCHO_16_S8" localSheetId="27">[9]Materiales!#REF!</definedName>
    <definedName name="HIDROSELLO_DE_CAUCHO_16_S8">[9]Materiales!#REF!</definedName>
    <definedName name="HIDROSELLO_DE_CAUCHO_18_S8" localSheetId="30">[9]Materiales!#REF!</definedName>
    <definedName name="HIDROSELLO_DE_CAUCHO_18_S8" localSheetId="27">[9]Materiales!#REF!</definedName>
    <definedName name="HIDROSELLO_DE_CAUCHO_18_S8">[9]Materiales!#REF!</definedName>
    <definedName name="HIDROSELLO_DE_CAUCHO_20_S8" localSheetId="27">[9]Materiales!#REF!</definedName>
    <definedName name="HIDROSELLO_DE_CAUCHO_20_S8">[9]Materiales!#REF!</definedName>
    <definedName name="HIDROSELLO_DE_CAUCHO_24_S4" localSheetId="27">[9]Materiales!#REF!</definedName>
    <definedName name="HIDROSELLO_DE_CAUCHO_24_S4">[9]Materiales!#REF!</definedName>
    <definedName name="HIDROSELLO_DE_CAUCHO_27_S4" localSheetId="27">[9]Materiales!#REF!</definedName>
    <definedName name="HIDROSELLO_DE_CAUCHO_27_S4">[9]Materiales!#REF!</definedName>
    <definedName name="HIDROSELLO_DE_CAUCHO_30_S4" localSheetId="27">[9]Materiales!#REF!</definedName>
    <definedName name="HIDROSELLO_DE_CAUCHO_30_S4">[9]Materiales!#REF!</definedName>
    <definedName name="HIDROSELLO_DE_CAUCHO_6_S8" localSheetId="27">[9]Materiales!#REF!</definedName>
    <definedName name="HIDROSELLO_DE_CAUCHO_6_S8">[9]Materiales!#REF!</definedName>
    <definedName name="HIDROSELLO_DE_CAUCHO_8_S8" localSheetId="27">[9]Materiales!#REF!</definedName>
    <definedName name="HIDROSELLO_DE_CAUCHO_8_S8">[9]Materiales!#REF!</definedName>
    <definedName name="HIDROSELLO_S8" localSheetId="27">[9]Materiales!#REF!</definedName>
    <definedName name="HIDROSELLO_S8">[9]Materiales!#REF!</definedName>
    <definedName name="hj" localSheetId="27">#REF!</definedName>
    <definedName name="hj">#REF!</definedName>
    <definedName name="hjk" localSheetId="27">#REF!</definedName>
    <definedName name="hjk">#REF!</definedName>
    <definedName name="hl" localSheetId="27">#REF!</definedName>
    <definedName name="hl">#REF!</definedName>
    <definedName name="hnt">#REF!</definedName>
    <definedName name="HOJA1" localSheetId="30">#REF!</definedName>
    <definedName name="HOJA1" localSheetId="27">#REF!</definedName>
    <definedName name="HOJA1" localSheetId="24">#REF!</definedName>
    <definedName name="HOJA1" localSheetId="6">#REF!</definedName>
    <definedName name="HOJA1" localSheetId="26">#REF!</definedName>
    <definedName name="HOJA1">#REF!</definedName>
    <definedName name="HORASEXTDIU">[54]DATOS!$CV$4:$CV$53</definedName>
    <definedName name="HORASEXTDIUFES">[54]DATOS!$CY$4:$CY$53</definedName>
    <definedName name="HORASEXTNOC">[54]DATOS!$CW$4:$CW$53</definedName>
    <definedName name="HORASEXTNOCFES">[54]DATOS!$CZ$4:$CZ$53</definedName>
    <definedName name="HORASNORFES">[54]DATOS!$CX$4:$CX$53</definedName>
    <definedName name="horat">'[13]Itemes Renovación'!#REF!</definedName>
    <definedName name="hoy" localSheetId="30" hidden="1">#REF!</definedName>
    <definedName name="hoy" localSheetId="27" hidden="1">#REF!</definedName>
    <definedName name="hoy" localSheetId="24" hidden="1">#REF!</definedName>
    <definedName name="hoy" localSheetId="6" hidden="1">#REF!</definedName>
    <definedName name="hoy" localSheetId="26" hidden="1">#REF!</definedName>
    <definedName name="hoy" hidden="1">#REF!</definedName>
    <definedName name="hp">#REF!</definedName>
    <definedName name="hqi">#REF!</definedName>
    <definedName name="hs">#REF!</definedName>
    <definedName name="ht">#REF!</definedName>
    <definedName name="htk">#REF!</definedName>
    <definedName name="HY">#REF!</definedName>
    <definedName name="hyhyuj">#REF!</definedName>
    <definedName name="HYT">#REF!</definedName>
    <definedName name="I" localSheetId="30">#REF!</definedName>
    <definedName name="I" localSheetId="27">#REF!</definedName>
    <definedName name="I" localSheetId="24">#REF!</definedName>
    <definedName name="I" localSheetId="6">#REF!</definedName>
    <definedName name="I" localSheetId="26">#REF!</definedName>
    <definedName name="I">#REF!</definedName>
    <definedName name="i_ZONA_VERDE" localSheetId="27">#REF!</definedName>
    <definedName name="i_ZONA_VERDE" localSheetId="24">#REF!</definedName>
    <definedName name="i_ZONA_VERDE" localSheetId="6">#REF!</definedName>
    <definedName name="i_ZONA_VERDE" localSheetId="26">#REF!</definedName>
    <definedName name="i_ZONA_VERDE">#REF!</definedName>
    <definedName name="i1277.">#REF!</definedName>
    <definedName name="id">#REF!</definedName>
    <definedName name="IF" localSheetId="30">'[32]A. P. U.'!#REF!</definedName>
    <definedName name="IF" localSheetId="27">'[32]A. P. U.'!#REF!</definedName>
    <definedName name="IF" localSheetId="24">'[32]A. P. U.'!#REF!</definedName>
    <definedName name="IF" localSheetId="6">'[32]A. P. U.'!#REF!</definedName>
    <definedName name="IF" localSheetId="26">'[32]A. P. U.'!#REF!</definedName>
    <definedName name="IF">'[32]A. P. U.'!#REF!</definedName>
    <definedName name="ig" localSheetId="27">#REF!</definedName>
    <definedName name="ig">#REF!</definedName>
    <definedName name="IHUIU7UTI66R6767" localSheetId="27">#REF!</definedName>
    <definedName name="IHUIU7UTI66R6767">#REF!</definedName>
    <definedName name="ii" localSheetId="27">#REF!</definedName>
    <definedName name="ii">#REF!</definedName>
    <definedName name="IIIIIHHHYYSS">#REF!</definedName>
    <definedName name="IIIIIIIIIIIIIIHHHHHHHHHHHHHHHHGGGGGGGGGGGGGGG">#REF!</definedName>
    <definedName name="IIIIIIIIOOOOOOOOO">'[1]CUAD-DIURNA'!#REF!</definedName>
    <definedName name="ijqwwwww">#REF!</definedName>
    <definedName name="ik">#REF!</definedName>
    <definedName name="ikikololp">#REF!</definedName>
    <definedName name="ikj">#REF!</definedName>
    <definedName name="ImpdosporMilCostos">#REF!</definedName>
    <definedName name="Impdosxmil">#REF!</definedName>
    <definedName name="IMPER">#REF!</definedName>
    <definedName name="IMPRE">2%</definedName>
    <definedName name="IMPREVISTOS">'[22]Formulario N° 4'!$F$130</definedName>
    <definedName name="Imprevistos_mmto_año1" localSheetId="27">#REF!</definedName>
    <definedName name="Imprevistos_mmto_año1">#REF!</definedName>
    <definedName name="ImpuestoCostos" localSheetId="27">#REF!</definedName>
    <definedName name="ImpuestoCostos">#REF!</definedName>
    <definedName name="IMPUESTOS" localSheetId="27">#REF!</definedName>
    <definedName name="IMPUESTOS">#REF!</definedName>
    <definedName name="IncrementoCanon">#REF!</definedName>
    <definedName name="INCRNOVATOT">#REF!</definedName>
    <definedName name="inf" localSheetId="30">#REF!</definedName>
    <definedName name="inf" localSheetId="27">#REF!</definedName>
    <definedName name="inf" localSheetId="24">#REF!</definedName>
    <definedName name="inf" localSheetId="6">#REF!</definedName>
    <definedName name="inf" localSheetId="26">#REF!</definedName>
    <definedName name="inf">#REF!</definedName>
    <definedName name="INFF">#REF!</definedName>
    <definedName name="INFG" localSheetId="30">#REF!</definedName>
    <definedName name="INFG" localSheetId="27">#REF!</definedName>
    <definedName name="INFG" localSheetId="24">#REF!</definedName>
    <definedName name="INFG" localSheetId="6">#REF!</definedName>
    <definedName name="INFG" localSheetId="26">#REF!</definedName>
    <definedName name="INFG">#REF!</definedName>
    <definedName name="infi">#REF!</definedName>
    <definedName name="IniCeldaDtfRapida">#REF!</definedName>
    <definedName name="INICIO">[19]dts!$B$14</definedName>
    <definedName name="Instalacion" localSheetId="27">#REF!</definedName>
    <definedName name="Instalacion">#REF!</definedName>
    <definedName name="Instalación_TM_incluye15Breake" localSheetId="27">'[16]L. MAT.'!#REF!</definedName>
    <definedName name="Instalación_TM_incluye15Breake">'[16]L. MAT.'!#REF!</definedName>
    <definedName name="INSTALACIONES_HIDRAULICAS" localSheetId="27">#REF!</definedName>
    <definedName name="INSTALACIONES_HIDRAULICAS">#REF!</definedName>
    <definedName name="INSUBANCO">[15]INSUMOS!$A$2:$D$6979</definedName>
    <definedName name="Insumos">[55]Insumos!$A$6:$D$90</definedName>
    <definedName name="Insumos2">[56]Insumos!$A$1:$D$65536</definedName>
    <definedName name="INSUMOSTOTAL">[26]INSUMOS!$A$2:$L$116</definedName>
    <definedName name="Int" localSheetId="30">#REF!</definedName>
    <definedName name="Int" localSheetId="27">#REF!</definedName>
    <definedName name="Int" localSheetId="24">#REF!</definedName>
    <definedName name="Int" localSheetId="6">#REF!</definedName>
    <definedName name="Int" localSheetId="26">#REF!</definedName>
    <definedName name="Int">#REF!</definedName>
    <definedName name="intCosteoMmto">#REF!</definedName>
    <definedName name="intDiasPagoFactura">#REF!</definedName>
    <definedName name="Interest_Rate" localSheetId="27">#REF!</definedName>
    <definedName name="Interest_Rate" localSheetId="24">#REF!</definedName>
    <definedName name="Interest_Rate" localSheetId="6">#REF!</definedName>
    <definedName name="Interest_Rate" localSheetId="26">#REF!</definedName>
    <definedName name="Interest_Rate">#REF!</definedName>
    <definedName name="Interruptor_sencillo_Levinton_Decor">#REF!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'[57]PR 1'!$A$2:$N$655</definedName>
    <definedName name="io" localSheetId="27">#REF!</definedName>
    <definedName name="io">#REF!</definedName>
    <definedName name="ir" localSheetId="27">#REF!</definedName>
    <definedName name="ir">#REF!</definedName>
    <definedName name="IREM13.4" localSheetId="27">#REF!</definedName>
    <definedName name="IREM13.4">#REF!</definedName>
    <definedName name="it.">#REF!</definedName>
    <definedName name="ITEM" localSheetId="30">#REF!</definedName>
    <definedName name="ITEM" localSheetId="27">#REF!</definedName>
    <definedName name="ITEM" localSheetId="24">#REF!</definedName>
    <definedName name="ITEM" localSheetId="6">#REF!</definedName>
    <definedName name="ITEM" localSheetId="26">#REF!</definedName>
    <definedName name="ITEM">#REF!</definedName>
    <definedName name="item1">[58]PREACTA!#REF!</definedName>
    <definedName name="ITEM1.1" localSheetId="27">#REF!</definedName>
    <definedName name="ITEM1.1">#REF!</definedName>
    <definedName name="ITEM1.10" localSheetId="27">#REF!</definedName>
    <definedName name="ITEM1.10">#REF!</definedName>
    <definedName name="ITEM1.11" localSheetId="27">#REF!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[59]BASE!$C$4:$H$272</definedName>
    <definedName name="ITEM2.1" localSheetId="27">#REF!</definedName>
    <definedName name="ITEM2.1">#REF!</definedName>
    <definedName name="ITEM2.2" localSheetId="27">#REF!</definedName>
    <definedName name="ITEM2.2">#REF!</definedName>
    <definedName name="ITEM2.3" localSheetId="27">#REF!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'[17]1'!#REF!</definedName>
    <definedName name="ITEM23" localSheetId="27">#REF!</definedName>
    <definedName name="ITEM23">#REF!</definedName>
    <definedName name="ITEM230" localSheetId="27">#REF!</definedName>
    <definedName name="ITEM230">#REF!</definedName>
    <definedName name="ITEM24" localSheetId="27">#REF!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2">#REF!</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3">#REF!</definedName>
    <definedName name="ITEM330">#REF!</definedName>
    <definedName name="ITEM34">#REF!</definedName>
    <definedName name="ITEM35">#REF!</definedName>
    <definedName name="ITEM36">#REF!</definedName>
    <definedName name="ITEM37">#REF!</definedName>
    <definedName name="ITEM38">#REF!</definedName>
    <definedName name="ITEM39">#REF!</definedName>
    <definedName name="item4">[58]PREACTA!#REF!</definedName>
    <definedName name="ITEM4.1" localSheetId="27">#REF!</definedName>
    <definedName name="ITEM4.1">#REF!</definedName>
    <definedName name="ITEM4.10" localSheetId="27">#REF!</definedName>
    <definedName name="ITEM4.10">#REF!</definedName>
    <definedName name="ITEM4.11" localSheetId="27">#REF!</definedName>
    <definedName name="ITEM4.11">#REF!</definedName>
    <definedName name="ITEM4.12">#REF!</definedName>
    <definedName name="ITEM4.13">#REF!</definedName>
    <definedName name="ITEM4.2">#REF!</definedName>
    <definedName name="ITEM4.3">#REF!</definedName>
    <definedName name="ITEM4.4">#REF!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5">[58]PREACTA!#REF!</definedName>
    <definedName name="ITEM5.1" localSheetId="27">#REF!</definedName>
    <definedName name="ITEM5.1">#REF!</definedName>
    <definedName name="ITEM5.2" localSheetId="27">#REF!</definedName>
    <definedName name="ITEM5.2">#REF!</definedName>
    <definedName name="ITEM51" localSheetId="27">#REF!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[58]PREACTA!#REF!</definedName>
    <definedName name="ITEM6.1" localSheetId="27">#REF!</definedName>
    <definedName name="ITEM6.1">#REF!</definedName>
    <definedName name="ITEM6.3" localSheetId="27">#REF!</definedName>
    <definedName name="ITEM6.3">#REF!</definedName>
    <definedName name="ITEM6.4" localSheetId="27">#REF!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5">#REF!</definedName>
    <definedName name="ITEM66">#REF!</definedName>
    <definedName name="ITEM661">#REF!</definedName>
    <definedName name="ITEM67">#REF!</definedName>
    <definedName name="ITEM671">#REF!</definedName>
    <definedName name="ITEM68">#REF!</definedName>
    <definedName name="ITEM681">#REF!</definedName>
    <definedName name="ITEM69">#REF!</definedName>
    <definedName name="item7">[60]PREACTA!$F$145</definedName>
    <definedName name="ITEM7.1" localSheetId="27">#REF!</definedName>
    <definedName name="ITEM7.1">#REF!</definedName>
    <definedName name="ITEM7.2" localSheetId="27">#REF!</definedName>
    <definedName name="ITEM7.2">#REF!</definedName>
    <definedName name="ITEM7.3" localSheetId="27">#REF!</definedName>
    <definedName name="ITEM7.3">#REF!</definedName>
    <definedName name="ITEM7.4">#REF!</definedName>
    <definedName name="ITEM7.5">#REF!</definedName>
    <definedName name="ITEM704">#REF!</definedName>
    <definedName name="ITEM71">#REF!</definedName>
    <definedName name="ITEM72">#REF!</definedName>
    <definedName name="ITEM720">#REF!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[60]PREACTA!$F$152</definedName>
    <definedName name="ITEM9.1" localSheetId="27">#REF!</definedName>
    <definedName name="ITEM9.1">#REF!</definedName>
    <definedName name="ITEM9.2" localSheetId="27">#REF!</definedName>
    <definedName name="ITEM9.2">#REF!</definedName>
    <definedName name="ITEM9.3" localSheetId="27">#REF!</definedName>
    <definedName name="ITEM9.3">#REF!</definedName>
    <definedName name="ITEM900">#REF!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S">'[26]ITEMS RESUMIDOS'!$A$2:$A$34</definedName>
    <definedName name="ITEMS2">'[61]ITEMS(2)'!$A$13:$CE$777</definedName>
    <definedName name="ITEMS3" localSheetId="27">#REF!</definedName>
    <definedName name="ITEMS3">#REF!</definedName>
    <definedName name="ITEMSRESUMEN">'[26]ITEMS RESUMIDOS'!$A$2:$D$34</definedName>
    <definedName name="ITEN320" localSheetId="27">#REF!</definedName>
    <definedName name="ITEN320">#REF!</definedName>
    <definedName name="IVA">16%</definedName>
    <definedName name="Ja" localSheetId="27">#REF!</definedName>
    <definedName name="Ja">#REF!</definedName>
    <definedName name="jajAJHQWDHG" localSheetId="27">#REF!</definedName>
    <definedName name="jajAJHQWDHG">#REF!</definedName>
    <definedName name="JAJAQHYEWFFQFBF" localSheetId="27">#REF!</definedName>
    <definedName name="JAJAQHYEWFFQFBF">#REF!</definedName>
    <definedName name="Jb">#REF!</definedName>
    <definedName name="Jc">#REF!</definedName>
    <definedName name="Jd">#REF!</definedName>
    <definedName name="JDQJFOWEFOQFQFPQ">#REF!</definedName>
    <definedName name="Je">#REF!</definedName>
    <definedName name="Jf">#REF!</definedName>
    <definedName name="jh">#REF!</definedName>
    <definedName name="JHSJHSJHDHD">#REF!</definedName>
    <definedName name="jHWQHWQHW">#REF!</definedName>
    <definedName name="jj">#REF!</definedName>
    <definedName name="JJAJAJAAJ">#REF!</definedName>
    <definedName name="JJAJAJJAAJAJA">#REF!</definedName>
    <definedName name="jjajjajajaj">#REF!</definedName>
    <definedName name="JJJJAJAJAJAAJ">#REF!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SSSSS">#REF!</definedName>
    <definedName name="jk">#REF!</definedName>
    <definedName name="jn">#REF!</definedName>
    <definedName name="jñ">#REF!</definedName>
    <definedName name="jo">#REF!</definedName>
    <definedName name="JORGE">#REF!</definedName>
    <definedName name="jt">#REF!</definedName>
    <definedName name="Juego_de_Incrustaciones">#REF!</definedName>
    <definedName name="jui">#REF!</definedName>
    <definedName name="jun">#REF!</definedName>
    <definedName name="juy">#REF!</definedName>
    <definedName name="K0F1" localSheetId="30">#REF!</definedName>
    <definedName name="K0F1" localSheetId="27">#REF!</definedName>
    <definedName name="K0F1" localSheetId="24">#REF!</definedName>
    <definedName name="K0F1" localSheetId="6">#REF!</definedName>
    <definedName name="K0F1" localSheetId="26">#REF!</definedName>
    <definedName name="K0F1">#REF!</definedName>
    <definedName name="K0F2" localSheetId="30">#REF!</definedName>
    <definedName name="K0F2" localSheetId="27">#REF!</definedName>
    <definedName name="K0F2" localSheetId="24">#REF!</definedName>
    <definedName name="K0F2" localSheetId="6">#REF!</definedName>
    <definedName name="K0F2" localSheetId="26">#REF!</definedName>
    <definedName name="K0F2">#REF!</definedName>
    <definedName name="K10ALO" localSheetId="27">#REF!</definedName>
    <definedName name="K10ALO" localSheetId="24">#REF!</definedName>
    <definedName name="K10ALO" localSheetId="6">#REF!</definedName>
    <definedName name="K10ALO" localSheetId="26">#REF!</definedName>
    <definedName name="K10ALO">#REF!</definedName>
    <definedName name="K11ALO" localSheetId="27">#REF!</definedName>
    <definedName name="K11ALO" localSheetId="24">#REF!</definedName>
    <definedName name="K11ALO" localSheetId="6">#REF!</definedName>
    <definedName name="K11ALO" localSheetId="26">#REF!</definedName>
    <definedName name="K11ALO">#REF!</definedName>
    <definedName name="K1F1" localSheetId="27">#REF!</definedName>
    <definedName name="K1F1" localSheetId="24">#REF!</definedName>
    <definedName name="K1F1" localSheetId="6">#REF!</definedName>
    <definedName name="K1F1" localSheetId="26">#REF!</definedName>
    <definedName name="K1F1">#REF!</definedName>
    <definedName name="K1F2" localSheetId="27">#REF!</definedName>
    <definedName name="K1F2" localSheetId="24">#REF!</definedName>
    <definedName name="K1F2" localSheetId="6">#REF!</definedName>
    <definedName name="K1F2" localSheetId="26">#REF!</definedName>
    <definedName name="K1F2">#REF!</definedName>
    <definedName name="K2F1" localSheetId="27">#REF!</definedName>
    <definedName name="K2F1" localSheetId="24">#REF!</definedName>
    <definedName name="K2F1" localSheetId="6">#REF!</definedName>
    <definedName name="K2F1" localSheetId="26">#REF!</definedName>
    <definedName name="K2F1">#REF!</definedName>
    <definedName name="K2F2" localSheetId="27">#REF!</definedName>
    <definedName name="K2F2" localSheetId="24">#REF!</definedName>
    <definedName name="K2F2" localSheetId="6">#REF!</definedName>
    <definedName name="K2F2" localSheetId="26">#REF!</definedName>
    <definedName name="K2F2">#REF!</definedName>
    <definedName name="K3F1" localSheetId="27">#REF!</definedName>
    <definedName name="K3F1" localSheetId="24">#REF!</definedName>
    <definedName name="K3F1" localSheetId="6">#REF!</definedName>
    <definedName name="K3F1" localSheetId="26">#REF!</definedName>
    <definedName name="K3F1">#REF!</definedName>
    <definedName name="K3F2" localSheetId="27">#REF!</definedName>
    <definedName name="K3F2" localSheetId="24">#REF!</definedName>
    <definedName name="K3F2" localSheetId="6">#REF!</definedName>
    <definedName name="K3F2" localSheetId="26">#REF!</definedName>
    <definedName name="K3F2">#REF!</definedName>
    <definedName name="K4F1" localSheetId="27">#REF!</definedName>
    <definedName name="K4F1" localSheetId="24">#REF!</definedName>
    <definedName name="K4F1" localSheetId="6">#REF!</definedName>
    <definedName name="K4F1" localSheetId="26">#REF!</definedName>
    <definedName name="K4F1">#REF!</definedName>
    <definedName name="K4F2" localSheetId="27">#REF!</definedName>
    <definedName name="K4F2" localSheetId="24">#REF!</definedName>
    <definedName name="K4F2" localSheetId="6">#REF!</definedName>
    <definedName name="K4F2" localSheetId="26">#REF!</definedName>
    <definedName name="K4F2">#REF!</definedName>
    <definedName name="K5F1" localSheetId="27">#REF!</definedName>
    <definedName name="K5F1" localSheetId="24">#REF!</definedName>
    <definedName name="K5F1" localSheetId="6">#REF!</definedName>
    <definedName name="K5F1" localSheetId="26">#REF!</definedName>
    <definedName name="K5F1">#REF!</definedName>
    <definedName name="K5F2" localSheetId="27">#REF!</definedName>
    <definedName name="K5F2" localSheetId="24">#REF!</definedName>
    <definedName name="K5F2" localSheetId="6">#REF!</definedName>
    <definedName name="K5F2" localSheetId="26">#REF!</definedName>
    <definedName name="K5F2">#REF!</definedName>
    <definedName name="K6F1" localSheetId="27">#REF!</definedName>
    <definedName name="K6F1" localSheetId="24">#REF!</definedName>
    <definedName name="K6F1" localSheetId="6">#REF!</definedName>
    <definedName name="K6F1" localSheetId="26">#REF!</definedName>
    <definedName name="K6F1">#REF!</definedName>
    <definedName name="K6F2" localSheetId="27">#REF!</definedName>
    <definedName name="K6F2" localSheetId="24">#REF!</definedName>
    <definedName name="K6F2" localSheetId="6">#REF!</definedName>
    <definedName name="K6F2" localSheetId="26">#REF!</definedName>
    <definedName name="K6F2">#REF!</definedName>
    <definedName name="K7F1" localSheetId="27">#REF!</definedName>
    <definedName name="K7F1" localSheetId="24">#REF!</definedName>
    <definedName name="K7F1" localSheetId="6">#REF!</definedName>
    <definedName name="K7F1" localSheetId="26">#REF!</definedName>
    <definedName name="K7F1">#REF!</definedName>
    <definedName name="K7F2" localSheetId="27">#REF!</definedName>
    <definedName name="K7F2" localSheetId="24">#REF!</definedName>
    <definedName name="K7F2" localSheetId="6">#REF!</definedName>
    <definedName name="K7F2" localSheetId="26">#REF!</definedName>
    <definedName name="K7F2">#REF!</definedName>
    <definedName name="K8ALO" localSheetId="27">#REF!</definedName>
    <definedName name="K8ALO" localSheetId="24">#REF!</definedName>
    <definedName name="K8ALO" localSheetId="6">#REF!</definedName>
    <definedName name="K8ALO" localSheetId="26">#REF!</definedName>
    <definedName name="K8ALO">#REF!</definedName>
    <definedName name="K8F1" localSheetId="27">#REF!</definedName>
    <definedName name="K8F1" localSheetId="24">#REF!</definedName>
    <definedName name="K8F1" localSheetId="6">#REF!</definedName>
    <definedName name="K8F1" localSheetId="26">#REF!</definedName>
    <definedName name="K8F1">#REF!</definedName>
    <definedName name="K8F2" localSheetId="27">#REF!</definedName>
    <definedName name="K8F2" localSheetId="24">#REF!</definedName>
    <definedName name="K8F2" localSheetId="6">#REF!</definedName>
    <definedName name="K8F2" localSheetId="26">#REF!</definedName>
    <definedName name="K8F2">#REF!</definedName>
    <definedName name="K9ALO" localSheetId="27">#REF!</definedName>
    <definedName name="K9ALO" localSheetId="24">#REF!</definedName>
    <definedName name="K9ALO" localSheetId="6">#REF!</definedName>
    <definedName name="K9ALO" localSheetId="26">#REF!</definedName>
    <definedName name="K9ALO">#REF!</definedName>
    <definedName name="kio">#REF!</definedName>
    <definedName name="kip">#REF!</definedName>
    <definedName name="KitCarretera">#REF!</definedName>
    <definedName name="KitCarreteraCostos">#REF!</definedName>
    <definedName name="KJH">#REF!</definedName>
    <definedName name="kjnuiiiiiiiii">#REF!</definedName>
    <definedName name="kkiiiiiiiiiiiiiiiiggth">#REF!</definedName>
    <definedName name="KKKKAKKA">#REF!</definedName>
    <definedName name="kkkkk">#REF!</definedName>
    <definedName name="kkkkkkeeer">#REF!</definedName>
    <definedName name="kkkkkkkkkkkkkkkkaaaaaaaaaaaaa" localSheetId="23">[2]!absc</definedName>
    <definedName name="kkkkkkkkkkkkkkkkaaaaaaaaaaaaa" localSheetId="1">[2]!absc</definedName>
    <definedName name="kkkkkkkkkkkkkkkkaaaaaaaaaaaaa">[2]!absc</definedName>
    <definedName name="KKKKKTTTTTT">#REF!</definedName>
    <definedName name="kl">#REF!</definedName>
    <definedName name="kñy">#REF!</definedName>
    <definedName name="ko">[62]items!$C$4:$J$247</definedName>
    <definedName name="KTES_AL" localSheetId="27">#REF!</definedName>
    <definedName name="KTES_AL">#REF!</definedName>
    <definedName name="kuh" localSheetId="27">#REF!</definedName>
    <definedName name="kuh">#REF!</definedName>
    <definedName name="kuy" localSheetId="27">#REF!</definedName>
    <definedName name="kuy">#REF!</definedName>
    <definedName name="La">#REF!</definedName>
    <definedName name="LADRILLO_COMUN">[9]Materiales!#REF!</definedName>
    <definedName name="Lamina_de_acero_inox." localSheetId="27">#REF!</definedName>
    <definedName name="Lamina_de_acero_inox.">#REF!</definedName>
    <definedName name="Lamina_de_plomo_1_5mm" localSheetId="27">#REF!</definedName>
    <definedName name="Lamina_de_plomo_1_5mm">#REF!</definedName>
    <definedName name="Lamina_galv._Cal_18" localSheetId="27">#REF!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PARATOT">#REF!</definedName>
    <definedName name="Last_Row" localSheetId="14">IF('1,1'!Values_Entered,Header_Row+'1,1'!Number_of_Payments,Header_Row)</definedName>
    <definedName name="Last_Row" localSheetId="16">IF('1,3'!Values_Entered,Header_Row+'1,3'!Number_of_Payments,Header_Row)</definedName>
    <definedName name="Last_Row" localSheetId="30">IF('Apu Basicos'!Values_Entered,[0]!Header_Row+'Apu Basicos'!Number_of_Payments,[0]!Header_Row)</definedName>
    <definedName name="Last_Row" localSheetId="27">IF('CARACTERIZACION '!Values_Entered,'CARACTERIZACION '!Header_Row+'CARACTERIZACION '!Number_of_Payments,'CARACTERIZACION '!Header_Row)</definedName>
    <definedName name="Last_Row" localSheetId="12">IF(ENSAYOS!Values_Entered,Header_Row+ENSAYOS!Number_of_Payments,Header_Row)</definedName>
    <definedName name="Last_Row" localSheetId="24">IF(FM!Values_Entered,Header_Row+FM!Number_of_Payments,Header_Row)</definedName>
    <definedName name="Last_Row" localSheetId="6">IF(INTERVENTORIA!Values_Entered,Header_Row+INTERVENTORIA!Number_of_Payments,Header_Row)</definedName>
    <definedName name="Last_Row" localSheetId="26">IF(PMT!Values_Entered,Header_Row+PMT!Number_of_Payments,Header_Row)</definedName>
    <definedName name="Last_Row">IF(Values_Entered,Header_Row+Number_of_Payments,Header_Row)</definedName>
    <definedName name="LAVAB" localSheetId="27">#REF!</definedName>
    <definedName name="LAVAB">#REF!</definedName>
    <definedName name="LAVABLA" localSheetId="27">#REF!</definedName>
    <definedName name="LAVABLA">#REF!</definedName>
    <definedName name="Lavamanos_de_empotrar" localSheetId="27">#REF!</definedName>
    <definedName name="Lavamanos_de_empotrar">#REF!</definedName>
    <definedName name="Lavamanos_de_pedal_Acero_inox.">#REF!</definedName>
    <definedName name="Lavamanos_de_Pedestal">#REF!</definedName>
    <definedName name="LAVANOVATOT">#REF!</definedName>
    <definedName name="Lavaplatos_acero_inox.">#REF!</definedName>
    <definedName name="LAVAPLATOT">#REF!</definedName>
    <definedName name="Lb">#REF!</definedName>
    <definedName name="Ld">#REF!</definedName>
    <definedName name="Le">#REF!</definedName>
    <definedName name="Leo">'[13]Itemes Renovación'!#REF!</definedName>
    <definedName name="LEVANTE10" localSheetId="27">#REF!</definedName>
    <definedName name="LEVANTE10">#REF!</definedName>
    <definedName name="LEVANTE20" localSheetId="27">#REF!</definedName>
    <definedName name="LEVANTE20">#REF!</definedName>
    <definedName name="Lf" localSheetId="27">#REF!</definedName>
    <definedName name="Lf">#REF!</definedName>
    <definedName name="Lh">#REF!</definedName>
    <definedName name="Li">#REF!</definedName>
    <definedName name="lia">#REF!</definedName>
    <definedName name="LICITACION" localSheetId="30">#REF!</definedName>
    <definedName name="LICITACION" localSheetId="27">#REF!</definedName>
    <definedName name="LICITACION" localSheetId="24">#REF!</definedName>
    <definedName name="LICITACION" localSheetId="6">#REF!</definedName>
    <definedName name="LICITACION" localSheetId="26">#REF!</definedName>
    <definedName name="LICITACION">#REF!</definedName>
    <definedName name="Limahoya_asbt_cemt">#REF!</definedName>
    <definedName name="Limatesa_asbt_cemt">#REF!</definedName>
    <definedName name="limcount" hidden="1">1</definedName>
    <definedName name="List_cuadrillas">[63]SALARIOS!#REF!</definedName>
    <definedName name="lista">'[64]HISTORICOS FUEL OIL EXP'!$B$2:$F$89</definedName>
    <definedName name="LISTAACT">[10]aactividad!$A$3:$A$15</definedName>
    <definedName name="LISTON2" localSheetId="27">#REF!</definedName>
    <definedName name="LISTON2">#REF!</definedName>
    <definedName name="LISTON4" localSheetId="27">#REF!</definedName>
    <definedName name="LISTON4">#REF!</definedName>
    <definedName name="Lj" localSheetId="27">#REF!</definedName>
    <definedName name="Lj">#REF!</definedName>
    <definedName name="Lk">#REF!</definedName>
    <definedName name="ll">#REF!</definedName>
    <definedName name="Llave_paso_1_2">#REF!</definedName>
    <definedName name="Llave_terminal_1_2">#REF!</definedName>
    <definedName name="LLAVE1_2">#REF!</definedName>
    <definedName name="LLAVE3_4TOT">#REF!</definedName>
    <definedName name="LLAVEMANGUETOT">#REF!</definedName>
    <definedName name="LLJJJJAGGGAGGA">#REF!</definedName>
    <definedName name="lll">#REF!</definedName>
    <definedName name="LLLL">#REF!</definedName>
    <definedName name="LLLLL">#REF!</definedName>
    <definedName name="Lm">#REF!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 localSheetId="30">#REF!</definedName>
    <definedName name="Loan_Amount" localSheetId="27">#REF!</definedName>
    <definedName name="Loan_Amount" localSheetId="24">#REF!</definedName>
    <definedName name="Loan_Amount" localSheetId="6">#REF!</definedName>
    <definedName name="Loan_Amount" localSheetId="26">#REF!</definedName>
    <definedName name="Loan_Amount">#REF!</definedName>
    <definedName name="Loan_Start" localSheetId="30">#REF!</definedName>
    <definedName name="Loan_Start" localSheetId="27">#REF!</definedName>
    <definedName name="Loan_Start" localSheetId="24">#REF!</definedName>
    <definedName name="Loan_Start" localSheetId="6">#REF!</definedName>
    <definedName name="Loan_Start" localSheetId="26">#REF!</definedName>
    <definedName name="Loan_Start">#REF!</definedName>
    <definedName name="Loan_Years" localSheetId="30">#REF!</definedName>
    <definedName name="Loan_Years" localSheetId="27">#REF!</definedName>
    <definedName name="Loan_Years" localSheetId="24">#REF!</definedName>
    <definedName name="Loan_Years" localSheetId="6">#REF!</definedName>
    <definedName name="Loan_Years" localSheetId="26">#REF!</definedName>
    <definedName name="Loan_Years">#REF!</definedName>
    <definedName name="LOCA" localSheetId="17">[65]!absc</definedName>
    <definedName name="LOCA" localSheetId="18">[65]!absc</definedName>
    <definedName name="LOCA" localSheetId="21">[65]!absc</definedName>
    <definedName name="LOCA" localSheetId="30">[65]!absc</definedName>
    <definedName name="LOCA" localSheetId="27">[65]!absc</definedName>
    <definedName name="LOCA" localSheetId="23">[65]!absc</definedName>
    <definedName name="LOCA" localSheetId="1">[65]!absc</definedName>
    <definedName name="LOCA">[65]!absc</definedName>
    <definedName name="LOCA1" localSheetId="17">[20]!absc</definedName>
    <definedName name="LOCA1" localSheetId="18">[20]!absc</definedName>
    <definedName name="LOCA1" localSheetId="21">[20]!absc</definedName>
    <definedName name="LOCA1" localSheetId="30">[20]!absc</definedName>
    <definedName name="LOCA1" localSheetId="27">[20]!absc</definedName>
    <definedName name="LOCA1" localSheetId="23">[20]!absc</definedName>
    <definedName name="LOCA1" localSheetId="1">[20]!absc</definedName>
    <definedName name="LOCA1">[20]!absc</definedName>
    <definedName name="LOCALIZACION" localSheetId="27">#REF!</definedName>
    <definedName name="LOCALIZACION">#REF!</definedName>
    <definedName name="logLiquida" localSheetId="27">#REF!</definedName>
    <definedName name="logLiquida">#REF!</definedName>
    <definedName name="LOI" localSheetId="27">#REF!</definedName>
    <definedName name="LOI">#REF!</definedName>
    <definedName name="Lp">#REF!</definedName>
    <definedName name="Lq">#REF!</definedName>
    <definedName name="Lr">#REF!</definedName>
    <definedName name="Ls">#REF!</definedName>
    <definedName name="Lt">#REF!</definedName>
    <definedName name="Lu">#REF!</definedName>
    <definedName name="LUBRICANTE" localSheetId="14">[9]Materiales!#REF!</definedName>
    <definedName name="LUBRICANTE" localSheetId="16">[9]Materiales!#REF!</definedName>
    <definedName name="LUBRICANTE" localSheetId="30">[9]Materiales!#REF!</definedName>
    <definedName name="LUBRICANTE">[9]Materiales!#REF!</definedName>
    <definedName name="Lz" localSheetId="27">#REF!</definedName>
    <definedName name="Lz">#REF!</definedName>
    <definedName name="M">[66]Hoja2!$A$1:$AT$34</definedName>
    <definedName name="Ma" localSheetId="27">#REF!</definedName>
    <definedName name="Ma">#REF!</definedName>
    <definedName name="mac" localSheetId="30">#REF!</definedName>
    <definedName name="mac" localSheetId="27">#REF!</definedName>
    <definedName name="mac" localSheetId="24">#REF!</definedName>
    <definedName name="mac" localSheetId="6">#REF!</definedName>
    <definedName name="mac" localSheetId="26">#REF!</definedName>
    <definedName name="mac">#REF!</definedName>
    <definedName name="MAL" localSheetId="30">'[67]Estado Resumen'!#REF!&lt;2.5</definedName>
    <definedName name="MAL" localSheetId="27">'[67]Estado Resumen'!#REF!&lt;2.5</definedName>
    <definedName name="MAL" localSheetId="24">'[67]Estado Resumen'!#REF!&lt;2.5</definedName>
    <definedName name="MAL" localSheetId="6">'[67]Estado Resumen'!#REF!&lt;2.5</definedName>
    <definedName name="MAL" localSheetId="26">'[67]Estado Resumen'!#REF!&lt;2.5</definedName>
    <definedName name="MAL">'[67]Estado Resumen'!#REF!&lt;2.5</definedName>
    <definedName name="Malla_redoblon" localSheetId="27">#REF!</definedName>
    <definedName name="Malla_redoblon">#REF!</definedName>
    <definedName name="MALO" localSheetId="30">'[68]ESTADO VÍA-CRIT.TECNICO'!#REF!&lt;2.5</definedName>
    <definedName name="MALO" localSheetId="27">'[68]ESTADO VÍA-CRIT.TECNICO'!#REF!&lt;2.5</definedName>
    <definedName name="MALO" localSheetId="24">'[68]ESTADO VÍA-CRIT.TECNICO'!#REF!&lt;2.5</definedName>
    <definedName name="MALO" localSheetId="6">'[68]ESTADO VÍA-CRIT.TECNICO'!#REF!&lt;2.5</definedName>
    <definedName name="MALO" localSheetId="26">'[68]ESTADO VÍA-CRIT.TECNICO'!#REF!&lt;2.5</definedName>
    <definedName name="MALO">'[68]ESTADO VÍA-CRIT.TECNICO'!#REF!&lt;2.5</definedName>
    <definedName name="MANGLE" localSheetId="27">#REF!</definedName>
    <definedName name="MANGLE">#REF!</definedName>
    <definedName name="Manguera_Hidr._1_2" localSheetId="27">#REF!</definedName>
    <definedName name="Manguera_Hidr._1_2">#REF!</definedName>
    <definedName name="MAP" localSheetId="27">'[69]PU (2)'!#REF!</definedName>
    <definedName name="MAP">'[69]PU (2)'!#REF!</definedName>
    <definedName name="Maquinaria">[70]Insum!$A$76:$E$99</definedName>
    <definedName name="MAQUINARIATOTAL">[26]MAQUINARIA!$A$2:$L$18</definedName>
    <definedName name="Marco_madera_puerta__2_05x0_7" localSheetId="27">#REF!</definedName>
    <definedName name="Marco_madera_puerta__2_05x0_7">#REF!</definedName>
    <definedName name="Marco_madera_puerta__2_05x0_9" localSheetId="27">#REF!</definedName>
    <definedName name="Marco_madera_puerta__2_05x0_9">#REF!</definedName>
    <definedName name="Marco_madera_puerta__2_05x1_4" localSheetId="27">#REF!</definedName>
    <definedName name="Marco_madera_puerta__2_05x1_4">#REF!</definedName>
    <definedName name="Marco_metal_puerta__0_80x2_20">#REF!</definedName>
    <definedName name="MargenComercial">#REF!</definedName>
    <definedName name="MargenFinanciero">#REF!</definedName>
    <definedName name="MastDetail" localSheetId="30">#REF!</definedName>
    <definedName name="MastDetail" localSheetId="27">#REF!</definedName>
    <definedName name="MastDetail" localSheetId="24">#REF!</definedName>
    <definedName name="MastDetail" localSheetId="6">#REF!</definedName>
    <definedName name="MastDetail" localSheetId="26">#REF!</definedName>
    <definedName name="MastDetail">#REF!</definedName>
    <definedName name="MastHeading" localSheetId="30">#REF!</definedName>
    <definedName name="MastHeading" localSheetId="27">#REF!</definedName>
    <definedName name="MastHeading" localSheetId="24">#REF!</definedName>
    <definedName name="MastHeading" localSheetId="6">#REF!</definedName>
    <definedName name="MastHeading" localSheetId="26">#REF!</definedName>
    <definedName name="MastHeading">#REF!</definedName>
    <definedName name="MAT" localSheetId="30">#REF!</definedName>
    <definedName name="MAT" localSheetId="27">#REF!</definedName>
    <definedName name="MAT" localSheetId="24">#REF!</definedName>
    <definedName name="MAT" localSheetId="6">#REF!</definedName>
    <definedName name="MAT" localSheetId="26">#REF!</definedName>
    <definedName name="MAT">#REF!</definedName>
    <definedName name="MATER" localSheetId="27">[37]MATERIAL!$B$3:$B$580</definedName>
    <definedName name="MATER" localSheetId="24">[38]MATERIAL!$B$3:$B$580</definedName>
    <definedName name="MATER" localSheetId="6">[39]MATERIAL!$B$3:$B$580</definedName>
    <definedName name="MATER" localSheetId="26">[39]MATERIAL!$B$3:$B$580</definedName>
    <definedName name="MATER">[40]MATERIAL!$B$3:$B$580</definedName>
    <definedName name="MATERIAL_AMARILLO_SELECCIONADO" localSheetId="14">[9]Materiales!#REF!</definedName>
    <definedName name="MATERIAL_AMARILLO_SELECCIONADO" localSheetId="16">[9]Materiales!#REF!</definedName>
    <definedName name="MATERIAL_AMARILLO_SELECCIONADO" localSheetId="30">[9]Materiales!#REF!</definedName>
    <definedName name="MATERIAL_AMARILLO_SELECCIONADO" localSheetId="27">[9]Materiales!#REF!</definedName>
    <definedName name="MATERIAL_AMARILLO_SELECCIONADO" localSheetId="12">[9]Materiales!#REF!</definedName>
    <definedName name="MATERIAL_AMARILLO_SELECCIONADO">[9]Materiales!#REF!</definedName>
    <definedName name="MATERIALES" localSheetId="27">[37]MATERIAL!$B$2:$D$580</definedName>
    <definedName name="MATERIALES" localSheetId="24">[38]MATERIAL!$B$2:$D$580</definedName>
    <definedName name="MATERIALES" localSheetId="6">[39]MATERIAL!$B$2:$D$580</definedName>
    <definedName name="MATERIALES" localSheetId="26">[39]MATERIAL!$B$2:$D$580</definedName>
    <definedName name="MATERIALES">[40]MATERIAL!$B$2:$D$580</definedName>
    <definedName name="materiales1">[71]Mat!$A$11:$G$569</definedName>
    <definedName name="maxcosto">[19]ctb!$D$1</definedName>
    <definedName name="Mb" localSheetId="27">#REF!</definedName>
    <definedName name="Mb">#REF!</definedName>
    <definedName name="merchandCostos" localSheetId="27">#REF!</definedName>
    <definedName name="merchandCostos">#REF!</definedName>
    <definedName name="Merchandisig" localSheetId="27">#REF!</definedName>
    <definedName name="Merchandisig">#REF!</definedName>
    <definedName name="Meson_acero_inox.con_bandeja">#REF!</definedName>
    <definedName name="MESONGRANITO">#REF!</definedName>
    <definedName name="MetalsDetail" localSheetId="30">#REF!</definedName>
    <definedName name="MetalsDetail" localSheetId="27">#REF!</definedName>
    <definedName name="MetalsDetail" localSheetId="24">#REF!</definedName>
    <definedName name="MetalsDetail" localSheetId="6">#REF!</definedName>
    <definedName name="MetalsDetail" localSheetId="26">#REF!</definedName>
    <definedName name="MetalsDetail">#REF!</definedName>
    <definedName name="MetalsFundsFlow" localSheetId="30">#REF!</definedName>
    <definedName name="MetalsFundsFlow" localSheetId="27">#REF!</definedName>
    <definedName name="MetalsFundsFlow" localSheetId="24">#REF!</definedName>
    <definedName name="MetalsFundsFlow" localSheetId="6">#REF!</definedName>
    <definedName name="MetalsFundsFlow" localSheetId="26">#REF!</definedName>
    <definedName name="MetalsFundsFlow">#REF!</definedName>
    <definedName name="MetalsFundsFlowHeading" localSheetId="30">#REF!</definedName>
    <definedName name="MetalsFundsFlowHeading" localSheetId="27">#REF!</definedName>
    <definedName name="MetalsFundsFlowHeading" localSheetId="24">#REF!</definedName>
    <definedName name="MetalsFundsFlowHeading" localSheetId="6">#REF!</definedName>
    <definedName name="MetalsFundsFlowHeading" localSheetId="26">#REF!</definedName>
    <definedName name="MetalsFundsFlowHeading">#REF!</definedName>
    <definedName name="MetalsFundsFlowPA" localSheetId="27">#REF!</definedName>
    <definedName name="MetalsFundsFlowPA" localSheetId="24">#REF!</definedName>
    <definedName name="MetalsFundsFlowPA" localSheetId="6">#REF!</definedName>
    <definedName name="MetalsFundsFlowPA" localSheetId="26">#REF!</definedName>
    <definedName name="MetalsFundsFlowPA">#REF!</definedName>
    <definedName name="MetalsFundsFlowPAHeading" localSheetId="27">#REF!</definedName>
    <definedName name="MetalsFundsFlowPAHeading" localSheetId="24">#REF!</definedName>
    <definedName name="MetalsFundsFlowPAHeading" localSheetId="6">#REF!</definedName>
    <definedName name="MetalsFundsFlowPAHeading" localSheetId="26">#REF!</definedName>
    <definedName name="MetalsFundsFlowPAHeading">#REF!</definedName>
    <definedName name="MetalsHeading" localSheetId="27">#REF!</definedName>
    <definedName name="MetalsHeading" localSheetId="24">#REF!</definedName>
    <definedName name="MetalsHeading" localSheetId="6">#REF!</definedName>
    <definedName name="MetalsHeading" localSheetId="26">#REF!</definedName>
    <definedName name="MetalsHeading">#REF!</definedName>
    <definedName name="MetalsPostDetail" localSheetId="27">#REF!</definedName>
    <definedName name="MetalsPostDetail" localSheetId="24">#REF!</definedName>
    <definedName name="MetalsPostDetail" localSheetId="6">#REF!</definedName>
    <definedName name="MetalsPostDetail" localSheetId="26">#REF!</definedName>
    <definedName name="MetalsPostDetail">#REF!</definedName>
    <definedName name="MetalsPostHeading" localSheetId="27">#REF!</definedName>
    <definedName name="MetalsPostHeading" localSheetId="24">#REF!</definedName>
    <definedName name="MetalsPostHeading" localSheetId="6">#REF!</definedName>
    <definedName name="MetalsPostHeading" localSheetId="26">#REF!</definedName>
    <definedName name="MetalsPostHeading">#REF!</definedName>
    <definedName name="MetDetail" localSheetId="27">#REF!</definedName>
    <definedName name="MetDetail" localSheetId="24">#REF!</definedName>
    <definedName name="MetDetail" localSheetId="6">#REF!</definedName>
    <definedName name="MetDetail" localSheetId="26">#REF!</definedName>
    <definedName name="MetDetail">#REF!</definedName>
    <definedName name="MetElimDetail" localSheetId="27">#REF!</definedName>
    <definedName name="MetElimDetail" localSheetId="24">#REF!</definedName>
    <definedName name="MetElimDetail" localSheetId="6">#REF!</definedName>
    <definedName name="MetElimDetail" localSheetId="26">#REF!</definedName>
    <definedName name="MetElimDetail">#REF!</definedName>
    <definedName name="MetElimHeading" localSheetId="27">#REF!</definedName>
    <definedName name="MetElimHeading" localSheetId="24">#REF!</definedName>
    <definedName name="MetElimHeading" localSheetId="6">#REF!</definedName>
    <definedName name="MetElimHeading" localSheetId="26">#REF!</definedName>
    <definedName name="MetElimHeading">#REF!</definedName>
    <definedName name="MetHeading" localSheetId="27">#REF!</definedName>
    <definedName name="MetHeading" localSheetId="24">#REF!</definedName>
    <definedName name="MetHeading" localSheetId="6">#REF!</definedName>
    <definedName name="MetHeading" localSheetId="26">#REF!</definedName>
    <definedName name="MetHeading">#REF!</definedName>
    <definedName name="METROAGUA">#REF!</definedName>
    <definedName name="MetSumDetail" localSheetId="27">#REF!</definedName>
    <definedName name="MetSumDetail" localSheetId="24">#REF!</definedName>
    <definedName name="MetSumDetail" localSheetId="6">#REF!</definedName>
    <definedName name="MetSumDetail" localSheetId="26">#REF!</definedName>
    <definedName name="MetSumDetail">#REF!</definedName>
    <definedName name="MetSumHeading" localSheetId="27">#REF!</definedName>
    <definedName name="MetSumHeading" localSheetId="24">#REF!</definedName>
    <definedName name="MetSumHeading" localSheetId="6">#REF!</definedName>
    <definedName name="MetSumHeading" localSheetId="26">#REF!</definedName>
    <definedName name="MetSumHeading">#REF!</definedName>
    <definedName name="MEZCLA">#REF!</definedName>
    <definedName name="Mezcladora_Apolo_1__bulto">#REF!</definedName>
    <definedName name="MEZCLADORA_DE_CONCRETO">[12]Equipo!$F$10</definedName>
    <definedName name="mf" localSheetId="27">#REF!</definedName>
    <definedName name="mf">#REF!</definedName>
    <definedName name="mhg" localSheetId="27">#REF!</definedName>
    <definedName name="mhg">#REF!</definedName>
    <definedName name="mht" localSheetId="27">#REF!</definedName>
    <definedName name="mht">#REF!</definedName>
    <definedName name="mhy">#REF!</definedName>
    <definedName name="Minutos">#REF!</definedName>
    <definedName name="mju">#REF!</definedName>
    <definedName name="mku">#REF!</definedName>
    <definedName name="mm">#REF!</definedName>
    <definedName name="mmm">#REF!</definedName>
    <definedName name="Mmto">#REF!</definedName>
    <definedName name="MO">[53]MATERIALES!$A$10:$A$12</definedName>
    <definedName name="MODIF">[19]dts!$B$20</definedName>
    <definedName name="MONI" localSheetId="27">#REF!</definedName>
    <definedName name="MONI">#REF!</definedName>
    <definedName name="MONTAJE" localSheetId="27">#REF!</definedName>
    <definedName name="MONTAJE">#REF!</definedName>
    <definedName name="MORTE12" localSheetId="27">#REF!</definedName>
    <definedName name="MORTE12">#REF!</definedName>
    <definedName name="MORTE12IMP">#REF!</definedName>
    <definedName name="MORTE13">#REF!</definedName>
    <definedName name="MORTE13IMP">#REF!</definedName>
    <definedName name="MORTE14">#REF!</definedName>
    <definedName name="MORTE15">#REF!</definedName>
    <definedName name="MORTERO_1_4">#REF!</definedName>
    <definedName name="MORTERO_1_5">#REF!</definedName>
    <definedName name="MORTERO_1_8">#REF!</definedName>
    <definedName name="MORTERO4">#REF!</definedName>
    <definedName name="MORTERO5">#REF!</definedName>
    <definedName name="MOTO">'[51]Actual Data (STX)'!$A$1:$B$8</definedName>
    <definedName name="MOTO3">'[51]Actual Data (STX)'!$A$10:$B$17</definedName>
    <definedName name="Motobomba_0_5_HP" localSheetId="27">#REF!</definedName>
    <definedName name="Motobomba_0_5_HP">#REF!</definedName>
    <definedName name="Motoniveladora_Baukema_SHM_5" localSheetId="27">#REF!</definedName>
    <definedName name="Motoniveladora_Baukema_SHM_5">#REF!</definedName>
    <definedName name="Motoniveladora_Champion_710A" localSheetId="27">#REF!</definedName>
    <definedName name="Motoniveladora_Champion_710A">#REF!</definedName>
    <definedName name="Motor">'[51]Actual Data (MAP)'!$B$1:$C$8</definedName>
    <definedName name="MPMDetail" localSheetId="30">#REF!</definedName>
    <definedName name="MPMDetail" localSheetId="27">#REF!</definedName>
    <definedName name="MPMDetail" localSheetId="24">#REF!</definedName>
    <definedName name="MPMDetail" localSheetId="6">#REF!</definedName>
    <definedName name="MPMDetail" localSheetId="26">#REF!</definedName>
    <definedName name="MPMDetail">#REF!</definedName>
    <definedName name="MPMHeading" localSheetId="30">#REF!</definedName>
    <definedName name="MPMHeading" localSheetId="27">#REF!</definedName>
    <definedName name="MPMHeading" localSheetId="24">#REF!</definedName>
    <definedName name="MPMHeading" localSheetId="6">#REF!</definedName>
    <definedName name="MPMHeading" localSheetId="26">#REF!</definedName>
    <definedName name="MPMHeading">#REF!</definedName>
    <definedName name="mr">#REF!</definedName>
    <definedName name="MUEBLEINFTOT">#REF!</definedName>
    <definedName name="N11.4" localSheetId="30">#REF!</definedName>
    <definedName name="N11.4" localSheetId="27">#REF!</definedName>
    <definedName name="N11.4" localSheetId="24">#REF!</definedName>
    <definedName name="N11.4" localSheetId="6">#REF!</definedName>
    <definedName name="N11.4" localSheetId="26">#REF!</definedName>
    <definedName name="N11.4">#REF!</definedName>
    <definedName name="N115KV" localSheetId="27">#REF!</definedName>
    <definedName name="N115KV" localSheetId="24">#REF!</definedName>
    <definedName name="N115KV" localSheetId="6">#REF!</definedName>
    <definedName name="N115KV" localSheetId="26">#REF!</definedName>
    <definedName name="N115KV">#REF!</definedName>
    <definedName name="N220V" localSheetId="27">#REF!</definedName>
    <definedName name="N220V" localSheetId="24">#REF!</definedName>
    <definedName name="N220V" localSheetId="6">#REF!</definedName>
    <definedName name="N220V" localSheetId="26">#REF!</definedName>
    <definedName name="N220V">#REF!</definedName>
    <definedName name="N34.5" localSheetId="27">#REF!</definedName>
    <definedName name="N34.5" localSheetId="24">#REF!</definedName>
    <definedName name="N34.5" localSheetId="6">#REF!</definedName>
    <definedName name="N34.5" localSheetId="26">#REF!</definedName>
    <definedName name="N34.5">#REF!</definedName>
    <definedName name="Na">#REF!</definedName>
    <definedName name="nb">#REF!</definedName>
    <definedName name="nbv">#REF!</definedName>
    <definedName name="Nc">#REF!</definedName>
    <definedName name="Nd">#REF!</definedName>
    <definedName name="Ne">#REF!</definedName>
    <definedName name="NHG">#REF!</definedName>
    <definedName name="NHHUUGGFSESESR">#REF!</definedName>
    <definedName name="NHWHWHDW">#REF!</definedName>
    <definedName name="Nivel1" localSheetId="27">#REF!</definedName>
    <definedName name="Nivel1" localSheetId="24">#REF!</definedName>
    <definedName name="Nivel1" localSheetId="6">#REF!</definedName>
    <definedName name="Nivel1" localSheetId="26">#REF!</definedName>
    <definedName name="Nivel1">#REF!</definedName>
    <definedName name="Nivel2" localSheetId="27">#REF!</definedName>
    <definedName name="Nivel2" localSheetId="24">#REF!</definedName>
    <definedName name="Nivel2" localSheetId="6">#REF!</definedName>
    <definedName name="Nivel2" localSheetId="26">#REF!</definedName>
    <definedName name="Nivel2">#REF!</definedName>
    <definedName name="Nivel3" localSheetId="27">#REF!</definedName>
    <definedName name="Nivel3" localSheetId="24">#REF!</definedName>
    <definedName name="Nivel3" localSheetId="6">#REF!</definedName>
    <definedName name="Nivel3" localSheetId="26">#REF!</definedName>
    <definedName name="Nivel3">#REF!</definedName>
    <definedName name="Nivel4" localSheetId="27">#REF!</definedName>
    <definedName name="Nivel4" localSheetId="24">#REF!</definedName>
    <definedName name="Nivel4" localSheetId="6">#REF!</definedName>
    <definedName name="Nivel4" localSheetId="26">#REF!</definedName>
    <definedName name="Nivel4">#REF!</definedName>
    <definedName name="NJH">#REF!</definedName>
    <definedName name="NM" localSheetId="27">#REF!</definedName>
    <definedName name="NM" localSheetId="24">#REF!</definedName>
    <definedName name="NM" localSheetId="6">#REF!</definedName>
    <definedName name="NM" localSheetId="26">#REF!</definedName>
    <definedName name="NM">#REF!</definedName>
    <definedName name="NNN" localSheetId="17">[6]!absc</definedName>
    <definedName name="NNN" localSheetId="18">[6]!absc</definedName>
    <definedName name="NNN" localSheetId="21">[6]!absc</definedName>
    <definedName name="NNN" localSheetId="30">[6]!absc</definedName>
    <definedName name="NNN" localSheetId="27">[6]!absc</definedName>
    <definedName name="NNN" localSheetId="23">[6]!absc</definedName>
    <definedName name="NNN" localSheetId="1">[6]!absc</definedName>
    <definedName name="NNN">[6]!absc</definedName>
    <definedName name="NNNN" localSheetId="23">[2]!absc</definedName>
    <definedName name="NNNN" localSheetId="1">[2]!absc</definedName>
    <definedName name="NNNN">[2]!absc</definedName>
    <definedName name="NOMB5">#REF!</definedName>
    <definedName name="NOMBRE" localSheetId="30">#REF!</definedName>
    <definedName name="NOMBRE" localSheetId="27">#REF!</definedName>
    <definedName name="NOMBRE" localSheetId="24">#REF!</definedName>
    <definedName name="NOMBRE" localSheetId="6">#REF!</definedName>
    <definedName name="NOMBRE" localSheetId="26">#REF!</definedName>
    <definedName name="NOMBRE">#REF!</definedName>
    <definedName name="Norte">#REF!</definedName>
    <definedName name="NOTARIA">#REF!</definedName>
    <definedName name="nr">#REF!</definedName>
    <definedName name="NroCODIGO">[54]DATOS!$A$4:$A$53</definedName>
    <definedName name="NSEM">[19]dts!$B$16</definedName>
    <definedName name="nt" localSheetId="27">#REF!</definedName>
    <definedName name="nt">#REF!</definedName>
    <definedName name="Num_Pmt_Per_Year" localSheetId="30">#REF!</definedName>
    <definedName name="Num_Pmt_Per_Year" localSheetId="27">#REF!</definedName>
    <definedName name="Num_Pmt_Per_Year" localSheetId="24">#REF!</definedName>
    <definedName name="Num_Pmt_Per_Year" localSheetId="6">#REF!</definedName>
    <definedName name="Num_Pmt_Per_Year" localSheetId="26">#REF!</definedName>
    <definedName name="Num_Pmt_Per_Year">#REF!</definedName>
    <definedName name="Number_of_Payments" localSheetId="14">MATCH(0.01,End_Bal,-1)+1</definedName>
    <definedName name="Number_of_Payments" localSheetId="16">MATCH(0.01,End_Bal,-1)+1</definedName>
    <definedName name="Number_of_Payments" localSheetId="30">MATCH(0.01,[0]!End_Bal,-1)+1</definedName>
    <definedName name="Number_of_Payments" localSheetId="27">MATCH(0.01,'CARACTERIZACION '!End_Bal,-1)+1</definedName>
    <definedName name="Number_of_Payments" localSheetId="12">MATCH(0.01,End_Bal,-1)+1</definedName>
    <definedName name="Number_of_Payments" localSheetId="24">MATCH(0.01,FM!End_Bal,-1)+1</definedName>
    <definedName name="Number_of_Payments" localSheetId="6">MATCH(0.01,INTERVENTORIA!End_Bal,-1)+1</definedName>
    <definedName name="Number_of_Payments" localSheetId="26">MATCH(0.01,PMT!End_Bal,-1)+1</definedName>
    <definedName name="Number_of_Payments">MATCH(0.01,End_Bal,-1)+1</definedName>
    <definedName name="ñl">#REF!</definedName>
    <definedName name="ÑÑ">#REF!</definedName>
    <definedName name="ÑÑÑOOOOOOOO">#REF!</definedName>
    <definedName name="ñok">#REF!</definedName>
    <definedName name="ñp">#REF!</definedName>
    <definedName name="ñpo">#REF!</definedName>
    <definedName name="o">'[72]APU Expo Terrestre'!$J$10</definedName>
    <definedName name="OBJETO">[19]dts!$B$2</definedName>
    <definedName name="ok">#N/A</definedName>
    <definedName name="OMAR">#REF!</definedName>
    <definedName name="OO">[63]SALARIOS!#REF!</definedName>
    <definedName name="ooo" localSheetId="30">#REF!</definedName>
    <definedName name="ooo" localSheetId="27">#REF!</definedName>
    <definedName name="ooo" localSheetId="24">#REF!</definedName>
    <definedName name="ooo" localSheetId="6">#REF!</definedName>
    <definedName name="ooo" localSheetId="26">#REF!</definedName>
    <definedName name="ooo">#REF!</definedName>
    <definedName name="oooiiiiiiiiiiiiiyyyyyyyyyyyyyy">#REF!</definedName>
    <definedName name="OOOOALLALLAIIIIA">#REF!</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uuuygfrdefrg658">#REF!</definedName>
    <definedName name="os">#REF!</definedName>
    <definedName name="OtrosServicios">#REF!</definedName>
    <definedName name="OtrosServiciosCostos">#REF!</definedName>
    <definedName name="p">[63]SALARIOS!#REF!</definedName>
    <definedName name="P_1">#N/A</definedName>
    <definedName name="P_2">'[1]CUAD-DIURNA'!#REF!</definedName>
    <definedName name="Pa">#REF!</definedName>
    <definedName name="PAG">#N/A</definedName>
    <definedName name="Page">#REF!</definedName>
    <definedName name="PagoFinanciero">#REF!</definedName>
    <definedName name="PAÑETE">#REF!</definedName>
    <definedName name="PARAMETROS">#REF!</definedName>
    <definedName name="PASO" localSheetId="14" hidden="1">{#N/A,#N/A,TRUE,"INGENIERIA";#N/A,#N/A,TRUE,"COMPRAS";#N/A,#N/A,TRUE,"DIRECCION";#N/A,#N/A,TRUE,"RESUMEN"}</definedName>
    <definedName name="PASO" localSheetId="16" hidden="1">{#N/A,#N/A,TRUE,"INGENIERIA";#N/A,#N/A,TRUE,"COMPRAS";#N/A,#N/A,TRUE,"DIRECCION";#N/A,#N/A,TRUE,"RESUMEN"}</definedName>
    <definedName name="PASO" localSheetId="30" hidden="1">{#N/A,#N/A,TRUE,"INGENIERIA";#N/A,#N/A,TRUE,"COMPRAS";#N/A,#N/A,TRUE,"DIRECCION";#N/A,#N/A,TRUE,"RESUMEN"}</definedName>
    <definedName name="PASO" localSheetId="27" hidden="1">{#N/A,#N/A,TRUE,"INGENIERIA";#N/A,#N/A,TRUE,"COMPRAS";#N/A,#N/A,TRUE,"DIRECCION";#N/A,#N/A,TRUE,"RESUMEN"}</definedName>
    <definedName name="PASO" localSheetId="12" hidden="1">{#N/A,#N/A,TRUE,"INGENIERIA";#N/A,#N/A,TRUE,"COMPRAS";#N/A,#N/A,TRUE,"DIRECCION";#N/A,#N/A,TRUE,"RESUMEN"}</definedName>
    <definedName name="PASO" localSheetId="24" hidden="1">{#N/A,#N/A,TRUE,"INGENIERIA";#N/A,#N/A,TRUE,"COMPRAS";#N/A,#N/A,TRUE,"DIRECCION";#N/A,#N/A,TRUE,"RESUMEN"}</definedName>
    <definedName name="PASO" localSheetId="6" hidden="1">{#N/A,#N/A,TRUE,"INGENIERIA";#N/A,#N/A,TRUE,"COMPRAS";#N/A,#N/A,TRUE,"DIRECCION";#N/A,#N/A,TRUE,"RESUMEN"}</definedName>
    <definedName name="PASO" localSheetId="26" hidden="1">{#N/A,#N/A,TRUE,"INGENIERIA";#N/A,#N/A,TRUE,"COMPRAS";#N/A,#N/A,TRUE,"DIRECCION";#N/A,#N/A,TRUE,"RESUMEN"}</definedName>
    <definedName name="PASO" hidden="1">{#N/A,#N/A,TRUE,"INGENIERIA";#N/A,#N/A,TRUE,"COMPRAS";#N/A,#N/A,TRUE,"DIRECCION";#N/A,#N/A,TRUE,"RESUMEN"}</definedName>
    <definedName name="PASS" localSheetId="14" hidden="1">{#N/A,#N/A,TRUE,"INGENIERIA";#N/A,#N/A,TRUE,"COMPRAS";#N/A,#N/A,TRUE,"DIRECCION";#N/A,#N/A,TRUE,"RESUMEN"}</definedName>
    <definedName name="PASS" localSheetId="16" hidden="1">{#N/A,#N/A,TRUE,"INGENIERIA";#N/A,#N/A,TRUE,"COMPRAS";#N/A,#N/A,TRUE,"DIRECCION";#N/A,#N/A,TRUE,"RESUMEN"}</definedName>
    <definedName name="PASS" localSheetId="30" hidden="1">{#N/A,#N/A,TRUE,"INGENIERIA";#N/A,#N/A,TRUE,"COMPRAS";#N/A,#N/A,TRUE,"DIRECCION";#N/A,#N/A,TRUE,"RESUMEN"}</definedName>
    <definedName name="PASS" localSheetId="27" hidden="1">{#N/A,#N/A,TRUE,"INGENIERIA";#N/A,#N/A,TRUE,"COMPRAS";#N/A,#N/A,TRUE,"DIRECCION";#N/A,#N/A,TRUE,"RESUMEN"}</definedName>
    <definedName name="PASS" localSheetId="12" hidden="1">{#N/A,#N/A,TRUE,"INGENIERIA";#N/A,#N/A,TRUE,"COMPRAS";#N/A,#N/A,TRUE,"DIRECCION";#N/A,#N/A,TRUE,"RESUMEN"}</definedName>
    <definedName name="PASS" localSheetId="24" hidden="1">{#N/A,#N/A,TRUE,"INGENIERIA";#N/A,#N/A,TRUE,"COMPRAS";#N/A,#N/A,TRUE,"DIRECCION";#N/A,#N/A,TRUE,"RESUMEN"}</definedName>
    <definedName name="PASS" localSheetId="6" hidden="1">{#N/A,#N/A,TRUE,"INGENIERIA";#N/A,#N/A,TRUE,"COMPRAS";#N/A,#N/A,TRUE,"DIRECCION";#N/A,#N/A,TRUE,"RESUMEN"}</definedName>
    <definedName name="PASS" localSheetId="26" hidden="1">{#N/A,#N/A,TRUE,"INGENIERIA";#N/A,#N/A,TRUE,"COMPRAS";#N/A,#N/A,TRUE,"DIRECCION";#N/A,#N/A,TRUE,"RESUMEN"}</definedName>
    <definedName name="PASS" hidden="1">{#N/A,#N/A,TRUE,"INGENIERIA";#N/A,#N/A,TRUE,"COMPRAS";#N/A,#N/A,TRUE,"DIRECCION";#N/A,#N/A,TRUE,"RESUMEN"}</definedName>
    <definedName name="PAVIMENTO">#REF!</definedName>
    <definedName name="Pay_Num" localSheetId="30">#REF!</definedName>
    <definedName name="Pay_Num" localSheetId="27">#REF!</definedName>
    <definedName name="Pay_Num" localSheetId="24">#REF!</definedName>
    <definedName name="Pay_Num" localSheetId="6">#REF!</definedName>
    <definedName name="Pay_Num" localSheetId="26">#REF!</definedName>
    <definedName name="Pay_Num">#REF!</definedName>
    <definedName name="Payment_Date" localSheetId="14">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21">DATE(YEAR([0]!Loan_Start),MONTH([0]!Loan_Start)+Payment_Number,DAY([0]!Loan_Start))</definedName>
    <definedName name="Payment_Date" localSheetId="30">DATE(YEAR('Apu Basicos'!Loan_Start),MONTH('Apu Basicos'!Loan_Start)+Payment_Number,DAY('Apu Basicos'!Loan_Start))</definedName>
    <definedName name="Payment_Date" localSheetId="27">DATE(YEAR('CARACTERIZACION '!Loan_Start),MONTH('CARACTERIZACION '!Loan_Start)+Payment_Number,DAY('CARACTERIZACION '!Loan_Start))</definedName>
    <definedName name="Payment_Date" localSheetId="12">DATE(YEAR([0]!Loan_Start),MONTH([0]!Loan_Start)+Payment_Number,DAY([0]!Loan_Start))</definedName>
    <definedName name="Payment_Date" localSheetId="24">DATE(YEAR(FM!Loan_Start),MONTH(FM!Loan_Start)+Payment_Number,DAY(FM!Loan_Start))</definedName>
    <definedName name="Payment_Date" localSheetId="23">DATE(YEAR([0]!Loan_Start),MONTH([0]!Loan_Start)+Payment_Number,DAY([0]!Loan_Start))</definedName>
    <definedName name="Payment_Date" localSheetId="6">DATE(YEAR(INTERVENTORIA!Loan_Start),MONTH(INTERVENTORIA!Loan_Start)+Payment_Number,DAY(INTERVENTORIA!Loan_Start))</definedName>
    <definedName name="Payment_Date" localSheetId="26">DATE(YEAR(PMT!Loan_Start),MONTH(PMT!Loan_Start)+Payment_Number,DAY(PMT!Loan_Start))</definedName>
    <definedName name="Payment_Date" localSheetId="1">DATE(YEAR([0]!Loan_Start),MONTH([0]!Loan_Start)+Payment_Number,DAY([0]!Loan_Start))</definedName>
    <definedName name="Payment_Date">DATE(YEAR([0]!Loan_Start),MONTH([0]!Loan_Start)+Payment_Number,DAY([0]!Loan_Start))</definedName>
    <definedName name="Payment_Needed">"Pago necesario"</definedName>
    <definedName name="Pb">#REF!</definedName>
    <definedName name="Pc">#REF!</definedName>
    <definedName name="Pd">#REF!</definedName>
    <definedName name="Pe">#REF!</definedName>
    <definedName name="PEGANTE">#REF!</definedName>
    <definedName name="Pegante_PVC">'[16]L. MAT.'!#REF!</definedName>
    <definedName name="PERA" localSheetId="27">#REF!</definedName>
    <definedName name="PERA">#REF!</definedName>
    <definedName name="PERALTA" localSheetId="27">#REF!</definedName>
    <definedName name="PERALTA">#REF!</definedName>
    <definedName name="PERFIL_DEL_TRAMO" localSheetId="27">#REF!</definedName>
    <definedName name="PERFIL_DEL_TRAMO">#REF!</definedName>
    <definedName name="PERGOLA">#REF!</definedName>
    <definedName name="PERT">'[26]MANO DE OBRA'!$G$8:$G$20</definedName>
    <definedName name="PetSumDetail" localSheetId="30">#REF!</definedName>
    <definedName name="PetSumDetail" localSheetId="27">#REF!</definedName>
    <definedName name="PetSumDetail" localSheetId="24">#REF!</definedName>
    <definedName name="PetSumDetail" localSheetId="6">#REF!</definedName>
    <definedName name="PetSumDetail" localSheetId="26">#REF!</definedName>
    <definedName name="PetSumDetail">#REF!</definedName>
    <definedName name="PetSumHeading" localSheetId="30">#REF!</definedName>
    <definedName name="PetSumHeading" localSheetId="27">#REF!</definedName>
    <definedName name="PetSumHeading" localSheetId="24">#REF!</definedName>
    <definedName name="PetSumHeading" localSheetId="6">#REF!</definedName>
    <definedName name="PetSumHeading" localSheetId="26">#REF!</definedName>
    <definedName name="PetSumHeading">#REF!</definedName>
    <definedName name="PetTotalDetail" localSheetId="30">#REF!</definedName>
    <definedName name="PetTotalDetail" localSheetId="27">#REF!</definedName>
    <definedName name="PetTotalDetail" localSheetId="24">#REF!</definedName>
    <definedName name="PetTotalDetail" localSheetId="6">#REF!</definedName>
    <definedName name="PetTotalDetail" localSheetId="26">#REF!</definedName>
    <definedName name="PetTotalDetail">#REF!</definedName>
    <definedName name="PetTotalHeading" localSheetId="27">#REF!</definedName>
    <definedName name="PetTotalHeading" localSheetId="24">#REF!</definedName>
    <definedName name="PetTotalHeading" localSheetId="6">#REF!</definedName>
    <definedName name="PetTotalHeading" localSheetId="26">#REF!</definedName>
    <definedName name="PetTotalHeading">#REF!</definedName>
    <definedName name="Pintura_base_aceite">#REF!</definedName>
    <definedName name="PISOTABLON">#REF!</definedName>
    <definedName name="PLACAENTREPISO">#REF!</definedName>
    <definedName name="PLACAMESON">#REF!</definedName>
    <definedName name="Placas_.9x.9_Azul_labrador">'[16]L. MAT.'!#REF!</definedName>
    <definedName name="Plafon" localSheetId="27">#REF!</definedName>
    <definedName name="Plafon">#REF!</definedName>
    <definedName name="PLAN">'[26]ITEMS RESUMIDOS'!$A$2:$D$34</definedName>
    <definedName name="PLANEACION">[26]MAQUINARIA!$A$2:$A$18</definedName>
    <definedName name="Plastocreto_DM__concreto" localSheetId="27">#REF!</definedName>
    <definedName name="Plastocreto_DM__concreto">#REF!</definedName>
    <definedName name="Pluma_de_250_Kg." localSheetId="27">#REF!</definedName>
    <definedName name="Pluma_de_250_Kg.">#REF!</definedName>
    <definedName name="pñ" localSheetId="27">#REF!</definedName>
    <definedName name="pñ">#REF!</definedName>
    <definedName name="po">#REF!</definedName>
    <definedName name="poblado">#REF!</definedName>
    <definedName name="POBRE">#REF!</definedName>
    <definedName name="Poceta_acero_inox.">#REF!</definedName>
    <definedName name="poi">#REF!</definedName>
    <definedName name="POO">#REF!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YOS">#REF!</definedName>
    <definedName name="pp">#REF!</definedName>
    <definedName name="PPAPAPPALALALAKKSJDJ">#REF!</definedName>
    <definedName name="PPPP">[73]PU!#REF!</definedName>
    <definedName name="PR" localSheetId="14">IF([0]!Loan_Amount*[0]!Interest_Rate*[0]!Loan_Years*[0]!Loan_Start&gt;0,1,0)</definedName>
    <definedName name="PR" localSheetId="16">IF([0]!Loan_Amount*[0]!Interest_Rate*[0]!Loan_Years*[0]!Loan_Start&gt;0,1,0)</definedName>
    <definedName name="PR" localSheetId="30">IF('Apu Basicos'!Loan_Amount*[0]!Interest_Rate*'Apu Basicos'!Loan_Years*'Apu Basicos'!Loan_Start&gt;0,1,0)</definedName>
    <definedName name="PR" localSheetId="27">IF('CARACTERIZACION '!Loan_Amount*'CARACTERIZACION '!Interest_Rate*'CARACTERIZACION '!Loan_Years*'CARACTERIZACION '!Loan_Start&gt;0,1,0)</definedName>
    <definedName name="PR" localSheetId="12">IF([0]!Loan_Amount*[0]!Interest_Rate*[0]!Loan_Years*[0]!Loan_Start&gt;0,1,0)</definedName>
    <definedName name="PR" localSheetId="24">IF(FM!Loan_Amount*FM!Interest_Rate*FM!Loan_Years*FM!Loan_Start&gt;0,1,0)</definedName>
    <definedName name="PR" localSheetId="6">IF(INTERVENTORIA!Loan_Amount*INTERVENTORIA!Interest_Rate*INTERVENTORIA!Loan_Years*INTERVENTORIA!Loan_Start&gt;0,1,0)</definedName>
    <definedName name="PR" localSheetId="26">IF(PMT!Loan_Amount*PMT!Interest_Rate*PMT!Loan_Years*PMT!Loan_Start&gt;0,1,0)</definedName>
    <definedName name="PR">IF([0]!Loan_Amount*[0]!Interest_Rate*[0]!Loan_Years*[0]!Loan_Start&gt;0,1,0)</definedName>
    <definedName name="PRE" localSheetId="30">#REF!</definedName>
    <definedName name="PRE" localSheetId="27">#REF!</definedName>
    <definedName name="PRE" localSheetId="24">#REF!</definedName>
    <definedName name="PRE" localSheetId="6">#REF!</definedName>
    <definedName name="PRE" localSheetId="26">#REF!</definedName>
    <definedName name="PRE">#REF!</definedName>
    <definedName name="PRECIO">[74]PRECIOS!$A$5:$M$191</definedName>
    <definedName name="PRECIOS" localSheetId="27">#REF!</definedName>
    <definedName name="PRECIOS">#REF!</definedName>
    <definedName name="PreciosMP">'[75]PRECIOS ACTUALIZADOS FERRASA'!$A$2:$D$1316</definedName>
    <definedName name="Prefabricado_de_concreto._Culata" localSheetId="27">#REF!</definedName>
    <definedName name="Prefabricado_de_concreto._Culata">#REF!</definedName>
    <definedName name="PRELIMINARES" localSheetId="27">#REF!</definedName>
    <definedName name="PRELIMINARES">#REF!</definedName>
    <definedName name="PRESTACIONES_SOCIALES">'[12]Datos iniciales '!$C$32</definedName>
    <definedName name="Princ" localSheetId="30">#REF!</definedName>
    <definedName name="Princ" localSheetId="27">#REF!</definedName>
    <definedName name="Princ" localSheetId="24">#REF!</definedName>
    <definedName name="Princ" localSheetId="6">#REF!</definedName>
    <definedName name="Princ" localSheetId="26">#REF!</definedName>
    <definedName name="Princ">#REF!</definedName>
    <definedName name="Print_Area_MI" localSheetId="30">#REF!</definedName>
    <definedName name="Print_Area_MI" localSheetId="27">#REF!</definedName>
    <definedName name="Print_Area_MI" localSheetId="24">#REF!</definedName>
    <definedName name="Print_Area_MI" localSheetId="6">#REF!</definedName>
    <definedName name="Print_Area_MI" localSheetId="26">#REF!</definedName>
    <definedName name="Print_Area_MI">#REF!</definedName>
    <definedName name="Print_Area_Reset" localSheetId="14">OFFSET([0]!Full_Print,0,0,'1,1'!Last_Row)</definedName>
    <definedName name="Print_Area_Reset" localSheetId="16">OFFSET([0]!Full_Print,0,0,'1,3'!Last_Row)</definedName>
    <definedName name="Print_Area_Reset" localSheetId="30">OFFSET('Apu Basicos'!Full_Print,0,0,'Apu Basicos'!Last_Row)</definedName>
    <definedName name="Print_Area_Reset" localSheetId="27">OFFSET('CARACTERIZACION '!Full_Print,0,0,'CARACTERIZACION '!Last_Row)</definedName>
    <definedName name="Print_Area_Reset" localSheetId="12">OFFSET([0]!Full_Print,0,0,ENSAYOS!Last_Row)</definedName>
    <definedName name="Print_Area_Reset" localSheetId="24">OFFSET(FM!Full_Print,0,0,FM!Last_Row)</definedName>
    <definedName name="Print_Area_Reset" localSheetId="6">OFFSET(INTERVENTORIA!Full_Print,0,0,INTERVENTORIA!Last_Row)</definedName>
    <definedName name="Print_Area_Reset" localSheetId="26">OFFSET(PMT!Full_Print,0,0,PMT!Last_Row)</definedName>
    <definedName name="Print_Area_Reset">OFFSET([0]!Full_Print,0,0,[0]!Last_Row)</definedName>
    <definedName name="PRINT_TITLES_MI">#N/A</definedName>
    <definedName name="PROGRAMA">'[26]ITEMS RESUMIDOS'!$A$2:$A$34</definedName>
    <definedName name="PROYECCION" localSheetId="27">#REF!</definedName>
    <definedName name="PROYECCION">#REF!</definedName>
    <definedName name="PROYECTO__OBRAS_VARIAS_EN_LA_ESCUELA_CONTRAINCENDIO" localSheetId="27">#REF!</definedName>
    <definedName name="PROYECTO__OBRAS_VARIAS_EN_LA_ESCUELA_CONTRAINCENDIO">#REF!</definedName>
    <definedName name="prueba" localSheetId="30">#REF!</definedName>
    <definedName name="prueba" localSheetId="27">[76]CODCONST!#REF!</definedName>
    <definedName name="prueba" localSheetId="24">#REF!</definedName>
    <definedName name="prueba" localSheetId="6">#REF!</definedName>
    <definedName name="prueba" localSheetId="26">#REF!</definedName>
    <definedName name="prueba">#REF!</definedName>
    <definedName name="PRUEBA2" localSheetId="30">#REF!</definedName>
    <definedName name="PRUEBA2" localSheetId="27">#REF!</definedName>
    <definedName name="PRUEBA2" localSheetId="24">#REF!</definedName>
    <definedName name="PRUEBA2" localSheetId="6">#REF!</definedName>
    <definedName name="PRUEBA2" localSheetId="26">#REF!</definedName>
    <definedName name="PRUEBA2">#REF!</definedName>
    <definedName name="PRUEBAS">#REF!</definedName>
    <definedName name="PTTTT" localSheetId="14" hidden="1">{#N/A,#N/A,TRUE,"INGENIERIA";#N/A,#N/A,TRUE,"COMPRAS";#N/A,#N/A,TRUE,"DIRECCION";#N/A,#N/A,TRUE,"RESUMEN"}</definedName>
    <definedName name="PTTTT" localSheetId="16" hidden="1">{#N/A,#N/A,TRUE,"INGENIERIA";#N/A,#N/A,TRUE,"COMPRAS";#N/A,#N/A,TRUE,"DIRECCION";#N/A,#N/A,TRUE,"RESUMEN"}</definedName>
    <definedName name="PTTTT" localSheetId="30" hidden="1">{#N/A,#N/A,TRUE,"INGENIERIA";#N/A,#N/A,TRUE,"COMPRAS";#N/A,#N/A,TRUE,"DIRECCION";#N/A,#N/A,TRUE,"RESUMEN"}</definedName>
    <definedName name="PTTTT" localSheetId="27" hidden="1">{#N/A,#N/A,TRUE,"INGENIERIA";#N/A,#N/A,TRUE,"COMPRAS";#N/A,#N/A,TRUE,"DIRECCION";#N/A,#N/A,TRUE,"RESUMEN"}</definedName>
    <definedName name="PTTTT" localSheetId="12" hidden="1">{#N/A,#N/A,TRUE,"INGENIERIA";#N/A,#N/A,TRUE,"COMPRAS";#N/A,#N/A,TRUE,"DIRECCION";#N/A,#N/A,TRUE,"RESUMEN"}</definedName>
    <definedName name="PTTTT" localSheetId="24" hidden="1">{#N/A,#N/A,TRUE,"INGENIERIA";#N/A,#N/A,TRUE,"COMPRAS";#N/A,#N/A,TRUE,"DIRECCION";#N/A,#N/A,TRUE,"RESUMEN"}</definedName>
    <definedName name="PTTTT" localSheetId="6" hidden="1">{#N/A,#N/A,TRUE,"INGENIERIA";#N/A,#N/A,TRUE,"COMPRAS";#N/A,#N/A,TRUE,"DIRECCION";#N/A,#N/A,TRUE,"RESUMEN"}</definedName>
    <definedName name="PTTTT" localSheetId="26" hidden="1">{#N/A,#N/A,TRUE,"INGENIERIA";#N/A,#N/A,TRUE,"COMPRAS";#N/A,#N/A,TRUE,"DIRECCION";#N/A,#N/A,TRUE,"RESUMEN"}</definedName>
    <definedName name="PTTTT" hidden="1">{#N/A,#N/A,TRUE,"INGENIERIA";#N/A,#N/A,TRUE,"COMPRAS";#N/A,#N/A,TRUE,"DIRECCION";#N/A,#N/A,TRUE,"RESUMEN"}</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UMTOT">#REF!</definedName>
    <definedName name="PUERTAMADETOT">#REF!</definedName>
    <definedName name="PUERTMADECERRAT">#REF!</definedName>
    <definedName name="Pulidora">'[16]L. MAT.'!#REF!</definedName>
    <definedName name="PullCords">'[51]Actual Data (MAP)'!$B$31:$C$131</definedName>
    <definedName name="Pulsador_para_timbre_P_C" localSheetId="27">#REF!</definedName>
    <definedName name="Pulsador_para_timbre_P_C">#REF!</definedName>
    <definedName name="PUNTILLA" localSheetId="27">#REF!</definedName>
    <definedName name="PUNTILLA">#REF!</definedName>
    <definedName name="Punto" localSheetId="27">#REF!</definedName>
    <definedName name="Punto">#REF!</definedName>
    <definedName name="PUNTOHIDRA">#REF!</definedName>
    <definedName name="PUNTOSANIT">#REF!</definedName>
    <definedName name="PuntosRentabilidad">#REF!</definedName>
    <definedName name="Q" localSheetId="30">#REF!</definedName>
    <definedName name="Q" localSheetId="27">#REF!</definedName>
    <definedName name="Q" localSheetId="24">#REF!</definedName>
    <definedName name="Q" localSheetId="6">#REF!</definedName>
    <definedName name="Q" localSheetId="26">#REF!</definedName>
    <definedName name="Q">#REF!</definedName>
    <definedName name="qaqaw">[77]glvc!#REF!</definedName>
    <definedName name="QQ" localSheetId="27">#REF!</definedName>
    <definedName name="QQ">#REF!</definedName>
    <definedName name="qqq" localSheetId="27">#REF!</definedName>
    <definedName name="qqq">#REF!</definedName>
    <definedName name="QQQQQQQQQQQQQQ" localSheetId="27">#REF!</definedName>
    <definedName name="QQQQQQQQQQQQQQ">#REF!</definedName>
    <definedName name="qw">#REF!</definedName>
    <definedName name="QWE" localSheetId="30" hidden="1">'[3]ETAPA 50 SMMLV'!#REF!</definedName>
    <definedName name="QWE" localSheetId="27" hidden="1">'[3]ETAPA 50 SMMLV'!#REF!</definedName>
    <definedName name="QWE" localSheetId="24" hidden="1">'[3]ETAPA 50 SMMLV'!#REF!</definedName>
    <definedName name="QWE" localSheetId="6" hidden="1">'[3]ETAPA 50 SMMLV'!#REF!</definedName>
    <definedName name="QWE" localSheetId="26" hidden="1">'[3]ETAPA 50 SMMLV'!#REF!</definedName>
    <definedName name="QWE" hidden="1">'[3]ETAPA 50 SMMLV'!#REF!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ón">#REF!</definedName>
    <definedName name="rango">#REF!</definedName>
    <definedName name="Rb">#REF!</definedName>
    <definedName name="Rd">#REF!</definedName>
    <definedName name="rds">#REF!</definedName>
    <definedName name="Re">#REF!</definedName>
    <definedName name="REDOBLON">#REF!</definedName>
    <definedName name="Reducer">'[51]Actual Data (MAP)'!$B$11:$C$18</definedName>
    <definedName name="REG">'[67]Estado Resumen'!XFC1&gt;2.5</definedName>
    <definedName name="REGBT">#N/A</definedName>
    <definedName name="regional">[28]CARRETERAS!$A$2</definedName>
    <definedName name="regiones" localSheetId="27">#REF!</definedName>
    <definedName name="regiones">#REF!</definedName>
    <definedName name="REGISTRO" localSheetId="27">#REF!</definedName>
    <definedName name="REGISTRO">#REF!</definedName>
    <definedName name="REGULAR">'[68]ESTADO VÍA-CRIT.TECNICO'!XFC1&gt;2.5</definedName>
    <definedName name="Reimbursement">"Reembolso"</definedName>
    <definedName name="Rejilla_Piso_2">#REF!</definedName>
    <definedName name="Rejilla_Piso_3">#REF!</definedName>
    <definedName name="REJISOS2TOT">#REF!</definedName>
    <definedName name="rell" localSheetId="30">#REF!</definedName>
    <definedName name="rell" localSheetId="27">#REF!</definedName>
    <definedName name="rell" localSheetId="24">#REF!</definedName>
    <definedName name="rell" localSheetId="6">#REF!</definedName>
    <definedName name="rell" localSheetId="26">#REF!</definedName>
    <definedName name="rell">#REF!</definedName>
    <definedName name="RELLENO">#REF!</definedName>
    <definedName name="RELLENOALUV">#REF!</definedName>
    <definedName name="RELLG" localSheetId="30">#REF!</definedName>
    <definedName name="RELLG" localSheetId="27">#REF!</definedName>
    <definedName name="RELLG" localSheetId="24">#REF!</definedName>
    <definedName name="RELLG" localSheetId="6">#REF!</definedName>
    <definedName name="RELLG" localSheetId="26">#REF!</definedName>
    <definedName name="RELLG">#REF!</definedName>
    <definedName name="REMATE">#REF!</definedName>
    <definedName name="RES">#REF!</definedName>
    <definedName name="residente">'[28]GENERALIDADES '!$E$9</definedName>
    <definedName name="RESP">[19]dts!$B$6</definedName>
    <definedName name="RESUM">'[17]1'!#REF!</definedName>
    <definedName name="resum2">'[8]PU (2)'!#REF!</definedName>
    <definedName name="RESUMEN">#N/A</definedName>
    <definedName name="RET">#REF!</definedName>
    <definedName name="RETIROTOT">#REF!</definedName>
    <definedName name="retr">#REF!</definedName>
    <definedName name="Retro_Komatzu_PC200_5_y__6">#REF!</definedName>
    <definedName name="Retro_Masey_Ferguson_HD_86">#REF!</definedName>
    <definedName name="Return">'[51]Actual Data (MAP)'!$L$31:$M$131</definedName>
    <definedName name="ReturnSTX">'[51]Actual Data (STX)'!$I$19:$J$119</definedName>
    <definedName name="Rf" localSheetId="27">#REF!</definedName>
    <definedName name="Rf">#REF!</definedName>
    <definedName name="rfref" localSheetId="30">#REF!</definedName>
    <definedName name="rfref" localSheetId="27">#REF!</definedName>
    <definedName name="rfref" localSheetId="24">#REF!</definedName>
    <definedName name="rfref" localSheetId="6">#REF!</definedName>
    <definedName name="rfref" localSheetId="26">#REF!</definedName>
    <definedName name="rfref">#REF!</definedName>
    <definedName name="Rg">#REF!</definedName>
    <definedName name="Rh">#REF!</definedName>
    <definedName name="Ri">#REF!</definedName>
    <definedName name="RIEL">#REF!</definedName>
    <definedName name="Rieles_para_pavimento_0_15x0_20">#REF!</definedName>
    <definedName name="Rk">#REF!</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m">#REF!</definedName>
    <definedName name="Rn">#REF!</definedName>
    <definedName name="rñ">#REF!</definedName>
    <definedName name="Ro">#REF!</definedName>
    <definedName name="Rp">#REF!</definedName>
    <definedName name="Rq">#REF!</definedName>
    <definedName name="rr">#REF!</definedName>
    <definedName name="Rs">#REF!</definedName>
    <definedName name="rt">#REF!</definedName>
    <definedName name="rte">#REF!</definedName>
    <definedName name="rty">#REF!</definedName>
    <definedName name="RUTA">'[26]MANO DE OBRA'!$G$8:$M$20</definedName>
    <definedName name="Rv" localSheetId="27">#REF!</definedName>
    <definedName name="Rv">#REF!</definedName>
    <definedName name="RVS">[19]dts!$B$23</definedName>
    <definedName name="RW">[78]items!$C$4:$J$248</definedName>
    <definedName name="Rx" localSheetId="27">#REF!</definedName>
    <definedName name="Rx">#REF!</definedName>
    <definedName name="ry" localSheetId="27">#REF!</definedName>
    <definedName name="ry">#REF!</definedName>
    <definedName name="Rz" localSheetId="27">#REF!</definedName>
    <definedName name="Rz">#REF!</definedName>
    <definedName name="S" localSheetId="30">#REF!</definedName>
    <definedName name="S" localSheetId="27">#REF!</definedName>
    <definedName name="S" localSheetId="24">#REF!</definedName>
    <definedName name="S" localSheetId="6">#REF!</definedName>
    <definedName name="S" localSheetId="26">#REF!</definedName>
    <definedName name="S">#REF!</definedName>
    <definedName name="Sa">#REF!</definedName>
    <definedName name="Salarios">[63]SALARIOS!#REF!</definedName>
    <definedName name="Saldo_Capital" localSheetId="27">#REF!</definedName>
    <definedName name="Saldo_Capital">#REF!</definedName>
    <definedName name="SANIB" localSheetId="27">#REF!</definedName>
    <definedName name="SANIB">#REF!</definedName>
    <definedName name="SANIBLA" localSheetId="27">#REF!</definedName>
    <definedName name="SANIBLA">#REF!</definedName>
    <definedName name="Sanitario">#REF!</definedName>
    <definedName name="SANITNOVATOT">#REF!</definedName>
    <definedName name="Sb">#REF!</definedName>
    <definedName name="sbe">#REF!</definedName>
    <definedName name="sc">#REF!</definedName>
    <definedName name="Sched_Pay" localSheetId="30">#REF!</definedName>
    <definedName name="Sched_Pay" localSheetId="27">#REF!</definedName>
    <definedName name="Sched_Pay" localSheetId="24">#REF!</definedName>
    <definedName name="Sched_Pay" localSheetId="6">#REF!</definedName>
    <definedName name="Sched_Pay" localSheetId="26">#REF!</definedName>
    <definedName name="Sched_Pay">#REF!</definedName>
    <definedName name="Scheduled_Extra_Payments" localSheetId="30">#REF!</definedName>
    <definedName name="Scheduled_Extra_Payments" localSheetId="27">#REF!</definedName>
    <definedName name="Scheduled_Extra_Payments" localSheetId="24">#REF!</definedName>
    <definedName name="Scheduled_Extra_Payments" localSheetId="6">#REF!</definedName>
    <definedName name="Scheduled_Extra_Payments" localSheetId="26">#REF!</definedName>
    <definedName name="Scheduled_Extra_Payments">#REF!</definedName>
    <definedName name="Scheduled_Monthly_Payment" localSheetId="27">#REF!</definedName>
    <definedName name="Scheduled_Monthly_Payment" localSheetId="24">#REF!</definedName>
    <definedName name="Scheduled_Monthly_Payment" localSheetId="6">#REF!</definedName>
    <definedName name="Scheduled_Monthly_Payment" localSheetId="26">#REF!</definedName>
    <definedName name="Scheduled_Monthly_Payment">#REF!</definedName>
    <definedName name="sd">#REF!</definedName>
    <definedName name="SDE">#REF!</definedName>
    <definedName name="sdf" localSheetId="27">#REF!</definedName>
    <definedName name="sdf" localSheetId="24">#REF!</definedName>
    <definedName name="sdf" localSheetId="6">#REF!</definedName>
    <definedName name="sdf" localSheetId="26">#REF!</definedName>
    <definedName name="sdf">#REF!</definedName>
    <definedName name="sdfdxf">#REF!</definedName>
    <definedName name="Se">#REF!</definedName>
    <definedName name="Segundos">#REF!</definedName>
    <definedName name="Seguro">#REF!</definedName>
    <definedName name="SeguroCostos">#REF!</definedName>
    <definedName name="selalternativas">#REF!</definedName>
    <definedName name="Selector_voltimetro_7_posiciones">#REF!</definedName>
    <definedName name="Sellador_piso_granito">#REF!</definedName>
    <definedName name="SEMANA">[19]dts!$B$8</definedName>
    <definedName name="sencount" hidden="1">1</definedName>
    <definedName name="servicioingreso">#REF!</definedName>
    <definedName name="ServicioSurentingExpress">#REF!</definedName>
    <definedName name="servicioutilidad">#REF!</definedName>
    <definedName name="ServicioVehSustituto">#REF!</definedName>
    <definedName name="SEVER">#REF!</definedName>
    <definedName name="Sf">#REF!</definedName>
    <definedName name="Sg">#REF!</definedName>
    <definedName name="Sh">#REF!</definedName>
    <definedName name="si">#REF!</definedName>
    <definedName name="Sifón__PVC_2">#REF!</definedName>
    <definedName name="Sifón__PVC_3">#REF!</definedName>
    <definedName name="Sika_1__mortero">#REF!</definedName>
    <definedName name="silla_y_250x110" localSheetId="14">[9]Materiales!#REF!</definedName>
    <definedName name="silla_y_250x110" localSheetId="16">[9]Materiales!#REF!</definedName>
    <definedName name="silla_y_250x110" localSheetId="30">[9]Materiales!#REF!</definedName>
    <definedName name="silla_y_250x110" localSheetId="27">[9]Materiales!#REF!</definedName>
    <definedName name="silla_y_250x110" localSheetId="12">[9]Materiales!#REF!</definedName>
    <definedName name="silla_y_250x110">[9]Materiales!#REF!</definedName>
    <definedName name="SILLA_YEE_160x110" localSheetId="30">[9]Materiales!#REF!</definedName>
    <definedName name="SILLA_YEE_160x110" localSheetId="27">[9]Materiales!#REF!</definedName>
    <definedName name="SILLA_YEE_160x110">[9]Materiales!#REF!</definedName>
    <definedName name="SILLA_YEE_160x160" localSheetId="30">[9]Materiales!#REF!</definedName>
    <definedName name="SILLA_YEE_160x160" localSheetId="27">[9]Materiales!#REF!</definedName>
    <definedName name="SILLA_YEE_160x160">[9]Materiales!#REF!</definedName>
    <definedName name="SILLA_YEE_200x110" localSheetId="30">[9]Materiales!#REF!</definedName>
    <definedName name="SILLA_YEE_200x110" localSheetId="27">[9]Materiales!#REF!</definedName>
    <definedName name="SILLA_YEE_200x110">[9]Materiales!#REF!</definedName>
    <definedName name="SILLA_YEE_200x160" localSheetId="30">[9]Materiales!#REF!</definedName>
    <definedName name="SILLA_YEE_200x160" localSheetId="27">[9]Materiales!#REF!</definedName>
    <definedName name="SILLA_YEE_200x160">[9]Materiales!#REF!</definedName>
    <definedName name="SILLA_YEE_24x160" localSheetId="27">[9]Materiales!#REF!</definedName>
    <definedName name="SILLA_YEE_24x160">[9]Materiales!#REF!</definedName>
    <definedName name="SILLA_YEE_250x110" localSheetId="27">[9]Materiales!#REF!</definedName>
    <definedName name="SILLA_YEE_250x110">[9]Materiales!#REF!</definedName>
    <definedName name="SILLA_YEE_250x160" localSheetId="27">[9]Materiales!#REF!</definedName>
    <definedName name="SILLA_YEE_250x160">[9]Materiales!#REF!</definedName>
    <definedName name="SILLA_YEE_27x160" localSheetId="27">[9]Materiales!#REF!</definedName>
    <definedName name="SILLA_YEE_27x160">[9]Materiales!#REF!</definedName>
    <definedName name="SILLA_YEE_315x110" localSheetId="27">[9]Materiales!#REF!</definedName>
    <definedName name="SILLA_YEE_315x110">[9]Materiales!#REF!</definedName>
    <definedName name="SILLA_YEE_315x160" localSheetId="27">[9]Materiales!#REF!</definedName>
    <definedName name="SILLA_YEE_315x160">[9]Materiales!#REF!</definedName>
    <definedName name="SILLA_YEE_355x110" localSheetId="27">[9]Materiales!#REF!</definedName>
    <definedName name="SILLA_YEE_355x110">[9]Materiales!#REF!</definedName>
    <definedName name="SILLA_YEE_355x160" localSheetId="27">[9]Materiales!#REF!</definedName>
    <definedName name="SILLA_YEE_355x160">[9]Materiales!#REF!</definedName>
    <definedName name="SILLA_YEE_400x160" localSheetId="27">[9]Materiales!#REF!</definedName>
    <definedName name="SILLA_YEE_400x160">[9]Materiales!#REF!</definedName>
    <definedName name="SILLA_YEE_450x160" localSheetId="27">[9]Materiales!#REF!</definedName>
    <definedName name="SILLA_YEE_450x160">[9]Materiales!#REF!</definedName>
    <definedName name="sk" localSheetId="27">#REF!</definedName>
    <definedName name="sk">#REF!</definedName>
    <definedName name="sm" localSheetId="27">#REF!</definedName>
    <definedName name="sm">#REF!</definedName>
    <definedName name="sn" localSheetId="27">#REF!</definedName>
    <definedName name="sn">#REF!</definedName>
    <definedName name="snw">#REF!</definedName>
    <definedName name="sñ">#REF!</definedName>
    <definedName name="so">#REF!</definedName>
    <definedName name="Soat">#REF!</definedName>
    <definedName name="SoatCostos">#REF!</definedName>
    <definedName name="SOBRECIMIEN20">#REF!</definedName>
    <definedName name="SOLADO">#REF!</definedName>
    <definedName name="Soldadura_y_limpiador_PVC">#REF!</definedName>
    <definedName name="SOSO" localSheetId="27" hidden="1">'[3]ETAPA 50 SMMLV'!#REF!</definedName>
    <definedName name="SOSO" localSheetId="24" hidden="1">'[3]ETAPA 50 SMMLV'!#REF!</definedName>
    <definedName name="SOSO" localSheetId="6" hidden="1">'[3]ETAPA 50 SMMLV'!#REF!</definedName>
    <definedName name="SOSO" localSheetId="26" hidden="1">'[3]ETAPA 50 SMMLV'!#REF!</definedName>
    <definedName name="SOSO" hidden="1">'[3]ETAPA 50 SMMLV'!#REF!</definedName>
    <definedName name="SpreadDesctos">#REF!</definedName>
    <definedName name="SpreadFcro">#REF!</definedName>
    <definedName name="SpreadServicios">#REF!</definedName>
    <definedName name="SpreadTotal">#REF!</definedName>
    <definedName name="sr">#REF!</definedName>
    <definedName name="SS" hidden="1">#REF!</definedName>
    <definedName name="SSS">'[17]1'!#REF!</definedName>
    <definedName name="ssss" localSheetId="27">#REF!</definedName>
    <definedName name="ssss">#REF!</definedName>
    <definedName name="Standby" localSheetId="27">#REF!</definedName>
    <definedName name="Standby">#REF!</definedName>
    <definedName name="StandbyCostos" localSheetId="27">#REF!</definedName>
    <definedName name="StandbyCostos">#REF!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UBA">'[79]SUB APU'!$A:$D</definedName>
    <definedName name="SUBTOTAL" localSheetId="27">#REF!</definedName>
    <definedName name="SUBTOTAL">#REF!</definedName>
    <definedName name="Supercel_Inc.Estruct." localSheetId="27">#REF!</definedName>
    <definedName name="Supercel_Inc.Estruct.">#REF!</definedName>
    <definedName name="t" localSheetId="17">[6]!absc</definedName>
    <definedName name="t" localSheetId="18">[6]!absc</definedName>
    <definedName name="t" localSheetId="21">[6]!absc</definedName>
    <definedName name="t" localSheetId="30">[6]!absc</definedName>
    <definedName name="t" localSheetId="27">[6]!absc</definedName>
    <definedName name="t" localSheetId="23">[6]!absc</definedName>
    <definedName name="t" localSheetId="1">[6]!absc</definedName>
    <definedName name="t">[6]!absc</definedName>
    <definedName name="T.1" localSheetId="27">#REF!</definedName>
    <definedName name="T.1">#REF!</definedName>
    <definedName name="T.10" localSheetId="27">#REF!</definedName>
    <definedName name="T.10">#REF!</definedName>
    <definedName name="T.11" localSheetId="27">#REF!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LA" localSheetId="30">#REF!</definedName>
    <definedName name="TABLA" localSheetId="27">#REF!</definedName>
    <definedName name="TABLA" localSheetId="24">#REF!</definedName>
    <definedName name="TABLA" localSheetId="6">#REF!</definedName>
    <definedName name="TABLA" localSheetId="26">#REF!</definedName>
    <definedName name="TABLA">#REF!</definedName>
    <definedName name="TABLA_DE_CONTENIDO__A1">#REF!</definedName>
    <definedName name="TABLA1.2.2">'[80]A.P.U'!#REF!</definedName>
    <definedName name="tablaDeDTFS" localSheetId="27">#REF!</definedName>
    <definedName name="tablaDeDTFS">#REF!</definedName>
    <definedName name="Tablero_de_12_circuitos" localSheetId="27">#REF!</definedName>
    <definedName name="Tablero_de_12_circuitos">#REF!</definedName>
    <definedName name="Tablero_de_2_circuitos" localSheetId="27">#REF!</definedName>
    <definedName name="Tablero_de_2_circuitos">#REF!</definedName>
    <definedName name="Tablero_trifásico_12_circuitos" localSheetId="27">'[16]L. MAT.'!#REF!</definedName>
    <definedName name="Tablero_trifásico_12_circuitos">'[16]L. MAT.'!#REF!</definedName>
    <definedName name="TABLETA" localSheetId="27">#REF!</definedName>
    <definedName name="TABLETA">#REF!</definedName>
    <definedName name="TABLON" localSheetId="27">#REF!</definedName>
    <definedName name="TABLON">#REF!</definedName>
    <definedName name="TACDetail" localSheetId="30">#REF!</definedName>
    <definedName name="TACDetail" localSheetId="27">#REF!</definedName>
    <definedName name="TACDetail" localSheetId="24">#REF!</definedName>
    <definedName name="TACDetail" localSheetId="6">#REF!</definedName>
    <definedName name="TACDetail" localSheetId="26">#REF!</definedName>
    <definedName name="TACDetail">#REF!</definedName>
    <definedName name="TACHeading" localSheetId="30">#REF!</definedName>
    <definedName name="TACHeading" localSheetId="27">#REF!</definedName>
    <definedName name="TACHeading" localSheetId="24">#REF!</definedName>
    <definedName name="TACHeading" localSheetId="6">#REF!</definedName>
    <definedName name="TACHeading" localSheetId="26">#REF!</definedName>
    <definedName name="TACHeading">#REF!</definedName>
    <definedName name="Tanque_asbt_cemt_de_1.000_ltrs">#REF!</definedName>
    <definedName name="TANQUEELEVATOT">#REF!</definedName>
    <definedName name="TANQUES">#REF!</definedName>
    <definedName name="TAPA_ALCANTARILLA_ARO_Y_CONTRAARO" localSheetId="30">[9]Materiales!#REF!</definedName>
    <definedName name="TAPA_ALCANTARILLA_ARO_Y_CONTRAARO" localSheetId="27">[9]Materiales!#REF!</definedName>
    <definedName name="TAPA_ALCANTARILLA_ARO_Y_CONTRAARO" localSheetId="12">[9]Materiales!#REF!</definedName>
    <definedName name="TAPA_ALCANTARILLA_ARO_Y_CONTRAARO">[9]Materiales!#REF!</definedName>
    <definedName name="Tapa_tipo_intemperie" localSheetId="27">#REF!</definedName>
    <definedName name="Tapa_tipo_intemperie">#REF!</definedName>
    <definedName name="Tapon_Pres._1" localSheetId="27">#REF!</definedName>
    <definedName name="Tapon_Pres._1">#REF!</definedName>
    <definedName name="Tapon_Pres._1_2" localSheetId="27">#REF!</definedName>
    <definedName name="Tapon_Pres._1_2">#REF!</definedName>
    <definedName name="Tapon_Pres._3_4">#REF!</definedName>
    <definedName name="Tasa_Efectiva_Mensual_Fondeo">#REF!</definedName>
    <definedName name="tb">#REF!</definedName>
    <definedName name="Tc">#REF!</definedName>
    <definedName name="Td">#REF!</definedName>
    <definedName name="Te">#REF!</definedName>
    <definedName name="Tec_Adesivo">'[16]L. MAT.'!#REF!</definedName>
    <definedName name="Tee_Pres._1" localSheetId="27">#REF!</definedName>
    <definedName name="Tee_Pres._1">#REF!</definedName>
    <definedName name="Tee_Pres.1_2" localSheetId="27">#REF!</definedName>
    <definedName name="Tee_Pres.1_2">#REF!</definedName>
    <definedName name="Tee_Pres.3_4" localSheetId="27">#REF!</definedName>
    <definedName name="Tee_Pres.3_4">#REF!</definedName>
    <definedName name="Tee_Sanit._2">#REF!</definedName>
    <definedName name="Tee_Sanit._3">#REF!</definedName>
    <definedName name="Tee_Sanit._4">#REF!</definedName>
    <definedName name="Tee_Sanit._6">#REF!</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6">#REF!</definedName>
    <definedName name="TesSumHeading" localSheetId="30">#REF!</definedName>
    <definedName name="TesSumHeading" localSheetId="27">#REF!</definedName>
    <definedName name="TesSumHeading" localSheetId="24">#REF!</definedName>
    <definedName name="TesSumHeading" localSheetId="6">#REF!</definedName>
    <definedName name="TesSumHeading" localSheetId="26">#REF!</definedName>
    <definedName name="TesSumHeading">#REF!</definedName>
    <definedName name="TexSumDetail" localSheetId="30">#REF!</definedName>
    <definedName name="TexSumDetail" localSheetId="27">#REF!</definedName>
    <definedName name="TexSumDetail" localSheetId="24">#REF!</definedName>
    <definedName name="TexSumDetail" localSheetId="6">#REF!</definedName>
    <definedName name="TexSumDetail" localSheetId="26">#REF!</definedName>
    <definedName name="TexSumDetail">#REF!</definedName>
    <definedName name="TexSumHeading" localSheetId="30">#REF!</definedName>
    <definedName name="TexSumHeading" localSheetId="27">#REF!</definedName>
    <definedName name="TexSumHeading" localSheetId="24">#REF!</definedName>
    <definedName name="TexSumHeading" localSheetId="6">#REF!</definedName>
    <definedName name="TexSumHeading" localSheetId="26">#REF!</definedName>
    <definedName name="TexSumHeading">#REF!</definedName>
    <definedName name="Tf">#REF!</definedName>
    <definedName name="Tg">#REF!</definedName>
    <definedName name="th">#REF!</definedName>
    <definedName name="Ti">#REF!</definedName>
    <definedName name="Timbre_chicharra_120v">#REF!</definedName>
    <definedName name="TIPO" localSheetId="27">#REF!</definedName>
    <definedName name="TIPO" localSheetId="24">#REF!</definedName>
    <definedName name="TIPO" localSheetId="6">#REF!</definedName>
    <definedName name="TIPO" localSheetId="26">#REF!</definedName>
    <definedName name="TIPO">#REF!</definedName>
    <definedName name="tipov">#REF!</definedName>
    <definedName name="TIT">#REF!</definedName>
    <definedName name="TITULO" localSheetId="27">#REF!</definedName>
    <definedName name="TITULO" localSheetId="24">#REF!</definedName>
    <definedName name="TITULO" localSheetId="6">#REF!</definedName>
    <definedName name="TITULO" localSheetId="26">#REF!</definedName>
    <definedName name="TITULO">#REF!</definedName>
    <definedName name="_xlnm.Print_Titles" localSheetId="2">AIU!$2:$4</definedName>
    <definedName name="_xlnm.Print_Titles" localSheetId="7">Loc!$1:$19</definedName>
    <definedName name="_xlnm.Print_Titles" localSheetId="0">PRESUPUESTO!$2:$13</definedName>
    <definedName name="_xlnm.Print_Titles" localSheetId="1">SOCIAL!$2:$4</definedName>
    <definedName name="_xlnm.Print_Titles">#N/A</definedName>
    <definedName name="Títulos_a_imprimir_IM" localSheetId="27">#REF!</definedName>
    <definedName name="Títulos_a_imprimir_IM">#REF!</definedName>
    <definedName name="tj" localSheetId="27">#REF!</definedName>
    <definedName name="tj">#REF!</definedName>
    <definedName name="Tk" localSheetId="27">#REF!</definedName>
    <definedName name="Tk">#REF!</definedName>
    <definedName name="tl">#REF!</definedName>
    <definedName name="Tll">#REF!</definedName>
    <definedName name="Tm">#REF!</definedName>
    <definedName name="tn">#REF!</definedName>
    <definedName name="Tñ">#REF!</definedName>
    <definedName name="To">#REF!</definedName>
    <definedName name="Toma_Ambia_para_muro">#REF!</definedName>
    <definedName name="Toma_doble_P_T_Levinton">#REF!</definedName>
    <definedName name="Toma_trifilar">#REF!</definedName>
    <definedName name="TOTAL" localSheetId="27">#REF!</definedName>
    <definedName name="TOTAL" localSheetId="24">#REF!</definedName>
    <definedName name="TOTAL" localSheetId="6">#REF!</definedName>
    <definedName name="TOTAL" localSheetId="26">#REF!</definedName>
    <definedName name="TOTAL">#REF!</definedName>
    <definedName name="Total_Pay" localSheetId="27">#REF!</definedName>
    <definedName name="Total_Pay" localSheetId="24">#REF!</definedName>
    <definedName name="Total_Pay" localSheetId="6">#REF!</definedName>
    <definedName name="Total_Pay" localSheetId="26">#REF!</definedName>
    <definedName name="Total_Pay">#REF!</definedName>
    <definedName name="TOTAL_SERVICIOS">#REF!</definedName>
    <definedName name="TOTALITEM1.1">'[80]A.P.U'!#REF!</definedName>
    <definedName name="TOTALITEM1.1.1">'[80]A.P.U'!#REF!</definedName>
    <definedName name="TOTALITEM1.1.2">'[80]A.P.U'!#REF!</definedName>
    <definedName name="TOTALITEM1.1.3">'[80]A.P.U'!#REF!</definedName>
    <definedName name="TOTALITEM1.1.4">'[80]A.P.U'!#REF!</definedName>
    <definedName name="TOTALITEM1.2.1">'[80]A.P.U'!#REF!</definedName>
    <definedName name="TOTALITEM1.2.2">'[80]A.P.U'!#REF!</definedName>
    <definedName name="TOTALITEM1.2.3">'[80]A.P.U'!#REF!</definedName>
    <definedName name="TOTALITEM1.2.4">'[80]A.P.U'!#REF!</definedName>
    <definedName name="TOTALITEM1.2.5">'[80]A.P.U'!#REF!</definedName>
    <definedName name="TOTALITEM1.2.6">'[80]A.P.U'!#REF!</definedName>
    <definedName name="TOTALITEM1.3.1">'[80]A.P.U'!#REF!</definedName>
    <definedName name="TOTALITEM1.4">'[80]A.P.U'!#REF!</definedName>
    <definedName name="TOTALITEM1.5">'[80]A.P.U'!#REF!</definedName>
    <definedName name="TOTALITEM1.6">'[80]A.P.U'!#REF!</definedName>
    <definedName name="TOTALITEM1.7">'[80]A.P.U'!#REF!</definedName>
    <definedName name="TOTALITEM1.8">'[80]A.P.U'!#REF!</definedName>
    <definedName name="TOTALITEM10.1">'[80]A.P.U'!#REF!</definedName>
    <definedName name="TOTALITEM11.1">'[80]A.P.U'!#REF!</definedName>
    <definedName name="TOTALITEM11.2">'[80]A.P.U'!#REF!</definedName>
    <definedName name="TOTALITEM11.3">'[80]A.P.U'!#REF!</definedName>
    <definedName name="TOTALITEM11.4">'[80]A.P.U'!#REF!</definedName>
    <definedName name="TOTALITEM11.5">'[80]A.P.U'!#REF!</definedName>
    <definedName name="TOTALITEM11.6">'[80]A.P.U'!#REF!</definedName>
    <definedName name="TOTALITEM12.1">'[80]A.P.U'!#REF!</definedName>
    <definedName name="TOTALITEM12.10">'[80]A.P.U'!#REF!</definedName>
    <definedName name="TOTALITEM12.2">'[80]A.P.U'!#REF!</definedName>
    <definedName name="TOTALITEM12.3">'[80]A.P.U'!#REF!</definedName>
    <definedName name="TOTALITEM12.4">'[80]A.P.U'!#REF!</definedName>
    <definedName name="TOTALITEM12.5">'[80]A.P.U'!#REF!</definedName>
    <definedName name="TOTALITEM12.6">'[80]A.P.U'!#REF!</definedName>
    <definedName name="TOTALITEM12.7">'[80]A.P.U'!#REF!</definedName>
    <definedName name="TOTALITEM12.8">'[80]A.P.U'!#REF!</definedName>
    <definedName name="TOTALITEM12.9">'[80]A.P.U'!#REF!</definedName>
    <definedName name="TOTALITEM13.1.1">'[80]A.P.U'!#REF!</definedName>
    <definedName name="TOTALITEM13.1.2">'[80]A.P.U'!#REF!</definedName>
    <definedName name="TOTALITEM13.1.3">'[80]A.P.U'!#REF!</definedName>
    <definedName name="TOTALITEM13.2.2">'[80]A.P.U'!#REF!</definedName>
    <definedName name="TOTALITEM14.2">'[80]A.P.U'!#REF!</definedName>
    <definedName name="TOTALITEM14.3">'[80]A.P.U'!#REF!</definedName>
    <definedName name="TOTALITEM14.4">'[80]A.P.U'!#REF!</definedName>
    <definedName name="TOTALITEM14.5">'[80]A.P.U'!#REF!</definedName>
    <definedName name="TOTALITEM14.6">'[80]A.P.U'!#REF!</definedName>
    <definedName name="TOTALITEM15">'[80]A.P.U'!#REF!</definedName>
    <definedName name="TOTALITEM16">'[80]A.P.U'!#REF!</definedName>
    <definedName name="TOTALITEM2.1">'[80]A.P.U'!#REF!</definedName>
    <definedName name="TOTALITEM2.10">'[80]A.P.U'!#REF!</definedName>
    <definedName name="TOTALITEM2.11.1">'[80]A.P.U'!#REF!</definedName>
    <definedName name="TOTALITEM2.11.2">'[80]A.P.U'!#REF!</definedName>
    <definedName name="TOTALITEM2.12.1">'[80]A.P.U'!#REF!</definedName>
    <definedName name="TOTALITEM2.2">'[80]A.P.U'!#REF!</definedName>
    <definedName name="TOTALITEM2.3">'[80]A.P.U'!#REF!</definedName>
    <definedName name="TOTALITEM2.4">'[80]A.P.U'!#REF!</definedName>
    <definedName name="TOTALITEM2.5">'[80]A.P.U'!#REF!</definedName>
    <definedName name="TOTALITEM2.6">'[80]A.P.U'!#REF!</definedName>
    <definedName name="TOTALITEM2.7">'[80]A.P.U'!#REF!</definedName>
    <definedName name="TOTALITEM3.1.1">'[80]A.P.U'!#REF!</definedName>
    <definedName name="TOTALITEM3.1.2">'[80]A.P.U'!#REF!</definedName>
    <definedName name="TOTALITEM3.2">'[80]A.P.U'!#REF!</definedName>
    <definedName name="TOTALITEM3.3">'[80]A.P.U'!#REF!</definedName>
    <definedName name="TOTALITEM3.4.1">'[80]A.P.U'!#REF!</definedName>
    <definedName name="TOTALITEM3.4.2">'[80]A.P.U'!#REF!</definedName>
    <definedName name="TOTALITEM3.4.3">'[80]A.P.U'!#REF!</definedName>
    <definedName name="TOTALITEM3.5.1">'[80]A.P.U'!#REF!</definedName>
    <definedName name="TOTALITEM3.5.2">'[80]A.P.U'!#REF!</definedName>
    <definedName name="TOTALITEM3.5.3">'[80]A.P.U'!#REF!</definedName>
    <definedName name="TOTALITEM4.1.2">'[80]A.P.U'!#REF!</definedName>
    <definedName name="TOTALITEM4.1.3">'[80]A.P.U'!#REF!</definedName>
    <definedName name="TOTALITEM4.1.4">'[80]A.P.U'!#REF!</definedName>
    <definedName name="TOTALITEM4.2">'[80]A.P.U'!#REF!</definedName>
    <definedName name="TOTALITEM4.3">'[80]A.P.U'!#REF!</definedName>
    <definedName name="TOTALITEM4.4">'[80]A.P.U'!#REF!</definedName>
    <definedName name="TOTALITEM4.5">'[80]A.P.U'!#REF!</definedName>
    <definedName name="TOTALITEM4.6">'[80]A.P.U'!#REF!</definedName>
    <definedName name="TOTALITEM5.1">'[80]A.P.U'!#REF!</definedName>
    <definedName name="TOTALITEM5.2">'[80]A.P.U'!#REF!</definedName>
    <definedName name="TOTALITEM5.3">'[80]A.P.U'!#REF!</definedName>
    <definedName name="TOTALITEM5.4">'[80]A.P.U'!#REF!</definedName>
    <definedName name="TOTALITEM6.1">'[80]A.P.U'!#REF!</definedName>
    <definedName name="TOTALITEM6.2">'[80]A.P.U'!#REF!</definedName>
    <definedName name="TOTALITEM6.3">'[80]A.P.U'!#REF!</definedName>
    <definedName name="TOTALITEM7.1">'[80]A.P.U'!#REF!</definedName>
    <definedName name="TOTALITEM7.2">'[80]A.P.U'!#REF!</definedName>
    <definedName name="TOTALITEM7.3">'[80]A.P.U'!#REF!</definedName>
    <definedName name="TOTALITEM7.4">'[80]A.P.U'!#REF!</definedName>
    <definedName name="TOTALITEM7.5">'[80]A.P.U'!#REF!</definedName>
    <definedName name="TOTALITEM8.1">'[80]A.P.U'!#REF!</definedName>
    <definedName name="TOTALITEM8.2">'[80]A.P.U'!#REF!</definedName>
    <definedName name="TOTALITEM8.3">'[80]A.P.U'!#REF!</definedName>
    <definedName name="TOTALITEM8.4">'[80]A.P.U'!#REF!</definedName>
    <definedName name="TOTALITEM8.5">'[80]A.P.U'!#REF!</definedName>
    <definedName name="TOTALITEM8.6">'[80]A.P.U'!#REF!</definedName>
    <definedName name="TOTALITEM8.7">'[80]A.P.U'!#REF!</definedName>
    <definedName name="TOTALITEM8.8">'[80]A.P.U'!#REF!</definedName>
    <definedName name="TOTALITEM9.1">'[80]A.P.U'!#REF!</definedName>
    <definedName name="TOTALITEM9.2">'[80]A.P.U'!#REF!</definedName>
    <definedName name="TOTALITEM9.3">'[80]A.P.U'!#REF!</definedName>
    <definedName name="TOTALITEM9.4">'[80]A.P.U'!#REF!</definedName>
    <definedName name="TOTALITEM9.5">'[80]A.P.U'!#REF!</definedName>
    <definedName name="TOTALITEM9.6">'[80]A.P.U'!#REF!</definedName>
    <definedName name="TOTALITEM9.7">'[80]A.P.U'!#REF!</definedName>
    <definedName name="TOTALITEM9.8">'[80]A.P.U'!#REF!</definedName>
    <definedName name="TOTALITEN1.2.4">'[80]A.P.U'!#REF!</definedName>
    <definedName name="TOTMTPAV">[81]FINANC!$C$6</definedName>
    <definedName name="Tp" localSheetId="27">#REF!</definedName>
    <definedName name="Tp">#REF!</definedName>
    <definedName name="Tq" localSheetId="27">#REF!</definedName>
    <definedName name="Tq">#REF!</definedName>
    <definedName name="Tr" localSheetId="27">#REF!</definedName>
    <definedName name="Tr">#REF!</definedName>
    <definedName name="TRABAJO">[26]MAQUINARIA!$A$2:$L$18</definedName>
    <definedName name="TRAFO">#N/A</definedName>
    <definedName name="Tramites">#REF!</definedName>
    <definedName name="TramitesCostos">#REF!</definedName>
    <definedName name="TRAMO">#REF!</definedName>
    <definedName name="TRAMPAGRASA">#REF!</definedName>
    <definedName name="Transformador_intensidad_400_5A">#REF!</definedName>
    <definedName name="TRANSPORI" localSheetId="14" hidden="1">{#N/A,#N/A,TRUE,"INGENIERIA";#N/A,#N/A,TRUE,"COMPRAS";#N/A,#N/A,TRUE,"DIRECCION";#N/A,#N/A,TRUE,"RESUMEN"}</definedName>
    <definedName name="TRANSPORI" localSheetId="16" hidden="1">{#N/A,#N/A,TRUE,"INGENIERIA";#N/A,#N/A,TRUE,"COMPRAS";#N/A,#N/A,TRUE,"DIRECCION";#N/A,#N/A,TRUE,"RESUMEN"}</definedName>
    <definedName name="TRANSPORI" localSheetId="30" hidden="1">{#N/A,#N/A,TRUE,"INGENIERIA";#N/A,#N/A,TRUE,"COMPRAS";#N/A,#N/A,TRUE,"DIRECCION";#N/A,#N/A,TRUE,"RESUMEN"}</definedName>
    <definedName name="TRANSPORI" localSheetId="27" hidden="1">{#N/A,#N/A,TRUE,"INGENIERIA";#N/A,#N/A,TRUE,"COMPRAS";#N/A,#N/A,TRUE,"DIRECCION";#N/A,#N/A,TRUE,"RESUMEN"}</definedName>
    <definedName name="TRANSPORI" localSheetId="12" hidden="1">{#N/A,#N/A,TRUE,"INGENIERIA";#N/A,#N/A,TRUE,"COMPRAS";#N/A,#N/A,TRUE,"DIRECCION";#N/A,#N/A,TRUE,"RESUMEN"}</definedName>
    <definedName name="TRANSPORI" localSheetId="24" hidden="1">{#N/A,#N/A,TRUE,"INGENIERIA";#N/A,#N/A,TRUE,"COMPRAS";#N/A,#N/A,TRUE,"DIRECCION";#N/A,#N/A,TRUE,"RESUMEN"}</definedName>
    <definedName name="TRANSPORI" localSheetId="6" hidden="1">{#N/A,#N/A,TRUE,"INGENIERIA";#N/A,#N/A,TRUE,"COMPRAS";#N/A,#N/A,TRUE,"DIRECCION";#N/A,#N/A,TRUE,"RESUMEN"}</definedName>
    <definedName name="TRANSPORI" localSheetId="26" hidden="1">{#N/A,#N/A,TRUE,"INGENIERIA";#N/A,#N/A,TRUE,"COMPRAS";#N/A,#N/A,TRUE,"DIRECCION";#N/A,#N/A,TRUE,"RESUMEN"}</definedName>
    <definedName name="TRANSPORI" hidden="1">{#N/A,#N/A,TRUE,"INGENIERIA";#N/A,#N/A,TRUE,"COMPRAS";#N/A,#N/A,TRUE,"DIRECCION";#N/A,#N/A,TRUE,"RESUMEN"}</definedName>
    <definedName name="TRANSPORTE" localSheetId="14" hidden="1">{#N/A,#N/A,TRUE,"INGENIERIA";#N/A,#N/A,TRUE,"COMPRAS";#N/A,#N/A,TRUE,"DIRECCION";#N/A,#N/A,TRUE,"RESUMEN"}</definedName>
    <definedName name="TRANSPORTE" localSheetId="16" hidden="1">{#N/A,#N/A,TRUE,"INGENIERIA";#N/A,#N/A,TRUE,"COMPRAS";#N/A,#N/A,TRUE,"DIRECCION";#N/A,#N/A,TRUE,"RESUMEN"}</definedName>
    <definedName name="TRANSPORTE" localSheetId="30" hidden="1">{#N/A,#N/A,TRUE,"INGENIERIA";#N/A,#N/A,TRUE,"COMPRAS";#N/A,#N/A,TRUE,"DIRECCION";#N/A,#N/A,TRUE,"RESUMEN"}</definedName>
    <definedName name="TRANSPORTE" localSheetId="27" hidden="1">{#N/A,#N/A,TRUE,"INGENIERIA";#N/A,#N/A,TRUE,"COMPRAS";#N/A,#N/A,TRUE,"DIRECCION";#N/A,#N/A,TRUE,"RESUMEN"}</definedName>
    <definedName name="TRANSPORTE" localSheetId="12" hidden="1">{#N/A,#N/A,TRUE,"INGENIERIA";#N/A,#N/A,TRUE,"COMPRAS";#N/A,#N/A,TRUE,"DIRECCION";#N/A,#N/A,TRUE,"RESUMEN"}</definedName>
    <definedName name="TRANSPORTE" localSheetId="24" hidden="1">{#N/A,#N/A,TRUE,"INGENIERIA";#N/A,#N/A,TRUE,"COMPRAS";#N/A,#N/A,TRUE,"DIRECCION";#N/A,#N/A,TRUE,"RESUMEN"}</definedName>
    <definedName name="TRANSPORTE" localSheetId="6" hidden="1">{#N/A,#N/A,TRUE,"INGENIERIA";#N/A,#N/A,TRUE,"COMPRAS";#N/A,#N/A,TRUE,"DIRECCION";#N/A,#N/A,TRUE,"RESUMEN"}</definedName>
    <definedName name="TRANSPORTE" localSheetId="26" hidden="1">{#N/A,#N/A,TRUE,"INGENIERIA";#N/A,#N/A,TRUE,"COMPRAS";#N/A,#N/A,TRUE,"DIRECCION";#N/A,#N/A,TRUE,"RESUMEN"}</definedName>
    <definedName name="TRANSPORTE" hidden="1">{#N/A,#N/A,TRUE,"INGENIERIA";#N/A,#N/A,TRUE,"COMPRAS";#N/A,#N/A,TRUE,"DIRECCION";#N/A,#N/A,TRUE,"RESUMEN"}</definedName>
    <definedName name="TRANSPORTE_ARENA">[12]Transporte!$F$8</definedName>
    <definedName name="TRANSPORTE_DE_CEMENTO">[12]Transporte!$F$13</definedName>
    <definedName name="TRANSPORTE_DE_TRITURADO">[12]Transporte!$F$9</definedName>
    <definedName name="TRAT">[82]desmonte!$E$48</definedName>
    <definedName name="Triplex_lamina_4mm" localSheetId="27">#REF!</definedName>
    <definedName name="Triplex_lamina_4mm">#REF!</definedName>
    <definedName name="TRITURADO_PILCUAN">[12]Materiales!$F$73</definedName>
    <definedName name="TRM">'[83]C.LABORALES'!$G$17</definedName>
    <definedName name="Troughing">'[51]Actual Data (MAP)'!$H$31:$I$131</definedName>
    <definedName name="TroughingSTX">'[51]Actual Data (STX)'!$B$19:$C$119</definedName>
    <definedName name="Ts" localSheetId="27">#REF!</definedName>
    <definedName name="Ts">#REF!</definedName>
    <definedName name="TT" localSheetId="27">#REF!</definedName>
    <definedName name="TT">#REF!</definedName>
    <definedName name="TTTTTT" localSheetId="27">[77]glvc!#REF!</definedName>
    <definedName name="TTTTTT">[77]glvc!#REF!</definedName>
    <definedName name="Tu" localSheetId="27">#REF!</definedName>
    <definedName name="Tu">#REF!</definedName>
    <definedName name="Tuberia_conduit_PVC_1_2" localSheetId="27">#REF!</definedName>
    <definedName name="Tuberia_conduit_PVC_1_2">#REF!</definedName>
    <definedName name="Tuberia_conduit_PVC_3_4" localSheetId="27">#REF!</definedName>
    <definedName name="Tuberia_conduit_PVC_3_4">#REF!</definedName>
    <definedName name="Tubería_Pres._1">#REF!</definedName>
    <definedName name="Tubería_Pres._1_2">#REF!</definedName>
    <definedName name="Tubería_Pres._3_4">#REF!</definedName>
    <definedName name="TUBERIA_PVC_10" localSheetId="30">[9]Materiales!#REF!</definedName>
    <definedName name="TUBERIA_PVC_10">[9]Materiales!#REF!</definedName>
    <definedName name="TUBERIA_PVC_12" localSheetId="30">[9]Materiales!#REF!</definedName>
    <definedName name="TUBERIA_PVC_12">[9]Materiales!#REF!</definedName>
    <definedName name="TUBERIA_PVC_14" localSheetId="30">[9]Materiales!#REF!</definedName>
    <definedName name="TUBERIA_PVC_14">[9]Materiales!#REF!</definedName>
    <definedName name="TUBERIA_PVC_16" localSheetId="30">[9]Materiales!#REF!</definedName>
    <definedName name="TUBERIA_PVC_16">[9]Materiales!#REF!</definedName>
    <definedName name="TUBERIA_PVC_18">[9]Materiales!#REF!</definedName>
    <definedName name="TUBERIA_PVC_20">[9]Materiales!#REF!</definedName>
    <definedName name="TUBERIA_PVC_24">[9]Materiales!#REF!</definedName>
    <definedName name="TUBERIA_PVC_27">[9]Materiales!#REF!</definedName>
    <definedName name="TUBERIA_PVC_30">[9]Materiales!#REF!</definedName>
    <definedName name="TUBERIA_PVC_4">[9]Materiales!#REF!</definedName>
    <definedName name="TUBERIA_PVC_6">[9]Materiales!#REF!</definedName>
    <definedName name="TUBERIA_PVC_8">[9]Materiales!#REF!</definedName>
    <definedName name="Tuberia_sanit._PVC_2" localSheetId="27">#REF!</definedName>
    <definedName name="Tuberia_sanit._PVC_2">#REF!</definedName>
    <definedName name="Tuberia_sanit._PVC_3" localSheetId="27">#REF!</definedName>
    <definedName name="Tuberia_sanit._PVC_3">#REF!</definedName>
    <definedName name="Tuberia_sanit._PVC_4" localSheetId="27">#REF!</definedName>
    <definedName name="Tuberia_sanit._PVC_4">#REF!</definedName>
    <definedName name="Tuberia_sanit._PVC_6">#REF!</definedName>
    <definedName name="Tuberia_ventilacion_4">#REF!</definedName>
    <definedName name="TUBERIAS">#REF!</definedName>
    <definedName name="TUBLLUV4">#REF!</definedName>
    <definedName name="TUBLLUVIA1.5TOT">#REF!</definedName>
    <definedName name="TUBLLUVIA4TOTAL">#REF!</definedName>
    <definedName name="TUBPRE1_2TOT">#REF!</definedName>
    <definedName name="TUBPRE3_4TOT">#REF!</definedName>
    <definedName name="TUBSANIT2">#REF!</definedName>
    <definedName name="TUBSANIT2TOTAL">#REF!</definedName>
    <definedName name="TUBSANIT4">#REF!</definedName>
    <definedName name="TUBSANIT4TOTAL">#REF!</definedName>
    <definedName name="Tw">#REF!</definedName>
    <definedName name="Tx">#REF!</definedName>
    <definedName name="TY">#REF!</definedName>
    <definedName name="tyu">#REF!</definedName>
    <definedName name="Tz">#REF!</definedName>
    <definedName name="U" localSheetId="30">#REF!</definedName>
    <definedName name="U" localSheetId="27">#REF!</definedName>
    <definedName name="U" localSheetId="24">#REF!</definedName>
    <definedName name="U" localSheetId="6">#REF!</definedName>
    <definedName name="U" localSheetId="26">#REF!</definedName>
    <definedName name="U">#REF!</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#REF!</definedName>
    <definedName name="Uj">#REF!</definedName>
    <definedName name="Uk">#REF!</definedName>
    <definedName name="Ull">#REF!</definedName>
    <definedName name="Um">#REF!</definedName>
    <definedName name="Un">#REF!</definedName>
    <definedName name="Unidades" localSheetId="27">[84]Presup_Cancha!$J$14:$J$18</definedName>
    <definedName name="Unidades" localSheetId="24">[84]Presup_Cancha!$J$14:$J$18</definedName>
    <definedName name="Unidades" localSheetId="6">[84]Presup_Cancha!$J$14:$J$18</definedName>
    <definedName name="Unidades" localSheetId="26">[84]Presup_Cancha!$J$14:$J$18</definedName>
    <definedName name="Unidades">[84]Presup_Cancha!$J$14:$J$18</definedName>
    <definedName name="Union_Pres.._1" localSheetId="27">#REF!</definedName>
    <definedName name="Union_Pres.._1">#REF!</definedName>
    <definedName name="Union_Pres._1_2" localSheetId="27">#REF!</definedName>
    <definedName name="Union_Pres._1_2">#REF!</definedName>
    <definedName name="Union_Pres._3_4" localSheetId="27">#REF!</definedName>
    <definedName name="Union_Pres._3_4">#REF!</definedName>
    <definedName name="Union_Sanit._2">#REF!</definedName>
    <definedName name="Union_Sanit._3">#REF!</definedName>
    <definedName name="Union_Sanit._4">#REF!</definedName>
    <definedName name="Union_Sanit._6">#REF!</definedName>
    <definedName name="unitarios">#REF!</definedName>
    <definedName name="Uñ">#REF!</definedName>
    <definedName name="Uo">#REF!</definedName>
    <definedName name="Up">#REF!</definedName>
    <definedName name="Uq">#REF!</definedName>
    <definedName name="Ur">#REF!</definedName>
    <definedName name="US">#REF!</definedName>
    <definedName name="USd">#REF!</definedName>
    <definedName name="USr">#REF!</definedName>
    <definedName name="UsTexDetail" localSheetId="30">#REF!</definedName>
    <definedName name="UsTexDetail" localSheetId="27">#REF!</definedName>
    <definedName name="UsTexDetail" localSheetId="24">#REF!</definedName>
    <definedName name="UsTexDetail" localSheetId="6">#REF!</definedName>
    <definedName name="UsTexDetail" localSheetId="26">#REF!</definedName>
    <definedName name="UsTexDetail">#REF!</definedName>
    <definedName name="UsTexHeading" localSheetId="30">#REF!</definedName>
    <definedName name="UsTexHeading" localSheetId="27">#REF!</definedName>
    <definedName name="UsTexHeading" localSheetId="24">#REF!</definedName>
    <definedName name="UsTexHeading" localSheetId="6">#REF!</definedName>
    <definedName name="UsTexHeading" localSheetId="26">#REF!</definedName>
    <definedName name="UsTexHeading">#REF!</definedName>
    <definedName name="ut">#REF!</definedName>
    <definedName name="UTIL">8%</definedName>
    <definedName name="UTILIDAD">'[22]Formulario N° 4'!$F$131</definedName>
    <definedName name="UtilidadMensual" localSheetId="27">#REF!</definedName>
    <definedName name="UtilidadMensual">#REF!</definedName>
    <definedName name="UU" localSheetId="27">[63]SALARIOS!#REF!</definedName>
    <definedName name="UU">[63]SALARIOS!#REF!</definedName>
    <definedName name="uuarrrrarrarrararar" localSheetId="27">[85]PRESUPUESTO!#REF!</definedName>
    <definedName name="uuarrrrarrarrararar">[85]PRESUPUESTO!#REF!</definedName>
    <definedName name="UUUAJJAJAJAJAJ" localSheetId="27">#REF!</definedName>
    <definedName name="UUUAJJAJAJAJAJ">#REF!</definedName>
    <definedName name="UUUUTTTTTTTAAA" localSheetId="27">#REF!</definedName>
    <definedName name="UUUUTTTTTTTAAA">#REF!</definedName>
    <definedName name="UUUUUAUATATTATA" localSheetId="27">#REF!</definedName>
    <definedName name="UUUUUAUATATTATA">#REF!</definedName>
    <definedName name="UUUUUUUUUTTTTTTTTTTTTTDDDDDDDDDDDD">#REF!</definedName>
    <definedName name="uuuuuuuuuuuuuuuu">#REF!</definedName>
    <definedName name="Uv">#REF!</definedName>
    <definedName name="Uw">#REF!</definedName>
    <definedName name="uxd">#REF!</definedName>
    <definedName name="uy">#REF!</definedName>
    <definedName name="UYU">#REF!</definedName>
    <definedName name="Uz">#REF!</definedName>
    <definedName name="v" localSheetId="30">#REF!</definedName>
    <definedName name="v" localSheetId="27">#REF!</definedName>
    <definedName name="v" localSheetId="24">#REF!</definedName>
    <definedName name="v" localSheetId="6">#REF!</definedName>
    <definedName name="v" localSheetId="26">#REF!</definedName>
    <definedName name="v">#REF!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OR_SALARIO_MINIMO_ACTUAL">'[12]Datos iniciales '!$C$19</definedName>
    <definedName name="Valor_Total" localSheetId="27">#REF!</definedName>
    <definedName name="Valor_Total">#REF!</definedName>
    <definedName name="valor1" localSheetId="30">#REF!</definedName>
    <definedName name="valor1" localSheetId="27">#REF!</definedName>
    <definedName name="valor1" localSheetId="24">#REF!</definedName>
    <definedName name="valor1" localSheetId="6">#REF!</definedName>
    <definedName name="valor1" localSheetId="26">#REF!</definedName>
    <definedName name="valor1">#REF!</definedName>
    <definedName name="valor2" localSheetId="30">#REF!</definedName>
    <definedName name="valor2" localSheetId="27">#REF!</definedName>
    <definedName name="valor2" localSheetId="24">#REF!</definedName>
    <definedName name="valor2" localSheetId="6">#REF!</definedName>
    <definedName name="valor2" localSheetId="26">#REF!</definedName>
    <definedName name="valor2">#REF!</definedName>
    <definedName name="VALOR3" localSheetId="30">#REF!</definedName>
    <definedName name="VALOR3" localSheetId="27">#REF!</definedName>
    <definedName name="VALOR3" localSheetId="24">#REF!</definedName>
    <definedName name="VALOR3" localSheetId="6">#REF!</definedName>
    <definedName name="VALOR3" localSheetId="26">#REF!</definedName>
    <definedName name="VALOR3">#REF!</definedName>
    <definedName name="ValoresCanon">#REF!</definedName>
    <definedName name="ValoresIva">#REF!</definedName>
    <definedName name="ValorFuturoFcro">#REF!</definedName>
    <definedName name="ValorImpuestoTimbre">#REF!</definedName>
    <definedName name="Values_Entered" localSheetId="14">IF(Loan_Amount*Interest_Rate*Loan_Years*Loan_Start&gt;0,1,0)</definedName>
    <definedName name="Values_Entered" localSheetId="16">IF(Loan_Amount*Interest_Rate*Loan_Years*Loan_Start&gt;0,1,0)</definedName>
    <definedName name="Values_Entered" localSheetId="30">IF('Apu Basicos'!Loan_Amount*[0]!Interest_Rate*'Apu Basicos'!Loan_Years*'Apu Basicos'!Loan_Start&gt;0,1,0)</definedName>
    <definedName name="Values_Entered" localSheetId="27">IF('CARACTERIZACION '!Loan_Amount*'CARACTERIZACION '!Interest_Rate*'CARACTERIZACION '!Loan_Years*'CARACTERIZACION '!Loan_Start&gt;0,1,0)</definedName>
    <definedName name="Values_Entered" localSheetId="12">IF(Loan_Amount*Interest_Rate*Loan_Years*Loan_Start&gt;0,1,0)</definedName>
    <definedName name="Values_Entered" localSheetId="24">IF(FM!Loan_Amount*FM!Interest_Rate*FM!Loan_Years*FM!Loan_Start&gt;0,1,0)</definedName>
    <definedName name="Values_Entered" localSheetId="6">IF(INTERVENTORIA!Loan_Amount*INTERVENTORIA!Interest_Rate*INTERVENTORIA!Loan_Years*INTERVENTORIA!Loan_Start&gt;0,1,0)</definedName>
    <definedName name="Values_Entered" localSheetId="26">IF(PMT!Loan_Amount*PMT!Interest_Rate*PMT!Loan_Years*PMT!Loan_Start&gt;0,1,0)</definedName>
    <definedName name="Values_Entered">IF(Loan_Amount*Interest_Rate*Loan_Years*Loan_Start&gt;0,1,0)</definedName>
    <definedName name="Varilla_de_couperwell" localSheetId="27">#REF!</definedName>
    <definedName name="Varilla_de_couperwell">#REF!</definedName>
    <definedName name="Varios" localSheetId="27">#REF!</definedName>
    <definedName name="Varios">#REF!</definedName>
    <definedName name="Varios2" localSheetId="27">#REF!</definedName>
    <definedName name="Varios2">#REF!</definedName>
    <definedName name="vb">#REF!</definedName>
    <definedName name="vc">#REF!</definedName>
    <definedName name="vck">#REF!</definedName>
    <definedName name="vd">#REF!</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TOT">#REF!</definedName>
    <definedName name="Ventanería_en_aluminio">#REF!</definedName>
    <definedName name="Ventilador_de_muro">#REF!</definedName>
    <definedName name="Vf">#REF!</definedName>
    <definedName name="vfn">#REF!</definedName>
    <definedName name="vg">#REF!</definedName>
    <definedName name="Vh">#REF!</definedName>
    <definedName name="VIBRA">#REF!</definedName>
    <definedName name="VIBRADOR">[22]EQUIPO!$D$27</definedName>
    <definedName name="VIBRADOR_CONCRETO">[12]Equipo!$F$13</definedName>
    <definedName name="Vibrador_para_concreto_Semco" localSheetId="27">#REF!</definedName>
    <definedName name="Vibrador_para_concreto_Semco">#REF!</definedName>
    <definedName name="Vibrocompactador_IngersollRandSD70D" localSheetId="27">#REF!</definedName>
    <definedName name="Vibrocompactador_IngersollRandSD70D">#REF!</definedName>
    <definedName name="Vibrocompactador_IngersollRandSX17" localSheetId="27">#REF!</definedName>
    <definedName name="Vibrocompactador_IngersollRandSX17">#REF!</definedName>
    <definedName name="Vidrio_5mm">#REF!</definedName>
    <definedName name="VIGACI">#REF!</definedName>
    <definedName name="VIGASUPERIOR">#REF!</definedName>
    <definedName name="VIGAT30X30">#REF!</definedName>
    <definedName name="VIGAT45X30">#REF!</definedName>
    <definedName name="Vinilo_tipo_1">#REF!</definedName>
    <definedName name="VINILOTOT">#REF!</definedName>
    <definedName name="Visor_de_puerta">#REF!</definedName>
    <definedName name="vjkgvif" localSheetId="14">OFFSET([0]!Full_Print,0,0,'1,1'!Last_Row)</definedName>
    <definedName name="vjkgvif" localSheetId="16">OFFSET([0]!Full_Print,0,0,'1,3'!Last_Row)</definedName>
    <definedName name="vjkgvif" localSheetId="30">OFFSET('Apu Basicos'!Full_Print,0,0,'Apu Basicos'!Last_Row)</definedName>
    <definedName name="vjkgvif" localSheetId="27">OFFSET('CARACTERIZACION '!Full_Print,0,0,'CARACTERIZACION '!Last_Row)</definedName>
    <definedName name="vjkgvif" localSheetId="12">OFFSET([0]!Full_Print,0,0,ENSAYOS!Last_Row)</definedName>
    <definedName name="vjkgvif" localSheetId="24">OFFSET(FM!Full_Print,0,0,FM!Last_Row)</definedName>
    <definedName name="vjkgvif" localSheetId="6">OFFSET(INTERVENTORIA!Full_Print,0,0,INTERVENTORIA!Last_Row)</definedName>
    <definedName name="vjkgvif" localSheetId="26">OFFSET(PMT!Full_Print,0,0,PMT!Last_Row)</definedName>
    <definedName name="vjkgvif">OFFSET([0]!Full_Print,0,0,[0]!Last_Row)</definedName>
    <definedName name="vm" localSheetId="27">#REF!</definedName>
    <definedName name="vm">#REF!</definedName>
    <definedName name="Volqueta_C70_6M3" localSheetId="27">#REF!</definedName>
    <definedName name="Volqueta_C70_6M3">#REF!</definedName>
    <definedName name="Volqueta_Kamaz_10M3" localSheetId="27">#REF!</definedName>
    <definedName name="Volqueta_Kamaz_10M3">#REF!</definedName>
    <definedName name="Voltimetro_de_0_250v">#REF!</definedName>
    <definedName name="VPNIngresos">#REF!</definedName>
    <definedName name="VPNSurenting">#REF!</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v">#REF!</definedName>
    <definedName name="VVV" localSheetId="30">#REF!</definedName>
    <definedName name="VVV" localSheetId="27">#REF!</definedName>
    <definedName name="VVV" localSheetId="24">#REF!</definedName>
    <definedName name="VVV" localSheetId="6">#REF!</definedName>
    <definedName name="VVV" localSheetId="26">#REF!</definedName>
    <definedName name="VVV">#REF!</definedName>
    <definedName name="we">#REF!</definedName>
    <definedName name="WER">'[18]Res-Accide-10'!$S$2:$S$7</definedName>
    <definedName name="WILSON" localSheetId="30">'[18]Res-Accide-10'!#REF!</definedName>
    <definedName name="WILSON" localSheetId="27">'[18]Res-Accide-10'!#REF!</definedName>
    <definedName name="WILSON" localSheetId="24">'[18]Res-Accide-10'!#REF!</definedName>
    <definedName name="WILSON" localSheetId="6">'[18]Res-Accide-10'!#REF!</definedName>
    <definedName name="WILSON" localSheetId="26">'[18]Res-Accide-10'!#REF!</definedName>
    <definedName name="WILSON">'[18]Res-Accide-10'!#REF!</definedName>
    <definedName name="Wire" localSheetId="30">#REF!</definedName>
    <definedName name="Wire" localSheetId="27">#REF!</definedName>
    <definedName name="Wire" localSheetId="24">#REF!</definedName>
    <definedName name="Wire" localSheetId="6">#REF!</definedName>
    <definedName name="Wire" localSheetId="26">#REF!</definedName>
    <definedName name="Wire">#REF!</definedName>
    <definedName name="wj">#REF!</definedName>
    <definedName name="wl">#REF!</definedName>
    <definedName name="WorksheetSubTotal">#REF!</definedName>
    <definedName name="WorksheetTotal">#REF!</definedName>
    <definedName name="wqw" hidden="1">#REF!</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7" hidden="1">{"TAB1",#N/A,TRUE,"GENERAL";"TAB2",#N/A,TRUE,"GENERAL";"TAB3",#N/A,TRUE,"GENERAL";"TAB4",#N/A,TRUE,"GENERAL";"TAB5",#N/A,TRUE,"GENERAL"}</definedName>
    <definedName name="wrn.GENERAL." hidden="1">{"TAB1",#N/A,TRUE,"GENERAL";"TAB2",#N/A,TRUE,"GENERAL";"TAB3",#N/A,TRUE,"GENERAL";"TAB4",#N/A,TRUE,"GENERAL";"TAB5",#N/A,TRUE,"GENERAL"}</definedName>
    <definedName name="wrn.GERENCIA." localSheetId="14" hidden="1">{#N/A,#N/A,TRUE,"INGENIERIA";#N/A,#N/A,TRUE,"COMPRAS";#N/A,#N/A,TRUE,"DIRECCION";#N/A,#N/A,TRUE,"RESUMEN"}</definedName>
    <definedName name="wrn.GERENCIA." localSheetId="16" hidden="1">{#N/A,#N/A,TRUE,"INGENIERIA";#N/A,#N/A,TRUE,"COMPRAS";#N/A,#N/A,TRUE,"DIRECCION";#N/A,#N/A,TRUE,"RESUMEN"}</definedName>
    <definedName name="wrn.GERENCIA." localSheetId="30" hidden="1">{#N/A,#N/A,TRUE,"INGENIERIA";#N/A,#N/A,TRUE,"COMPRAS";#N/A,#N/A,TRUE,"DIRECCION";#N/A,#N/A,TRUE,"RESUMEN"}</definedName>
    <definedName name="wrn.GERENCIA." localSheetId="27" hidden="1">{#N/A,#N/A,TRUE,"INGENIERIA";#N/A,#N/A,TRUE,"COMPRAS";#N/A,#N/A,TRUE,"DIRECCION";#N/A,#N/A,TRUE,"RESUMEN"}</definedName>
    <definedName name="wrn.GERENCIA." localSheetId="12" hidden="1">{#N/A,#N/A,TRUE,"INGENIERIA";#N/A,#N/A,TRUE,"COMPRAS";#N/A,#N/A,TRUE,"DIRECCION";#N/A,#N/A,TRUE,"RESUMEN"}</definedName>
    <definedName name="wrn.GERENCIA." localSheetId="24" hidden="1">{#N/A,#N/A,TRUE,"INGENIERIA";#N/A,#N/A,TRUE,"COMPRAS";#N/A,#N/A,TRUE,"DIRECCION";#N/A,#N/A,TRUE,"RESUMEN"}</definedName>
    <definedName name="wrn.GERENCIA." localSheetId="6" hidden="1">{#N/A,#N/A,TRUE,"INGENIERIA";#N/A,#N/A,TRUE,"COMPRAS";#N/A,#N/A,TRUE,"DIRECCION";#N/A,#N/A,TRUE,"RESUMEN"}</definedName>
    <definedName name="wrn.GERENCIA." localSheetId="26" hidden="1">{#N/A,#N/A,TRUE,"INGENIERIA";#N/A,#N/A,TRUE,"COMPRAS";#N/A,#N/A,TRUE,"DIRECCION";#N/A,#N/A,TRUE,"RESUMEN"}</definedName>
    <definedName name="wrn.GERENCIA." hidden="1">{#N/A,#N/A,TRUE,"INGENIERIA";#N/A,#N/A,TRUE,"COMPRAS";#N/A,#N/A,TRUE,"DIRECCION";#N/A,#N/A,TRUE,"RESUMEN"}</definedName>
    <definedName name="wrn.via." localSheetId="27" hidden="1">{"via1",#N/A,TRUE,"general";"via2",#N/A,TRUE,"general";"via3",#N/A,TRUE,"general"}</definedName>
    <definedName name="wrn.via." hidden="1">{"via1",#N/A,TRUE,"general";"via2",#N/A,TRUE,"general";"via3",#N/A,TRUE,"general"}</definedName>
    <definedName name="ws">#REF!</definedName>
    <definedName name="WSERWEER" localSheetId="27">'[44]COSTOS OFICINA'!#REF!</definedName>
    <definedName name="WSERWEER" localSheetId="24">'[44]COSTOS OFICINA'!#REF!</definedName>
    <definedName name="WSERWEER" localSheetId="6">'[44]COSTOS OFICINA'!#REF!</definedName>
    <definedName name="WSERWEER" localSheetId="26">'[44]COSTOS OFICINA'!#REF!</definedName>
    <definedName name="WSERWEER">'[44]COSTOS OFICINA'!#REF!</definedName>
    <definedName name="ww" localSheetId="27">#REF!</definedName>
    <definedName name="ww">#REF!</definedName>
    <definedName name="WWWWWWWWQQQQQAAAAAAAAA" localSheetId="27">#REF!</definedName>
    <definedName name="WWWWWWWWQQQQQAAAAAAAAA">#REF!</definedName>
    <definedName name="x" localSheetId="27">#REF!</definedName>
    <definedName name="x">#REF!</definedName>
    <definedName name="xb">#REF!</definedName>
    <definedName name="xo">#REF!</definedName>
    <definedName name="xx">#REF!</definedName>
    <definedName name="xxc">#N/A</definedName>
    <definedName name="XXXXX"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localSheetId="14" hidden="1">{#N/A,#N/A,TRUE,"INGENIERIA";#N/A,#N/A,TRUE,"COMPRAS";#N/A,#N/A,TRUE,"DIRECCION";#N/A,#N/A,TRUE,"RESUMEN"}</definedName>
    <definedName name="XXXXXX" localSheetId="16" hidden="1">{#N/A,#N/A,TRUE,"INGENIERIA";#N/A,#N/A,TRUE,"COMPRAS";#N/A,#N/A,TRUE,"DIRECCION";#N/A,#N/A,TRUE,"RESUMEN"}</definedName>
    <definedName name="XXXXXX" localSheetId="30" hidden="1">{#N/A,#N/A,TRUE,"INGENIERIA";#N/A,#N/A,TRUE,"COMPRAS";#N/A,#N/A,TRUE,"DIRECCION";#N/A,#N/A,TRUE,"RESUMEN"}</definedName>
    <definedName name="XXXXXX" localSheetId="27" hidden="1">{#N/A,#N/A,TRUE,"INGENIERIA";#N/A,#N/A,TRUE,"COMPRAS";#N/A,#N/A,TRUE,"DIRECCION";#N/A,#N/A,TRUE,"RESUMEN"}</definedName>
    <definedName name="XXXXXX" localSheetId="12" hidden="1">{#N/A,#N/A,TRUE,"INGENIERIA";#N/A,#N/A,TRUE,"COMPRAS";#N/A,#N/A,TRUE,"DIRECCION";#N/A,#N/A,TRUE,"RESUMEN"}</definedName>
    <definedName name="XXXXXX" localSheetId="24" hidden="1">{#N/A,#N/A,TRUE,"INGENIERIA";#N/A,#N/A,TRUE,"COMPRAS";#N/A,#N/A,TRUE,"DIRECCION";#N/A,#N/A,TRUE,"RESUMEN"}</definedName>
    <definedName name="XXXXXX" localSheetId="6" hidden="1">{#N/A,#N/A,TRUE,"INGENIERIA";#N/A,#N/A,TRUE,"COMPRAS";#N/A,#N/A,TRUE,"DIRECCION";#N/A,#N/A,TRUE,"RESUMEN"}</definedName>
    <definedName name="XXXXXX" localSheetId="26" hidden="1">{#N/A,#N/A,TRUE,"INGENIERIA";#N/A,#N/A,TRUE,"COMPRAS";#N/A,#N/A,TRUE,"DIRECCION";#N/A,#N/A,TRUE,"RESUMEN"}</definedName>
    <definedName name="XXXXXX" hidden="1">{#N/A,#N/A,TRUE,"INGENIERIA";#N/A,#N/A,TRUE,"COMPRAS";#N/A,#N/A,TRUE,"DIRECCION";#N/A,#N/A,TRUE,"RESUMEN"}</definedName>
    <definedName name="XXXXXXXXXX" localSheetId="30">#REF!</definedName>
    <definedName name="XXXXXXXXXX" localSheetId="27">#REF!</definedName>
    <definedName name="XXXXXXXXXX" localSheetId="24">#REF!</definedName>
    <definedName name="XXXXXXXXXX" localSheetId="6">#REF!</definedName>
    <definedName name="XXXXXXXXXX" localSheetId="26">#REF!</definedName>
    <definedName name="XXXXXXXXXX">#REF!</definedName>
    <definedName name="XXXXXXXXXXXX" localSheetId="30">#REF!</definedName>
    <definedName name="XXXXXXXXXXXX" localSheetId="27">#REF!</definedName>
    <definedName name="XXXXXXXXXXXX" localSheetId="24">#REF!</definedName>
    <definedName name="XXXXXXXXXXXX" localSheetId="6">#REF!</definedName>
    <definedName name="XXXXXXXXXXXX" localSheetId="26">#REF!</definedName>
    <definedName name="XXXXXXXXXXXX">#REF!</definedName>
    <definedName name="Yee_Sanit._2">#REF!</definedName>
    <definedName name="Yee_Sanit._3">#REF!</definedName>
    <definedName name="Yee_Sanit._4_x2">#REF!</definedName>
    <definedName name="Yee_Sanit._6_X4">#REF!</definedName>
    <definedName name="Yeso">#REF!</definedName>
    <definedName name="yn">#REF!</definedName>
    <definedName name="yu">#REF!</definedName>
    <definedName name="yui">#REF!</definedName>
    <definedName name="yy">#REF!</definedName>
    <definedName name="YYYYYYYYEWAZXCCCCCCCCC">#REF!</definedName>
    <definedName name="YYYYYYYYYYY" hidden="1">#REF!</definedName>
    <definedName name="yyyyyyyyyyyyyrrrrrrrrrrrrrrrrrrrrr">#REF!</definedName>
    <definedName name="z" localSheetId="30">#REF!</definedName>
    <definedName name="z" localSheetId="27">#REF!</definedName>
    <definedName name="z" localSheetId="24">#REF!</definedName>
    <definedName name="z" localSheetId="6">#REF!</definedName>
    <definedName name="z" localSheetId="26">#REF!</definedName>
    <definedName name="z">#REF!</definedName>
    <definedName name="ZAPATA">#REF!</definedName>
    <definedName name="zc">#REF!</definedName>
    <definedName name="zd">#REF!</definedName>
    <definedName name="zdr">#REF!</definedName>
    <definedName name="zvdza">#N/A</definedName>
    <definedName name="zx">#REF!</definedName>
    <definedName name="ZZ">#REF!</definedName>
    <definedName name="ZZZZZZZZZZZ" localSheetId="30">'[32]A. P. U.'!#REF!</definedName>
    <definedName name="ZZZZZZZZZZZ" localSheetId="27">'[32]A. P. U.'!#REF!</definedName>
    <definedName name="ZZZZZZZZZZZ" localSheetId="24">'[32]A. P. U.'!#REF!</definedName>
    <definedName name="ZZZZZZZZZZZ" localSheetId="6">'[32]A. P. U.'!#REF!</definedName>
    <definedName name="ZZZZZZZZZZZ" localSheetId="26">'[32]A. P. U.'!#REF!</definedName>
    <definedName name="ZZZZZZZZZZZ">'[32]A.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0" i="18" l="1"/>
  <c r="O26" i="18" l="1"/>
  <c r="O20" i="18"/>
  <c r="O14" i="18"/>
  <c r="O34" i="18"/>
  <c r="G31" i="185"/>
  <c r="D31" i="143" l="1"/>
  <c r="G22" i="155" l="1"/>
  <c r="G20" i="155"/>
  <c r="G6" i="173"/>
  <c r="AK26" i="295"/>
  <c r="AK14" i="295"/>
  <c r="AK31" i="295" s="1"/>
  <c r="AK13" i="295"/>
  <c r="AL26" i="295" l="1"/>
  <c r="AK41" i="295"/>
  <c r="AK37" i="295"/>
  <c r="AL37" i="295" s="1"/>
  <c r="AK35" i="295"/>
  <c r="AK23" i="295"/>
  <c r="AK25" i="295"/>
  <c r="AL25" i="295" s="1"/>
  <c r="AK29" i="295"/>
  <c r="AK36" i="295"/>
  <c r="AK42" i="295"/>
  <c r="AK17" i="295"/>
  <c r="AK20" i="295" s="1"/>
  <c r="AK30" i="295"/>
  <c r="AL45" i="295"/>
  <c r="AK50" i="295"/>
  <c r="AK51" i="295" s="1"/>
  <c r="AK52" i="295" s="1"/>
  <c r="AL20" i="295" l="1"/>
  <c r="AK24" i="295"/>
  <c r="AL24" i="295" s="1"/>
  <c r="AL23" i="295"/>
  <c r="AL46" i="295" l="1"/>
  <c r="AL47" i="295" s="1"/>
  <c r="AK46" i="295"/>
  <c r="AK53" i="295" s="1"/>
  <c r="AK54" i="295" s="1"/>
  <c r="AK55" i="295" s="1"/>
  <c r="AI26" i="295" l="1"/>
  <c r="AI14" i="295"/>
  <c r="AI41" i="295" s="1"/>
  <c r="AI13" i="295"/>
  <c r="AI17" i="295" s="1"/>
  <c r="AI20" i="295" s="1"/>
  <c r="E16" i="293"/>
  <c r="E15" i="293"/>
  <c r="E14" i="293"/>
  <c r="E10" i="293"/>
  <c r="D18" i="170"/>
  <c r="D17" i="170"/>
  <c r="D16" i="170"/>
  <c r="D14" i="170"/>
  <c r="D13" i="170"/>
  <c r="D12" i="170"/>
  <c r="D11" i="170"/>
  <c r="D10" i="170"/>
  <c r="D9" i="170"/>
  <c r="G21" i="155"/>
  <c r="G19" i="155"/>
  <c r="G18" i="155"/>
  <c r="G17" i="155"/>
  <c r="G16" i="155"/>
  <c r="G15" i="155"/>
  <c r="G14" i="155"/>
  <c r="G13" i="155"/>
  <c r="J13" i="294"/>
  <c r="G13" i="294"/>
  <c r="D13" i="294"/>
  <c r="AJ26" i="295" l="1"/>
  <c r="AJ20" i="295"/>
  <c r="AI23" i="295"/>
  <c r="AI25" i="295"/>
  <c r="AJ25" i="295" s="1"/>
  <c r="AI29" i="295"/>
  <c r="AI36" i="295"/>
  <c r="AI42" i="295"/>
  <c r="AJ42" i="295" s="1"/>
  <c r="AI30" i="295"/>
  <c r="AI37" i="295"/>
  <c r="AJ37" i="295" s="1"/>
  <c r="AI31" i="295"/>
  <c r="AJ45" i="295"/>
  <c r="AI50" i="295"/>
  <c r="AI51" i="295" s="1"/>
  <c r="AI52" i="295" s="1"/>
  <c r="AI35" i="295"/>
  <c r="AI24" i="295" l="1"/>
  <c r="AJ24" i="295" s="1"/>
  <c r="AJ23" i="295"/>
  <c r="B64" i="295"/>
  <c r="B63" i="295"/>
  <c r="B62" i="295"/>
  <c r="AG41" i="295"/>
  <c r="AG26" i="295"/>
  <c r="AE26" i="295"/>
  <c r="AC26" i="295"/>
  <c r="AA26" i="295"/>
  <c r="Y26" i="295"/>
  <c r="W26" i="295"/>
  <c r="S26" i="295"/>
  <c r="T26" i="295" s="1"/>
  <c r="Q26" i="295"/>
  <c r="O26" i="295"/>
  <c r="M26" i="295"/>
  <c r="K26" i="295"/>
  <c r="I26" i="295"/>
  <c r="G26" i="295"/>
  <c r="E26" i="295"/>
  <c r="C26" i="295"/>
  <c r="AG14" i="295"/>
  <c r="AG25" i="295" s="1"/>
  <c r="AH25" i="295" s="1"/>
  <c r="AE14" i="295"/>
  <c r="AE35" i="295" s="1"/>
  <c r="AC14" i="295"/>
  <c r="AA14" i="295"/>
  <c r="AA30" i="295" s="1"/>
  <c r="Y14" i="295"/>
  <c r="Y31" i="295" s="1"/>
  <c r="W14" i="295"/>
  <c r="U14" i="295"/>
  <c r="S14" i="295"/>
  <c r="S30" i="295" s="1"/>
  <c r="Q14" i="295"/>
  <c r="Q25" i="295" s="1"/>
  <c r="R25" i="295" s="1"/>
  <c r="O14" i="295"/>
  <c r="O41" i="295" s="1"/>
  <c r="M14" i="295"/>
  <c r="K14" i="295"/>
  <c r="I14" i="295"/>
  <c r="G14" i="295"/>
  <c r="G41" i="295" s="1"/>
  <c r="E14" i="295"/>
  <c r="C14" i="295"/>
  <c r="AG13" i="295"/>
  <c r="AG37" i="295" s="1"/>
  <c r="AH37" i="295" s="1"/>
  <c r="AE13" i="295"/>
  <c r="AC13" i="295"/>
  <c r="AC17" i="295" s="1"/>
  <c r="AC20" i="295" s="1"/>
  <c r="AA13" i="295"/>
  <c r="AA37" i="295" s="1"/>
  <c r="AB37" i="295" s="1"/>
  <c r="Y13" i="295"/>
  <c r="Y37" i="295" s="1"/>
  <c r="Z37" i="295" s="1"/>
  <c r="W13" i="295"/>
  <c r="S13" i="295"/>
  <c r="S17" i="295" s="1"/>
  <c r="S20" i="295" s="1"/>
  <c r="Q13" i="295"/>
  <c r="O13" i="295"/>
  <c r="M13" i="295"/>
  <c r="M17" i="295" s="1"/>
  <c r="M20" i="295" s="1"/>
  <c r="N20" i="295" s="1"/>
  <c r="K13" i="295"/>
  <c r="K37" i="295" s="1"/>
  <c r="L37" i="295" s="1"/>
  <c r="I13" i="295"/>
  <c r="G13" i="295"/>
  <c r="E13" i="295"/>
  <c r="E17" i="295" s="1"/>
  <c r="E20" i="295" s="1"/>
  <c r="C13" i="295"/>
  <c r="U26" i="295"/>
  <c r="V26" i="295" s="1"/>
  <c r="J26" i="295" l="1"/>
  <c r="H26" i="295"/>
  <c r="S37" i="295"/>
  <c r="T37" i="295" s="1"/>
  <c r="I37" i="295"/>
  <c r="J37" i="295" s="1"/>
  <c r="C30" i="295"/>
  <c r="C50" i="295"/>
  <c r="AJ46" i="295"/>
  <c r="AJ47" i="295" s="1"/>
  <c r="Q37" i="295"/>
  <c r="R37" i="295" s="1"/>
  <c r="AH26" i="295"/>
  <c r="Y23" i="295"/>
  <c r="Y24" i="295" s="1"/>
  <c r="Z24" i="295" s="1"/>
  <c r="AA17" i="295"/>
  <c r="AA20" i="295" s="1"/>
  <c r="AB20" i="295" s="1"/>
  <c r="R26" i="295"/>
  <c r="AI46" i="295"/>
  <c r="AI53" i="295" s="1"/>
  <c r="AI54" i="295" s="1"/>
  <c r="AI55" i="295" s="1"/>
  <c r="I41" i="295"/>
  <c r="AG23" i="295"/>
  <c r="AG24" i="295" s="1"/>
  <c r="AH24" i="295" s="1"/>
  <c r="X26" i="295"/>
  <c r="Q31" i="295"/>
  <c r="P26" i="295"/>
  <c r="O35" i="295"/>
  <c r="K17" i="295"/>
  <c r="K20" i="295" s="1"/>
  <c r="K23" i="295" s="1"/>
  <c r="L26" i="295"/>
  <c r="I25" i="295"/>
  <c r="J25" i="295" s="1"/>
  <c r="C37" i="295"/>
  <c r="D37" i="295" s="1"/>
  <c r="C17" i="295"/>
  <c r="C20" i="295" s="1"/>
  <c r="D20" i="295" s="1"/>
  <c r="D26" i="295"/>
  <c r="G17" i="295"/>
  <c r="G20" i="295" s="1"/>
  <c r="G37" i="295"/>
  <c r="H37" i="295" s="1"/>
  <c r="O37" i="295"/>
  <c r="P37" i="295" s="1"/>
  <c r="O17" i="295"/>
  <c r="O20" i="295" s="1"/>
  <c r="O23" i="295" s="1"/>
  <c r="AD20" i="295"/>
  <c r="W37" i="295"/>
  <c r="X37" i="295" s="1"/>
  <c r="W17" i="295"/>
  <c r="W20" i="295" s="1"/>
  <c r="W23" i="295" s="1"/>
  <c r="AE37" i="295"/>
  <c r="AF37" i="295" s="1"/>
  <c r="AE17" i="295"/>
  <c r="AE20" i="295" s="1"/>
  <c r="E41" i="295"/>
  <c r="E35" i="295"/>
  <c r="E31" i="295"/>
  <c r="E30" i="295"/>
  <c r="E50" i="295"/>
  <c r="E51" i="295" s="1"/>
  <c r="E52" i="295" s="1"/>
  <c r="E36" i="295"/>
  <c r="F26" i="295"/>
  <c r="F45" i="295"/>
  <c r="E29" i="295"/>
  <c r="E42" i="295"/>
  <c r="E25" i="295"/>
  <c r="F25" i="295" s="1"/>
  <c r="E23" i="295"/>
  <c r="M42" i="295"/>
  <c r="M41" i="295"/>
  <c r="M35" i="295"/>
  <c r="M31" i="295"/>
  <c r="M30" i="295"/>
  <c r="N45" i="295"/>
  <c r="M29" i="295"/>
  <c r="M50" i="295"/>
  <c r="M51" i="295" s="1"/>
  <c r="M52" i="295" s="1"/>
  <c r="M36" i="295"/>
  <c r="M23" i="295"/>
  <c r="M25" i="295"/>
  <c r="N25" i="295" s="1"/>
  <c r="N26" i="295"/>
  <c r="U41" i="295"/>
  <c r="U35" i="295"/>
  <c r="U31" i="295"/>
  <c r="U30" i="295"/>
  <c r="U42" i="295"/>
  <c r="U29" i="295"/>
  <c r="U50" i="295"/>
  <c r="U51" i="295" s="1"/>
  <c r="U36" i="295"/>
  <c r="U25" i="295"/>
  <c r="V25" i="295" s="1"/>
  <c r="U23" i="295"/>
  <c r="V45" i="295"/>
  <c r="AC41" i="295"/>
  <c r="AC35" i="295"/>
  <c r="AC31" i="295"/>
  <c r="AC30" i="295"/>
  <c r="AC50" i="295"/>
  <c r="AC51" i="295" s="1"/>
  <c r="AC52" i="295" s="1"/>
  <c r="AC36" i="295"/>
  <c r="AD45" i="295"/>
  <c r="AC42" i="295"/>
  <c r="AC29" i="295"/>
  <c r="AD26" i="295"/>
  <c r="AC25" i="295"/>
  <c r="AD25" i="295" s="1"/>
  <c r="AC23" i="295"/>
  <c r="T20" i="295"/>
  <c r="F20" i="295"/>
  <c r="G31" i="295"/>
  <c r="G30" i="295"/>
  <c r="G50" i="295"/>
  <c r="G51" i="295" s="1"/>
  <c r="G52" i="295" s="1"/>
  <c r="H45" i="295"/>
  <c r="G42" i="295"/>
  <c r="H42" i="295" s="1"/>
  <c r="G36" i="295"/>
  <c r="G29" i="295"/>
  <c r="W31" i="295"/>
  <c r="W30" i="295"/>
  <c r="W50" i="295"/>
  <c r="W51" i="295" s="1"/>
  <c r="W52" i="295" s="1"/>
  <c r="X45" i="295"/>
  <c r="W42" i="295"/>
  <c r="W36" i="295"/>
  <c r="W29" i="295"/>
  <c r="Y25" i="295"/>
  <c r="Z25" i="295" s="1"/>
  <c r="W35" i="295"/>
  <c r="I42" i="295"/>
  <c r="J42" i="295" s="1"/>
  <c r="I30" i="295"/>
  <c r="I50" i="295"/>
  <c r="I51" i="295" s="1"/>
  <c r="I52" i="295" s="1"/>
  <c r="J45" i="295"/>
  <c r="I36" i="295"/>
  <c r="I29" i="295"/>
  <c r="I35" i="295"/>
  <c r="Q30" i="295"/>
  <c r="Q50" i="295"/>
  <c r="Q51" i="295" s="1"/>
  <c r="R45" i="295"/>
  <c r="Q42" i="295"/>
  <c r="Q36" i="295"/>
  <c r="Q29" i="295"/>
  <c r="Q41" i="295"/>
  <c r="Q35" i="295"/>
  <c r="Y30" i="295"/>
  <c r="Y50" i="295"/>
  <c r="Y51" i="295" s="1"/>
  <c r="Y52" i="295" s="1"/>
  <c r="Z45" i="295"/>
  <c r="Y42" i="295"/>
  <c r="Y36" i="295"/>
  <c r="Y29" i="295"/>
  <c r="Y41" i="295"/>
  <c r="Y35" i="295"/>
  <c r="AG30" i="295"/>
  <c r="AG50" i="295"/>
  <c r="AG51" i="295" s="1"/>
  <c r="AG52" i="295" s="1"/>
  <c r="AH45" i="295"/>
  <c r="AG36" i="295"/>
  <c r="AG29" i="295"/>
  <c r="AG35" i="295"/>
  <c r="Z26" i="295"/>
  <c r="AF26" i="295"/>
  <c r="AG31" i="295"/>
  <c r="W41" i="295"/>
  <c r="O31" i="295"/>
  <c r="O30" i="295"/>
  <c r="O50" i="295"/>
  <c r="O51" i="295" s="1"/>
  <c r="O52" i="295" s="1"/>
  <c r="P45" i="295"/>
  <c r="O36" i="295"/>
  <c r="O29" i="295"/>
  <c r="AE31" i="295"/>
  <c r="AE30" i="295"/>
  <c r="AE50" i="295"/>
  <c r="AE51" i="295" s="1"/>
  <c r="AE52" i="295" s="1"/>
  <c r="AF45" i="295"/>
  <c r="AE42" i="295"/>
  <c r="AE36" i="295"/>
  <c r="AE29" i="295"/>
  <c r="E37" i="295"/>
  <c r="F37" i="295" s="1"/>
  <c r="M37" i="295"/>
  <c r="N37" i="295" s="1"/>
  <c r="U13" i="295"/>
  <c r="AC37" i="295"/>
  <c r="AD37" i="295" s="1"/>
  <c r="C51" i="295"/>
  <c r="C52" i="295" s="1"/>
  <c r="D45" i="295"/>
  <c r="C42" i="295"/>
  <c r="C36" i="295"/>
  <c r="C29" i="295"/>
  <c r="C41" i="295"/>
  <c r="C35" i="295"/>
  <c r="C31" i="295"/>
  <c r="K50" i="295"/>
  <c r="K51" i="295" s="1"/>
  <c r="K52" i="295" s="1"/>
  <c r="L45" i="295"/>
  <c r="K36" i="295"/>
  <c r="K29" i="295"/>
  <c r="K41" i="295"/>
  <c r="K35" i="295"/>
  <c r="K42" i="295"/>
  <c r="L42" i="295" s="1"/>
  <c r="K31" i="295"/>
  <c r="S50" i="295"/>
  <c r="S51" i="295" s="1"/>
  <c r="S42" i="295"/>
  <c r="S36" i="295"/>
  <c r="S29" i="295"/>
  <c r="S41" i="295"/>
  <c r="S35" i="295"/>
  <c r="S31" i="295"/>
  <c r="AA50" i="295"/>
  <c r="AA51" i="295" s="1"/>
  <c r="AA52" i="295" s="1"/>
  <c r="AB45" i="295"/>
  <c r="AA42" i="295"/>
  <c r="AA36" i="295"/>
  <c r="AA29" i="295"/>
  <c r="AA41" i="295"/>
  <c r="AA35" i="295"/>
  <c r="AA31" i="295"/>
  <c r="I17" i="295"/>
  <c r="I20" i="295" s="1"/>
  <c r="Q17" i="295"/>
  <c r="Q20" i="295" s="1"/>
  <c r="Y17" i="295"/>
  <c r="Y20" i="295" s="1"/>
  <c r="AG17" i="295"/>
  <c r="AG20" i="295" s="1"/>
  <c r="G23" i="295"/>
  <c r="S23" i="295"/>
  <c r="AA23" i="295"/>
  <c r="AE23" i="295"/>
  <c r="C25" i="295"/>
  <c r="D25" i="295" s="1"/>
  <c r="G25" i="295"/>
  <c r="H25" i="295" s="1"/>
  <c r="K25" i="295"/>
  <c r="L25" i="295" s="1"/>
  <c r="O25" i="295"/>
  <c r="P25" i="295" s="1"/>
  <c r="S25" i="295"/>
  <c r="T25" i="295" s="1"/>
  <c r="W25" i="295"/>
  <c r="X25" i="295" s="1"/>
  <c r="AA25" i="295"/>
  <c r="AB25" i="295" s="1"/>
  <c r="AE25" i="295"/>
  <c r="AF25" i="295" s="1"/>
  <c r="AB26" i="295"/>
  <c r="K30" i="295"/>
  <c r="I31" i="295"/>
  <c r="G35" i="295"/>
  <c r="AE41" i="295"/>
  <c r="O42" i="295"/>
  <c r="P42" i="295" s="1"/>
  <c r="C23" i="295" l="1"/>
  <c r="S52" i="295"/>
  <c r="B83" i="256"/>
  <c r="B38" i="256"/>
  <c r="B38" i="85"/>
  <c r="Z23" i="295"/>
  <c r="AH23" i="295"/>
  <c r="Q52" i="295"/>
  <c r="B39" i="212"/>
  <c r="B40" i="214"/>
  <c r="B39" i="241"/>
  <c r="B39" i="189"/>
  <c r="B39" i="220"/>
  <c r="B46" i="143"/>
  <c r="U52" i="295"/>
  <c r="B40" i="189"/>
  <c r="B39" i="85"/>
  <c r="B40" i="291"/>
  <c r="B40" i="212"/>
  <c r="B41" i="214"/>
  <c r="B39" i="256"/>
  <c r="B40" i="220"/>
  <c r="B40" i="241"/>
  <c r="B47" i="143"/>
  <c r="B84" i="256"/>
  <c r="L20" i="295"/>
  <c r="C24" i="295"/>
  <c r="D24" i="295" s="1"/>
  <c r="D23" i="295"/>
  <c r="AE24" i="295"/>
  <c r="AF24" i="295" s="1"/>
  <c r="AF23" i="295"/>
  <c r="O24" i="295"/>
  <c r="P24" i="295" s="1"/>
  <c r="P23" i="295"/>
  <c r="AG46" i="295"/>
  <c r="AG53" i="295" s="1"/>
  <c r="AG54" i="295" s="1"/>
  <c r="AG55" i="295" s="1"/>
  <c r="AH20" i="295"/>
  <c r="AH46" i="295" s="1"/>
  <c r="AH47" i="295" s="1"/>
  <c r="S24" i="295"/>
  <c r="T24" i="295" s="1"/>
  <c r="T23" i="295"/>
  <c r="T46" i="295" s="1"/>
  <c r="T47" i="295" s="1"/>
  <c r="K24" i="295"/>
  <c r="L24" i="295" s="1"/>
  <c r="L23" i="295"/>
  <c r="Y46" i="295"/>
  <c r="Y53" i="295" s="1"/>
  <c r="Y54" i="295" s="1"/>
  <c r="Y55" i="295" s="1"/>
  <c r="Z20" i="295"/>
  <c r="U37" i="295"/>
  <c r="V37" i="295" s="1"/>
  <c r="U17" i="295"/>
  <c r="U20" i="295" s="1"/>
  <c r="E24" i="295"/>
  <c r="F24" i="295" s="1"/>
  <c r="F23" i="295"/>
  <c r="F46" i="295" s="1"/>
  <c r="F47" i="295" s="1"/>
  <c r="F10" i="293" s="1"/>
  <c r="AF20" i="295"/>
  <c r="AE46" i="295"/>
  <c r="AE53" i="295" s="1"/>
  <c r="AE54" i="295" s="1"/>
  <c r="AE55" i="295" s="1"/>
  <c r="I23" i="295"/>
  <c r="J20" i="295"/>
  <c r="AA24" i="295"/>
  <c r="AB24" i="295" s="1"/>
  <c r="AB23" i="295"/>
  <c r="W24" i="295"/>
  <c r="X24" i="295" s="1"/>
  <c r="X23" i="295"/>
  <c r="G24" i="295"/>
  <c r="H24" i="295" s="1"/>
  <c r="H23" i="295"/>
  <c r="Q23" i="295"/>
  <c r="R20" i="295"/>
  <c r="AC24" i="295"/>
  <c r="AD24" i="295" s="1"/>
  <c r="AD23" i="295"/>
  <c r="K46" i="295"/>
  <c r="K53" i="295" s="1"/>
  <c r="K54" i="295" s="1"/>
  <c r="K55" i="295" s="1"/>
  <c r="H20" i="295"/>
  <c r="U24" i="295"/>
  <c r="V24" i="295" s="1"/>
  <c r="V23" i="295"/>
  <c r="M24" i="295"/>
  <c r="N24" i="295" s="1"/>
  <c r="N23" i="295"/>
  <c r="X20" i="295"/>
  <c r="P20" i="295"/>
  <c r="B43" i="18"/>
  <c r="K21" i="294"/>
  <c r="K20" i="294"/>
  <c r="F13" i="294"/>
  <c r="B2" i="294"/>
  <c r="P99" i="186"/>
  <c r="Q99" i="186" s="1"/>
  <c r="P100" i="186"/>
  <c r="Q100" i="186" s="1"/>
  <c r="P101" i="186"/>
  <c r="Q101" i="186" s="1"/>
  <c r="P102" i="186"/>
  <c r="Q102" i="186" s="1"/>
  <c r="P103" i="186"/>
  <c r="Q103" i="186" s="1"/>
  <c r="P98" i="186"/>
  <c r="Q98" i="186" s="1"/>
  <c r="N104" i="186"/>
  <c r="P104" i="186" s="1"/>
  <c r="Q104" i="186" s="1"/>
  <c r="K124" i="186"/>
  <c r="K123" i="186"/>
  <c r="O123" i="186" s="1"/>
  <c r="K122" i="186"/>
  <c r="O122" i="186" s="1"/>
  <c r="K121" i="186"/>
  <c r="O121" i="186" s="1"/>
  <c r="K120" i="186"/>
  <c r="O120" i="186" s="1"/>
  <c r="K119" i="186"/>
  <c r="O119" i="186" s="1"/>
  <c r="K118" i="186"/>
  <c r="O118" i="186" s="1"/>
  <c r="G124" i="186"/>
  <c r="O124" i="186" s="1"/>
  <c r="C83" i="256" l="1"/>
  <c r="C46" i="143"/>
  <c r="C40" i="212"/>
  <c r="C40" i="189"/>
  <c r="C39" i="241"/>
  <c r="C38" i="256"/>
  <c r="C40" i="214"/>
  <c r="C40" i="220"/>
  <c r="C38" i="85"/>
  <c r="D46" i="295"/>
  <c r="D47" i="295" s="1"/>
  <c r="I13" i="155" s="1"/>
  <c r="AF46" i="295"/>
  <c r="AF47" i="295" s="1"/>
  <c r="M46" i="295"/>
  <c r="M53" i="295" s="1"/>
  <c r="M54" i="295" s="1"/>
  <c r="M55" i="295" s="1"/>
  <c r="Z46" i="295"/>
  <c r="Z47" i="295" s="1"/>
  <c r="G46" i="295"/>
  <c r="G53" i="295" s="1"/>
  <c r="G54" i="295" s="1"/>
  <c r="G55" i="295" s="1"/>
  <c r="W46" i="295"/>
  <c r="W53" i="295" s="1"/>
  <c r="W54" i="295" s="1"/>
  <c r="W55" i="295" s="1"/>
  <c r="F14" i="293"/>
  <c r="I18" i="155"/>
  <c r="I21" i="155"/>
  <c r="F16" i="293"/>
  <c r="H46" i="295"/>
  <c r="H47" i="295" s="1"/>
  <c r="I14" i="155" s="1"/>
  <c r="AC46" i="295"/>
  <c r="AC53" i="295" s="1"/>
  <c r="AC54" i="295" s="1"/>
  <c r="AC55" i="295" s="1"/>
  <c r="AD46" i="295"/>
  <c r="AD47" i="295" s="1"/>
  <c r="I15" i="155" s="1"/>
  <c r="AB46" i="295"/>
  <c r="AB47" i="295" s="1"/>
  <c r="I16" i="155" s="1"/>
  <c r="X46" i="295"/>
  <c r="X47" i="295" s="1"/>
  <c r="O46" i="295"/>
  <c r="O53" i="295" s="1"/>
  <c r="O54" i="295" s="1"/>
  <c r="O55" i="295" s="1"/>
  <c r="L46" i="295"/>
  <c r="L47" i="295" s="1"/>
  <c r="E46" i="295"/>
  <c r="E53" i="295" s="1"/>
  <c r="E54" i="295" s="1"/>
  <c r="E55" i="295" s="1"/>
  <c r="C46" i="295"/>
  <c r="C53" i="295" s="1"/>
  <c r="C54" i="295" s="1"/>
  <c r="C55" i="295" s="1"/>
  <c r="Q24" i="295"/>
  <c r="R24" i="295" s="1"/>
  <c r="R23" i="295"/>
  <c r="N46" i="295"/>
  <c r="N47" i="295" s="1"/>
  <c r="I17" i="155" s="1"/>
  <c r="S46" i="295"/>
  <c r="S53" i="295" s="1"/>
  <c r="S54" i="295" s="1"/>
  <c r="S55" i="295" s="1"/>
  <c r="U46" i="295"/>
  <c r="U53" i="295" s="1"/>
  <c r="U54" i="295" s="1"/>
  <c r="U55" i="295" s="1"/>
  <c r="V20" i="295"/>
  <c r="V46" i="295" s="1"/>
  <c r="V47" i="295" s="1"/>
  <c r="P46" i="295"/>
  <c r="P47" i="295" s="1"/>
  <c r="I24" i="295"/>
  <c r="J24" i="295" s="1"/>
  <c r="J23" i="295"/>
  <c r="AA46" i="295"/>
  <c r="AA53" i="295" s="1"/>
  <c r="AA54" i="295" s="1"/>
  <c r="AA55" i="295" s="1"/>
  <c r="K13" i="294"/>
  <c r="K27" i="294" s="1"/>
  <c r="B92" i="222"/>
  <c r="D92" i="222" s="1"/>
  <c r="N60" i="186" s="1"/>
  <c r="Q60" i="186" s="1"/>
  <c r="I10" i="186"/>
  <c r="J46" i="295" l="1"/>
  <c r="J47" i="295" s="1"/>
  <c r="F15" i="293"/>
  <c r="I20" i="155"/>
  <c r="R46" i="295"/>
  <c r="R47" i="295" s="1"/>
  <c r="I19" i="155" s="1"/>
  <c r="C41" i="214"/>
  <c r="C39" i="256"/>
  <c r="C39" i="189"/>
  <c r="C40" i="241"/>
  <c r="C39" i="212"/>
  <c r="C47" i="143"/>
  <c r="C39" i="85"/>
  <c r="C40" i="291"/>
  <c r="C84" i="256"/>
  <c r="C39" i="220"/>
  <c r="H6" i="173"/>
  <c r="I13" i="294"/>
  <c r="Q46" i="295"/>
  <c r="Q53" i="295" s="1"/>
  <c r="Q54" i="295" s="1"/>
  <c r="Q55" i="295" s="1"/>
  <c r="I46" i="295"/>
  <c r="I53" i="295" s="1"/>
  <c r="K30" i="294"/>
  <c r="G43" i="18" s="1"/>
  <c r="H43" i="18" s="1"/>
  <c r="F26" i="293"/>
  <c r="I54" i="295" l="1"/>
  <c r="I55" i="295" s="1"/>
  <c r="I7" i="187"/>
  <c r="D91" i="222"/>
  <c r="D93" i="222" s="1"/>
  <c r="E91" i="222"/>
  <c r="G33" i="293" l="1"/>
  <c r="F41" i="170" l="1"/>
  <c r="F40" i="170"/>
  <c r="F39" i="170"/>
  <c r="F38" i="170"/>
  <c r="F37" i="170"/>
  <c r="F13" i="72"/>
  <c r="G14" i="293"/>
  <c r="O152" i="186" l="1"/>
  <c r="N59" i="186" l="1"/>
  <c r="O32" i="186" l="1"/>
  <c r="N46" i="186"/>
  <c r="H13" i="289"/>
  <c r="H17" i="289"/>
  <c r="H42" i="289"/>
  <c r="H41" i="289"/>
  <c r="H38" i="289"/>
  <c r="H16" i="289"/>
  <c r="H71" i="289"/>
  <c r="H65" i="289"/>
  <c r="H28" i="289"/>
  <c r="H12" i="289"/>
  <c r="H75" i="289"/>
  <c r="H70" i="289"/>
  <c r="H32" i="289"/>
  <c r="H18" i="289"/>
  <c r="H72" i="289"/>
  <c r="H68" i="289"/>
  <c r="H34" i="289"/>
  <c r="H29" i="289"/>
  <c r="H23" i="289"/>
  <c r="H15" i="289"/>
  <c r="H73" i="289"/>
  <c r="H67" i="289"/>
  <c r="H35" i="289"/>
  <c r="H30" i="289"/>
  <c r="H24" i="289"/>
  <c r="H14" i="289"/>
  <c r="Q187" i="186"/>
  <c r="O195" i="186" l="1"/>
  <c r="Q196" i="186" l="1"/>
  <c r="E34" i="143" l="1"/>
  <c r="I32" i="167" l="1"/>
  <c r="J51" i="155"/>
  <c r="F6" i="173" l="1"/>
  <c r="H27" i="289"/>
  <c r="H69" i="289"/>
  <c r="H66" i="289"/>
  <c r="B65" i="289"/>
  <c r="A53" i="289"/>
  <c r="A80" i="289" s="1"/>
  <c r="A52" i="289"/>
  <c r="A79" i="289" s="1"/>
  <c r="A51" i="289"/>
  <c r="A78" i="289" s="1"/>
  <c r="A33" i="289"/>
  <c r="A76" i="289" s="1"/>
  <c r="A20" i="289"/>
  <c r="A71" i="289" s="1"/>
  <c r="H19" i="289"/>
  <c r="E18" i="289"/>
  <c r="A11" i="289"/>
  <c r="A64" i="289" s="1"/>
  <c r="A10" i="289"/>
  <c r="A63" i="289" s="1"/>
  <c r="A9" i="289"/>
  <c r="A62" i="289" s="1"/>
  <c r="A12" i="289"/>
  <c r="A65" i="289" s="1"/>
  <c r="B11" i="289"/>
  <c r="B64" i="289" s="1"/>
  <c r="B9" i="289"/>
  <c r="B62" i="289" s="1"/>
  <c r="B10" i="289"/>
  <c r="B63" i="289" s="1"/>
  <c r="I30" i="167"/>
  <c r="I31" i="167"/>
  <c r="I29" i="167"/>
  <c r="I28" i="167"/>
  <c r="I27" i="167"/>
  <c r="J50" i="155"/>
  <c r="J49" i="155"/>
  <c r="J48" i="155"/>
  <c r="J47" i="155"/>
  <c r="J46" i="155"/>
  <c r="J44" i="155" l="1"/>
  <c r="I25" i="167"/>
  <c r="E68" i="289"/>
  <c r="G68" i="289" s="1"/>
  <c r="I68" i="289" s="1"/>
  <c r="E69" i="289"/>
  <c r="G69" i="289" s="1"/>
  <c r="I69" i="289" s="1"/>
  <c r="E70" i="289"/>
  <c r="G70" i="289" s="1"/>
  <c r="I70" i="289" s="1"/>
  <c r="E66" i="289"/>
  <c r="G66" i="289" s="1"/>
  <c r="I66" i="289" s="1"/>
  <c r="E65" i="289"/>
  <c r="G65" i="289" s="1"/>
  <c r="I65" i="289" s="1"/>
  <c r="E67" i="289"/>
  <c r="G67" i="289" s="1"/>
  <c r="I67" i="289" s="1"/>
  <c r="E71" i="289"/>
  <c r="E15" i="289"/>
  <c r="E19" i="289"/>
  <c r="E14" i="289"/>
  <c r="E16" i="289"/>
  <c r="G16" i="289" s="1"/>
  <c r="E17" i="289"/>
  <c r="E13" i="289"/>
  <c r="G13" i="289" s="1"/>
  <c r="E12" i="289"/>
  <c r="H30" i="170"/>
  <c r="H29" i="170"/>
  <c r="H27" i="170"/>
  <c r="I10" i="170"/>
  <c r="F40" i="155"/>
  <c r="F39" i="155"/>
  <c r="F32" i="155"/>
  <c r="F27" i="155"/>
  <c r="F28" i="155"/>
  <c r="F26" i="155"/>
  <c r="F14" i="155"/>
  <c r="F13" i="155"/>
  <c r="I9" i="170" s="1"/>
  <c r="F15" i="155"/>
  <c r="F16" i="155"/>
  <c r="F17" i="155"/>
  <c r="F18" i="155"/>
  <c r="F19" i="155"/>
  <c r="F20" i="155"/>
  <c r="F21" i="155"/>
  <c r="F22" i="155"/>
  <c r="G12" i="289" l="1"/>
  <c r="I12" i="289" s="1"/>
  <c r="C14" i="185"/>
  <c r="C13" i="185"/>
  <c r="B14" i="185"/>
  <c r="B13" i="185"/>
  <c r="C10" i="185"/>
  <c r="B10" i="185"/>
  <c r="D24" i="214"/>
  <c r="F24" i="214" s="1"/>
  <c r="C24" i="214"/>
  <c r="A24" i="214"/>
  <c r="D34" i="143" l="1"/>
  <c r="F34" i="143" s="1"/>
  <c r="D19" i="143"/>
  <c r="F19" i="143" s="1"/>
  <c r="A19" i="143"/>
  <c r="D33" i="143"/>
  <c r="D32" i="143"/>
  <c r="D18" i="143"/>
  <c r="F18" i="143" s="1"/>
  <c r="A18" i="143"/>
  <c r="D30" i="143"/>
  <c r="C38" i="143"/>
  <c r="D38" i="143" s="1"/>
  <c r="D29" i="143"/>
  <c r="D28" i="143"/>
  <c r="F28" i="143" s="1"/>
  <c r="A28" i="143"/>
  <c r="D17" i="143"/>
  <c r="F17" i="143" s="1"/>
  <c r="A17" i="143"/>
  <c r="G10" i="241"/>
  <c r="B10" i="241"/>
  <c r="G7" i="241"/>
  <c r="D17" i="214"/>
  <c r="F17" i="214" s="1"/>
  <c r="A17" i="214"/>
  <c r="G10" i="214" l="1"/>
  <c r="B10" i="214"/>
  <c r="G7" i="214"/>
  <c r="A52" i="291"/>
  <c r="A51" i="85" s="1"/>
  <c r="A51" i="264" s="1"/>
  <c r="A53" i="291"/>
  <c r="A52" i="85" s="1"/>
  <c r="A52" i="264" s="1"/>
  <c r="A51" i="291"/>
  <c r="G10" i="85" l="1"/>
  <c r="B10" i="85"/>
  <c r="G7" i="85"/>
  <c r="D12" i="190"/>
  <c r="K140" i="186" l="1"/>
  <c r="K95" i="186"/>
  <c r="K82" i="186"/>
  <c r="M82" i="186"/>
  <c r="D79" i="186"/>
  <c r="D78" i="186"/>
  <c r="D77" i="186"/>
  <c r="Q59" i="186"/>
  <c r="Q73" i="186" s="1"/>
  <c r="F17" i="18" s="1"/>
  <c r="D56" i="186"/>
  <c r="D55" i="186"/>
  <c r="D54" i="186"/>
  <c r="F10" i="186"/>
  <c r="D43" i="186"/>
  <c r="D42" i="186"/>
  <c r="D41" i="186"/>
  <c r="D29" i="186"/>
  <c r="D28" i="186"/>
  <c r="D27" i="186"/>
  <c r="E38" i="143"/>
  <c r="F38" i="143" s="1"/>
  <c r="G43" i="143" s="1"/>
  <c r="D31" i="72"/>
  <c r="K152" i="186" l="1"/>
  <c r="L152" i="186" s="1"/>
  <c r="K205" i="186"/>
  <c r="K19" i="186"/>
  <c r="K164" i="186"/>
  <c r="Q152" i="186" l="1"/>
  <c r="Q159" i="186" s="1"/>
  <c r="C27" i="185" l="1"/>
  <c r="F41" i="18" l="1"/>
  <c r="B2" i="293" l="1"/>
  <c r="G26" i="293"/>
  <c r="G25" i="293"/>
  <c r="G24" i="293"/>
  <c r="G23" i="293"/>
  <c r="G15" i="293"/>
  <c r="G16" i="293" s="1"/>
  <c r="F24" i="293" s="1"/>
  <c r="F25" i="293" s="1"/>
  <c r="H23" i="293" l="1"/>
  <c r="H44" i="289" l="1"/>
  <c r="H45" i="289"/>
  <c r="H46" i="289"/>
  <c r="H39" i="289" l="1"/>
  <c r="H37" i="289"/>
  <c r="I20" i="187"/>
  <c r="H24" i="170"/>
  <c r="H26" i="170"/>
  <c r="H25" i="170"/>
  <c r="H26" i="289" l="1"/>
  <c r="H21" i="289"/>
  <c r="H20" i="289"/>
  <c r="H47" i="289"/>
  <c r="H50" i="289"/>
  <c r="H36" i="289"/>
  <c r="H25" i="289"/>
  <c r="H40" i="289"/>
  <c r="H43" i="289"/>
  <c r="H49" i="289"/>
  <c r="H31" i="289"/>
  <c r="H74" i="289"/>
  <c r="H33" i="289"/>
  <c r="H22" i="289"/>
  <c r="I16" i="289"/>
  <c r="H77" i="289"/>
  <c r="H76" i="289"/>
  <c r="H48" i="289"/>
  <c r="G7" i="187" l="1"/>
  <c r="G20" i="187" s="1"/>
  <c r="J20" i="187" s="1"/>
  <c r="D29" i="190" l="1"/>
  <c r="D26" i="190" l="1"/>
  <c r="E32" i="214" s="1"/>
  <c r="I62" i="289" l="1"/>
  <c r="I9" i="289"/>
  <c r="E33" i="256"/>
  <c r="E122" i="256" s="1"/>
  <c r="E32" i="256"/>
  <c r="E121" i="256" s="1"/>
  <c r="E31" i="256"/>
  <c r="E76" i="256" s="1"/>
  <c r="E31" i="241"/>
  <c r="E30" i="264"/>
  <c r="C9" i="185"/>
  <c r="B9" i="185"/>
  <c r="E31" i="291"/>
  <c r="C31" i="291"/>
  <c r="D31" i="291" s="1"/>
  <c r="D15" i="291"/>
  <c r="D14" i="291"/>
  <c r="F14" i="291" s="1"/>
  <c r="A15" i="291"/>
  <c r="A14" i="291"/>
  <c r="B10" i="291"/>
  <c r="G10" i="291"/>
  <c r="G7" i="291"/>
  <c r="A7" i="291"/>
  <c r="G28" i="291"/>
  <c r="E15" i="291"/>
  <c r="N19" i="186"/>
  <c r="L19" i="186"/>
  <c r="D16" i="186"/>
  <c r="D15" i="186"/>
  <c r="D14" i="186"/>
  <c r="E77" i="256" l="1"/>
  <c r="F15" i="291"/>
  <c r="E120" i="256"/>
  <c r="E78" i="256"/>
  <c r="F31" i="291"/>
  <c r="G36" i="291" s="1"/>
  <c r="A7" i="143" l="1"/>
  <c r="A7" i="241"/>
  <c r="A7" i="214"/>
  <c r="A7" i="85"/>
  <c r="H24" i="293"/>
  <c r="M19" i="186" l="1"/>
  <c r="Q19" i="186" s="1"/>
  <c r="Q22" i="186" l="1"/>
  <c r="Q23" i="186" s="1"/>
  <c r="F11" i="18" s="1"/>
  <c r="D24" i="220" l="1"/>
  <c r="C24" i="220"/>
  <c r="A24" i="220"/>
  <c r="D23" i="220"/>
  <c r="C23" i="220"/>
  <c r="A23" i="220"/>
  <c r="D17" i="220"/>
  <c r="A17" i="220"/>
  <c r="L194" i="186" l="1"/>
  <c r="M205" i="186"/>
  <c r="D22" i="256" l="1"/>
  <c r="G12" i="173" l="1"/>
  <c r="H12" i="173" s="1"/>
  <c r="F10" i="173"/>
  <c r="G9" i="173"/>
  <c r="H9" i="173" s="1"/>
  <c r="G64" i="289" l="1"/>
  <c r="I64" i="289" s="1"/>
  <c r="I63" i="289"/>
  <c r="I51" i="289"/>
  <c r="I52" i="289"/>
  <c r="I53" i="289"/>
  <c r="G11" i="289" l="1"/>
  <c r="I11" i="289" s="1"/>
  <c r="E73" i="289"/>
  <c r="G73" i="289" s="1"/>
  <c r="I80" i="289"/>
  <c r="I79" i="289"/>
  <c r="I78" i="289"/>
  <c r="G48" i="289"/>
  <c r="G47" i="289"/>
  <c r="G46" i="289"/>
  <c r="G45" i="289"/>
  <c r="G44" i="289"/>
  <c r="G43" i="289"/>
  <c r="G42" i="289"/>
  <c r="G41" i="289"/>
  <c r="G40" i="289"/>
  <c r="G39" i="289"/>
  <c r="G38" i="289"/>
  <c r="G37" i="289"/>
  <c r="G36" i="289"/>
  <c r="G35" i="289"/>
  <c r="G34" i="289"/>
  <c r="G33" i="289"/>
  <c r="G27" i="289"/>
  <c r="G26" i="289"/>
  <c r="G25" i="289"/>
  <c r="G24" i="289"/>
  <c r="G23" i="289"/>
  <c r="G22" i="289"/>
  <c r="G21" i="289"/>
  <c r="G20" i="289"/>
  <c r="G17" i="289"/>
  <c r="G15" i="289"/>
  <c r="G14" i="289"/>
  <c r="I13" i="289"/>
  <c r="I10" i="289"/>
  <c r="I38" i="289" l="1"/>
  <c r="I44" i="289"/>
  <c r="I42" i="289"/>
  <c r="I26" i="289"/>
  <c r="I40" i="289"/>
  <c r="I73" i="289"/>
  <c r="I22" i="289"/>
  <c r="I36" i="289"/>
  <c r="I48" i="289"/>
  <c r="I24" i="289"/>
  <c r="I27" i="289"/>
  <c r="I37" i="289"/>
  <c r="I46" i="289"/>
  <c r="I41" i="289"/>
  <c r="I20" i="289"/>
  <c r="I14" i="289"/>
  <c r="I17" i="289"/>
  <c r="I34" i="289"/>
  <c r="I39" i="289"/>
  <c r="I25" i="289"/>
  <c r="I35" i="289"/>
  <c r="I23" i="289"/>
  <c r="I33" i="289"/>
  <c r="I45" i="289"/>
  <c r="I47" i="289"/>
  <c r="I15" i="289"/>
  <c r="I21" i="289"/>
  <c r="I43" i="289"/>
  <c r="E74" i="289"/>
  <c r="G74" i="289" s="1"/>
  <c r="I74" i="289" s="1"/>
  <c r="E30" i="289"/>
  <c r="G30" i="289" s="1"/>
  <c r="I30" i="289" s="1"/>
  <c r="E28" i="289"/>
  <c r="G28" i="289" s="1"/>
  <c r="I28" i="289" s="1"/>
  <c r="E31" i="289"/>
  <c r="G31" i="289" s="1"/>
  <c r="I31" i="289" s="1"/>
  <c r="E72" i="289"/>
  <c r="G72" i="289" s="1"/>
  <c r="I72" i="289" s="1"/>
  <c r="E29" i="289"/>
  <c r="G29" i="289" s="1"/>
  <c r="I29" i="289" s="1"/>
  <c r="E32" i="289"/>
  <c r="G32" i="289" s="1"/>
  <c r="I32" i="289" s="1"/>
  <c r="E75" i="289"/>
  <c r="G75" i="289" s="1"/>
  <c r="I75" i="289" s="1"/>
  <c r="G71" i="289"/>
  <c r="I71" i="289" s="1"/>
  <c r="B218" i="186" l="1"/>
  <c r="B219" i="186"/>
  <c r="C11" i="185" l="1"/>
  <c r="B11" i="185"/>
  <c r="D15" i="256" l="1"/>
  <c r="E15" i="256"/>
  <c r="E14" i="256"/>
  <c r="F15" i="256" l="1"/>
  <c r="B120" i="256" l="1"/>
  <c r="B76" i="256"/>
  <c r="B31" i="256"/>
  <c r="D115" i="256"/>
  <c r="E15" i="143"/>
  <c r="E16" i="143" s="1"/>
  <c r="D16" i="143"/>
  <c r="D15" i="143"/>
  <c r="A16" i="143"/>
  <c r="A15" i="143"/>
  <c r="A14" i="143"/>
  <c r="A7" i="256"/>
  <c r="C23" i="241"/>
  <c r="A16" i="241"/>
  <c r="A15" i="241"/>
  <c r="A14" i="241"/>
  <c r="A15" i="214"/>
  <c r="A14" i="214"/>
  <c r="D22" i="85"/>
  <c r="E14" i="85"/>
  <c r="A15" i="85"/>
  <c r="A14" i="85"/>
  <c r="Q46" i="186"/>
  <c r="C30" i="264"/>
  <c r="D30" i="264" s="1"/>
  <c r="G10" i="264"/>
  <c r="B10" i="264"/>
  <c r="G7" i="264"/>
  <c r="A7" i="264"/>
  <c r="G43" i="264"/>
  <c r="G27" i="264"/>
  <c r="G19" i="264"/>
  <c r="Q32" i="186"/>
  <c r="F15" i="143" l="1"/>
  <c r="Q36" i="186"/>
  <c r="F12" i="18" s="1"/>
  <c r="Q50" i="186"/>
  <c r="F13" i="18" s="1"/>
  <c r="F16" i="143"/>
  <c r="F30" i="264"/>
  <c r="G35" i="264" s="1"/>
  <c r="G45" i="264" l="1"/>
  <c r="K194" i="186"/>
  <c r="Q205" i="186"/>
  <c r="G13" i="18" l="1"/>
  <c r="H13" i="18" s="1"/>
  <c r="D11" i="185" s="1"/>
  <c r="H11" i="185" s="1"/>
  <c r="Q194" i="186"/>
  <c r="N195" i="186"/>
  <c r="Q195" i="186" s="1"/>
  <c r="A59" i="143"/>
  <c r="A60" i="143"/>
  <c r="A58" i="143"/>
  <c r="C115" i="256"/>
  <c r="F115" i="256" s="1"/>
  <c r="E128" i="256"/>
  <c r="B122" i="256"/>
  <c r="B121" i="256"/>
  <c r="B78" i="256"/>
  <c r="B77" i="256"/>
  <c r="E39" i="256"/>
  <c r="B33" i="256"/>
  <c r="B32" i="256"/>
  <c r="C26" i="256"/>
  <c r="C71" i="256" s="1"/>
  <c r="F71" i="256" s="1"/>
  <c r="C24" i="256"/>
  <c r="C23" i="256"/>
  <c r="C22" i="256"/>
  <c r="D60" i="256"/>
  <c r="F60" i="256" s="1"/>
  <c r="D14" i="256"/>
  <c r="D103" i="256" s="1"/>
  <c r="F103" i="256" s="1"/>
  <c r="A52" i="256"/>
  <c r="A96" i="256" s="1"/>
  <c r="Q197" i="186" l="1"/>
  <c r="D104" i="256"/>
  <c r="F104" i="256" s="1"/>
  <c r="G108" i="256" s="1"/>
  <c r="F14" i="256"/>
  <c r="D59" i="256"/>
  <c r="F59" i="256" s="1"/>
  <c r="G64" i="256" s="1"/>
  <c r="C67" i="256"/>
  <c r="F67" i="256" s="1"/>
  <c r="C69" i="256"/>
  <c r="F69" i="256" s="1"/>
  <c r="C111" i="256"/>
  <c r="F111" i="256" s="1"/>
  <c r="C113" i="256"/>
  <c r="F113" i="256" s="1"/>
  <c r="C68" i="256"/>
  <c r="F68" i="256" s="1"/>
  <c r="C112" i="256"/>
  <c r="F112" i="256" s="1"/>
  <c r="F22" i="256"/>
  <c r="F23" i="256"/>
  <c r="F24" i="256"/>
  <c r="F26" i="256"/>
  <c r="G19" i="256" l="1"/>
  <c r="C15" i="185"/>
  <c r="B15" i="185"/>
  <c r="B8" i="185" l="1"/>
  <c r="M164" i="186"/>
  <c r="M140" i="186"/>
  <c r="A52" i="241" l="1"/>
  <c r="A51" i="241"/>
  <c r="A50" i="241"/>
  <c r="E40" i="241"/>
  <c r="B31" i="241"/>
  <c r="D16" i="241"/>
  <c r="E15" i="241"/>
  <c r="E16" i="241" s="1"/>
  <c r="D15" i="241"/>
  <c r="D14" i="241"/>
  <c r="F14" i="241" s="1"/>
  <c r="F16" i="241" l="1"/>
  <c r="F15" i="241"/>
  <c r="D24" i="241"/>
  <c r="F24" i="241" s="1"/>
  <c r="C25" i="256"/>
  <c r="D23" i="241"/>
  <c r="F23" i="241" s="1"/>
  <c r="L95" i="186"/>
  <c r="N95" i="186" s="1"/>
  <c r="N82" i="186"/>
  <c r="Q82" i="186" s="1"/>
  <c r="Q87" i="186" s="1"/>
  <c r="F18" i="18" s="1"/>
  <c r="Q95" i="186" l="1"/>
  <c r="G28" i="241"/>
  <c r="C114" i="256"/>
  <c r="F114" i="256" s="1"/>
  <c r="G117" i="256" s="1"/>
  <c r="C70" i="256"/>
  <c r="F70" i="256" s="1"/>
  <c r="G73" i="256" s="1"/>
  <c r="F25" i="256"/>
  <c r="G28" i="256" s="1"/>
  <c r="H14" i="173"/>
  <c r="Q107" i="186" l="1"/>
  <c r="Q160" i="186" s="1"/>
  <c r="E31" i="143" s="1"/>
  <c r="F31" i="143" s="1"/>
  <c r="F19" i="18" l="1"/>
  <c r="B19" i="185"/>
  <c r="C19" i="185"/>
  <c r="Q209" i="186" l="1"/>
  <c r="D202" i="186" l="1"/>
  <c r="D201" i="186"/>
  <c r="D200" i="186"/>
  <c r="G11" i="220"/>
  <c r="B11" i="220"/>
  <c r="G8" i="220"/>
  <c r="A51" i="220"/>
  <c r="A50" i="220"/>
  <c r="A49" i="220"/>
  <c r="E40" i="220"/>
  <c r="G36" i="220"/>
  <c r="F24" i="220"/>
  <c r="F23" i="220"/>
  <c r="E17" i="220"/>
  <c r="D16" i="220"/>
  <c r="F16" i="220" s="1"/>
  <c r="A8" i="220"/>
  <c r="F25" i="18" l="1"/>
  <c r="F17" i="220"/>
  <c r="G28" i="220"/>
  <c r="E40" i="212" l="1"/>
  <c r="D17" i="212"/>
  <c r="E17" i="212"/>
  <c r="D15" i="85"/>
  <c r="D14" i="85"/>
  <c r="D192" i="186" l="1"/>
  <c r="D191" i="186"/>
  <c r="D190" i="186"/>
  <c r="I115" i="186" l="1"/>
  <c r="I129" i="186" s="1"/>
  <c r="L140" i="186" l="1"/>
  <c r="O140" i="186" s="1"/>
  <c r="L164" i="186" l="1"/>
  <c r="F115" i="186"/>
  <c r="F129" i="186" s="1"/>
  <c r="G115" i="186"/>
  <c r="G129" i="186" s="1"/>
  <c r="H115" i="186"/>
  <c r="M115" i="186" s="1"/>
  <c r="E115" i="186"/>
  <c r="E129" i="186" s="1"/>
  <c r="O115" i="186" l="1"/>
  <c r="H129" i="186"/>
  <c r="O126" i="186" l="1"/>
  <c r="O127" i="186" s="1"/>
  <c r="E30" i="143" s="1"/>
  <c r="F30" i="143" s="1"/>
  <c r="M129" i="186"/>
  <c r="O129" i="186" s="1"/>
  <c r="O135" i="186" s="1"/>
  <c r="O136" i="186" s="1"/>
  <c r="E29" i="143" s="1"/>
  <c r="F29" i="143" s="1"/>
  <c r="O164" i="186"/>
  <c r="N140" i="186"/>
  <c r="Q140" i="186" s="1"/>
  <c r="N164" i="186" l="1"/>
  <c r="Q164" i="186" s="1"/>
  <c r="Q170" i="186" l="1"/>
  <c r="Q171" i="186" s="1"/>
  <c r="Q147" i="186"/>
  <c r="Q148" i="186" s="1"/>
  <c r="E33" i="143" l="1"/>
  <c r="F33" i="143" s="1"/>
  <c r="E32" i="143"/>
  <c r="F32" i="143" s="1"/>
  <c r="F24" i="18"/>
  <c r="E25" i="293" l="1"/>
  <c r="H25" i="293" s="1"/>
  <c r="E26" i="293"/>
  <c r="H26" i="293" s="1"/>
  <c r="I23" i="167"/>
  <c r="H27" i="293" l="1"/>
  <c r="G8" i="212"/>
  <c r="G8" i="189"/>
  <c r="G7" i="143"/>
  <c r="G36" i="218"/>
  <c r="J8" i="187"/>
  <c r="J46" i="187"/>
  <c r="E26" i="218"/>
  <c r="E16" i="218"/>
  <c r="E15" i="218"/>
  <c r="E14" i="218"/>
  <c r="B2" i="218"/>
  <c r="G14" i="218"/>
  <c r="G15" i="218" s="1"/>
  <c r="G16" i="218" s="1"/>
  <c r="F24" i="218" s="1"/>
  <c r="F25" i="218" l="1"/>
  <c r="F26" i="218" s="1"/>
  <c r="F23" i="218" s="1"/>
  <c r="H26" i="218" l="1"/>
  <c r="H23" i="218"/>
  <c r="F27" i="218"/>
  <c r="I29" i="185" l="1"/>
  <c r="J29" i="185"/>
  <c r="K29" i="185"/>
  <c r="H29" i="185"/>
  <c r="D91" i="186"/>
  <c r="I11" i="170" l="1"/>
  <c r="I12" i="170" s="1"/>
  <c r="I13" i="170" s="1"/>
  <c r="I16" i="170" s="1"/>
  <c r="C18" i="185" l="1"/>
  <c r="C17" i="185"/>
  <c r="B217" i="186" l="1"/>
  <c r="D13" i="190" l="1"/>
  <c r="C122" i="256" l="1"/>
  <c r="D122" i="256" s="1"/>
  <c r="F122" i="256" s="1"/>
  <c r="C33" i="256"/>
  <c r="D33" i="256" s="1"/>
  <c r="F33" i="256" s="1"/>
  <c r="B18" i="185"/>
  <c r="B17" i="185"/>
  <c r="E27" i="218" l="1"/>
  <c r="H27" i="218" s="1"/>
  <c r="A53" i="214" l="1"/>
  <c r="A52" i="214"/>
  <c r="A51" i="214"/>
  <c r="E41" i="214"/>
  <c r="D16" i="214"/>
  <c r="A16" i="214"/>
  <c r="E16" i="214"/>
  <c r="D15" i="214"/>
  <c r="D14" i="214"/>
  <c r="F14" i="214" s="1"/>
  <c r="F16" i="214" l="1"/>
  <c r="F15" i="214"/>
  <c r="G29" i="214"/>
  <c r="G21" i="214" l="1"/>
  <c r="D24" i="212" l="1"/>
  <c r="F24" i="212" s="1"/>
  <c r="D25" i="212"/>
  <c r="F25" i="212" s="1"/>
  <c r="D23" i="212"/>
  <c r="A24" i="212"/>
  <c r="A25" i="212"/>
  <c r="A23" i="212"/>
  <c r="F17" i="212"/>
  <c r="G11" i="212"/>
  <c r="B11" i="212"/>
  <c r="A51" i="212"/>
  <c r="A50" i="212"/>
  <c r="A49" i="212"/>
  <c r="G36" i="212"/>
  <c r="D16" i="212"/>
  <c r="F16" i="212" s="1"/>
  <c r="A8" i="212"/>
  <c r="D92" i="186" l="1"/>
  <c r="D90" i="186"/>
  <c r="D27" i="143"/>
  <c r="F27" i="143" s="1"/>
  <c r="D14" i="143"/>
  <c r="F14" i="143" s="1"/>
  <c r="F22" i="85" l="1"/>
  <c r="F15" i="85"/>
  <c r="C12" i="185" l="1"/>
  <c r="F23" i="18" l="1"/>
  <c r="D173" i="186" l="1"/>
  <c r="D174" i="186"/>
  <c r="D175" i="186"/>
  <c r="I31" i="187" l="1"/>
  <c r="I32" i="187" s="1"/>
  <c r="G28" i="187"/>
  <c r="G29" i="187" s="1"/>
  <c r="I15" i="187"/>
  <c r="G34" i="187" l="1"/>
  <c r="I34" i="187"/>
  <c r="I28" i="187"/>
  <c r="I29" i="187" s="1"/>
  <c r="I16" i="187"/>
  <c r="I17" i="187" s="1"/>
  <c r="I18" i="187" s="1"/>
  <c r="I19" i="187" s="1"/>
  <c r="D14" i="190" l="1"/>
  <c r="B2" i="167"/>
  <c r="C32" i="256" l="1"/>
  <c r="C121" i="256"/>
  <c r="D121" i="256" s="1"/>
  <c r="F121" i="256" s="1"/>
  <c r="D16" i="190"/>
  <c r="C77" i="256" l="1"/>
  <c r="D77" i="256" s="1"/>
  <c r="D32" i="256"/>
  <c r="F32" i="256" s="1"/>
  <c r="D17" i="190"/>
  <c r="C32" i="214" s="1"/>
  <c r="D32" i="214" s="1"/>
  <c r="F32" i="214" s="1"/>
  <c r="C31" i="241" l="1"/>
  <c r="D31" i="241" s="1"/>
  <c r="C78" i="256"/>
  <c r="D78" i="256" s="1"/>
  <c r="F78" i="256" s="1"/>
  <c r="F77" i="256"/>
  <c r="F31" i="241" l="1"/>
  <c r="G36" i="241" s="1"/>
  <c r="G37" i="214"/>
  <c r="C76" i="256"/>
  <c r="D76" i="256" s="1"/>
  <c r="F76" i="256" s="1"/>
  <c r="G80" i="256" s="1"/>
  <c r="C120" i="256"/>
  <c r="C31" i="256"/>
  <c r="D31" i="256" s="1"/>
  <c r="F31" i="256" s="1"/>
  <c r="G35" i="256" s="1"/>
  <c r="C16" i="185"/>
  <c r="B16" i="185"/>
  <c r="D16" i="189"/>
  <c r="F16" i="189" s="1"/>
  <c r="G11" i="189"/>
  <c r="B11" i="189"/>
  <c r="A8" i="189"/>
  <c r="D120" i="256" l="1"/>
  <c r="F120" i="256" s="1"/>
  <c r="G124" i="256" s="1"/>
  <c r="F33" i="18" l="1"/>
  <c r="F34" i="18"/>
  <c r="D25" i="189" l="1"/>
  <c r="F25" i="189" s="1"/>
  <c r="D24" i="189"/>
  <c r="B41" i="190"/>
  <c r="B40" i="190"/>
  <c r="B39" i="190"/>
  <c r="A51" i="189" l="1"/>
  <c r="A50" i="189"/>
  <c r="A49" i="189"/>
  <c r="G36" i="189"/>
  <c r="F24" i="189"/>
  <c r="B47" i="73" l="1"/>
  <c r="B48" i="73"/>
  <c r="B46" i="73"/>
  <c r="B70" i="72"/>
  <c r="B71" i="72"/>
  <c r="B69" i="72"/>
  <c r="B26" i="173"/>
  <c r="B38" i="293" s="1"/>
  <c r="B27" i="173"/>
  <c r="B39" i="293" s="1"/>
  <c r="B25" i="173"/>
  <c r="B37" i="293" s="1"/>
  <c r="C58" i="187"/>
  <c r="C57" i="187"/>
  <c r="C56" i="187"/>
  <c r="B50" i="167"/>
  <c r="B51" i="167"/>
  <c r="B49" i="167"/>
  <c r="B73" i="155"/>
  <c r="B62" i="170" s="1"/>
  <c r="B90" i="289" s="1"/>
  <c r="B74" i="155"/>
  <c r="B63" i="170" s="1"/>
  <c r="B91" i="289" s="1"/>
  <c r="B72" i="155"/>
  <c r="B61" i="170" s="1"/>
  <c r="B89" i="289" s="1"/>
  <c r="B43" i="185"/>
  <c r="B44" i="185"/>
  <c r="B42" i="185"/>
  <c r="A50" i="85" l="1"/>
  <c r="A50" i="264" s="1"/>
  <c r="B12" i="185" l="1"/>
  <c r="B2" i="190" l="1"/>
  <c r="F31" i="185" l="1"/>
  <c r="E31" i="185"/>
  <c r="I17" i="170" l="1"/>
  <c r="I18" i="170" s="1"/>
  <c r="F22" i="170" s="1"/>
  <c r="F24" i="170" l="1"/>
  <c r="F25" i="170" s="1"/>
  <c r="F26" i="170" s="1"/>
  <c r="F27" i="170" s="1"/>
  <c r="F29" i="170" s="1"/>
  <c r="E23" i="170"/>
  <c r="F31" i="170" l="1"/>
  <c r="E30" i="170"/>
  <c r="J30" i="170" s="1"/>
  <c r="J19" i="155"/>
  <c r="K19" i="155" s="1"/>
  <c r="K32" i="155" l="1"/>
  <c r="J31" i="170"/>
  <c r="F14" i="85" l="1"/>
  <c r="G27" i="85"/>
  <c r="G35" i="85"/>
  <c r="J42" i="187" l="1"/>
  <c r="J43" i="187"/>
  <c r="J44" i="187"/>
  <c r="J45" i="187"/>
  <c r="B2" i="187" l="1"/>
  <c r="J41" i="187"/>
  <c r="J40" i="187"/>
  <c r="J39" i="187"/>
  <c r="J38" i="187"/>
  <c r="J37" i="187"/>
  <c r="J36" i="187"/>
  <c r="J35" i="187"/>
  <c r="J34" i="187"/>
  <c r="J33" i="187"/>
  <c r="J32" i="187"/>
  <c r="J31" i="187"/>
  <c r="J30" i="187"/>
  <c r="J29" i="187"/>
  <c r="J28" i="187"/>
  <c r="J27" i="187"/>
  <c r="J26" i="187"/>
  <c r="J19" i="187"/>
  <c r="J18" i="187"/>
  <c r="J17" i="187"/>
  <c r="J16" i="187"/>
  <c r="J15" i="187"/>
  <c r="J14" i="187"/>
  <c r="J13" i="187"/>
  <c r="J12" i="187"/>
  <c r="J11" i="187"/>
  <c r="J10" i="187"/>
  <c r="J9" i="187"/>
  <c r="J47" i="187" l="1"/>
  <c r="B2" i="170"/>
  <c r="B2" i="173"/>
  <c r="I6" i="173" l="1"/>
  <c r="H16" i="173" s="1"/>
  <c r="I34" i="167"/>
  <c r="B2" i="155" l="1"/>
  <c r="C2" i="186" l="1"/>
  <c r="J7" i="187" l="1"/>
  <c r="J21" i="187" s="1"/>
  <c r="B2" i="185" l="1"/>
  <c r="J48" i="187" l="1"/>
  <c r="G40" i="18" s="1"/>
  <c r="H40" i="18" l="1"/>
  <c r="D26" i="185" s="1"/>
  <c r="M40" i="18"/>
  <c r="I26" i="185" l="1"/>
  <c r="H26" i="185"/>
  <c r="G10" i="143"/>
  <c r="B10" i="143"/>
  <c r="B127" i="256" l="1"/>
  <c r="B128" i="256" l="1"/>
  <c r="D40" i="291" l="1"/>
  <c r="F40" i="291" s="1"/>
  <c r="G44" i="291" s="1"/>
  <c r="F16" i="291" s="1"/>
  <c r="G20" i="291" s="1"/>
  <c r="G46" i="291" s="1"/>
  <c r="G11" i="18" s="1"/>
  <c r="H14" i="293" l="1"/>
  <c r="H11" i="18"/>
  <c r="D47" i="143"/>
  <c r="F47" i="143" s="1"/>
  <c r="D84" i="256"/>
  <c r="F84" i="256" s="1"/>
  <c r="D40" i="241"/>
  <c r="F40" i="241" s="1"/>
  <c r="D39" i="220"/>
  <c r="F39" i="220" s="1"/>
  <c r="D39" i="189"/>
  <c r="F39" i="189" s="1"/>
  <c r="D41" i="214"/>
  <c r="F41" i="214" s="1"/>
  <c r="D39" i="212"/>
  <c r="F39" i="212" s="1"/>
  <c r="D39" i="85"/>
  <c r="F39" i="85" s="1"/>
  <c r="D9" i="185" l="1"/>
  <c r="H9" i="185" s="1"/>
  <c r="D46" i="143"/>
  <c r="F46" i="143" s="1"/>
  <c r="D83" i="256"/>
  <c r="F83" i="256" s="1"/>
  <c r="G87" i="256" s="1"/>
  <c r="G89" i="256" s="1"/>
  <c r="C128" i="256"/>
  <c r="D128" i="256" s="1"/>
  <c r="F128" i="256" s="1"/>
  <c r="D39" i="256"/>
  <c r="F39" i="256" s="1"/>
  <c r="D39" i="241"/>
  <c r="F39" i="241" s="1"/>
  <c r="G44" i="241" s="1"/>
  <c r="F17" i="241" s="1"/>
  <c r="G20" i="241" s="1"/>
  <c r="G46" i="241" s="1"/>
  <c r="D40" i="220"/>
  <c r="F40" i="220" s="1"/>
  <c r="G43" i="220" s="1"/>
  <c r="F15" i="220" s="1"/>
  <c r="G20" i="220" s="1"/>
  <c r="G45" i="220" s="1"/>
  <c r="G25" i="18" s="1"/>
  <c r="D40" i="214"/>
  <c r="F40" i="214" s="1"/>
  <c r="G45" i="214" s="1"/>
  <c r="D40" i="212"/>
  <c r="F40" i="212" s="1"/>
  <c r="G43" i="212" s="1"/>
  <c r="F15" i="212" s="1"/>
  <c r="G20" i="212" s="1"/>
  <c r="D40" i="189"/>
  <c r="F40" i="189" s="1"/>
  <c r="G43" i="189" s="1"/>
  <c r="G20" i="189" s="1"/>
  <c r="D38" i="85"/>
  <c r="F38" i="85" s="1"/>
  <c r="G43" i="85" s="1"/>
  <c r="J13" i="155"/>
  <c r="K13" i="155" s="1"/>
  <c r="I22" i="155"/>
  <c r="G18" i="18" l="1"/>
  <c r="H18" i="18" s="1"/>
  <c r="D14" i="185" s="1"/>
  <c r="H25" i="18"/>
  <c r="D19" i="185" s="1"/>
  <c r="I19" i="185" s="1"/>
  <c r="C127" i="256"/>
  <c r="D127" i="256" s="1"/>
  <c r="F127" i="256" s="1"/>
  <c r="G131" i="256" s="1"/>
  <c r="G133" i="256" s="1"/>
  <c r="D26" i="143" s="1"/>
  <c r="F26" i="143" s="1"/>
  <c r="G35" i="143" s="1"/>
  <c r="D38" i="256"/>
  <c r="F38" i="256" s="1"/>
  <c r="G42" i="256" s="1"/>
  <c r="G44" i="256" s="1"/>
  <c r="D23" i="189" s="1"/>
  <c r="F16" i="85"/>
  <c r="G19" i="85" s="1"/>
  <c r="G45" i="85" s="1"/>
  <c r="J22" i="155"/>
  <c r="K22" i="155" s="1"/>
  <c r="H14" i="185" l="1"/>
  <c r="I14" i="185"/>
  <c r="G12" i="18"/>
  <c r="H12" i="18" s="1"/>
  <c r="G47" i="214"/>
  <c r="F23" i="189"/>
  <c r="G28" i="189" s="1"/>
  <c r="F23" i="212"/>
  <c r="G28" i="212" s="1"/>
  <c r="G45" i="212" s="1"/>
  <c r="G24" i="18" s="1"/>
  <c r="A7" i="36"/>
  <c r="B197" i="36"/>
  <c r="D197" i="36" s="1"/>
  <c r="F197" i="36" s="1"/>
  <c r="B198" i="36"/>
  <c r="D198" i="36" s="1"/>
  <c r="F198" i="36" s="1"/>
  <c r="B196" i="36"/>
  <c r="C196" i="36"/>
  <c r="D179" i="36"/>
  <c r="F179" i="36" s="1"/>
  <c r="D180" i="36"/>
  <c r="F180" i="36" s="1"/>
  <c r="C187" i="36"/>
  <c r="F187" i="36" s="1"/>
  <c r="C188" i="36"/>
  <c r="F188" i="36" s="1"/>
  <c r="C189" i="36"/>
  <c r="F189" i="36" s="1"/>
  <c r="C190" i="36"/>
  <c r="F190" i="36" s="1"/>
  <c r="C191" i="36"/>
  <c r="F191" i="36" s="1"/>
  <c r="B203" i="36"/>
  <c r="D203" i="36" s="1"/>
  <c r="F203" i="36" s="1"/>
  <c r="B204" i="36"/>
  <c r="D204" i="36" s="1"/>
  <c r="F204" i="36" s="1"/>
  <c r="B251" i="36"/>
  <c r="D251" i="36" s="1"/>
  <c r="F251" i="36" s="1"/>
  <c r="B250" i="36"/>
  <c r="C250" i="36"/>
  <c r="B258" i="36"/>
  <c r="D258" i="36" s="1"/>
  <c r="F258" i="36" s="1"/>
  <c r="B259" i="36"/>
  <c r="D259" i="36" s="1"/>
  <c r="E259" i="36"/>
  <c r="C242" i="36"/>
  <c r="F242" i="36" s="1"/>
  <c r="C243" i="36"/>
  <c r="F243" i="36" s="1"/>
  <c r="C244" i="36"/>
  <c r="F244" i="36" s="1"/>
  <c r="B87" i="36"/>
  <c r="D87" i="36" s="1"/>
  <c r="F87" i="36" s="1"/>
  <c r="B88" i="36"/>
  <c r="D88" i="36" s="1"/>
  <c r="F88" i="36" s="1"/>
  <c r="B86" i="36"/>
  <c r="C86" i="36"/>
  <c r="D69" i="36"/>
  <c r="F69" i="36" s="1"/>
  <c r="D70" i="36"/>
  <c r="F70" i="36" s="1"/>
  <c r="C77" i="36"/>
  <c r="F77" i="36" s="1"/>
  <c r="C78" i="36"/>
  <c r="F78" i="36" s="1"/>
  <c r="C79" i="36"/>
  <c r="F79" i="36" s="1"/>
  <c r="C80" i="36"/>
  <c r="F80" i="36" s="1"/>
  <c r="C81" i="36"/>
  <c r="F81" i="36" s="1"/>
  <c r="B93" i="36"/>
  <c r="D93" i="36" s="1"/>
  <c r="F93" i="36" s="1"/>
  <c r="B94" i="36"/>
  <c r="D94" i="36" s="1"/>
  <c r="E94" i="36"/>
  <c r="B142" i="36"/>
  <c r="D142" i="36" s="1"/>
  <c r="F142" i="36" s="1"/>
  <c r="B143" i="36"/>
  <c r="D143" i="36" s="1"/>
  <c r="F143" i="36" s="1"/>
  <c r="B141" i="36"/>
  <c r="C141" i="36"/>
  <c r="D124" i="36"/>
  <c r="F124" i="36" s="1"/>
  <c r="D125" i="36"/>
  <c r="F125" i="36" s="1"/>
  <c r="C132" i="36"/>
  <c r="F132" i="36" s="1"/>
  <c r="C133" i="36"/>
  <c r="F133" i="36" s="1"/>
  <c r="C134" i="36"/>
  <c r="F134" i="36" s="1"/>
  <c r="C135" i="36"/>
  <c r="F135" i="36" s="1"/>
  <c r="C136" i="36"/>
  <c r="F136" i="36" s="1"/>
  <c r="B148" i="36"/>
  <c r="D148" i="36" s="1"/>
  <c r="F148" i="36" s="1"/>
  <c r="B149" i="36"/>
  <c r="D149" i="36" s="1"/>
  <c r="F149" i="36" s="1"/>
  <c r="K37" i="155"/>
  <c r="K38" i="155"/>
  <c r="H10" i="173"/>
  <c r="H11" i="173"/>
  <c r="H13" i="173"/>
  <c r="H15" i="173"/>
  <c r="I9" i="167"/>
  <c r="I11" i="167" s="1"/>
  <c r="I8" i="167"/>
  <c r="B2" i="73"/>
  <c r="H188" i="36"/>
  <c r="B39" i="36"/>
  <c r="D39" i="36" s="1"/>
  <c r="B314" i="36"/>
  <c r="D314" i="36" s="1"/>
  <c r="F314" i="36" s="1"/>
  <c r="B39" i="83"/>
  <c r="D39" i="83" s="1"/>
  <c r="D14" i="83"/>
  <c r="F14" i="83" s="1"/>
  <c r="D23" i="83"/>
  <c r="F23" i="83" s="1"/>
  <c r="D22" i="83"/>
  <c r="F22" i="83" s="1"/>
  <c r="C306" i="36"/>
  <c r="C26" i="36"/>
  <c r="F26" i="36" s="1"/>
  <c r="C31" i="36"/>
  <c r="B2" i="72"/>
  <c r="A7" i="74"/>
  <c r="B315" i="36"/>
  <c r="D315" i="36" s="1"/>
  <c r="F315" i="36" s="1"/>
  <c r="B307" i="36"/>
  <c r="D307" i="36" s="1"/>
  <c r="F307" i="36" s="1"/>
  <c r="B306" i="36"/>
  <c r="C300" i="36"/>
  <c r="F300" i="36" s="1"/>
  <c r="C299" i="36"/>
  <c r="F299" i="36" s="1"/>
  <c r="C298" i="36"/>
  <c r="F298" i="36" s="1"/>
  <c r="E39" i="36"/>
  <c r="D15" i="36"/>
  <c r="F15" i="36" s="1"/>
  <c r="D14" i="36"/>
  <c r="F14" i="36" s="1"/>
  <c r="C25" i="36"/>
  <c r="F25" i="36" s="1"/>
  <c r="C24" i="36"/>
  <c r="F24" i="36" s="1"/>
  <c r="C23" i="36"/>
  <c r="F23" i="36" s="1"/>
  <c r="C22" i="36"/>
  <c r="F22" i="36" s="1"/>
  <c r="B38" i="36"/>
  <c r="D38" i="36" s="1"/>
  <c r="F38" i="36" s="1"/>
  <c r="B31" i="36"/>
  <c r="B32" i="36"/>
  <c r="D32" i="36" s="1"/>
  <c r="F32" i="36" s="1"/>
  <c r="B33" i="36"/>
  <c r="D33" i="36" s="1"/>
  <c r="F33" i="36" s="1"/>
  <c r="E38" i="81"/>
  <c r="E39" i="83"/>
  <c r="D38" i="83"/>
  <c r="F38" i="83" s="1"/>
  <c r="G35" i="83"/>
  <c r="D26" i="81"/>
  <c r="F26" i="81" s="1"/>
  <c r="D25" i="81"/>
  <c r="F25" i="81" s="1"/>
  <c r="D24" i="81"/>
  <c r="F24" i="81" s="1"/>
  <c r="D23" i="81"/>
  <c r="F23" i="81" s="1"/>
  <c r="D22" i="81"/>
  <c r="F22" i="81" s="1"/>
  <c r="G28" i="81" s="1"/>
  <c r="C39" i="81"/>
  <c r="D39" i="81" s="1"/>
  <c r="D38" i="81"/>
  <c r="G35" i="81"/>
  <c r="D23" i="25"/>
  <c r="F23" i="25" s="1"/>
  <c r="B39" i="25"/>
  <c r="D38" i="25"/>
  <c r="F38" i="25" s="1"/>
  <c r="D22" i="25"/>
  <c r="F22" i="25" s="1"/>
  <c r="D14" i="25"/>
  <c r="F14" i="25" s="1"/>
  <c r="B37" i="52"/>
  <c r="D37" i="52" s="1"/>
  <c r="F37" i="52" s="1"/>
  <c r="G42" i="52" s="1"/>
  <c r="F16" i="52" s="1"/>
  <c r="E15" i="52"/>
  <c r="F15" i="52" s="1"/>
  <c r="E14" i="52"/>
  <c r="F14" i="52" s="1"/>
  <c r="F13" i="52"/>
  <c r="B29" i="52"/>
  <c r="D29" i="52" s="1"/>
  <c r="F22" i="52"/>
  <c r="F21" i="52"/>
  <c r="G35" i="25"/>
  <c r="C39" i="25"/>
  <c r="E39" i="25"/>
  <c r="E29" i="52"/>
  <c r="H14" i="18" l="1"/>
  <c r="D8" i="185" s="1"/>
  <c r="D10" i="185"/>
  <c r="H10" i="185" s="1"/>
  <c r="G17" i="18"/>
  <c r="H17" i="18" s="1"/>
  <c r="D13" i="185" s="1"/>
  <c r="H13" i="185" s="1"/>
  <c r="I18" i="167"/>
  <c r="I39" i="167" s="1"/>
  <c r="G9" i="170" s="1"/>
  <c r="H10" i="293"/>
  <c r="H12" i="293" s="1"/>
  <c r="H24" i="18"/>
  <c r="D18" i="185" s="1"/>
  <c r="I18" i="185" s="1"/>
  <c r="H17" i="173"/>
  <c r="H18" i="173" s="1"/>
  <c r="D31" i="36"/>
  <c r="F31" i="36" s="1"/>
  <c r="G35" i="36" s="1"/>
  <c r="G26" i="52"/>
  <c r="G45" i="189"/>
  <c r="F39" i="36"/>
  <c r="G42" i="36" s="1"/>
  <c r="G27" i="25"/>
  <c r="D86" i="36"/>
  <c r="F86" i="36" s="1"/>
  <c r="G90" i="36" s="1"/>
  <c r="F39" i="83"/>
  <c r="D306" i="36"/>
  <c r="F306" i="36" s="1"/>
  <c r="G311" i="36" s="1"/>
  <c r="F259" i="36"/>
  <c r="G263" i="36" s="1"/>
  <c r="F234" i="36" s="1"/>
  <c r="G239" i="36" s="1"/>
  <c r="F94" i="36"/>
  <c r="G97" i="36" s="1"/>
  <c r="D39" i="25"/>
  <c r="F39" i="25" s="1"/>
  <c r="G43" i="25" s="1"/>
  <c r="F15" i="25" s="1"/>
  <c r="G19" i="25" s="1"/>
  <c r="F29" i="52"/>
  <c r="G34" i="52" s="1"/>
  <c r="G27" i="83"/>
  <c r="G184" i="36"/>
  <c r="G74" i="36"/>
  <c r="G303" i="36"/>
  <c r="G138" i="36"/>
  <c r="A227" i="36"/>
  <c r="A283" i="36"/>
  <c r="A172" i="36"/>
  <c r="A7" i="52"/>
  <c r="A7" i="25"/>
  <c r="A7" i="81"/>
  <c r="A62" i="36"/>
  <c r="A7" i="83"/>
  <c r="A117" i="36"/>
  <c r="G43" i="83"/>
  <c r="F15" i="83" s="1"/>
  <c r="G19" i="83" s="1"/>
  <c r="G152" i="36"/>
  <c r="D141" i="36"/>
  <c r="F141" i="36" s="1"/>
  <c r="G145" i="36" s="1"/>
  <c r="G28" i="36"/>
  <c r="G207" i="36"/>
  <c r="D196" i="36"/>
  <c r="F196" i="36" s="1"/>
  <c r="G200" i="36" s="1"/>
  <c r="G247" i="36"/>
  <c r="F38" i="81"/>
  <c r="D250" i="36"/>
  <c r="F250" i="36" s="1"/>
  <c r="G255" i="36" s="1"/>
  <c r="E39" i="81"/>
  <c r="F39" i="81" s="1"/>
  <c r="G19" i="36"/>
  <c r="G18" i="52"/>
  <c r="G319" i="36"/>
  <c r="F290" i="36" s="1"/>
  <c r="G295" i="36" s="1"/>
  <c r="G83" i="36"/>
  <c r="G129" i="36"/>
  <c r="G193" i="36"/>
  <c r="G23" i="18" l="1"/>
  <c r="H23" i="18" s="1"/>
  <c r="H16" i="293"/>
  <c r="M24" i="18"/>
  <c r="F10" i="218"/>
  <c r="H10" i="218" s="1"/>
  <c r="H12" i="218" s="1"/>
  <c r="G44" i="52"/>
  <c r="F48" i="52" s="1"/>
  <c r="G51" i="52" s="1"/>
  <c r="G53" i="52" s="1"/>
  <c r="G45" i="25"/>
  <c r="F51" i="25" s="1"/>
  <c r="G50" i="143"/>
  <c r="G45" i="83"/>
  <c r="F51" i="83" s="1"/>
  <c r="G321" i="36"/>
  <c r="G154" i="36"/>
  <c r="G43" i="81"/>
  <c r="F14" i="81" s="1"/>
  <c r="G19" i="81" s="1"/>
  <c r="G45" i="81" s="1"/>
  <c r="F51" i="81" s="1"/>
  <c r="G44" i="36"/>
  <c r="F159" i="36" s="1"/>
  <c r="G209" i="36"/>
  <c r="G99" i="36"/>
  <c r="G265" i="36"/>
  <c r="D17" i="185" l="1"/>
  <c r="I17" i="185" s="1"/>
  <c r="H26" i="18"/>
  <c r="N26" i="18" s="1"/>
  <c r="M23" i="18"/>
  <c r="F20" i="143"/>
  <c r="G23" i="143" s="1"/>
  <c r="G52" i="143" s="1"/>
  <c r="G19" i="18" s="1"/>
  <c r="F15" i="218"/>
  <c r="H15" i="218" s="1"/>
  <c r="F14" i="218"/>
  <c r="H14" i="218" s="1"/>
  <c r="D16" i="185"/>
  <c r="F49" i="52"/>
  <c r="F50" i="52"/>
  <c r="F49" i="25"/>
  <c r="F50" i="25"/>
  <c r="M26" i="18"/>
  <c r="F49" i="83"/>
  <c r="F50" i="83"/>
  <c r="G10" i="170"/>
  <c r="H10" i="170" s="1"/>
  <c r="J10" i="170" s="1"/>
  <c r="H9" i="170"/>
  <c r="J9" i="170" s="1"/>
  <c r="F49" i="81"/>
  <c r="G52" i="81" s="1"/>
  <c r="G54" i="81" s="1"/>
  <c r="F50" i="81"/>
  <c r="G16" i="170"/>
  <c r="H16" i="170" s="1"/>
  <c r="J16" i="170" s="1"/>
  <c r="G17" i="170"/>
  <c r="H17" i="170" s="1"/>
  <c r="J17" i="170" s="1"/>
  <c r="F269" i="36"/>
  <c r="F104" i="36"/>
  <c r="F50" i="36"/>
  <c r="F160" i="36"/>
  <c r="F158" i="36"/>
  <c r="F327" i="36"/>
  <c r="F214" i="36"/>
  <c r="F326" i="36"/>
  <c r="F271" i="36"/>
  <c r="F103" i="36"/>
  <c r="F49" i="36"/>
  <c r="F325" i="36"/>
  <c r="F270" i="36"/>
  <c r="F213" i="36"/>
  <c r="F48" i="36"/>
  <c r="F105" i="36"/>
  <c r="F215" i="36"/>
  <c r="F16" i="218" l="1"/>
  <c r="H16" i="218" s="1"/>
  <c r="H17" i="218" s="1"/>
  <c r="H19" i="218" s="1"/>
  <c r="H19" i="18"/>
  <c r="G52" i="83"/>
  <c r="G52" i="25"/>
  <c r="G54" i="25" s="1"/>
  <c r="G11" i="170"/>
  <c r="G12" i="170" s="1"/>
  <c r="H12" i="170" s="1"/>
  <c r="G161" i="36"/>
  <c r="G163" i="36" s="1"/>
  <c r="G272" i="36"/>
  <c r="G274" i="36" s="1"/>
  <c r="G216" i="36"/>
  <c r="G218" i="36" s="1"/>
  <c r="G328" i="36"/>
  <c r="G330" i="36" s="1"/>
  <c r="G106" i="36"/>
  <c r="G108" i="36" s="1"/>
  <c r="G18" i="170"/>
  <c r="G51" i="36"/>
  <c r="G53" i="36" s="1"/>
  <c r="H20" i="18" l="1"/>
  <c r="H28" i="18" s="1"/>
  <c r="G13" i="170"/>
  <c r="G14" i="170" s="1"/>
  <c r="J12" i="170"/>
  <c r="H11" i="170"/>
  <c r="J11" i="170" s="1"/>
  <c r="H18" i="170"/>
  <c r="J18" i="170" s="1"/>
  <c r="L20" i="170" s="1"/>
  <c r="J16" i="155"/>
  <c r="K16" i="155" s="1"/>
  <c r="J21" i="155"/>
  <c r="K21" i="155" s="1"/>
  <c r="J15" i="155"/>
  <c r="K15" i="155" s="1"/>
  <c r="J18" i="155"/>
  <c r="K18" i="155" s="1"/>
  <c r="J14" i="155"/>
  <c r="K14" i="155" s="1"/>
  <c r="K6" i="294" l="1"/>
  <c r="H13" i="170"/>
  <c r="J13" i="170" s="1"/>
  <c r="H14" i="170"/>
  <c r="J14" i="170" s="1"/>
  <c r="J19" i="170" l="1"/>
  <c r="L19" i="170" l="1"/>
  <c r="J20" i="155" l="1"/>
  <c r="K20" i="155" s="1"/>
  <c r="H15" i="293"/>
  <c r="J17" i="155"/>
  <c r="K17" i="155" s="1"/>
  <c r="K23" i="155" l="1"/>
  <c r="H17" i="293"/>
  <c r="H19" i="293" s="1"/>
  <c r="H29" i="293" s="1"/>
  <c r="H31" i="293" s="1"/>
  <c r="G41" i="18" s="1"/>
  <c r="H41" i="18" s="1"/>
  <c r="D15" i="185"/>
  <c r="M19" i="18"/>
  <c r="D27" i="185" l="1"/>
  <c r="J27" i="185" s="1"/>
  <c r="H15" i="185"/>
  <c r="I15" i="185"/>
  <c r="J24" i="170"/>
  <c r="K26" i="155"/>
  <c r="K27" i="155"/>
  <c r="J25" i="170"/>
  <c r="J26" i="170"/>
  <c r="K28" i="155"/>
  <c r="K40" i="155"/>
  <c r="E24" i="218" l="1"/>
  <c r="H24" i="218" s="1"/>
  <c r="J29" i="170"/>
  <c r="E25" i="218"/>
  <c r="H25" i="218" s="1"/>
  <c r="K29" i="155"/>
  <c r="J23" i="170"/>
  <c r="H28" i="218" l="1"/>
  <c r="H30" i="218" s="1"/>
  <c r="H32" i="218" s="1"/>
  <c r="G42" i="18" l="1"/>
  <c r="H42" i="18" s="1"/>
  <c r="J27" i="170"/>
  <c r="D28" i="185" l="1"/>
  <c r="M42" i="18"/>
  <c r="K39" i="155"/>
  <c r="H28" i="185" l="1"/>
  <c r="I28" i="185"/>
  <c r="M20" i="18"/>
  <c r="N20" i="18"/>
  <c r="D12" i="185"/>
  <c r="K6" i="155" l="1"/>
  <c r="M28" i="18"/>
  <c r="K52" i="155" l="1"/>
  <c r="K53" i="155"/>
  <c r="K44" i="155"/>
  <c r="K50" i="155"/>
  <c r="K51" i="155"/>
  <c r="K49" i="155"/>
  <c r="K46" i="155"/>
  <c r="K47" i="155"/>
  <c r="K48" i="155"/>
  <c r="K58" i="155"/>
  <c r="H33" i="18" s="1"/>
  <c r="K57" i="155"/>
  <c r="H34" i="18" s="1"/>
  <c r="M34" i="18" l="1"/>
  <c r="M33" i="18"/>
  <c r="C1" i="289" l="1"/>
  <c r="C3" i="289" s="1"/>
  <c r="E49" i="289" l="1"/>
  <c r="G49" i="289" s="1"/>
  <c r="I49" i="289" s="1"/>
  <c r="E50" i="289"/>
  <c r="G50" i="289" s="1"/>
  <c r="I50" i="289" s="1"/>
  <c r="E77" i="289"/>
  <c r="G77" i="289" s="1"/>
  <c r="I77" i="289" s="1"/>
  <c r="E76" i="289"/>
  <c r="G76" i="289" s="1"/>
  <c r="I76" i="289" s="1"/>
  <c r="I82" i="289" l="1"/>
  <c r="H28" i="170" s="1"/>
  <c r="J28" i="170" s="1"/>
  <c r="G18" i="289"/>
  <c r="I18" i="289" s="1"/>
  <c r="G19" i="289"/>
  <c r="I19" i="289" s="1"/>
  <c r="I55" i="289" l="1"/>
  <c r="J36" i="155" s="1"/>
  <c r="K36" i="155" l="1"/>
  <c r="K42" i="155" s="1"/>
  <c r="J22" i="170"/>
  <c r="J33" i="170" s="1"/>
  <c r="H42" i="170" s="1"/>
  <c r="J42" i="170" s="1"/>
  <c r="K33" i="155"/>
  <c r="K56" i="155" l="1"/>
  <c r="H36" i="170"/>
  <c r="J36" i="170" s="1"/>
  <c r="H38" i="170"/>
  <c r="J38" i="170" s="1"/>
  <c r="H41" i="170"/>
  <c r="J41" i="170" s="1"/>
  <c r="H37" i="170"/>
  <c r="J37" i="170" s="1"/>
  <c r="H39" i="170"/>
  <c r="J39" i="170" s="1"/>
  <c r="H43" i="170" s="1"/>
  <c r="J43" i="170" s="1"/>
  <c r="H40" i="170"/>
  <c r="J40" i="170" s="1"/>
  <c r="L33" i="170"/>
  <c r="L48" i="170" s="1"/>
  <c r="K60" i="155" l="1"/>
  <c r="H32" i="18"/>
  <c r="J44" i="170"/>
  <c r="J46" i="170" s="1"/>
  <c r="J47" i="170" s="1"/>
  <c r="J48" i="170" s="1"/>
  <c r="H31" i="18"/>
  <c r="H36" i="18" s="1"/>
  <c r="J56" i="155"/>
  <c r="F32" i="18" s="1"/>
  <c r="J60" i="155"/>
  <c r="F31" i="18" s="1"/>
  <c r="H38" i="18" l="1"/>
  <c r="M38" i="18" s="1"/>
  <c r="D25" i="185"/>
  <c r="N38" i="18"/>
  <c r="M32" i="18"/>
  <c r="H45" i="18"/>
  <c r="M31" i="18"/>
  <c r="D22" i="185"/>
  <c r="J26" i="18"/>
  <c r="J20" i="18"/>
  <c r="I22" i="185" l="1"/>
  <c r="I24" i="185" s="1"/>
  <c r="H22" i="185"/>
  <c r="H24" i="185" s="1"/>
  <c r="I25" i="185"/>
  <c r="H25" i="185"/>
  <c r="K24" i="185"/>
  <c r="K31" i="185" s="1"/>
  <c r="J24" i="185"/>
  <c r="J31" i="185" s="1"/>
  <c r="L24" i="185"/>
  <c r="L31" i="185" s="1"/>
  <c r="D24" i="185"/>
  <c r="M36" i="18"/>
  <c r="H31" i="185" l="1"/>
  <c r="I31" i="185"/>
  <c r="M45" i="18"/>
  <c r="D31" i="185"/>
</calcChain>
</file>

<file path=xl/sharedStrings.xml><?xml version="1.0" encoding="utf-8"?>
<sst xmlns="http://schemas.openxmlformats.org/spreadsheetml/2006/main" count="2588" uniqueCount="924">
  <si>
    <t>M3</t>
  </si>
  <si>
    <t>Tarifa Hora</t>
  </si>
  <si>
    <t>Valor Unitario</t>
  </si>
  <si>
    <t>Sub - Total</t>
  </si>
  <si>
    <t>Unidad</t>
  </si>
  <si>
    <t>Precio Unit.</t>
  </si>
  <si>
    <t>Cantidad</t>
  </si>
  <si>
    <t>Jornal</t>
  </si>
  <si>
    <t>Rendimiento</t>
  </si>
  <si>
    <t>%</t>
  </si>
  <si>
    <t>TOTAL COSTO DIRECTO</t>
  </si>
  <si>
    <t>Porcentaje</t>
  </si>
  <si>
    <t>DESCRIPCIÓN</t>
  </si>
  <si>
    <t>DEPARTAMENTO DE NARIÑO</t>
  </si>
  <si>
    <t>Motoniveladora</t>
  </si>
  <si>
    <t>CANTIDAD</t>
  </si>
  <si>
    <t>I. EQUIPO</t>
  </si>
  <si>
    <t>II. MATERIALES EN OBRA</t>
  </si>
  <si>
    <t>III. TRANSPORTES</t>
  </si>
  <si>
    <t>IV. MANO DE OBRA</t>
  </si>
  <si>
    <t>V. COSTOS INDIRECTOS</t>
  </si>
  <si>
    <t>Descripción</t>
  </si>
  <si>
    <t>Valor total</t>
  </si>
  <si>
    <t>Material</t>
  </si>
  <si>
    <t>Trabajador</t>
  </si>
  <si>
    <t>Tarifa</t>
  </si>
  <si>
    <t>M3-Km</t>
  </si>
  <si>
    <t>Jornal Total</t>
  </si>
  <si>
    <t>UNIDAD:</t>
  </si>
  <si>
    <t>COSTO TOTAL APROXIMADO AL PESO</t>
  </si>
  <si>
    <t>Administración</t>
  </si>
  <si>
    <t>Utilidad</t>
  </si>
  <si>
    <t>Imprevistos</t>
  </si>
  <si>
    <t>M2</t>
  </si>
  <si>
    <t>2 Obreros</t>
  </si>
  <si>
    <t>KG</t>
  </si>
  <si>
    <t>Distancia</t>
  </si>
  <si>
    <t>Cemento</t>
  </si>
  <si>
    <t xml:space="preserve">Arena </t>
  </si>
  <si>
    <t>Agua</t>
  </si>
  <si>
    <t>LT</t>
  </si>
  <si>
    <t>ML</t>
  </si>
  <si>
    <t>Pretaciones</t>
  </si>
  <si>
    <t>Prestaciones</t>
  </si>
  <si>
    <t>UND</t>
  </si>
  <si>
    <t>Equipo de Topografía</t>
  </si>
  <si>
    <t>Vol-Pes-Cant.</t>
  </si>
  <si>
    <t xml:space="preserve">Estaca 2"x2"x0.50m </t>
  </si>
  <si>
    <t>LB</t>
  </si>
  <si>
    <t>Herramienta Menor M.O.</t>
  </si>
  <si>
    <t>Mezcladora de Concreto</t>
  </si>
  <si>
    <t>ANÁLISIS DE PRECIOS UNITARIOS</t>
  </si>
  <si>
    <t>Vibrador de Concreto</t>
  </si>
  <si>
    <t>REPÚBLICA DE COLOMBIA</t>
  </si>
  <si>
    <t>Compactador Vibratorio</t>
  </si>
  <si>
    <t>Carrotanque de Agua</t>
  </si>
  <si>
    <t>Desperdicio</t>
  </si>
  <si>
    <t>ESPECIFICACIÓN: BÁSICO</t>
  </si>
  <si>
    <t>Formaleta</t>
  </si>
  <si>
    <t>Material Seleccionado</t>
  </si>
  <si>
    <t>MUNICIPIO DE ARBOLEDA</t>
  </si>
  <si>
    <t>SUBTOTAL</t>
  </si>
  <si>
    <t>No.</t>
  </si>
  <si>
    <t>PRECIO-[$]</t>
  </si>
  <si>
    <t xml:space="preserve"> COSTO DIRECTO DE OBRA</t>
  </si>
  <si>
    <t xml:space="preserve"> </t>
  </si>
  <si>
    <t>1 Topógrafo</t>
  </si>
  <si>
    <t>ESPECIFICACIÓN: 230.2</t>
  </si>
  <si>
    <t>Herramienta Menor</t>
  </si>
  <si>
    <t>Material de Adición</t>
  </si>
  <si>
    <t>ÍTEM:      MEJORAMIENTO DE SUBRASANTE CON MATERIAL DE ADICIÓN</t>
  </si>
  <si>
    <t>ÍTEM:      LOCALIZACIÓN Y REPLANTEO</t>
  </si>
  <si>
    <t>Elaboró:</t>
  </si>
  <si>
    <t>M.P. 52202 - 121026 NRÑ</t>
  </si>
  <si>
    <t>Ing. Natalia Rosero</t>
  </si>
  <si>
    <t>Und</t>
  </si>
  <si>
    <t>MATERIALES Y SUMINISTROS</t>
  </si>
  <si>
    <t>AGREGADOS</t>
  </si>
  <si>
    <t xml:space="preserve">Agua </t>
  </si>
  <si>
    <t>MAQUINARIA Y EQUIPO</t>
  </si>
  <si>
    <t>Hora</t>
  </si>
  <si>
    <t>MADERAS</t>
  </si>
  <si>
    <t>FERRETERIA</t>
  </si>
  <si>
    <t>OTROS</t>
  </si>
  <si>
    <t>ACERO</t>
  </si>
  <si>
    <t>LOCALIZACIÓN CANTERAS</t>
  </si>
  <si>
    <t>CANTERA</t>
  </si>
  <si>
    <t>DISTANCIA</t>
  </si>
  <si>
    <t>Km</t>
  </si>
  <si>
    <t xml:space="preserve"> Elaboró:</t>
  </si>
  <si>
    <t>MUNICIPIO DE GUALMATÁN</t>
  </si>
  <si>
    <t xml:space="preserve">Clavos </t>
  </si>
  <si>
    <t>Clavos</t>
  </si>
  <si>
    <t xml:space="preserve">Herramienta Menor </t>
  </si>
  <si>
    <t xml:space="preserve">2 Cadeneros </t>
  </si>
  <si>
    <t xml:space="preserve">Guadua </t>
  </si>
  <si>
    <t xml:space="preserve">Varenga </t>
  </si>
  <si>
    <t xml:space="preserve">Alambre Galvanizado </t>
  </si>
  <si>
    <t xml:space="preserve">Polisombra </t>
  </si>
  <si>
    <t>ÍTEM:      AISLAMIENTO PREVENTIVO (70% REUTILIZACIÓN)</t>
  </si>
  <si>
    <t xml:space="preserve">1 Oficial </t>
  </si>
  <si>
    <t xml:space="preserve">1 Obrero </t>
  </si>
  <si>
    <t>Kg</t>
  </si>
  <si>
    <t>Lb</t>
  </si>
  <si>
    <t>Ing. Lucy Elisabeth Rosero Burbano</t>
  </si>
  <si>
    <t>M.P. 52202 - 312467 NRÑ</t>
  </si>
  <si>
    <t>ESPECIFICACIÓN: 1,01</t>
  </si>
  <si>
    <t>ESPECIFICACIÓN: 1,02</t>
  </si>
  <si>
    <t>Compactador Manual Saltarín</t>
  </si>
  <si>
    <t>Lt</t>
  </si>
  <si>
    <t xml:space="preserve">Recebo Granular </t>
  </si>
  <si>
    <t xml:space="preserve">Permiso Escombrera </t>
  </si>
  <si>
    <t>ÍTEM:      CONCRETO 3000 PSI</t>
  </si>
  <si>
    <t xml:space="preserve">Triturado </t>
  </si>
  <si>
    <t xml:space="preserve">Cemento </t>
  </si>
  <si>
    <t>Arena</t>
  </si>
  <si>
    <t xml:space="preserve">2 Oficiales </t>
  </si>
  <si>
    <t>ÍTEM:      CONCRETO 2000 PSI</t>
  </si>
  <si>
    <t>ÍTEM:      CONCRETO 2500 PSI</t>
  </si>
  <si>
    <t xml:space="preserve">Formaleta </t>
  </si>
  <si>
    <t>ÍTEM:      MORTERO 1:3</t>
  </si>
  <si>
    <t xml:space="preserve">2 Obreros </t>
  </si>
  <si>
    <t>ÍTEM:      MORTERO 1:4</t>
  </si>
  <si>
    <t>Carrotanque de agua (1000 Galones)</t>
  </si>
  <si>
    <t xml:space="preserve">IMPREVISTOS </t>
  </si>
  <si>
    <t>ADMINISTRACIÓN</t>
  </si>
  <si>
    <t xml:space="preserve">COSTO TOTAL DE OBRA </t>
  </si>
  <si>
    <t xml:space="preserve">INTERVENTORIA DEL PROYECTO </t>
  </si>
  <si>
    <t>COSTO TOTAL DEL PROYECTO</t>
  </si>
  <si>
    <t xml:space="preserve">Distancia Arena </t>
  </si>
  <si>
    <t>Distancia Triturado</t>
  </si>
  <si>
    <t xml:space="preserve">ÍTEM:      LOCALIZACIÓN Y REPLANTEO </t>
  </si>
  <si>
    <t>ESPECIFICACIÓN: 200P</t>
  </si>
  <si>
    <t xml:space="preserve">Estacas </t>
  </si>
  <si>
    <t>Distancia Sitio de Disposición Final</t>
  </si>
  <si>
    <t>Malla Electrosoldada 600 15x15cm</t>
  </si>
  <si>
    <t xml:space="preserve">Distancia Recebo </t>
  </si>
  <si>
    <t>OBJETO</t>
  </si>
  <si>
    <t>ITEM No</t>
  </si>
  <si>
    <t xml:space="preserve">DESCRIPCION </t>
  </si>
  <si>
    <t>UNIDAD</t>
  </si>
  <si>
    <t>DESCRIPCION</t>
  </si>
  <si>
    <t>LONGITUD</t>
  </si>
  <si>
    <t xml:space="preserve">ANCHO </t>
  </si>
  <si>
    <t>AREA</t>
  </si>
  <si>
    <t>CANTIDAD TOTAL</t>
  </si>
  <si>
    <t>D</t>
  </si>
  <si>
    <t>Cadenero</t>
  </si>
  <si>
    <t>Volqueta</t>
  </si>
  <si>
    <t>1 Oficial</t>
  </si>
  <si>
    <t xml:space="preserve">6 Obreros </t>
  </si>
  <si>
    <t xml:space="preserve">Distancia Cemento - Tuberia - Materiales varios </t>
  </si>
  <si>
    <t>Total AIU</t>
  </si>
  <si>
    <t>Total administración</t>
  </si>
  <si>
    <t>Total otros - gastos generales</t>
  </si>
  <si>
    <t>un</t>
  </si>
  <si>
    <t>mes</t>
  </si>
  <si>
    <t>Valla informativa 6*3</t>
  </si>
  <si>
    <t>Planos, copia planos y fotocopias en obra</t>
  </si>
  <si>
    <t>Otros gastos generales</t>
  </si>
  <si>
    <t>Total costos de dotación campamento</t>
  </si>
  <si>
    <t>3.1</t>
  </si>
  <si>
    <t>Costos de dotación campamento e instalaciones provisionales</t>
  </si>
  <si>
    <t>Total costos de servicios públicos</t>
  </si>
  <si>
    <t>Mes</t>
  </si>
  <si>
    <t>2.3</t>
  </si>
  <si>
    <t>2.2</t>
  </si>
  <si>
    <t>2.1</t>
  </si>
  <si>
    <t>Costos de servicios públicos</t>
  </si>
  <si>
    <t>1.9</t>
  </si>
  <si>
    <t>1.8</t>
  </si>
  <si>
    <t>1.7</t>
  </si>
  <si>
    <t>1.6</t>
  </si>
  <si>
    <t>1.5</t>
  </si>
  <si>
    <t>1.4</t>
  </si>
  <si>
    <t>1.3</t>
  </si>
  <si>
    <t>1.2</t>
  </si>
  <si>
    <t>1.1</t>
  </si>
  <si>
    <t>Personal de obra</t>
  </si>
  <si>
    <t>VALOR TOTAL</t>
  </si>
  <si>
    <t>VALOR UNITARIO</t>
  </si>
  <si>
    <t>PARTICIPACIÓN</t>
  </si>
  <si>
    <t>Costos de administración de obra</t>
  </si>
  <si>
    <t>Costo directo total</t>
  </si>
  <si>
    <t>AIU</t>
  </si>
  <si>
    <t>PLAN DE MANEJO DE TRANSITO</t>
  </si>
  <si>
    <t>Piedra</t>
  </si>
  <si>
    <t xml:space="preserve">ITEM </t>
  </si>
  <si>
    <t>m2</t>
  </si>
  <si>
    <t>km</t>
  </si>
  <si>
    <t>und</t>
  </si>
  <si>
    <t>Costos de legalización del contrato</t>
  </si>
  <si>
    <t>Secretaria</t>
  </si>
  <si>
    <t>A</t>
  </si>
  <si>
    <t>B</t>
  </si>
  <si>
    <t>Dotación</t>
  </si>
  <si>
    <t>C</t>
  </si>
  <si>
    <t>E</t>
  </si>
  <si>
    <t xml:space="preserve">CÁLCULO DETALLADO DEL VALOR DE LA INTERVENTORÍA </t>
  </si>
  <si>
    <t>N°</t>
  </si>
  <si>
    <t>CONCEPTO</t>
  </si>
  <si>
    <t>F</t>
  </si>
  <si>
    <t>G</t>
  </si>
  <si>
    <t>SUELDO MES BÁSICO</t>
  </si>
  <si>
    <t>% DE DEDICACIÓN</t>
  </si>
  <si>
    <t>F.M.</t>
  </si>
  <si>
    <t>VALOR MES (A * B * C * D)</t>
  </si>
  <si>
    <t>N° DE MESES</t>
  </si>
  <si>
    <t>TOTAL PARCIAL
(E * F)</t>
  </si>
  <si>
    <t>PERSONAL</t>
  </si>
  <si>
    <t>PERSONAL DE SUPERVISIÓN</t>
  </si>
  <si>
    <t>1.1.1</t>
  </si>
  <si>
    <t>Director de Interventoría</t>
  </si>
  <si>
    <t>1.1.2</t>
  </si>
  <si>
    <t>1.1.3</t>
  </si>
  <si>
    <t>PERSONAL DE APOYO</t>
  </si>
  <si>
    <t>SUBTOTAL COSTOS DE PERSONAL</t>
  </si>
  <si>
    <t>OTROS COSTOS DIRECTOS</t>
  </si>
  <si>
    <t>2</t>
  </si>
  <si>
    <t>SUBTOTAL OTROS COSTOS DIRECTOS</t>
  </si>
  <si>
    <t>RESUMEN GENERAL</t>
  </si>
  <si>
    <t>IVA (19%)</t>
  </si>
  <si>
    <t>VALOR TOTAL OFERTA</t>
  </si>
  <si>
    <t>VALOR PARCIAL</t>
  </si>
  <si>
    <t>Ingeniero Ambiental</t>
  </si>
  <si>
    <t>PLAN DE MANEJO DE TRÁNSITO</t>
  </si>
  <si>
    <t>MES 1</t>
  </si>
  <si>
    <t>MES 2</t>
  </si>
  <si>
    <t>MES 3</t>
  </si>
  <si>
    <t>MES 4</t>
  </si>
  <si>
    <t>MES 5</t>
  </si>
  <si>
    <t>VALOR</t>
  </si>
  <si>
    <t>1.1.4</t>
  </si>
  <si>
    <t>1.1.5</t>
  </si>
  <si>
    <t xml:space="preserve">No. </t>
  </si>
  <si>
    <t>COMPONENTE</t>
  </si>
  <si>
    <t>ELEMENTOS</t>
  </si>
  <si>
    <t>Kit de emergencias</t>
  </si>
  <si>
    <t>Extintor (10 lbs)</t>
  </si>
  <si>
    <t>Señal de extintor en acrilico de 22 cm x 15 cm</t>
  </si>
  <si>
    <t>Camilla rígida</t>
  </si>
  <si>
    <t>Conos reflectivos</t>
  </si>
  <si>
    <t>Botiquín dotado</t>
  </si>
  <si>
    <t>Kit de señalización en SST (Señales en acrilico de 15x15cm)</t>
  </si>
  <si>
    <t>Señal de uso de elementos de protección personal - EPP</t>
  </si>
  <si>
    <t>Señal de sustancia peligrosa</t>
  </si>
  <si>
    <t>Señal de ruta de evacuación</t>
  </si>
  <si>
    <t>Señal de puntos de encuentros</t>
  </si>
  <si>
    <t>Señal de baños</t>
  </si>
  <si>
    <t>Baños</t>
  </si>
  <si>
    <t>Kit para desperdicios sólidos</t>
  </si>
  <si>
    <t>Canecas de 65 litros con tapa</t>
  </si>
  <si>
    <t>Bolsa color negro calibre 2" de 65 cm x 85 cm</t>
  </si>
  <si>
    <t>Bolsa color rojo calibre 2" de 65 cm x 85 cm</t>
  </si>
  <si>
    <t>Bolsa color verde calibre 2" de 65 cm x 85 cm</t>
  </si>
  <si>
    <t>Kit de señalización ambiental (Señales en acrílico de 15 x 15)</t>
  </si>
  <si>
    <t>Residuos ordinarios</t>
  </si>
  <si>
    <t>Residuos peligrosos</t>
  </si>
  <si>
    <t>Lavado de herramientas</t>
  </si>
  <si>
    <t>Caneca para lavado de herramientas con capacidad para 55 galones, acero o similar</t>
  </si>
  <si>
    <t>Cubrimineto de materiales</t>
  </si>
  <si>
    <t>Cubrimiento de escombros</t>
  </si>
  <si>
    <t>Kit de aseo de infraestructura</t>
  </si>
  <si>
    <t>Pala con mango</t>
  </si>
  <si>
    <t>Carretilla (tipo boggy con llanta neumatica)</t>
  </si>
  <si>
    <t>Cono mínimo de h: 45 cm</t>
  </si>
  <si>
    <t>Balde plástico de 26 lt</t>
  </si>
  <si>
    <t>Cepillo de casquillo de 37x7</t>
  </si>
  <si>
    <t>Kit de derrames</t>
  </si>
  <si>
    <t>TOTAL IMPLEMENTACIÓN</t>
  </si>
  <si>
    <t>ITEM</t>
  </si>
  <si>
    <t>TIEMPO EJECUCIÓN / MES</t>
  </si>
  <si>
    <t>EQUIPO DE SEÑALIZACIÓN E INTERCOMUNICACIÓN</t>
  </si>
  <si>
    <t xml:space="preserve">UND </t>
  </si>
  <si>
    <t>COSTO TOTAL EQUIPO</t>
  </si>
  <si>
    <t>COSTO TOTAL</t>
  </si>
  <si>
    <t>ÍTEM:      CONCRETO 3000</t>
  </si>
  <si>
    <t xml:space="preserve">SUELDO MES </t>
  </si>
  <si>
    <t xml:space="preserve">Director de obra </t>
  </si>
  <si>
    <t xml:space="preserve">Contador </t>
  </si>
  <si>
    <t>F.P</t>
  </si>
  <si>
    <t>FACTOR MULTIPLICADOR EMPRESAS DE CONSULTORIA</t>
  </si>
  <si>
    <t>PORCENTAJE</t>
  </si>
  <si>
    <t>Salarios y Prestaciones Sociales de Personal Facturable</t>
  </si>
  <si>
    <t xml:space="preserve">Salarios </t>
  </si>
  <si>
    <t>Prima anual (legal)</t>
  </si>
  <si>
    <t xml:space="preserve"> ÷ 12 =</t>
  </si>
  <si>
    <t>Cesantía</t>
  </si>
  <si>
    <t>Intereses de cesantía</t>
  </si>
  <si>
    <t xml:space="preserve"> x 1.3. =</t>
  </si>
  <si>
    <t>Vacaciones</t>
  </si>
  <si>
    <t>Caja de Compensación Familiar</t>
  </si>
  <si>
    <t>ARP</t>
  </si>
  <si>
    <t>Sub-total</t>
  </si>
  <si>
    <t>Gastos Generales</t>
  </si>
  <si>
    <t>PRESTACIONES SOCIALES</t>
  </si>
  <si>
    <t>SEGURIDAD SOCIAL</t>
  </si>
  <si>
    <t>APORTES PARAFISCALES</t>
  </si>
  <si>
    <t>FACTOR PRESTACIONAL</t>
  </si>
  <si>
    <t>Residente Siso de Interventoría</t>
  </si>
  <si>
    <t>Alquiler equipos de topografía</t>
  </si>
  <si>
    <t xml:space="preserve">CALCULO DE FACTOR PRESTACIONAL PROFESIONALES </t>
  </si>
  <si>
    <t>SALARIO MINIMO</t>
  </si>
  <si>
    <t>AÑO</t>
  </si>
  <si>
    <t>SUBSIDIO DE TRANSPORTE</t>
  </si>
  <si>
    <t>CARGO</t>
  </si>
  <si>
    <t>DIRECTOR DE OBRA</t>
  </si>
  <si>
    <t>RESIDENTE DE OBRA</t>
  </si>
  <si>
    <t>PROFESIONAL SISO</t>
  </si>
  <si>
    <t>CONTADOR</t>
  </si>
  <si>
    <t>INSPECTOR DE OBRA</t>
  </si>
  <si>
    <t>AYUDANTE</t>
  </si>
  <si>
    <t>TOPOGRAFO</t>
  </si>
  <si>
    <t>CADENERO</t>
  </si>
  <si>
    <t>SALARIO BASE MES</t>
  </si>
  <si>
    <t>No. DE SALARIOS</t>
  </si>
  <si>
    <t>SALARIO BASE AÑO</t>
  </si>
  <si>
    <t>VALORES ANUALES</t>
  </si>
  <si>
    <t>% ANUALES</t>
  </si>
  <si>
    <t>SUBSIDIO DE TRANSPORTE (MES)</t>
  </si>
  <si>
    <t>SUBSIDIO DE TRANSPORTE (ANUAL)</t>
  </si>
  <si>
    <t>INTERESES DE CESANTIAS</t>
  </si>
  <si>
    <t>PRIMA</t>
  </si>
  <si>
    <t>VACACIONES REMUNERADAS - 15 DIAS HABILES</t>
  </si>
  <si>
    <t>SALUD (ARTICULO  10, LEY 1122 DEL 2007 Y ARTICULO 25 LEY 1607 DEL 2012)</t>
  </si>
  <si>
    <t>PENSIONES (LEY 797 DE 2003, ARTICULO 7 Y DECRETO 4982 DE 2007)</t>
  </si>
  <si>
    <t>RIESGOS PROFESIONALES ARL (DECRETO 1772 DE 1994 ARTICULO 13)</t>
  </si>
  <si>
    <t>SENA-LEY 1607 DEL 2012</t>
  </si>
  <si>
    <t>ICBF-LEY 1607 DEL 2012</t>
  </si>
  <si>
    <t>CAJA DE COMPENSACION</t>
  </si>
  <si>
    <t>DOMINICALES Y FESTIVOS REMUNERADOS</t>
  </si>
  <si>
    <t>OTROS AUXILIOS EMPRESARIALES</t>
  </si>
  <si>
    <t>TOTAL PRESTACIONES</t>
  </si>
  <si>
    <t>VALOR MES SIN FACTOR</t>
  </si>
  <si>
    <t>VALOR DIA SIN FACTOR</t>
  </si>
  <si>
    <t>VALOR HORA SIN FACTOR</t>
  </si>
  <si>
    <t>VALOR MES CON FACTOR</t>
  </si>
  <si>
    <t>VALOR DIA CON FACTOR</t>
  </si>
  <si>
    <t>VALOR HORA CON FACTOR</t>
  </si>
  <si>
    <t>VIGILANTE</t>
  </si>
  <si>
    <t>ALMACENISTA</t>
  </si>
  <si>
    <t>SECRETARIA</t>
  </si>
  <si>
    <t>RECARGOS NOCTURNOS (DURANTE 10 DE LAS 12 HORAS QUE LLEGA A TRABAJAR)</t>
  </si>
  <si>
    <t>ÍTEM:</t>
  </si>
  <si>
    <t xml:space="preserve">ÍTEM: </t>
  </si>
  <si>
    <t>Ensayos de laboratorios de control de calidad</t>
  </si>
  <si>
    <t>Alquiler Campamento tipo bodega (22 m²)</t>
  </si>
  <si>
    <t>Alquiler de camioneta 4x4 cilindraje 3000 cm3, incluye conductor</t>
  </si>
  <si>
    <t>Topografo</t>
  </si>
  <si>
    <t>PLANIFICACION FINANCIERA Y CRONOGRAMA</t>
  </si>
  <si>
    <t>CAPITULOS</t>
  </si>
  <si>
    <t>VALOR PROGRAMADO TOTAL</t>
  </si>
  <si>
    <t>PROGRAMACION MENSUAL</t>
  </si>
  <si>
    <t>CIERRE FINANCIERO</t>
  </si>
  <si>
    <t>TOTAL COSTOS DIRECTOS INCLUIDO AIU</t>
  </si>
  <si>
    <t>INTERVENTORIA</t>
  </si>
  <si>
    <t>PMT</t>
  </si>
  <si>
    <t>TOTAL PROYECTO</t>
  </si>
  <si>
    <t>SUBTOTAL AIU</t>
  </si>
  <si>
    <t>Servicio de Energía</t>
  </si>
  <si>
    <t>Alquiler equipo de topografia (estacion total)</t>
  </si>
  <si>
    <t>INGENIERO AMBIENTAL</t>
  </si>
  <si>
    <t>Total de personal</t>
  </si>
  <si>
    <t>Servicio de agua</t>
  </si>
  <si>
    <t>ABS INICIAL</t>
  </si>
  <si>
    <t>TOTAL</t>
  </si>
  <si>
    <t>CESANTIAS ANUALES</t>
  </si>
  <si>
    <t>Honorarios</t>
  </si>
  <si>
    <t>Seguridad Social (pensión)</t>
  </si>
  <si>
    <t>Seguridad Social (salud)</t>
  </si>
  <si>
    <t>Gastos de legalización</t>
  </si>
  <si>
    <t>VR / MES</t>
  </si>
  <si>
    <t>FP</t>
  </si>
  <si>
    <t>PROGRAMA</t>
  </si>
  <si>
    <t>1. DESARROLLO Y APLICACIÓN DE LA GESTIÓN AMBIENTAL</t>
  </si>
  <si>
    <t>2. PROGRAMA ACTIVIDADES CONSTRUCTIVAS</t>
  </si>
  <si>
    <t>Residuos reciclables</t>
  </si>
  <si>
    <t>3. PROGRAMA GESTIÓN HÍDRICA</t>
  </si>
  <si>
    <t>PRESUPUESTO!Títulos_a_imprimir</t>
  </si>
  <si>
    <t>COSTO INDIRECTO A.I.U. [ % ]</t>
  </si>
  <si>
    <t>Inmovilizador de cabeza para camilla</t>
  </si>
  <si>
    <t>ANÁLISIS DE COSTOS PARA LA IMPLEMENTACIÓN DE PLAN DE ADAPTACIÓN DE LA GUÍA AMBIENTAL - PAGA</t>
  </si>
  <si>
    <t>RECURSOS PARA LA IMPLEMENTACIÓN PAGA - PROGRAMA DE HSST (HIGIENE SEGURIDAD Y SALUD EN EL TRABAJO)</t>
  </si>
  <si>
    <t>TOTAL COSTOS RECURSOS PARA LA IMPLEMENTACIÓN DEL PAGA - HIGIENE, SEGURIDAD Y SALUD EN EL TRABAJO - HSST</t>
  </si>
  <si>
    <t>6. GESTIÓN SOCIAL</t>
  </si>
  <si>
    <t>Divulgación del proyecto</t>
  </si>
  <si>
    <t>dias</t>
  </si>
  <si>
    <t>RECURSOS PARA LA IMPLEMENTACIÓN PAGA - FICHAS: (DAGA - 1.2, PAC-2.1-04, PAC-2.4-07, PAC-2.5-08, PGH-3.2-10,PGS-6.1-18, PGS-6.2-19)</t>
  </si>
  <si>
    <t xml:space="preserve">Elaboración de informes de implementación del PAGA (Actas, formatos y registros), capacitación y concienciación </t>
  </si>
  <si>
    <t>Lona verde para cerramiento</t>
  </si>
  <si>
    <t>Cinta de señalización preventiva</t>
  </si>
  <si>
    <t>ml</t>
  </si>
  <si>
    <t>El kit consta de pala con mango, balde plástico de 25 lt, bolsa roja de calibre 2", guantes, estopa y aserrín</t>
  </si>
  <si>
    <t>5. MANEJO DE INSTALACIONES TEMPORALES DE MAQUINARIA Y EQUIPOS</t>
  </si>
  <si>
    <t>Cerramiento área de acopio y parqueo temporal de maquinaria</t>
  </si>
  <si>
    <t>Volantes informativos del proyecto</t>
  </si>
  <si>
    <t>PRECIO</t>
  </si>
  <si>
    <t>ETAPA PRECONTRACTUAL</t>
  </si>
  <si>
    <t>ABS FINAL</t>
  </si>
  <si>
    <t>Arriendo Oficina tipo bodega 22m2</t>
  </si>
  <si>
    <t>Servicio de energia</t>
  </si>
  <si>
    <t>Servicio de internet</t>
  </si>
  <si>
    <t>Ensayos de laboratorios para control de calidad del proyecto</t>
  </si>
  <si>
    <t>Papeleria, copias e impresiones</t>
  </si>
  <si>
    <t>1.10</t>
  </si>
  <si>
    <t>MAESTRO DE OBRA</t>
  </si>
  <si>
    <t>3.2</t>
  </si>
  <si>
    <t>TRAMO</t>
  </si>
  <si>
    <t xml:space="preserve">2 Obrero </t>
  </si>
  <si>
    <t>TRANSPORTE MATERIAL</t>
  </si>
  <si>
    <t>Distancia suministro base y subbase</t>
  </si>
  <si>
    <t>Distancia suministro de arena</t>
  </si>
  <si>
    <t>Distancia suministro grava triturada</t>
  </si>
  <si>
    <t>Distancia transporte acero</t>
  </si>
  <si>
    <t>Camioneta</t>
  </si>
  <si>
    <t>TABLERO EN LAMINA GALVANIZADA DE 1.2cm*0.4cm, CALIBRE 16, REFLECTIVO TIPO 1</t>
  </si>
  <si>
    <t>POSTE EN ANGULO DE 2*2*1/4 DE 3,5m</t>
  </si>
  <si>
    <t>m3</t>
  </si>
  <si>
    <t>2 Obrero</t>
  </si>
  <si>
    <t>PAGA</t>
  </si>
  <si>
    <t>1,2</t>
  </si>
  <si>
    <t>1,2,1</t>
  </si>
  <si>
    <t>1,2,2</t>
  </si>
  <si>
    <t>1,2,3</t>
  </si>
  <si>
    <t>Alquiler equipos de oficina (computadores)</t>
  </si>
  <si>
    <t>SEÑALIZACION DEFINITIVA</t>
  </si>
  <si>
    <t>Señal vertical de transito Tipo II (1,2*0,4) con lámina retroreflectiva</t>
  </si>
  <si>
    <t>CONCRETO CLASE F</t>
  </si>
  <si>
    <t>1.1.6</t>
  </si>
  <si>
    <t>Distancia acarreo a Botadero</t>
  </si>
  <si>
    <t>Compresor 120 HP, con martillo</t>
  </si>
  <si>
    <t>Equipo de oxicorte, Capacidad de corte: hasta 6´´ (152mm)</t>
  </si>
  <si>
    <t>PRESUPUESTO DE OBRA</t>
  </si>
  <si>
    <t>kg</t>
  </si>
  <si>
    <t>m</t>
  </si>
  <si>
    <t>ANCHO</t>
  </si>
  <si>
    <t>PESO/METRO DE VARILLA</t>
  </si>
  <si>
    <t>CANTIDAD DE VARILLAS</t>
  </si>
  <si>
    <t>PESO TOTAL (KG)</t>
  </si>
  <si>
    <t>No DE VARILLA LONGITUDINAL</t>
  </si>
  <si>
    <t>ESPACIAMIENTO VARILLA LONGITUDINAL</t>
  </si>
  <si>
    <t>LONGITUD VARILLA LONGITUDINAL</t>
  </si>
  <si>
    <t>M</t>
  </si>
  <si>
    <t>Rieles para pavimento</t>
  </si>
  <si>
    <t>Regla vibratoria</t>
  </si>
  <si>
    <t>Compresor (barrido y soplado)</t>
  </si>
  <si>
    <t>Cortadora de pavimento, Máxima profundidad de corte: 160 mm. Capacidad de disco: desde 12´´ hasta 18´´ de diámetro. Peso operacional: 135 kg, 13.5 hp de potencia</t>
  </si>
  <si>
    <t>Disco diamantado</t>
  </si>
  <si>
    <t>Cordon de junta en espuma de polietileno Sikarod o similar</t>
  </si>
  <si>
    <t>Sello de silicona o sellador autonivelante</t>
  </si>
  <si>
    <t>Derechos de explotación de materiales</t>
  </si>
  <si>
    <t># ELEMENTOS</t>
  </si>
  <si>
    <t>ESPESOR</t>
  </si>
  <si>
    <t>Material filtrante</t>
  </si>
  <si>
    <t>Aspersor manual</t>
  </si>
  <si>
    <t>Antisol blanco (presentación 20 Kg)</t>
  </si>
  <si>
    <t>Cizalla manual de 90 cm</t>
  </si>
  <si>
    <t>ACERO LOSA VIA 1/2" CORRUGADO</t>
  </si>
  <si>
    <t>JUNTA LONGITUDINAL</t>
  </si>
  <si>
    <t>JUNTA TRANSVERSAL</t>
  </si>
  <si>
    <t>VOLUMEN</t>
  </si>
  <si>
    <t>Equipo oxicorte</t>
  </si>
  <si>
    <t>Retroexcavadora A25C</t>
  </si>
  <si>
    <t>Tubo concreto reforzado 900 mm (tipo 1)</t>
  </si>
  <si>
    <t>Agregado para concreto hidraulico</t>
  </si>
  <si>
    <t>Señal (grupo 2). Tablero en lamina galvanizada de 1,2 m * 0,4 m calibre</t>
  </si>
  <si>
    <t>Poste en angulo de 2*2*1/4 de 3,5m para señal</t>
  </si>
  <si>
    <t>Equipo de pintura (compresor), presion maxima 3300 PSI</t>
  </si>
  <si>
    <t>Esferas reflectivas</t>
  </si>
  <si>
    <t>Disolvente para pintura tráfico (acrilico)</t>
  </si>
  <si>
    <t>Pintura acrílica pura para tráfico</t>
  </si>
  <si>
    <t>Gal</t>
  </si>
  <si>
    <t>Camión</t>
  </si>
  <si>
    <t>Postes para defensa metálica (1,80 m)</t>
  </si>
  <si>
    <t>Defensa Metalica de 4,13 m Galvanizada</t>
  </si>
  <si>
    <t>Material de Base (gradación 3)</t>
  </si>
  <si>
    <t>1 oficial</t>
  </si>
  <si>
    <t>Aquiler de campero 4x4 cilindraje 3000 cm3 (incluye conductor y combustible)</t>
  </si>
  <si>
    <t>Compra de radio telefonos para comunicaciones</t>
  </si>
  <si>
    <t>YEFERSON MORENO MATURANA</t>
  </si>
  <si>
    <t>SECRETARIO DE PLANEACIÓN</t>
  </si>
  <si>
    <t>Concreto resistencia 28 Mpa</t>
  </si>
  <si>
    <t>Linea de demarcacion con pintura en frio (Color blanco - Ancho 12cm) Borde de pavimento</t>
  </si>
  <si>
    <t>PLAN DE ADAPTACION A LA GUIA AMBIENTAL</t>
  </si>
  <si>
    <r>
      <t xml:space="preserve">CARACTERIZACIÓN VIAL 
</t>
    </r>
    <r>
      <rPr>
        <b/>
        <sz val="12"/>
        <color theme="1"/>
        <rFont val="Arial"/>
        <family val="2"/>
      </rPr>
      <t>(Resolución 412 de 2020)</t>
    </r>
  </si>
  <si>
    <t>I</t>
  </si>
  <si>
    <t>COSTOS DE PERSONAL PROFESIONAL</t>
  </si>
  <si>
    <t>Ítem</t>
  </si>
  <si>
    <t>CARGO / OFICIO</t>
  </si>
  <si>
    <t>CATEGORIA</t>
  </si>
  <si>
    <t>SUELDO O TARIFA MENSUAL $</t>
  </si>
  <si>
    <t>F.M</t>
  </si>
  <si>
    <t>DURACION TOTAL (MESES)</t>
  </si>
  <si>
    <t>VALOR PARCIAL (B*C*D)</t>
  </si>
  <si>
    <t>Personal Profesional:</t>
  </si>
  <si>
    <t>Ingeniero especialista en SIG</t>
  </si>
  <si>
    <t>SUB-TOTAL COSTOS DE PERSONAL</t>
  </si>
  <si>
    <t>II</t>
  </si>
  <si>
    <t>PERSONAL TECNICO</t>
  </si>
  <si>
    <t>VALOR PARCIAL (A*B*C*D)</t>
  </si>
  <si>
    <t>Secretarìa</t>
  </si>
  <si>
    <t xml:space="preserve">Cadenero </t>
  </si>
  <si>
    <t>SUB-TOTAL COSTOS DE PERSONAL TECNICO</t>
  </si>
  <si>
    <t>TOTAL PERSONAL (I + II)</t>
  </si>
  <si>
    <t>III</t>
  </si>
  <si>
    <t xml:space="preserve">COSTOS DIRECTOS CON FACTOR MULTIPLICADOR  (RANGO MINIMO 1.00 - MAXIMO 1.25) </t>
  </si>
  <si>
    <t>ALQUILER DE EQUIPOS Y OTROS</t>
  </si>
  <si>
    <t>TARIFA</t>
  </si>
  <si>
    <t>TOTAL DURACION MESES</t>
  </si>
  <si>
    <t>Alquiler equipo completo para georeferencia y captura, almacenamiento, analisis, transformacion y presentacion de toda la informacion geografica y sub - atributos.  Incluye sofware ARCGIS</t>
  </si>
  <si>
    <t>Alquiler computadores</t>
  </si>
  <si>
    <t>Alquiler radiotelefonos</t>
  </si>
  <si>
    <t>Gastos de papelerìa</t>
  </si>
  <si>
    <t>SUB- TOTAL COSTOS DIRECTOS (III)</t>
  </si>
  <si>
    <t>SUB- TOTAL I + II + III</t>
  </si>
  <si>
    <t>TOTAL CARACTERIZACION VIAL</t>
  </si>
  <si>
    <t>TOTAL A CARACTERIZAR</t>
  </si>
  <si>
    <t>TOTAL KM A CARACTERIZAR</t>
  </si>
  <si>
    <t>Capacitaciones cultura vial</t>
  </si>
  <si>
    <t>Capacitacion ambiental personal de obra</t>
  </si>
  <si>
    <t xml:space="preserve">Cubrimiento de materiales granulares como bases, su bases, arena, con plástico calibre 6" de 3 m de ancho x 10 m de longitud </t>
  </si>
  <si>
    <t xml:space="preserve">Cubrimiento de escombros con tela verde para cerramiento de 2.10 m de ancho x 15 m de longitud </t>
  </si>
  <si>
    <t>ESPEC.</t>
  </si>
  <si>
    <t>ACERO PAVIMENTO RIGIDO</t>
  </si>
  <si>
    <t>Linea de demarcacion con pintura en frio</t>
  </si>
  <si>
    <t>PAVIMENTACIÓN EN CONCRETO HIDRAULICO</t>
  </si>
  <si>
    <t>MES 7</t>
  </si>
  <si>
    <t>SECTOR</t>
  </si>
  <si>
    <t>TRAMO 1</t>
  </si>
  <si>
    <t>Motobomba 4"</t>
  </si>
  <si>
    <t>Vehiculo delineador</t>
  </si>
  <si>
    <t>3 Obrero</t>
  </si>
  <si>
    <t>% DEDIC</t>
  </si>
  <si>
    <t>MES 6</t>
  </si>
  <si>
    <t>Marca vial con pintura en frio</t>
  </si>
  <si>
    <t>Camioneta D300</t>
  </si>
  <si>
    <t># Elementos</t>
  </si>
  <si>
    <t>DOTACION</t>
  </si>
  <si>
    <t>LARGO</t>
  </si>
  <si>
    <t>LARGO LOSA</t>
  </si>
  <si>
    <t>Delineador de señalización vial en pvc h=140m ranura para cinta de prevención (pag. 515-manual de señalización vial mintransporte 2015</t>
  </si>
  <si>
    <t>Señal preventiva tipo rombo moviles (0.60x0.60) (pag. 461-manual de señalización vial minitransporte 2015)</t>
  </si>
  <si>
    <t>Señal informativa de obras moviles tipo rectangular (1.20x60) (pág. 487-490 - manual de señalización vial minitransporte 2015)</t>
  </si>
  <si>
    <t>Sub Base Granular tipo C</t>
  </si>
  <si>
    <t>LONGITUD TOTAL (m)</t>
  </si>
  <si>
    <t xml:space="preserve">UTILIDAD </t>
  </si>
  <si>
    <t>Material de Sub Base CBR=30%</t>
  </si>
  <si>
    <t>Material de Sub- Base CBR=30%</t>
  </si>
  <si>
    <t>Buldozer, Potencia al bvolante de 140 HP, motor 2200 RPM, longitud de hoja de 4.80 m.</t>
  </si>
  <si>
    <t>Retroexcavadora  sobre oruga, potencia 138 HP, base de 1.5 m3</t>
  </si>
  <si>
    <t>Derechos de explotación y/o disposición de materiales</t>
  </si>
  <si>
    <t>Vibrocompactador 153 HP, peso 10 Ton</t>
  </si>
  <si>
    <t>Motoniveladora 215 HP, ancho de cuchilla a 4.27 m, peso 18 Ton.</t>
  </si>
  <si>
    <t>Vibrador de Concreto, Motor de 3 hp a 18.000 rpm Mangueras de 4mt</t>
  </si>
  <si>
    <t>Antisol blanco (Presentación 20 Kg)</t>
  </si>
  <si>
    <t>Formaleta (Concreto clase D, E, F y G)</t>
  </si>
  <si>
    <t xml:space="preserve">Alambre Negro para Amarre </t>
  </si>
  <si>
    <t>Barras de unión de 1/2 "</t>
  </si>
  <si>
    <t>Ancho Pavimento</t>
  </si>
  <si>
    <t>Volumen (m3)</t>
  </si>
  <si>
    <t>OBRAS PRELIMINARES</t>
  </si>
  <si>
    <t>Concreto clase F (Resistencia 14 Mpa)</t>
  </si>
  <si>
    <t>Barreras de señalización tipo maletín 2.00mx1.00mx0.50m (pag.520-manual de señalización vial mintransporte 2015)</t>
  </si>
  <si>
    <t>ÍTEM:      CONCRETO 4000 PSI</t>
  </si>
  <si>
    <t>2 Oficial</t>
  </si>
  <si>
    <t>6 Obreros</t>
  </si>
  <si>
    <t>INGENIERO CIVIL</t>
  </si>
  <si>
    <t>ACTIVIDADES PRELIMINARES</t>
  </si>
  <si>
    <t>CUMBITARA</t>
  </si>
  <si>
    <t>ESPECIF</t>
  </si>
  <si>
    <t>Retroexcavadora, Potencia en el volante 78 HP 2200 RPM</t>
  </si>
  <si>
    <t>Material proveniente de la excavacion</t>
  </si>
  <si>
    <t>MATERIAL PROVENIENTE DE LA EXCAVACIÓN TRAMO 1</t>
  </si>
  <si>
    <t>RESULTADOS DE CORTE Y RELLENO</t>
  </si>
  <si>
    <t>210.2.2</t>
  </si>
  <si>
    <t>Excavaciones en material común de la explanación y canales</t>
  </si>
  <si>
    <t>EXCAVACIÓN PROVENIENTE DE CORTES DEL TRAMO 1</t>
  </si>
  <si>
    <t>VOLUMEN PRODUCTO DEL RELLENO DEL TRAMO 1</t>
  </si>
  <si>
    <t>Transporte de material de subbase</t>
  </si>
  <si>
    <t>Placa de pavimento en concreto hidráulico MR2=4,0 Mpa (40Kg/cm2)</t>
  </si>
  <si>
    <t>Equipo de soldadura 250 amp.</t>
  </si>
  <si>
    <t>Acero estructural</t>
  </si>
  <si>
    <t>Pintura acrilica, esmalte o similar</t>
  </si>
  <si>
    <t>SOLDADOR</t>
  </si>
  <si>
    <t>Longitud via (m)</t>
  </si>
  <si>
    <t>Lote de muestreo (m)</t>
  </si>
  <si>
    <t>Numero de lotes</t>
  </si>
  <si>
    <t>Tiempo de ejecucion del proyecto (meses)</t>
  </si>
  <si>
    <t>ENSAYOS CONTRATISTA</t>
  </si>
  <si>
    <t>RELACION DE ENSAYOS DE AUTOCONTROL DE CALIDAD PARA LA EJECUCION DEL PROYECTO</t>
  </si>
  <si>
    <t>ACTIVIDAD</t>
  </si>
  <si>
    <t>TIPO DE ENSAYO</t>
  </si>
  <si>
    <t>NORMA</t>
  </si>
  <si>
    <t># DE MUESTRAS</t>
  </si>
  <si>
    <t># DE ENSAYOS POR MUESTRA</t>
  </si>
  <si>
    <t>CANTIDAD TOAL</t>
  </si>
  <si>
    <t>V/UNITARIO (incluido IVA)</t>
  </si>
  <si>
    <t>V/TOTAL</t>
  </si>
  <si>
    <t>ESPECIFICACIONES INVIAS</t>
  </si>
  <si>
    <t>INDICACION</t>
  </si>
  <si>
    <t>NO APLICA</t>
  </si>
  <si>
    <t>Determinacion de los tamaños de las particulas de los suelos</t>
  </si>
  <si>
    <t>INV E - 123 - 13</t>
  </si>
  <si>
    <t>Determinacion del limite liquido de los suelos</t>
  </si>
  <si>
    <t>INV E - 125 - 13</t>
  </si>
  <si>
    <t>Limite plastico e indice de plasticidad de los suelos</t>
  </si>
  <si>
    <t>INV E - 126 - 13</t>
  </si>
  <si>
    <t>Determinacion del contenido organico de un suelo mediante el ensayo de perdida por ignicion</t>
  </si>
  <si>
    <t>INV E - 121 - 13</t>
  </si>
  <si>
    <t>Determinacion del contenido de azufre en los agregados petreos</t>
  </si>
  <si>
    <t>Determinacion de la reactividad potencial alcali-sílice de agregados (método químico)</t>
  </si>
  <si>
    <t>INV E - 234 - 13</t>
  </si>
  <si>
    <t>INV E - 611 -13</t>
  </si>
  <si>
    <t>1 vez por jornada</t>
  </si>
  <si>
    <t>Equivalente de arena en suelos y agregados finos</t>
  </si>
  <si>
    <t>INV E - 133 - 13</t>
  </si>
  <si>
    <t>1 vez a la semana</t>
  </si>
  <si>
    <t>Relaciones de humedad - peso unitario seco en los suelos (ensayo modificado de compactacion)</t>
  </si>
  <si>
    <t>INV E - 142 - 13</t>
  </si>
  <si>
    <t>BASE GRANULAR CLASE C</t>
  </si>
  <si>
    <t>Resistencia a la degradacion de los agregados de tamaños menores de 37,5 mm por medio de la maquina de los angeles</t>
  </si>
  <si>
    <t>INV E - 218 -13</t>
  </si>
  <si>
    <t>Articulo 320-13 Capitulo 3 Afirmados Subbases Bases</t>
  </si>
  <si>
    <t>"De cada fuente de agregados pétreos y para cualquier volumen previsto se tomarán cuatro (4) muestras representativas para realizar los ensayos especificados en la Tabla 320  ‐ 2"</t>
  </si>
  <si>
    <t>Determinacion de la resistencia del agregado grueso a la degradacion por abrasion utilizando el aparato micro-deval</t>
  </si>
  <si>
    <t>INV E - 238 -13</t>
  </si>
  <si>
    <t>Solidez de los agregados frente a la accion de soluciones de sulfato de sodio o magnesio</t>
  </si>
  <si>
    <t>INV E - 220 -13</t>
  </si>
  <si>
    <t>Equivalente de arena de suelos y agregados finos</t>
  </si>
  <si>
    <t>INV E - 133 -13</t>
  </si>
  <si>
    <t>Determinacion de terrones de arcilla y particulas deleznables en los agregados</t>
  </si>
  <si>
    <t>INV E - 211 -13</t>
  </si>
  <si>
    <t>CBR de suelos compactados en el laboratorio y sobre muestra inalterada</t>
  </si>
  <si>
    <t>INV E - 148 -13</t>
  </si>
  <si>
    <t>Placa de pavimento en concreto hidráulico MR=4,0 Mpa (40Kg/cm2)</t>
  </si>
  <si>
    <t>Articulo 630-13 Capitulo 6 Estructuras y drenajes</t>
  </si>
  <si>
    <t>"De cada fuente de agregados por utilizar en la producción concreto y para cualquier volumen previsto, se tomarán cuatro (4) muestras y se ejecutarán los ensayos"</t>
  </si>
  <si>
    <t>Cantidad de partículas livianas en un agregado pétreo</t>
  </si>
  <si>
    <t>INV E - 221 -13</t>
  </si>
  <si>
    <t>Material que pasa el tamiz de 75 μm (No. 200), máximo (%).</t>
  </si>
  <si>
    <t>INV E - 214 -13</t>
  </si>
  <si>
    <t>Presencia de impurezas organicas en arenas usadas en la preparacion de morteros o concretos</t>
  </si>
  <si>
    <t>INV E - 212 -13</t>
  </si>
  <si>
    <t>INV E - 233 -13</t>
  </si>
  <si>
    <t>Densidad, densidad relativa (gravedad específica) y absorcion del agregado fino</t>
  </si>
  <si>
    <t>INV E - 222 -13</t>
  </si>
  <si>
    <t>Determinacion del valor del 10% de finos</t>
  </si>
  <si>
    <t>INV E - 224 -13</t>
  </si>
  <si>
    <t>Porcentaje de particulas fracturadas en un agregado grueso</t>
  </si>
  <si>
    <t>INV E - 227 -13</t>
  </si>
  <si>
    <t>Proporcion de particulas planas, alargadas o planas y alargadas en agregados gruesos</t>
  </si>
  <si>
    <t>INV E - 240 -13</t>
  </si>
  <si>
    <t>Asentamiento del concreto de cemento hidraulico (slump)</t>
  </si>
  <si>
    <t>INV E - 404 - 13</t>
  </si>
  <si>
    <t>"Se controlará la consistencia de cada carga entregada, para lo cual se tomará una muestra
representativa de ella que someterá al ensayo de asentamiento (INV E‐404)"</t>
  </si>
  <si>
    <t>Resistencia a la compresion de cilindros de concreto.</t>
  </si>
  <si>
    <t>INV E - 410 -13</t>
  </si>
  <si>
    <t>"De dicha parcialidad se tomará una muestra compuesta por cuatro (4) especímenes… para someterlas a ensayos de resistencia a compresión según la norma INV E‐410"</t>
  </si>
  <si>
    <t>Señal Vertical de Transito tipo I</t>
  </si>
  <si>
    <t>Articulo 710-13 Capitulo 7 Senalizacion y Seguridad</t>
  </si>
  <si>
    <t>Articulo 700-13 Capitulo 7 Senalizacion y Seguridad</t>
  </si>
  <si>
    <t>Postes de referencia kilometraje</t>
  </si>
  <si>
    <t>Articulo 720-13 Capitulo 7 Senalizacion y Seguridad</t>
  </si>
  <si>
    <t>VALOR TOTAL ENSAYOS A REALIZAR</t>
  </si>
  <si>
    <t>ENSAYOS INTERVENTORIA</t>
  </si>
  <si>
    <t>ÍTEM</t>
  </si>
  <si>
    <t>Articulo 900-13 Capitulo 9 Transporte</t>
  </si>
  <si>
    <t>Cant</t>
  </si>
  <si>
    <t>Ingeniero Especialista en Geotecnia</t>
  </si>
  <si>
    <t>Residente de obra</t>
  </si>
  <si>
    <t>AUXILIAR DE TRÁNSITO</t>
  </si>
  <si>
    <t>Conos de señalización vial en pvc 0.70m doble reflectivo (pag. 512-manual de señalización vial mintransporte 2015)</t>
  </si>
  <si>
    <t>Paleta de control pare-siga h=0.45 (pag. 533- manual de señalización vial mintransporte 2015)</t>
  </si>
  <si>
    <t>Señal informativa circular moviles tipo circular (manual de señalización vial minitransporte 2015)</t>
  </si>
  <si>
    <t>INGENIERO ESPECIALISTA EN SIG</t>
  </si>
  <si>
    <t>Tachas reflectivas</t>
  </si>
  <si>
    <t>Tacha reflectiva (separadas cada 12 m)</t>
  </si>
  <si>
    <t>UNIDADES</t>
  </si>
  <si>
    <t>LONG. SEGMENTO PINTADO</t>
  </si>
  <si>
    <t>#ELEMENTOS</t>
  </si>
  <si>
    <t>Maquina térmica pegatachas</t>
  </si>
  <si>
    <t>Tacha reflectiva</t>
  </si>
  <si>
    <t xml:space="preserve">Resina termoplástica </t>
  </si>
  <si>
    <t>Residente de Interventoría</t>
  </si>
  <si>
    <t>Inspector de obra</t>
  </si>
  <si>
    <t>Articulo 420-INVE</t>
  </si>
  <si>
    <t>numeral 420.5.2.3</t>
  </si>
  <si>
    <t>Curva pronunciada a la derecha</t>
  </si>
  <si>
    <t>Curva pronunciada a la izquierda</t>
  </si>
  <si>
    <t>% A DEMARCAR</t>
  </si>
  <si>
    <t>Linea de demarcacion con pintura en frio (Color amarillo - Ancho 12cm) Linea central (brecha de 8 metros, donde 3 m va marcado y 5 m sin demarcar)</t>
  </si>
  <si>
    <t>BRECHA</t>
  </si>
  <si>
    <t>Desmonte y limpieza en zonas no boscosas</t>
  </si>
  <si>
    <t>HA</t>
  </si>
  <si>
    <t>Transporte de material desmontado</t>
  </si>
  <si>
    <t>m3k</t>
  </si>
  <si>
    <t>Transporte de arena</t>
  </si>
  <si>
    <t xml:space="preserve">Transporte de Base </t>
  </si>
  <si>
    <t>Transporte de Subbase</t>
  </si>
  <si>
    <t>Transporte de material de excavación</t>
  </si>
  <si>
    <t>Transporte de grava triturada</t>
  </si>
  <si>
    <t>Transporte de acero</t>
  </si>
  <si>
    <t>Transporte de cemento</t>
  </si>
  <si>
    <t>Transporte de material desmontado tkm</t>
  </si>
  <si>
    <t>Articulo 200</t>
  </si>
  <si>
    <t>Guadaña, Cilindraje 41.5 cm3, Longitud del mango 1450 mm, Peso 7.4 kg</t>
  </si>
  <si>
    <t>Motosierra, 93.6 cm3 - 7.1 HP, 45-90 cm - 7.9 kg</t>
  </si>
  <si>
    <t>Barras de Transferencia de carga 1-1/8"</t>
  </si>
  <si>
    <t xml:space="preserve">MESES </t>
  </si>
  <si>
    <t>Perifoneo (Incluye megafono)</t>
  </si>
  <si>
    <t>ESTAMPILLA ADULTO MAYOR</t>
  </si>
  <si>
    <t>Asesoría jurídica</t>
  </si>
  <si>
    <t>Asesoría legal, tributaria y contable</t>
  </si>
  <si>
    <t>Otros (Auxilios varios, prestaciones extralegales, Incapacidades no cubiertas)</t>
  </si>
  <si>
    <t>Velocidad máxima</t>
  </si>
  <si>
    <t>Curvas sucesivas la primera a la izquierda</t>
  </si>
  <si>
    <t>Curva y contracurva pronunciada la primera a la derecha</t>
  </si>
  <si>
    <t>Limite plastico e indice de plasticidad de los suelos inalterados</t>
  </si>
  <si>
    <t>Almacenista</t>
  </si>
  <si>
    <t>Linea de demarcacion con pintura en frio (Color amarillo - Ancho 12cm) Linea central (linea continua)</t>
  </si>
  <si>
    <t>LONGITUD EN LINEA SEGEMENTADA</t>
  </si>
  <si>
    <t>De acuerdo con lo dispuesto en la Resolución numero 0001067 de 2015 por la cual se modifica la Resolución 1860 de 2013 y bajo la Resolución 1240 de 2013 (Por la cual se adoptan la Guía para la categorización de las vías) , se realiza la Caracterización del tramo vial  del proyecto. A continuación se hace entrega de la siguiente información:</t>
  </si>
  <si>
    <t>CLASIFICACIÓN DE LA VÍA</t>
  </si>
  <si>
    <t>Via a cargo del municipio y distritos (o municipales)</t>
  </si>
  <si>
    <t>CARACTERIZACIÓN VIAL</t>
  </si>
  <si>
    <t>CRITERIOS PARA CATEGORIZAR UNA VIÍA</t>
  </si>
  <si>
    <t>PORCENATJE</t>
  </si>
  <si>
    <r>
      <t xml:space="preserve">Descripción: </t>
    </r>
    <r>
      <rPr>
        <sz val="11"/>
        <color theme="1"/>
        <rFont val="Century Gothic"/>
        <family val="2"/>
      </rPr>
      <t>De acuerdo con la Resolución</t>
    </r>
    <r>
      <rPr>
        <b/>
        <sz val="11"/>
        <color theme="1"/>
        <rFont val="Century Gothic"/>
        <family val="2"/>
      </rPr>
      <t xml:space="preserve"> </t>
    </r>
    <r>
      <rPr>
        <sz val="11"/>
        <color theme="1"/>
        <rFont val="Century Gothic"/>
        <family val="2"/>
      </rPr>
      <t>No. 0001067 de 2015 por la cual se modifica la Resolución 1860 de 2013, el producto entregable de la caracterización corresponde al inventario vial de la red terciaria, la metodología a utilizar para el levantamiento de la caracterización de la vía en campo es descrita con detalle a continuación:</t>
    </r>
    <r>
      <rPr>
        <b/>
        <sz val="11"/>
        <color theme="1"/>
        <rFont val="Century Gothic"/>
        <family val="2"/>
      </rPr>
      <t xml:space="preserve">
</t>
    </r>
    <r>
      <rPr>
        <sz val="11"/>
        <color theme="1"/>
        <rFont val="Century Gothic"/>
        <family val="2"/>
      </rPr>
      <t>El Profesional (ingeniero especialista en SIG) es encargado de entregar los siguientes productos en medio magnético al contratista con ayuda del equipo completo para georreferenciación y captura, almacenamiento, análisis, transformación y presentación de toda la información geográfica y sub – atributos en archivos software ARCGIS (SHAPE FILES).</t>
    </r>
    <r>
      <rPr>
        <b/>
        <sz val="11"/>
        <color theme="1"/>
        <rFont val="Century Gothic"/>
        <family val="2"/>
      </rPr>
      <t xml:space="preserve"> </t>
    </r>
    <r>
      <rPr>
        <sz val="11"/>
        <color theme="1"/>
        <rFont val="Century Gothic"/>
        <family val="2"/>
      </rPr>
      <t xml:space="preserve">Los entregables son los siguientes:                                                                                                                                                                                                                                                                                                                                                                                                                                                              -Componente espacial ( Sistema </t>
    </r>
    <r>
      <rPr>
        <b/>
        <sz val="11"/>
        <color theme="1"/>
        <rFont val="Century Gothic"/>
        <family val="2"/>
      </rPr>
      <t xml:space="preserve"> </t>
    </r>
    <r>
      <rPr>
        <sz val="11"/>
        <color theme="1"/>
        <rFont val="Century Gothic"/>
        <family val="2"/>
      </rPr>
      <t>de referencia espacial, Coordenadas de inicio y fin de la vía caracterizada)                                                                                                                                                                                                      -Longitud caracterizada</t>
    </r>
    <r>
      <rPr>
        <b/>
        <sz val="11"/>
        <color theme="1"/>
        <rFont val="Century Gothic"/>
        <family val="2"/>
      </rPr>
      <t xml:space="preserve">                                                                                                                                                                                  </t>
    </r>
    <r>
      <rPr>
        <sz val="11"/>
        <color theme="1"/>
        <rFont val="Century Gothic"/>
        <family val="2"/>
      </rPr>
      <t xml:space="preserve">-Descripción de la vía (Uso)                                                                                                                                                                                                                                                                                                           -Nombre de la vía </t>
    </r>
    <r>
      <rPr>
        <b/>
        <sz val="11"/>
        <color theme="1"/>
        <rFont val="Century Gothic"/>
        <family val="2"/>
      </rPr>
      <t xml:space="preserve">                                                                                                                                                                                                                   </t>
    </r>
    <r>
      <rPr>
        <sz val="11"/>
        <color theme="1"/>
        <rFont val="Century Gothic"/>
        <family val="2"/>
      </rPr>
      <t xml:space="preserve">-Pendientes de la vía                                                                                                                                                                                                                                                                                            -Tipo y estado de la superficie de rodadura  </t>
    </r>
    <r>
      <rPr>
        <b/>
        <sz val="11"/>
        <color theme="1"/>
        <rFont val="Century Gothic"/>
        <family val="2"/>
      </rPr>
      <t xml:space="preserve">                                                                                                                                                                                             </t>
    </r>
    <r>
      <rPr>
        <sz val="11"/>
        <color theme="1"/>
        <rFont val="Century Gothic"/>
        <family val="2"/>
      </rPr>
      <t xml:space="preserve"> -Categorización de la vía </t>
    </r>
    <r>
      <rPr>
        <b/>
        <sz val="11"/>
        <color theme="1"/>
        <rFont val="Century Gothic"/>
        <family val="2"/>
      </rPr>
      <t xml:space="preserve">                                                                                                                                                                                                      </t>
    </r>
    <r>
      <rPr>
        <sz val="11"/>
        <color theme="1"/>
        <rFont val="Century Gothic"/>
        <family val="2"/>
      </rPr>
      <t>-</t>
    </r>
    <r>
      <rPr>
        <b/>
        <sz val="11"/>
        <color theme="1"/>
        <rFont val="Century Gothic"/>
        <family val="2"/>
      </rPr>
      <t xml:space="preserve"> </t>
    </r>
    <r>
      <rPr>
        <sz val="11"/>
        <color theme="1"/>
        <rFont val="Century Gothic"/>
        <family val="2"/>
      </rPr>
      <t>Inventario de alcantarillas (Valoración de las obras) existentes</t>
    </r>
    <r>
      <rPr>
        <b/>
        <sz val="11"/>
        <color theme="1"/>
        <rFont val="Century Gothic"/>
        <family val="2"/>
      </rPr>
      <t xml:space="preserve">                                                                                                                                                                                                   </t>
    </r>
    <r>
      <rPr>
        <sz val="11"/>
        <color theme="1"/>
        <rFont val="Century Gothic"/>
        <family val="2"/>
      </rPr>
      <t xml:space="preserve"> -</t>
    </r>
    <r>
      <rPr>
        <b/>
        <sz val="11"/>
        <color theme="1"/>
        <rFont val="Century Gothic"/>
        <family val="2"/>
      </rPr>
      <t xml:space="preserve"> </t>
    </r>
    <r>
      <rPr>
        <sz val="11"/>
        <color theme="1"/>
        <rFont val="Century Gothic"/>
        <family val="2"/>
      </rPr>
      <t xml:space="preserve">Inventario de puentes en la vía </t>
    </r>
    <r>
      <rPr>
        <b/>
        <sz val="11"/>
        <color theme="1"/>
        <rFont val="Century Gothic"/>
        <family val="2"/>
      </rPr>
      <t xml:space="preserve"> </t>
    </r>
    <r>
      <rPr>
        <sz val="11"/>
        <color theme="1"/>
        <rFont val="Century Gothic"/>
        <family val="2"/>
      </rPr>
      <t xml:space="preserve">(Valoración de las obras)    </t>
    </r>
    <r>
      <rPr>
        <b/>
        <sz val="11"/>
        <color theme="1"/>
        <rFont val="Century Gothic"/>
        <family val="2"/>
      </rPr>
      <t xml:space="preserve">                                                                                                                                                               </t>
    </r>
    <r>
      <rPr>
        <sz val="11"/>
        <color theme="1"/>
        <rFont val="Century Gothic"/>
        <family val="2"/>
      </rPr>
      <t xml:space="preserve">-Identificación visual de puntos críticos y/o zonas inestables en la vía  </t>
    </r>
    <r>
      <rPr>
        <b/>
        <sz val="11"/>
        <color theme="1"/>
        <rFont val="Century Gothic"/>
        <family val="2"/>
      </rPr>
      <t xml:space="preserve">                                                                </t>
    </r>
  </si>
  <si>
    <t>KM</t>
  </si>
  <si>
    <t>Servicio de Internet</t>
  </si>
  <si>
    <t>Servicio de Agua</t>
  </si>
  <si>
    <t>Alquiler de baño de la zona (2)</t>
  </si>
  <si>
    <t>JESUS EDUARDO ROBLES SMITH</t>
  </si>
  <si>
    <t>M.P. 25202-316144 CND</t>
  </si>
  <si>
    <t>3,2</t>
  </si>
  <si>
    <t>3,3</t>
  </si>
  <si>
    <t>FONSECA</t>
  </si>
  <si>
    <t>NOTA: CANTIDADES OBTENIDAS DE CARTERA DE CORTE Y RELLENO DISEÑO GEOMETRICO</t>
  </si>
  <si>
    <t xml:space="preserve">NOTA: CANTIDADES OBTENIDAS DE CARTERA DE CORTE Y RELLENO DISEÑO GEOMETRICO </t>
  </si>
  <si>
    <t>MUNICIPIO DE FONSECA</t>
  </si>
  <si>
    <t>Transporte de materiales provenientes de la excavación de la explanación, canales y préstamos para distancias mayores de mil metros (1000 m)</t>
  </si>
  <si>
    <t>ACERO LOSA VIA 1-1/4" LISO</t>
  </si>
  <si>
    <t>CORTE DE JUNTAS DEL PAVIMENTO RÍGIDO</t>
  </si>
  <si>
    <t>SELLO DE JUNTAS DEL PAVIMENTO RÍGIDO</t>
  </si>
  <si>
    <t>Material de afirmado</t>
  </si>
  <si>
    <t>Transporte de  material de afirmado</t>
  </si>
  <si>
    <t>Material granular</t>
  </si>
  <si>
    <t>1,1</t>
  </si>
  <si>
    <t>1,3</t>
  </si>
  <si>
    <t>2,1</t>
  </si>
  <si>
    <t>2,2</t>
  </si>
  <si>
    <t>2,3</t>
  </si>
  <si>
    <t>3,1</t>
  </si>
  <si>
    <t>Acero de refuerzo de amarre D= 1/2" Corrugado</t>
  </si>
  <si>
    <t>Cordón de junta en espuma de polietileno</t>
  </si>
  <si>
    <t>Sello de silicona o sellado autonivelante</t>
  </si>
  <si>
    <t>TOTAL POR M3</t>
  </si>
  <si>
    <t>Transporte de material de afirmado</t>
  </si>
  <si>
    <t xml:space="preserve">Topógrafo </t>
  </si>
  <si>
    <t>ESTAMPILLA PROCULTURA</t>
  </si>
  <si>
    <t>ESTAMPILLA PRO UNIVERSIDAD</t>
  </si>
  <si>
    <t>ESTAMPILLA PRO DESARROLLO DEPARTAMENTAL</t>
  </si>
  <si>
    <t>ESTAMPILLA PRO DESARROLLO FRONTERIZO</t>
  </si>
  <si>
    <t>Articulo 210-13 Capitulo 2 Explanaciones</t>
  </si>
  <si>
    <t>Terraplenes</t>
  </si>
  <si>
    <t>Articulo 220-13 Capitulo 2 Explanaciones</t>
  </si>
  <si>
    <t>Determinación del indice de colapso</t>
  </si>
  <si>
    <t>INV E - 157 - 13</t>
  </si>
  <si>
    <t>1 vez por mes</t>
  </si>
  <si>
    <t>Determinación del contenido de sales solubles</t>
  </si>
  <si>
    <t>TASA PRO DEPORTE Y RECREACIÓN</t>
  </si>
  <si>
    <t>Prohibido adelantar</t>
  </si>
  <si>
    <t>K0+853</t>
  </si>
  <si>
    <t>0+853.00</t>
  </si>
  <si>
    <t>Cortar volumen</t>
  </si>
  <si>
    <t xml:space="preserve">
Llenar volumen</t>
  </si>
  <si>
    <t xml:space="preserve">
área de corte</t>
  </si>
  <si>
    <t>Área de relleno</t>
  </si>
  <si>
    <t xml:space="preserve">
Estación</t>
  </si>
  <si>
    <t>@</t>
  </si>
  <si>
    <t xml:space="preserve">LONGITUD VARILLA </t>
  </si>
  <si>
    <t>LONGITUD TOTAL VARILLA X SECCION</t>
  </si>
  <si>
    <t>W (KG)</t>
  </si>
  <si>
    <t># de Varillas por Seccion</t>
  </si>
  <si>
    <t>W (Kg/m)</t>
  </si>
  <si>
    <t>TOTAL POR KG</t>
  </si>
  <si>
    <t>ACERO DE REFUERZO DE CANASTILLAS D=1/4" CORRUGADO</t>
  </si>
  <si>
    <t>Secetaria</t>
  </si>
  <si>
    <t>PÓLIZAS</t>
  </si>
  <si>
    <t>Contador</t>
  </si>
  <si>
    <t>COSTOS DE LEGALIZACIÓN Y PÓLIZAS</t>
  </si>
  <si>
    <t>3</t>
  </si>
  <si>
    <t>LEGALIZACIÓN Y PÓLIZAS</t>
  </si>
  <si>
    <t>3.3</t>
  </si>
  <si>
    <t>3.4</t>
  </si>
  <si>
    <t>3.5</t>
  </si>
  <si>
    <t>3.6</t>
  </si>
  <si>
    <t>3.7</t>
  </si>
  <si>
    <t>SUBTOTAL COSTOS DE LEGALIZACIÓN Y PÓLIZAS</t>
  </si>
  <si>
    <t>COSTO TOTAL (1 + 2+3)</t>
  </si>
  <si>
    <t>ESTAMPILLA PARA LA JUSTICIA FAMILIAR</t>
  </si>
  <si>
    <t>CONTRIBUCIÓN SOBRE CONTRATOS DE OBRA PÚBLICA</t>
  </si>
  <si>
    <t>3.8</t>
  </si>
  <si>
    <t>K0+000</t>
  </si>
  <si>
    <t>"MEJORAMIENTO VIAL MEDIANTE LA CONSTRUCCIÓN DE PAVIMENTO RÍGIDO DE LA PRIMERA ETAPA DE LA VÍA QUE COMUNICA A LA VEREDA PONDORES EN EL CORREGIMIENTO DE CONEJO, MUNICIPIO DE FONSECA - DEPARTAMENTO DE LA GUAJIRA."</t>
  </si>
  <si>
    <t>Acero de refuerzo de transferencia D=1" Liso</t>
  </si>
  <si>
    <r>
      <rPr>
        <sz val="10"/>
        <rFont val="Arial MT"/>
        <family val="2"/>
      </rPr>
      <t>0+000.00</t>
    </r>
  </si>
  <si>
    <r>
      <rPr>
        <sz val="10"/>
        <rFont val="Arial MT"/>
        <family val="2"/>
      </rPr>
      <t>0+010.00</t>
    </r>
  </si>
  <si>
    <r>
      <rPr>
        <sz val="10"/>
        <rFont val="Arial MT"/>
        <family val="2"/>
      </rPr>
      <t>0+020.00</t>
    </r>
  </si>
  <si>
    <r>
      <rPr>
        <sz val="10"/>
        <rFont val="Arial MT"/>
        <family val="2"/>
      </rPr>
      <t>0+030.00</t>
    </r>
  </si>
  <si>
    <r>
      <rPr>
        <sz val="10"/>
        <rFont val="Arial MT"/>
        <family val="2"/>
      </rPr>
      <t>0+040.00</t>
    </r>
  </si>
  <si>
    <r>
      <rPr>
        <sz val="10"/>
        <rFont val="Arial MT"/>
        <family val="2"/>
      </rPr>
      <t>0+050.00</t>
    </r>
  </si>
  <si>
    <r>
      <rPr>
        <sz val="10"/>
        <rFont val="Arial MT"/>
        <family val="2"/>
      </rPr>
      <t>0+060.00</t>
    </r>
  </si>
  <si>
    <r>
      <rPr>
        <sz val="10"/>
        <rFont val="Arial MT"/>
        <family val="2"/>
      </rPr>
      <t>0+070.00</t>
    </r>
  </si>
  <si>
    <r>
      <rPr>
        <sz val="10"/>
        <rFont val="Arial MT"/>
        <family val="2"/>
      </rPr>
      <t>0+080.00</t>
    </r>
  </si>
  <si>
    <r>
      <rPr>
        <sz val="10"/>
        <rFont val="Arial MT"/>
        <family val="2"/>
      </rPr>
      <t>0+090.00</t>
    </r>
  </si>
  <si>
    <r>
      <rPr>
        <sz val="10"/>
        <rFont val="Arial MT"/>
        <family val="2"/>
      </rPr>
      <t>0+100.00</t>
    </r>
  </si>
  <si>
    <r>
      <rPr>
        <sz val="10"/>
        <rFont val="Arial MT"/>
        <family val="2"/>
      </rPr>
      <t>0+110.00</t>
    </r>
  </si>
  <si>
    <r>
      <rPr>
        <sz val="10"/>
        <rFont val="Arial MT"/>
        <family val="2"/>
      </rPr>
      <t>0+120.00</t>
    </r>
  </si>
  <si>
    <r>
      <rPr>
        <sz val="10"/>
        <rFont val="Arial MT"/>
        <family val="2"/>
      </rPr>
      <t>0+130.00</t>
    </r>
  </si>
  <si>
    <r>
      <rPr>
        <sz val="10"/>
        <rFont val="Arial MT"/>
        <family val="2"/>
      </rPr>
      <t>0+140.00</t>
    </r>
  </si>
  <si>
    <r>
      <rPr>
        <sz val="10"/>
        <rFont val="Arial MT"/>
        <family val="2"/>
      </rPr>
      <t>0+150.00</t>
    </r>
  </si>
  <si>
    <r>
      <rPr>
        <sz val="10"/>
        <rFont val="Arial MT"/>
        <family val="2"/>
      </rPr>
      <t>0+160.00</t>
    </r>
  </si>
  <si>
    <r>
      <rPr>
        <sz val="10"/>
        <rFont val="Arial MT"/>
        <family val="2"/>
      </rPr>
      <t>0+170.00</t>
    </r>
  </si>
  <si>
    <r>
      <rPr>
        <sz val="10"/>
        <rFont val="Arial MT"/>
        <family val="2"/>
      </rPr>
      <t>0+180.00</t>
    </r>
  </si>
  <si>
    <r>
      <rPr>
        <sz val="10"/>
        <rFont val="Arial MT"/>
        <family val="2"/>
      </rPr>
      <t>0+190.00</t>
    </r>
  </si>
  <si>
    <r>
      <rPr>
        <sz val="10"/>
        <rFont val="Arial MT"/>
        <family val="2"/>
      </rPr>
      <t>0+200.00</t>
    </r>
  </si>
  <si>
    <r>
      <rPr>
        <sz val="10"/>
        <rFont val="Arial MT"/>
        <family val="2"/>
      </rPr>
      <t>0+210.00</t>
    </r>
  </si>
  <si>
    <r>
      <rPr>
        <sz val="10"/>
        <rFont val="Arial MT"/>
        <family val="2"/>
      </rPr>
      <t>0+220.00</t>
    </r>
  </si>
  <si>
    <r>
      <rPr>
        <sz val="10"/>
        <rFont val="Arial MT"/>
        <family val="2"/>
      </rPr>
      <t>0+230.00</t>
    </r>
  </si>
  <si>
    <r>
      <rPr>
        <sz val="10"/>
        <rFont val="Arial MT"/>
        <family val="2"/>
      </rPr>
      <t>0+240.00</t>
    </r>
  </si>
  <si>
    <r>
      <rPr>
        <sz val="10"/>
        <rFont val="Arial MT"/>
        <family val="2"/>
      </rPr>
      <t>0+250.00</t>
    </r>
  </si>
  <si>
    <r>
      <rPr>
        <sz val="10"/>
        <rFont val="Arial MT"/>
        <family val="2"/>
      </rPr>
      <t>0+260.00</t>
    </r>
  </si>
  <si>
    <r>
      <rPr>
        <sz val="10"/>
        <rFont val="Arial MT"/>
        <family val="2"/>
      </rPr>
      <t>0+270.00</t>
    </r>
  </si>
  <si>
    <r>
      <rPr>
        <sz val="10"/>
        <rFont val="Arial MT"/>
        <family val="2"/>
      </rPr>
      <t>0+280.00</t>
    </r>
  </si>
  <si>
    <r>
      <rPr>
        <sz val="10"/>
        <rFont val="Arial MT"/>
        <family val="2"/>
      </rPr>
      <t>0+290.00</t>
    </r>
  </si>
  <si>
    <r>
      <rPr>
        <sz val="10"/>
        <rFont val="Arial MT"/>
        <family val="2"/>
      </rPr>
      <t>0+300.00</t>
    </r>
  </si>
  <si>
    <r>
      <rPr>
        <sz val="10"/>
        <rFont val="Arial MT"/>
        <family val="2"/>
      </rPr>
      <t>0+310.00</t>
    </r>
  </si>
  <si>
    <r>
      <rPr>
        <sz val="10"/>
        <rFont val="Arial MT"/>
        <family val="2"/>
      </rPr>
      <t>0+320.00</t>
    </r>
  </si>
  <si>
    <r>
      <rPr>
        <sz val="10"/>
        <rFont val="Arial MT"/>
        <family val="2"/>
      </rPr>
      <t>0+330.00</t>
    </r>
  </si>
  <si>
    <r>
      <rPr>
        <sz val="10"/>
        <rFont val="Arial MT"/>
        <family val="2"/>
      </rPr>
      <t>0+340.00</t>
    </r>
  </si>
  <si>
    <r>
      <rPr>
        <sz val="10"/>
        <rFont val="Arial MT"/>
        <family val="2"/>
      </rPr>
      <t>0+350.00</t>
    </r>
  </si>
  <si>
    <r>
      <rPr>
        <sz val="10"/>
        <rFont val="Arial MT"/>
        <family val="2"/>
      </rPr>
      <t>0+360.00</t>
    </r>
  </si>
  <si>
    <r>
      <rPr>
        <sz val="10"/>
        <rFont val="Arial MT"/>
        <family val="2"/>
      </rPr>
      <t>0+370.00</t>
    </r>
  </si>
  <si>
    <r>
      <rPr>
        <sz val="10"/>
        <rFont val="Arial MT"/>
        <family val="2"/>
      </rPr>
      <t>0+380.00</t>
    </r>
  </si>
  <si>
    <r>
      <rPr>
        <sz val="10"/>
        <rFont val="Arial MT"/>
        <family val="2"/>
      </rPr>
      <t>0+390.00</t>
    </r>
  </si>
  <si>
    <r>
      <rPr>
        <sz val="10"/>
        <rFont val="Arial MT"/>
        <family val="2"/>
      </rPr>
      <t>0+400.00</t>
    </r>
  </si>
  <si>
    <r>
      <rPr>
        <sz val="10"/>
        <rFont val="Arial MT"/>
        <family val="2"/>
      </rPr>
      <t>0+410.00</t>
    </r>
  </si>
  <si>
    <r>
      <rPr>
        <sz val="10"/>
        <rFont val="Arial MT"/>
        <family val="2"/>
      </rPr>
      <t>0+420.00</t>
    </r>
  </si>
  <si>
    <r>
      <rPr>
        <sz val="10"/>
        <rFont val="Arial MT"/>
        <family val="2"/>
      </rPr>
      <t>0+430.00</t>
    </r>
  </si>
  <si>
    <r>
      <rPr>
        <sz val="10"/>
        <rFont val="Arial MT"/>
        <family val="2"/>
      </rPr>
      <t>0+440.00</t>
    </r>
  </si>
  <si>
    <r>
      <rPr>
        <sz val="10"/>
        <rFont val="Arial MT"/>
        <family val="2"/>
      </rPr>
      <t>0+450.00</t>
    </r>
  </si>
  <si>
    <r>
      <rPr>
        <sz val="10"/>
        <rFont val="Arial MT"/>
        <family val="2"/>
      </rPr>
      <t>0+460.00</t>
    </r>
  </si>
  <si>
    <r>
      <rPr>
        <sz val="10"/>
        <rFont val="Arial MT"/>
        <family val="2"/>
      </rPr>
      <t>0+470.00</t>
    </r>
  </si>
  <si>
    <r>
      <rPr>
        <sz val="10"/>
        <rFont val="Arial MT"/>
        <family val="2"/>
      </rPr>
      <t>0+480.00</t>
    </r>
  </si>
  <si>
    <r>
      <rPr>
        <sz val="10"/>
        <rFont val="Arial MT"/>
        <family val="2"/>
      </rPr>
      <t>0+490.00</t>
    </r>
  </si>
  <si>
    <r>
      <rPr>
        <sz val="10"/>
        <rFont val="Arial MT"/>
        <family val="2"/>
      </rPr>
      <t>0+500.00</t>
    </r>
  </si>
  <si>
    <r>
      <rPr>
        <sz val="10"/>
        <rFont val="Arial MT"/>
        <family val="2"/>
      </rPr>
      <t>0+510.00</t>
    </r>
  </si>
  <si>
    <r>
      <rPr>
        <sz val="10"/>
        <rFont val="Arial MT"/>
        <family val="2"/>
      </rPr>
      <t>0+520.00</t>
    </r>
  </si>
  <si>
    <r>
      <rPr>
        <sz val="10"/>
        <rFont val="Arial MT"/>
        <family val="2"/>
      </rPr>
      <t>0+530.00</t>
    </r>
  </si>
  <si>
    <r>
      <rPr>
        <sz val="10"/>
        <rFont val="Arial MT"/>
        <family val="2"/>
      </rPr>
      <t>0+540.00</t>
    </r>
  </si>
  <si>
    <r>
      <rPr>
        <sz val="10"/>
        <rFont val="Arial MT"/>
        <family val="2"/>
      </rPr>
      <t>0+550.00</t>
    </r>
  </si>
  <si>
    <r>
      <rPr>
        <sz val="10"/>
        <rFont val="Arial MT"/>
        <family val="2"/>
      </rPr>
      <t>0+560.00</t>
    </r>
  </si>
  <si>
    <r>
      <rPr>
        <sz val="10"/>
        <rFont val="Arial MT"/>
        <family val="2"/>
      </rPr>
      <t>0+570.00</t>
    </r>
  </si>
  <si>
    <r>
      <rPr>
        <sz val="10"/>
        <rFont val="Arial MT"/>
        <family val="2"/>
      </rPr>
      <t>0+580.00</t>
    </r>
  </si>
  <si>
    <r>
      <rPr>
        <sz val="10"/>
        <rFont val="Arial MT"/>
        <family val="2"/>
      </rPr>
      <t>0+590.00</t>
    </r>
  </si>
  <si>
    <r>
      <rPr>
        <sz val="10"/>
        <rFont val="Arial MT"/>
        <family val="2"/>
      </rPr>
      <t>0+600.00</t>
    </r>
  </si>
  <si>
    <r>
      <rPr>
        <sz val="10"/>
        <rFont val="Arial MT"/>
        <family val="2"/>
      </rPr>
      <t>0+610.00</t>
    </r>
  </si>
  <si>
    <r>
      <rPr>
        <sz val="10"/>
        <rFont val="Arial MT"/>
        <family val="2"/>
      </rPr>
      <t>0+620.00</t>
    </r>
  </si>
  <si>
    <r>
      <rPr>
        <sz val="10"/>
        <rFont val="Arial MT"/>
        <family val="2"/>
      </rPr>
      <t>0+630.00</t>
    </r>
  </si>
  <si>
    <r>
      <rPr>
        <sz val="10"/>
        <rFont val="Arial MT"/>
        <family val="2"/>
      </rPr>
      <t>0+640.00</t>
    </r>
  </si>
  <si>
    <r>
      <rPr>
        <sz val="10"/>
        <rFont val="Arial MT"/>
        <family val="2"/>
      </rPr>
      <t>0+650.00</t>
    </r>
  </si>
  <si>
    <r>
      <rPr>
        <sz val="10"/>
        <rFont val="Arial MT"/>
        <family val="2"/>
      </rPr>
      <t>0+660.00</t>
    </r>
  </si>
  <si>
    <r>
      <rPr>
        <sz val="10"/>
        <rFont val="Arial MT"/>
        <family val="2"/>
      </rPr>
      <t>0+670.00</t>
    </r>
  </si>
  <si>
    <r>
      <rPr>
        <sz val="10"/>
        <rFont val="Arial MT"/>
        <family val="2"/>
      </rPr>
      <t>0+680.00</t>
    </r>
  </si>
  <si>
    <r>
      <rPr>
        <sz val="10"/>
        <rFont val="Arial MT"/>
        <family val="2"/>
      </rPr>
      <t>0+690.00</t>
    </r>
  </si>
  <si>
    <r>
      <rPr>
        <sz val="10"/>
        <rFont val="Arial MT"/>
        <family val="2"/>
      </rPr>
      <t>0+700.00</t>
    </r>
  </si>
  <si>
    <r>
      <rPr>
        <sz val="10"/>
        <rFont val="Arial MT"/>
        <family val="2"/>
      </rPr>
      <t>0+710.00</t>
    </r>
  </si>
  <si>
    <r>
      <rPr>
        <sz val="10"/>
        <rFont val="Arial MT"/>
        <family val="2"/>
      </rPr>
      <t>0+720.00</t>
    </r>
  </si>
  <si>
    <r>
      <rPr>
        <sz val="10"/>
        <rFont val="Arial MT"/>
        <family val="2"/>
      </rPr>
      <t>0+730.00</t>
    </r>
  </si>
  <si>
    <r>
      <rPr>
        <sz val="10"/>
        <rFont val="Arial MT"/>
        <family val="2"/>
      </rPr>
      <t>0+740.00</t>
    </r>
  </si>
  <si>
    <r>
      <rPr>
        <sz val="10"/>
        <rFont val="Arial MT"/>
        <family val="2"/>
      </rPr>
      <t>0+750.00</t>
    </r>
  </si>
  <si>
    <r>
      <rPr>
        <sz val="10"/>
        <rFont val="Arial MT"/>
        <family val="2"/>
      </rPr>
      <t>0+760.00</t>
    </r>
  </si>
  <si>
    <r>
      <rPr>
        <sz val="10"/>
        <rFont val="Arial MT"/>
        <family val="2"/>
      </rPr>
      <t>0+770.00</t>
    </r>
  </si>
  <si>
    <r>
      <rPr>
        <sz val="10"/>
        <rFont val="Arial MT"/>
        <family val="2"/>
      </rPr>
      <t>0+780.00</t>
    </r>
  </si>
  <si>
    <r>
      <rPr>
        <sz val="10"/>
        <rFont val="Arial MT"/>
        <family val="2"/>
      </rPr>
      <t>0+790.00</t>
    </r>
  </si>
  <si>
    <r>
      <rPr>
        <sz val="10"/>
        <rFont val="Arial MT"/>
        <family val="2"/>
      </rPr>
      <t>0+800.00</t>
    </r>
  </si>
  <si>
    <r>
      <rPr>
        <sz val="10"/>
        <rFont val="Arial MT"/>
        <family val="2"/>
      </rPr>
      <t>0+810.00</t>
    </r>
  </si>
  <si>
    <r>
      <rPr>
        <sz val="10"/>
        <rFont val="Arial MT"/>
        <family val="2"/>
      </rPr>
      <t>0+820.00</t>
    </r>
  </si>
  <si>
    <r>
      <rPr>
        <sz val="10"/>
        <rFont val="Arial MT"/>
        <family val="2"/>
      </rPr>
      <t>0+830.00</t>
    </r>
  </si>
  <si>
    <r>
      <rPr>
        <sz val="10"/>
        <rFont val="Arial MT"/>
        <family val="2"/>
      </rPr>
      <t>0+840.00</t>
    </r>
  </si>
  <si>
    <t>FECHA: FEBRERO DE 2024</t>
  </si>
  <si>
    <t xml:space="preserve">Maestro de Obra </t>
  </si>
  <si>
    <t>0+000</t>
  </si>
  <si>
    <t>0+027,30 IZQ</t>
  </si>
  <si>
    <t>0+120 IZQ</t>
  </si>
  <si>
    <t>O+592 DER</t>
  </si>
  <si>
    <t>0+608,50 IZQ</t>
  </si>
  <si>
    <t>670,97 IZQ</t>
  </si>
  <si>
    <t>0+853</t>
  </si>
  <si>
    <t>LOSAS IRREGULARES</t>
  </si>
  <si>
    <t>ABSCISA</t>
  </si>
  <si>
    <t>PESO (Kg/M2)</t>
  </si>
  <si>
    <t>AREA (M2)</t>
  </si>
  <si>
    <t>CANTIDAD TOTAL (Kg)</t>
  </si>
  <si>
    <t>ACERO DE 1/2" LOSAS IRREGULARES</t>
  </si>
  <si>
    <t xml:space="preserve">INICIO </t>
  </si>
  <si>
    <t>FINCA</t>
  </si>
  <si>
    <t>FINAL</t>
  </si>
  <si>
    <t>AREAS</t>
  </si>
  <si>
    <t>actividades</t>
  </si>
  <si>
    <t>TRABAJADOR SOCIAL</t>
  </si>
  <si>
    <t>PERSONAL  DE APOYO</t>
  </si>
  <si>
    <t xml:space="preserve">Total costos </t>
  </si>
  <si>
    <t>MES</t>
  </si>
  <si>
    <t>ACTIVIDADES</t>
  </si>
  <si>
    <t>GLO</t>
  </si>
  <si>
    <t xml:space="preserve">Total </t>
  </si>
  <si>
    <t>SOCIAL</t>
  </si>
  <si>
    <t>SALARIO AÑO 2024</t>
  </si>
  <si>
    <t>INGENIERO ESPECIALISTA EN GEOTECNIA</t>
  </si>
  <si>
    <t>AUXILIAR DE TRANSITO</t>
  </si>
  <si>
    <t>Vigilante</t>
  </si>
  <si>
    <t>MES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</si>
</sst>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quot;* #,##0_-;\-&quot;$&quot;* #,##0_-;_-&quot;$&quot;* &quot;-&quot;_-;_-@_-"/>
    <numFmt numFmtId="168" formatCode="_-&quot;$&quot;* #,##0.00_-;\-&quot;$&quot;* #,##0.00_-;_-&quot;$&quot;* &quot;-&quot;??_-;_-@_-"/>
    <numFmt numFmtId="169" formatCode="_(&quot;$&quot;\ * #,##0.00_);_(&quot;$&quot;\ * \(#,##0.00\);_(&quot;$&quot;\ * &quot;-&quot;??_);_(@_)"/>
    <numFmt numFmtId="170" formatCode="#,##0\ &quot;€&quot;;\-#,##0\ &quot;€&quot;"/>
    <numFmt numFmtId="171" formatCode="_-* #,##0\ _€_-;\-* #,##0\ _€_-;_-* &quot;-&quot;\ _€_-;_-@_-"/>
    <numFmt numFmtId="172" formatCode="_-* #,##0.00\ &quot;€&quot;_-;\-* #,##0.00\ &quot;€&quot;_-;_-* &quot;-&quot;??\ &quot;€&quot;_-;_-@_-"/>
    <numFmt numFmtId="173" formatCode="_-* #,##0.00\ _€_-;\-* #,##0.00\ _€_-;_-* &quot;-&quot;??\ _€_-;_-@_-"/>
    <numFmt numFmtId="174" formatCode="&quot;$&quot;\ #,##0.00;&quot;$&quot;\ \-#,##0.00"/>
    <numFmt numFmtId="175" formatCode="_ &quot;$&quot;\ * #,##0.00_ ;_ &quot;$&quot;\ * \-#,##0.00_ ;_ &quot;$&quot;\ * &quot;-&quot;??_ ;_ @_ "/>
    <numFmt numFmtId="176" formatCode="_ * #,##0.00_ ;_ * \-#,##0.00_ ;_ * &quot;-&quot;??_ ;_ @_ "/>
    <numFmt numFmtId="177" formatCode="#,##0.00;[Red]#,##0.00"/>
    <numFmt numFmtId="178" formatCode="#,##0.000;[Red]#,##0.000"/>
    <numFmt numFmtId="179" formatCode="#,##0.0;[Red]#,##0.0"/>
    <numFmt numFmtId="180" formatCode="#,##0.000"/>
    <numFmt numFmtId="181" formatCode="_ [$€-2]\ * #,##0.00_ ;_ [$€-2]\ * \-#,##0.00_ ;_ [$€-2]\ * &quot;-&quot;??_ "/>
    <numFmt numFmtId="182" formatCode="_(&quot;C$&quot;* #,##0_);_(&quot;C$&quot;* \(#,##0\);_(&quot;C$&quot;* &quot;-&quot;_);_(@_)"/>
    <numFmt numFmtId="183" formatCode="000\°00&quot;´&quot;00&quot;´´&quot;"/>
    <numFmt numFmtId="184" formatCode="_ &quot;$&quot;* #,##0.00_ ;_ &quot;$&quot;* \-#,##0.00_ ;_ &quot;$&quot;* &quot;-&quot;??_ ;_ @_ "/>
    <numFmt numFmtId="185" formatCode="_([$€]* #,##0.00_);_([$€]* \(#,##0.00\);_([$€]* &quot;-&quot;??_);_(@_)"/>
    <numFmt numFmtId="186" formatCode="_-* #,##0.00\ &quot;$&quot;_-;\-* #,##0.00\ &quot;$&quot;_-;_-* &quot;-&quot;??\ &quot;$&quot;_-;_-@_-"/>
    <numFmt numFmtId="187" formatCode="_(* #,##0_);_(* \(#,##0\);_(* &quot;-&quot;??_);_(@_)"/>
    <numFmt numFmtId="188" formatCode="0.0"/>
    <numFmt numFmtId="189" formatCode="0.00000"/>
    <numFmt numFmtId="190" formatCode="_-&quot;$&quot;\ * #,##0.00_-;\-&quot;$&quot;\ * #,##0.00_-;_-&quot;$&quot;\ * &quot;-&quot;_-;_-@_-"/>
    <numFmt numFmtId="191" formatCode="_(&quot;$&quot;\ * #,##0_);_(&quot;$&quot;\ * \(#,##0\);_(&quot;$&quot;\ * &quot;-&quot;??_);_(@_)"/>
    <numFmt numFmtId="192" formatCode="#,##0.0"/>
    <numFmt numFmtId="193" formatCode="&quot;$&quot;\ #,##0"/>
    <numFmt numFmtId="194" formatCode="0.0000"/>
    <numFmt numFmtId="195" formatCode="_-&quot;$&quot;* #,##0_-;\-&quot;$&quot;* #,##0_-;_-&quot;$&quot;* &quot;-&quot;??_-;_-@_-"/>
    <numFmt numFmtId="196" formatCode="0.000"/>
    <numFmt numFmtId="197" formatCode="0.0%"/>
    <numFmt numFmtId="198" formatCode="_(&quot;C$&quot;* #,##0.00_);_(&quot;C$&quot;* \(#,##0.00\);_(&quot;C$&quot;* &quot;-&quot;??_);_(@_)"/>
    <numFmt numFmtId="199" formatCode="&quot;$&quot;#,##0"/>
    <numFmt numFmtId="200" formatCode="&quot;$&quot;#,##0.00"/>
    <numFmt numFmtId="201" formatCode="_ &quot;$&quot;\ * #,##0_ ;_ &quot;$&quot;\ * \-#,##0_ ;_ &quot;$&quot;\ * &quot;-&quot;??_ ;_ @_ "/>
    <numFmt numFmtId="202" formatCode="#,##0.000000;[Red]#,##0.000000"/>
    <numFmt numFmtId="203" formatCode="0.000000000000000000"/>
    <numFmt numFmtId="204" formatCode="_-&quot;$&quot;\ * #,##0.0000000000_-;\-&quot;$&quot;\ * #,##0.0000000000_-;_-&quot;$&quot;\ * &quot;-&quot;??????_-;_-@_-"/>
    <numFmt numFmtId="205" formatCode="0.00000000"/>
    <numFmt numFmtId="206" formatCode="_(&quot;$&quot;\ * #,##0.0_);_(&quot;$&quot;\ * \(#,##0.0\);_(&quot;$&quot;\ * &quot;-&quot;??_);_(@_)"/>
    <numFmt numFmtId="207" formatCode="_(&quot;$&quot;\ * #,##0.000000000000_);_(&quot;$&quot;\ * \(#,##0.000000000000\);_(&quot;$&quot;\ * &quot;-&quot;??_);_(@_)"/>
    <numFmt numFmtId="208" formatCode="_-&quot;$&quot;\ * #,##0.0_-;\-&quot;$&quot;\ * #,##0.0_-;_-&quot;$&quot;\ * &quot;-&quot;?_-;_-@_-"/>
    <numFmt numFmtId="209" formatCode="&quot;$&quot;\ #,##0.00"/>
    <numFmt numFmtId="210" formatCode="#,##0;[Red]#,##0"/>
    <numFmt numFmtId="211" formatCode="_(&quot;$&quot;\ * #,##0.000000000000000_);_(&quot;$&quot;\ * \(#,##0.000000000000000\);_(&quot;$&quot;\ * &quot;-&quot;??_);_(@_)"/>
  </numFmts>
  <fonts count="1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Arial"/>
      <family val="2"/>
    </font>
    <font>
      <sz val="12"/>
      <color indexed="24"/>
      <name val="Arial"/>
      <family val="2"/>
    </font>
    <font>
      <sz val="10"/>
      <name val="Arial"/>
      <family val="2"/>
    </font>
    <font>
      <sz val="11"/>
      <color indexed="9"/>
      <name val="Calibri"/>
      <family val="2"/>
    </font>
    <font>
      <b/>
      <sz val="18"/>
      <color indexed="62"/>
      <name val="Cambria"/>
      <family val="2"/>
    </font>
    <font>
      <b/>
      <sz val="11"/>
      <color indexed="8"/>
      <name val="Calibri"/>
      <family val="2"/>
    </font>
    <font>
      <sz val="11"/>
      <color indexed="8"/>
      <name val="Arial"/>
      <family val="2"/>
    </font>
    <font>
      <b/>
      <sz val="10"/>
      <name val="Arial"/>
      <family val="2"/>
    </font>
    <font>
      <sz val="11"/>
      <color indexed="17"/>
      <name val="Calibri"/>
      <family val="2"/>
    </font>
    <font>
      <b/>
      <sz val="11"/>
      <color indexed="9"/>
      <name val="Calibri"/>
      <family val="2"/>
    </font>
    <font>
      <sz val="11"/>
      <color indexed="10"/>
      <name val="Calibri"/>
      <family val="2"/>
    </font>
    <font>
      <sz val="11"/>
      <color indexed="62"/>
      <name val="Calibri"/>
      <family val="2"/>
    </font>
    <font>
      <u/>
      <sz val="10"/>
      <color indexed="12"/>
      <name val="Arial"/>
      <family val="2"/>
    </font>
    <font>
      <sz val="11"/>
      <color indexed="20"/>
      <name val="Calibri"/>
      <family val="2"/>
    </font>
    <font>
      <b/>
      <sz val="11"/>
      <color indexed="63"/>
      <name val="Calibri"/>
      <family val="2"/>
    </font>
    <font>
      <i/>
      <sz val="11"/>
      <color indexed="23"/>
      <name val="Calibri"/>
      <family val="2"/>
    </font>
    <font>
      <b/>
      <sz val="11"/>
      <color indexed="52"/>
      <name val="Calibri"/>
      <family val="2"/>
    </font>
    <font>
      <sz val="11"/>
      <color indexed="52"/>
      <name val="Calibri"/>
      <family val="2"/>
    </font>
    <font>
      <b/>
      <sz val="11"/>
      <color indexed="56"/>
      <name val="Calibri"/>
      <family val="2"/>
    </font>
    <font>
      <sz val="1"/>
      <color indexed="8"/>
      <name val="Courier"/>
      <family val="3"/>
    </font>
    <font>
      <i/>
      <sz val="1"/>
      <color indexed="8"/>
      <name val="Courier"/>
      <family val="3"/>
    </font>
    <font>
      <sz val="11"/>
      <color indexed="60"/>
      <name val="Calibri"/>
      <family val="2"/>
    </font>
    <font>
      <b/>
      <sz val="15"/>
      <color indexed="56"/>
      <name val="Calibri"/>
      <family val="2"/>
    </font>
    <font>
      <b/>
      <sz val="13"/>
      <color indexed="56"/>
      <name val="Calibri"/>
      <family val="2"/>
    </font>
    <font>
      <b/>
      <sz val="18"/>
      <color indexed="56"/>
      <name val="Cambria"/>
      <family val="2"/>
    </font>
    <font>
      <sz val="10"/>
      <name val="Century Gothic"/>
      <family val="2"/>
    </font>
    <font>
      <b/>
      <sz val="10"/>
      <name val="Century Gothic"/>
      <family val="2"/>
    </font>
    <font>
      <sz val="11"/>
      <color theme="1"/>
      <name val="Calibri"/>
      <family val="2"/>
      <scheme val="minor"/>
    </font>
    <font>
      <u/>
      <sz val="10"/>
      <color theme="10"/>
      <name val="Arial"/>
      <family val="2"/>
    </font>
    <font>
      <sz val="10"/>
      <color theme="1"/>
      <name val="Arial"/>
      <family val="2"/>
    </font>
    <font>
      <b/>
      <sz val="10"/>
      <color theme="1"/>
      <name val="Arial"/>
      <family val="2"/>
    </font>
    <font>
      <b/>
      <u/>
      <sz val="10"/>
      <name val="Arial"/>
      <family val="2"/>
    </font>
    <font>
      <sz val="11"/>
      <name val="Arial"/>
      <family val="2"/>
    </font>
    <font>
      <sz val="10"/>
      <name val="Arial"/>
      <family val="2"/>
    </font>
    <font>
      <sz val="9"/>
      <color theme="1"/>
      <name val="Calibri"/>
      <family val="2"/>
      <scheme val="minor"/>
    </font>
    <font>
      <sz val="10"/>
      <name val="MS Sans Serif"/>
      <family val="2"/>
    </font>
    <font>
      <b/>
      <sz val="12"/>
      <name val="Century Gothic"/>
      <family val="2"/>
    </font>
    <font>
      <sz val="12"/>
      <name val="Century Gothic"/>
      <family val="2"/>
    </font>
    <font>
      <b/>
      <sz val="8"/>
      <name val="Arial"/>
      <family val="2"/>
    </font>
    <font>
      <sz val="8"/>
      <name val="Arial"/>
      <family val="2"/>
    </font>
    <font>
      <sz val="8"/>
      <color indexed="8"/>
      <name val="Arial"/>
      <family val="2"/>
    </font>
    <font>
      <sz val="8"/>
      <color theme="0"/>
      <name val="Arial"/>
      <family val="2"/>
    </font>
    <font>
      <sz val="10"/>
      <name val="Arial"/>
      <family val="2"/>
    </font>
    <font>
      <b/>
      <sz val="11"/>
      <name val="Century Gothic"/>
      <family val="2"/>
    </font>
    <font>
      <sz val="11"/>
      <color theme="1"/>
      <name val="Century Gothic"/>
      <family val="2"/>
    </font>
    <font>
      <sz val="9"/>
      <color theme="1"/>
      <name val="Century Gothic"/>
      <family val="2"/>
    </font>
    <font>
      <sz val="8"/>
      <name val="Century Gothic"/>
      <family val="2"/>
    </font>
    <font>
      <sz val="8"/>
      <color indexed="8"/>
      <name val="Century Gothic"/>
      <family val="2"/>
    </font>
    <font>
      <sz val="8"/>
      <color theme="0"/>
      <name val="Century Gothic"/>
      <family val="2"/>
    </font>
    <font>
      <sz val="12"/>
      <name val="Arial"/>
      <family val="2"/>
    </font>
    <font>
      <b/>
      <sz val="10"/>
      <color theme="1"/>
      <name val="Arial Narrow"/>
      <family val="2"/>
    </font>
    <font>
      <sz val="10"/>
      <color theme="1"/>
      <name val="Arial Narrow"/>
      <family val="2"/>
    </font>
    <font>
      <b/>
      <sz val="11"/>
      <color rgb="FF3F3F3F"/>
      <name val="Calibri"/>
      <family val="2"/>
      <scheme val="minor"/>
    </font>
    <font>
      <b/>
      <sz val="11"/>
      <color theme="1"/>
      <name val="Calibri"/>
      <family val="2"/>
      <scheme val="minor"/>
    </font>
    <font>
      <b/>
      <sz val="11"/>
      <name val="Arial"/>
      <family val="2"/>
    </font>
    <font>
      <b/>
      <sz val="11"/>
      <color theme="1"/>
      <name val="Arial"/>
      <family val="2"/>
    </font>
    <font>
      <b/>
      <sz val="12"/>
      <name val="Arial"/>
      <family val="2"/>
    </font>
    <font>
      <sz val="11"/>
      <color rgb="FFFF0000"/>
      <name val="Calibri"/>
      <family val="2"/>
      <scheme val="minor"/>
    </font>
    <font>
      <b/>
      <i/>
      <sz val="11"/>
      <color theme="1"/>
      <name val="Calibri"/>
      <family val="2"/>
      <scheme val="minor"/>
    </font>
    <font>
      <b/>
      <i/>
      <sz val="10"/>
      <color theme="1"/>
      <name val="Arial"/>
      <family val="2"/>
    </font>
    <font>
      <b/>
      <sz val="9"/>
      <name val="Arial"/>
      <family val="2"/>
    </font>
    <font>
      <sz val="11"/>
      <color theme="1"/>
      <name val="Arial"/>
      <family val="2"/>
    </font>
    <font>
      <b/>
      <sz val="16"/>
      <color theme="1"/>
      <name val="Arial Narrow"/>
      <family val="2"/>
    </font>
    <font>
      <b/>
      <sz val="12"/>
      <color theme="1"/>
      <name val="Arial"/>
      <family val="2"/>
    </font>
    <font>
      <sz val="11"/>
      <color rgb="FF000000"/>
      <name val="Arial"/>
      <family val="2"/>
    </font>
    <font>
      <b/>
      <sz val="14"/>
      <color theme="1"/>
      <name val="Arial"/>
      <family val="2"/>
    </font>
    <font>
      <sz val="9"/>
      <color theme="1"/>
      <name val="Arial"/>
      <family val="2"/>
    </font>
    <font>
      <b/>
      <sz val="9"/>
      <color theme="1"/>
      <name val="Arial"/>
      <family val="2"/>
    </font>
    <font>
      <sz val="9"/>
      <name val="Arial"/>
      <family val="2"/>
    </font>
    <font>
      <b/>
      <sz val="16"/>
      <name val="Arial"/>
      <family val="2"/>
    </font>
    <font>
      <b/>
      <sz val="8"/>
      <color indexed="8"/>
      <name val="Arial"/>
      <family val="2"/>
    </font>
    <font>
      <b/>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sz val="8"/>
      <color theme="1"/>
      <name val="Arial"/>
      <family val="2"/>
    </font>
    <font>
      <b/>
      <sz val="14"/>
      <name val="Arial"/>
      <family val="2"/>
    </font>
    <font>
      <b/>
      <sz val="8"/>
      <color theme="1"/>
      <name val="Arial"/>
      <family val="2"/>
    </font>
    <font>
      <b/>
      <sz val="16"/>
      <color theme="1"/>
      <name val="Arial"/>
      <family val="2"/>
    </font>
    <font>
      <b/>
      <sz val="12"/>
      <color theme="1"/>
      <name val="Century Gothic"/>
      <family val="2"/>
    </font>
    <font>
      <u/>
      <sz val="10"/>
      <color theme="0"/>
      <name val="Arial"/>
      <family val="2"/>
    </font>
    <font>
      <sz val="12"/>
      <color theme="1"/>
      <name val="Arial"/>
      <family val="2"/>
    </font>
    <font>
      <b/>
      <sz val="18"/>
      <name val="Arial Narrow"/>
      <family val="2"/>
    </font>
    <font>
      <sz val="11"/>
      <name val="Calibri"/>
      <family val="2"/>
      <scheme val="minor"/>
    </font>
    <font>
      <sz val="11"/>
      <name val="Calibri"/>
      <family val="2"/>
    </font>
    <font>
      <b/>
      <sz val="18"/>
      <name val="Arial"/>
      <family val="2"/>
    </font>
    <font>
      <b/>
      <sz val="12"/>
      <color theme="1"/>
      <name val="Calibri"/>
      <family val="2"/>
      <scheme val="minor"/>
    </font>
    <font>
      <b/>
      <sz val="14"/>
      <color theme="1"/>
      <name val="Calibri"/>
      <family val="2"/>
      <scheme val="minor"/>
    </font>
    <font>
      <sz val="11"/>
      <color theme="0"/>
      <name val="Calibri"/>
      <family val="2"/>
      <scheme val="minor"/>
    </font>
    <font>
      <b/>
      <sz val="10"/>
      <color theme="1"/>
      <name val="Calibri"/>
      <family val="2"/>
      <scheme val="minor"/>
    </font>
    <font>
      <b/>
      <sz val="10"/>
      <color rgb="FF000000"/>
      <name val="Calibri"/>
      <family val="2"/>
    </font>
    <font>
      <b/>
      <sz val="10"/>
      <color rgb="FF000000"/>
      <name val="Arial"/>
      <family val="2"/>
    </font>
    <font>
      <sz val="8"/>
      <name val="Arial"/>
      <family val="2"/>
    </font>
    <font>
      <b/>
      <sz val="11"/>
      <color rgb="FF666666"/>
      <name val="Arial"/>
      <family val="2"/>
    </font>
    <font>
      <sz val="11"/>
      <color theme="0"/>
      <name val="Arial"/>
      <family val="2"/>
    </font>
    <font>
      <b/>
      <i/>
      <sz val="14"/>
      <color theme="1"/>
      <name val="Arial"/>
      <family val="2"/>
    </font>
    <font>
      <b/>
      <sz val="18"/>
      <color theme="1"/>
      <name val="Arial"/>
      <family val="2"/>
    </font>
    <font>
      <sz val="8"/>
      <name val="Arial"/>
      <family val="2"/>
    </font>
    <font>
      <sz val="10"/>
      <name val="Calibri"/>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1"/>
      <color rgb="FF000000"/>
      <name val="Arial"/>
      <family val="2"/>
    </font>
    <font>
      <b/>
      <sz val="14"/>
      <color rgb="FF000000"/>
      <name val="Arial"/>
      <family val="2"/>
    </font>
    <font>
      <b/>
      <sz val="20"/>
      <name val="Arial"/>
      <family val="2"/>
    </font>
    <font>
      <sz val="10"/>
      <color rgb="FF000000"/>
      <name val="Times New Roman"/>
      <family val="1"/>
    </font>
    <font>
      <b/>
      <sz val="11"/>
      <color theme="1"/>
      <name val="Century Gothic"/>
      <family val="2"/>
    </font>
    <font>
      <sz val="10"/>
      <name val="Arial MT"/>
    </font>
    <font>
      <sz val="10"/>
      <name val="Arial MT"/>
      <family val="2"/>
    </font>
    <font>
      <sz val="10"/>
      <color rgb="FF000000"/>
      <name val="Arial MT"/>
      <family val="2"/>
    </font>
    <font>
      <sz val="10"/>
      <color theme="1"/>
      <name val="Calibri"/>
      <family val="2"/>
      <scheme val="minor"/>
    </font>
    <font>
      <b/>
      <sz val="11"/>
      <name val="Calibri"/>
      <family val="2"/>
      <scheme val="minor"/>
    </font>
    <font>
      <sz val="8"/>
      <name val="Arial"/>
      <family val="2"/>
    </font>
    <font>
      <b/>
      <sz val="10"/>
      <name val="Arial Narrow"/>
      <family val="2"/>
    </font>
  </fonts>
  <fills count="85">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indexed="9"/>
        <bgColor indexed="64"/>
      </patternFill>
    </fill>
    <fill>
      <patternFill patternType="solid">
        <fgColor rgb="FFF2F2F2"/>
      </patternFill>
    </fill>
    <fill>
      <patternFill patternType="solid">
        <fgColor theme="0"/>
        <bgColor rgb="FF000000"/>
      </patternFill>
    </fill>
    <fill>
      <patternFill patternType="solid">
        <fgColor theme="3"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00"/>
        <bgColor indexed="8"/>
      </patternFill>
    </fill>
    <fill>
      <patternFill patternType="solid">
        <fgColor theme="0"/>
        <bgColor indexed="8"/>
      </patternFill>
    </fill>
  </fills>
  <borders count="3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style="medium">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medium">
        <color auto="1"/>
      </right>
      <top style="medium">
        <color auto="1"/>
      </top>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style="medium">
        <color indexed="64"/>
      </right>
      <top/>
      <bottom style="medium">
        <color indexed="64"/>
      </bottom>
      <diagonal/>
    </border>
    <border>
      <left style="medium">
        <color auto="1"/>
      </left>
      <right style="thin">
        <color auto="1"/>
      </right>
      <top style="thin">
        <color auto="1"/>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medium">
        <color auto="1"/>
      </right>
      <top style="double">
        <color auto="1"/>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auto="1"/>
      </left>
      <right style="thin">
        <color auto="1"/>
      </right>
      <top/>
      <bottom/>
      <diagonal/>
    </border>
    <border>
      <left style="thin">
        <color auto="1"/>
      </left>
      <right/>
      <top/>
      <bottom style="medium">
        <color auto="1"/>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medium">
        <color indexed="64"/>
      </right>
      <top/>
      <bottom style="thin">
        <color indexed="64"/>
      </bottom>
      <diagonal/>
    </border>
    <border>
      <left/>
      <right style="medium">
        <color auto="1"/>
      </right>
      <top style="thin">
        <color indexed="64"/>
      </top>
      <bottom style="thin">
        <color auto="1"/>
      </bottom>
      <diagonal/>
    </border>
    <border>
      <left style="medium">
        <color auto="1"/>
      </left>
      <right style="medium">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style="medium">
        <color auto="1"/>
      </right>
      <top style="thin">
        <color auto="1"/>
      </top>
      <bottom style="thin">
        <color auto="1"/>
      </bottom>
      <diagonal/>
    </border>
    <border>
      <left/>
      <right style="medium">
        <color indexed="64"/>
      </right>
      <top style="thin">
        <color auto="1"/>
      </top>
      <bottom style="medium">
        <color indexed="64"/>
      </bottom>
      <diagonal/>
    </border>
    <border>
      <left style="thin">
        <color auto="1"/>
      </left>
      <right style="thin">
        <color auto="1"/>
      </right>
      <top style="thin">
        <color auto="1"/>
      </top>
      <bottom/>
      <diagonal/>
    </border>
    <border>
      <left style="medium">
        <color indexed="64"/>
      </left>
      <right/>
      <top style="thin">
        <color auto="1"/>
      </top>
      <bottom style="thin">
        <color auto="1"/>
      </bottom>
      <diagonal/>
    </border>
    <border>
      <left style="thin">
        <color auto="1"/>
      </left>
      <right style="thin">
        <color auto="1"/>
      </right>
      <top style="thin">
        <color auto="1"/>
      </top>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medium">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medium">
        <color indexed="64"/>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auto="1"/>
      </left>
      <right style="thin">
        <color auto="1"/>
      </right>
      <top/>
      <bottom style="medium">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right/>
      <top/>
      <bottom style="medium">
        <color indexed="30"/>
      </bottom>
      <diagonal/>
    </border>
    <border>
      <left style="thin">
        <color indexed="64"/>
      </left>
      <right style="medium">
        <color indexed="64"/>
      </right>
      <top/>
      <bottom style="medium">
        <color indexed="64"/>
      </bottom>
      <diagonal/>
    </border>
    <border>
      <left style="medium">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theme="1"/>
      </bottom>
      <diagonal/>
    </border>
    <border>
      <left/>
      <right/>
      <top style="thin">
        <color indexed="64"/>
      </top>
      <bottom style="thin">
        <color theme="1"/>
      </bottom>
      <diagonal/>
    </border>
    <border>
      <left style="thin">
        <color indexed="64"/>
      </left>
      <right style="medium">
        <color indexed="64"/>
      </right>
      <top style="thin">
        <color indexed="64"/>
      </top>
      <bottom style="thin">
        <color theme="1"/>
      </bottom>
      <diagonal/>
    </border>
    <border>
      <left style="medium">
        <color indexed="64"/>
      </left>
      <right/>
      <top/>
      <bottom style="medium">
        <color indexed="64"/>
      </bottom>
      <diagonal/>
    </border>
    <border>
      <left/>
      <right/>
      <top style="thin">
        <color auto="1"/>
      </top>
      <bottom style="medium">
        <color auto="1"/>
      </bottom>
      <diagonal/>
    </border>
    <border>
      <left style="medium">
        <color indexed="64"/>
      </left>
      <right style="thin">
        <color auto="1"/>
      </right>
      <top style="thin">
        <color auto="1"/>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right style="thin">
        <color auto="1"/>
      </right>
      <top style="thin">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top/>
      <bottom style="medium">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thin">
        <color indexed="64"/>
      </top>
      <bottom style="thin">
        <color indexed="64"/>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indexed="64"/>
      </top>
      <bottom style="thin">
        <color theme="1"/>
      </bottom>
      <diagonal/>
    </border>
    <border>
      <left/>
      <right style="thin">
        <color indexed="64"/>
      </right>
      <top style="thin">
        <color theme="1"/>
      </top>
      <bottom style="medium">
        <color indexed="64"/>
      </bottom>
      <diagonal/>
    </border>
    <border>
      <left style="medium">
        <color indexed="64"/>
      </left>
      <right/>
      <top style="thin">
        <color theme="1"/>
      </top>
      <bottom style="medium">
        <color auto="1"/>
      </bottom>
      <diagonal/>
    </border>
    <border>
      <left/>
      <right/>
      <top style="thin">
        <color theme="1"/>
      </top>
      <bottom style="medium">
        <color auto="1"/>
      </bottom>
      <diagonal/>
    </border>
    <border>
      <left style="medium">
        <color indexed="64"/>
      </left>
      <right style="thin">
        <color auto="1"/>
      </right>
      <top style="thin">
        <color auto="1"/>
      </top>
      <bottom style="medium">
        <color indexed="64"/>
      </bottom>
      <diagonal/>
    </border>
    <border>
      <left style="medium">
        <color indexed="64"/>
      </left>
      <right/>
      <top style="thin">
        <color indexed="64"/>
      </top>
      <bottom style="thin">
        <color theme="1"/>
      </bottom>
      <diagonal/>
    </border>
    <border>
      <left style="thin">
        <color indexed="64"/>
      </left>
      <right style="medium">
        <color indexed="64"/>
      </right>
      <top style="thin">
        <color indexed="64"/>
      </top>
      <bottom style="thin">
        <color theme="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indexed="64"/>
      </right>
      <top/>
      <bottom style="medium">
        <color indexed="64"/>
      </bottom>
      <diagonal/>
    </border>
    <border>
      <left/>
      <right/>
      <top/>
      <bottom style="medium">
        <color indexed="64"/>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medium">
        <color theme="1"/>
      </left>
      <right/>
      <top style="thin">
        <color auto="1"/>
      </top>
      <bottom style="thin">
        <color indexed="64"/>
      </bottom>
      <diagonal/>
    </border>
    <border>
      <left style="medium">
        <color auto="1"/>
      </left>
      <right/>
      <top style="thin">
        <color auto="1"/>
      </top>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thin">
        <color auto="1"/>
      </left>
      <right/>
      <top style="thin">
        <color indexed="64"/>
      </top>
      <bottom style="thin">
        <color theme="1"/>
      </bottom>
      <diagonal/>
    </border>
    <border>
      <left/>
      <right style="thin">
        <color indexed="64"/>
      </right>
      <top style="thin">
        <color indexed="64"/>
      </top>
      <bottom style="thin">
        <color theme="1"/>
      </bottom>
      <diagonal/>
    </border>
    <border>
      <left/>
      <right style="medium">
        <color indexed="64"/>
      </right>
      <top style="thin">
        <color auto="1"/>
      </top>
      <bottom style="medium">
        <color indexed="64"/>
      </bottom>
      <diagonal/>
    </border>
    <border>
      <left style="thin">
        <color auto="1"/>
      </left>
      <right/>
      <top style="thin">
        <color auto="1"/>
      </top>
      <bottom style="thin">
        <color auto="1"/>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medium">
        <color auto="1"/>
      </right>
      <top style="thin">
        <color auto="1"/>
      </top>
      <bottom/>
      <diagonal/>
    </border>
    <border>
      <left/>
      <right style="thin">
        <color auto="1"/>
      </right>
      <top/>
      <bottom style="medium">
        <color indexed="64"/>
      </bottom>
      <diagonal/>
    </border>
    <border>
      <left style="thin">
        <color auto="1"/>
      </left>
      <right/>
      <top style="thin">
        <color auto="1"/>
      </top>
      <bottom/>
      <diagonal/>
    </border>
    <border>
      <left style="thin">
        <color auto="1"/>
      </left>
      <right style="thin">
        <color auto="1"/>
      </right>
      <top style="thin">
        <color auto="1"/>
      </top>
      <bottom style="medium">
        <color indexed="64"/>
      </bottom>
      <diagonal/>
    </border>
    <border>
      <left/>
      <right/>
      <top/>
      <bottom style="medium">
        <color indexed="64"/>
      </bottom>
      <diagonal/>
    </border>
    <border>
      <left style="medium">
        <color auto="1"/>
      </left>
      <right style="medium">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bottom style="medium">
        <color indexed="64"/>
      </bottom>
      <diagonal/>
    </border>
    <border>
      <left style="medium">
        <color indexed="64"/>
      </left>
      <right style="thin">
        <color indexed="64"/>
      </right>
      <top style="thin">
        <color auto="1"/>
      </top>
      <bottom style="double">
        <color auto="1"/>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theme="1"/>
      </top>
      <bottom/>
      <diagonal/>
    </border>
    <border>
      <left style="thin">
        <color auto="1"/>
      </left>
      <right/>
      <top/>
      <bottom style="medium">
        <color indexed="64"/>
      </bottom>
      <diagonal/>
    </border>
    <border>
      <left/>
      <right style="medium">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s>
  <cellStyleXfs count="1352">
    <xf numFmtId="0" fontId="0" fillId="0" borderId="0"/>
    <xf numFmtId="0" fontId="35" fillId="3" borderId="0" applyNumberFormat="0" applyBorder="0" applyAlignment="0" applyProtection="0"/>
    <xf numFmtId="0" fontId="35" fillId="5" borderId="0" applyNumberFormat="0" applyBorder="0" applyAlignment="0" applyProtection="0"/>
    <xf numFmtId="0" fontId="35" fillId="7"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8" borderId="0" applyNumberFormat="0" applyBorder="0" applyAlignment="0" applyProtection="0"/>
    <xf numFmtId="2" fontId="36" fillId="0" borderId="0"/>
    <xf numFmtId="0" fontId="35" fillId="2" borderId="0" applyNumberFormat="0" applyBorder="0" applyAlignment="0" applyProtection="0"/>
    <xf numFmtId="0" fontId="35" fillId="4" borderId="0" applyNumberFormat="0" applyBorder="0" applyAlignment="0" applyProtection="0"/>
    <xf numFmtId="0" fontId="35" fillId="12" borderId="0" applyNumberFormat="0" applyBorder="0" applyAlignment="0" applyProtection="0"/>
    <xf numFmtId="0" fontId="35" fillId="9" borderId="0" applyNumberFormat="0" applyBorder="0" applyAlignment="0" applyProtection="0"/>
    <xf numFmtId="0" fontId="35" fillId="2" borderId="0" applyNumberFormat="0" applyBorder="0" applyAlignment="0" applyProtection="0"/>
    <xf numFmtId="0" fontId="35" fillId="13" borderId="0" applyNumberFormat="0" applyBorder="0" applyAlignment="0" applyProtection="0"/>
    <xf numFmtId="0" fontId="40" fillId="14" borderId="0" applyNumberFormat="0" applyBorder="0" applyAlignment="0" applyProtection="0"/>
    <xf numFmtId="0" fontId="40" fillId="4" borderId="0" applyNumberFormat="0" applyBorder="0" applyAlignment="0" applyProtection="0"/>
    <xf numFmtId="0" fontId="40" fillId="12"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5" fillId="7" borderId="0" applyNumberFormat="0" applyBorder="0" applyAlignment="0" applyProtection="0"/>
    <xf numFmtId="0" fontId="53" fillId="19" borderId="1" applyNumberFormat="0" applyAlignment="0" applyProtection="0"/>
    <xf numFmtId="0" fontId="46" fillId="20" borderId="2" applyNumberFormat="0" applyAlignment="0" applyProtection="0"/>
    <xf numFmtId="0" fontId="54" fillId="0" borderId="3" applyNumberFormat="0" applyFill="0" applyAlignment="0" applyProtection="0"/>
    <xf numFmtId="0" fontId="55" fillId="0" borderId="0" applyNumberFormat="0" applyFill="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35" fillId="24" borderId="0" applyNumberFormat="0" applyBorder="0" applyAlignment="0" applyProtection="0"/>
    <xf numFmtId="0" fontId="35" fillId="24" borderId="0" applyNumberFormat="0" applyBorder="0" applyAlignment="0" applyProtection="0"/>
    <xf numFmtId="0" fontId="40" fillId="25" borderId="0" applyNumberFormat="0" applyBorder="0" applyAlignment="0" applyProtection="0"/>
    <xf numFmtId="0" fontId="40" fillId="26" borderId="0" applyNumberFormat="0" applyBorder="0" applyAlignment="0" applyProtection="0"/>
    <xf numFmtId="0" fontId="40" fillId="26" borderId="0" applyNumberFormat="0" applyBorder="0" applyAlignment="0" applyProtection="0"/>
    <xf numFmtId="0" fontId="35" fillId="27" borderId="0" applyNumberFormat="0" applyBorder="0" applyAlignment="0" applyProtection="0"/>
    <xf numFmtId="0" fontId="35" fillId="28" borderId="0" applyNumberFormat="0" applyBorder="0" applyAlignment="0" applyProtection="0"/>
    <xf numFmtId="0" fontId="40" fillId="29" borderId="0" applyNumberFormat="0" applyBorder="0" applyAlignment="0" applyProtection="0"/>
    <xf numFmtId="0" fontId="40" fillId="30" borderId="0" applyNumberFormat="0" applyBorder="0" applyAlignment="0" applyProtection="0"/>
    <xf numFmtId="0" fontId="40" fillId="30" borderId="0" applyNumberFormat="0" applyBorder="0" applyAlignment="0" applyProtection="0"/>
    <xf numFmtId="0" fontId="35" fillId="27" borderId="0" applyNumberFormat="0" applyBorder="0" applyAlignment="0" applyProtection="0"/>
    <xf numFmtId="0" fontId="35" fillId="31" borderId="0" applyNumberFormat="0" applyBorder="0" applyAlignment="0" applyProtection="0"/>
    <xf numFmtId="0" fontId="40" fillId="28"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35" fillId="24" borderId="0" applyNumberFormat="0" applyBorder="0" applyAlignment="0" applyProtection="0"/>
    <xf numFmtId="0" fontId="35" fillId="28" borderId="0" applyNumberFormat="0" applyBorder="0" applyAlignment="0" applyProtection="0"/>
    <xf numFmtId="0" fontId="40" fillId="28" borderId="0" applyNumberFormat="0" applyBorder="0" applyAlignment="0" applyProtection="0"/>
    <xf numFmtId="0" fontId="40" fillId="16" borderId="0" applyNumberFormat="0" applyBorder="0" applyAlignment="0" applyProtection="0"/>
    <xf numFmtId="0" fontId="40" fillId="16" borderId="0" applyNumberFormat="0" applyBorder="0" applyAlignment="0" applyProtection="0"/>
    <xf numFmtId="0" fontId="35" fillId="33" borderId="0" applyNumberFormat="0" applyBorder="0" applyAlignment="0" applyProtection="0"/>
    <xf numFmtId="0" fontId="35" fillId="24" borderId="0" applyNumberFormat="0" applyBorder="0" applyAlignment="0" applyProtection="0"/>
    <xf numFmtId="0" fontId="40" fillId="25" borderId="0" applyNumberFormat="0" applyBorder="0" applyAlignment="0" applyProtection="0"/>
    <xf numFmtId="0" fontId="40" fillId="17" borderId="0" applyNumberFormat="0" applyBorder="0" applyAlignment="0" applyProtection="0"/>
    <xf numFmtId="0" fontId="40" fillId="17" borderId="0" applyNumberFormat="0" applyBorder="0" applyAlignment="0" applyProtection="0"/>
    <xf numFmtId="0" fontId="35" fillId="27" borderId="0" applyNumberFormat="0" applyBorder="0" applyAlignment="0" applyProtection="0"/>
    <xf numFmtId="0" fontId="35" fillId="34" borderId="0" applyNumberFormat="0" applyBorder="0" applyAlignment="0" applyProtection="0"/>
    <xf numFmtId="0" fontId="40" fillId="34" borderId="0" applyNumberFormat="0" applyBorder="0" applyAlignment="0" applyProtection="0"/>
    <xf numFmtId="0" fontId="40" fillId="15" borderId="0" applyNumberFormat="0" applyBorder="0" applyAlignment="0" applyProtection="0"/>
    <xf numFmtId="0" fontId="40" fillId="15" borderId="0" applyNumberFormat="0" applyBorder="0" applyAlignment="0" applyProtection="0"/>
    <xf numFmtId="1" fontId="36" fillId="0" borderId="0"/>
    <xf numFmtId="0" fontId="48" fillId="8" borderId="1" applyNumberFormat="0" applyAlignment="0" applyProtection="0"/>
    <xf numFmtId="172"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5"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86"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181" fontId="36" fillId="0" borderId="0" applyFont="0" applyFill="0" applyBorder="0" applyAlignment="0" applyProtection="0"/>
    <xf numFmtId="0" fontId="38" fillId="0" borderId="0" applyNumberFormat="0" applyFont="0" applyFill="0" applyBorder="0" applyAlignment="0" applyProtection="0"/>
    <xf numFmtId="4" fontId="56" fillId="0" borderId="0">
      <protection locked="0"/>
    </xf>
    <xf numFmtId="0" fontId="38" fillId="0" borderId="0" applyNumberFormat="0" applyFont="0" applyFill="0" applyBorder="0" applyAlignment="0" applyProtection="0"/>
    <xf numFmtId="4" fontId="56" fillId="0" borderId="0">
      <protection locked="0"/>
    </xf>
    <xf numFmtId="0" fontId="38" fillId="0" borderId="0" applyNumberFormat="0" applyFont="0" applyFill="0" applyBorder="0" applyAlignment="0" applyProtection="0"/>
    <xf numFmtId="4" fontId="57" fillId="0" borderId="0">
      <protection locked="0"/>
    </xf>
    <xf numFmtId="0" fontId="38" fillId="0" borderId="0" applyNumberFormat="0" applyFont="0" applyFill="0" applyBorder="0" applyAlignment="0" applyProtection="0"/>
    <xf numFmtId="4" fontId="56" fillId="0" borderId="0">
      <protection locked="0"/>
    </xf>
    <xf numFmtId="0" fontId="38" fillId="0" borderId="0" applyNumberFormat="0" applyFont="0" applyFill="0" applyBorder="0" applyAlignment="0" applyProtection="0"/>
    <xf numFmtId="4" fontId="56" fillId="0" borderId="0">
      <protection locked="0"/>
    </xf>
    <xf numFmtId="0" fontId="38" fillId="0" borderId="0" applyNumberFormat="0" applyFont="0" applyFill="0" applyBorder="0" applyAlignment="0" applyProtection="0"/>
    <xf numFmtId="4" fontId="56" fillId="0" borderId="0">
      <protection locked="0"/>
    </xf>
    <xf numFmtId="0" fontId="38" fillId="0" borderId="0" applyNumberFormat="0" applyFont="0" applyFill="0" applyBorder="0" applyAlignment="0" applyProtection="0"/>
    <xf numFmtId="4" fontId="57" fillId="0" borderId="0">
      <protection locked="0"/>
    </xf>
    <xf numFmtId="183" fontId="36" fillId="0" borderId="0"/>
    <xf numFmtId="0" fontId="49" fillId="0" borderId="0" applyNumberFormat="0" applyFill="0" applyBorder="0" applyAlignment="0" applyProtection="0">
      <alignment vertical="top"/>
      <protection locked="0"/>
    </xf>
    <xf numFmtId="0" fontId="50" fillId="5" borderId="0" applyNumberFormat="0" applyBorder="0" applyAlignment="0" applyProtection="0"/>
    <xf numFmtId="166" fontId="36" fillId="0" borderId="0" applyFont="0" applyFill="0" applyBorder="0" applyAlignment="0" applyProtection="0"/>
    <xf numFmtId="164" fontId="36" fillId="0" borderId="0" applyFont="0" applyFill="0" applyBorder="0" applyAlignment="0" applyProtection="0"/>
    <xf numFmtId="164" fontId="37" fillId="0" borderId="0" applyFont="0" applyFill="0" applyBorder="0" applyAlignment="0" applyProtection="0"/>
    <xf numFmtId="164" fontId="36" fillId="0" borderId="0" applyFont="0" applyFill="0" applyBorder="0" applyAlignment="0" applyProtection="0"/>
    <xf numFmtId="180"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73" fontId="43" fillId="0" borderId="0" applyFont="0" applyFill="0" applyBorder="0" applyAlignment="0" applyProtection="0"/>
    <xf numFmtId="176" fontId="36"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84" fontId="36" fillId="0" borderId="0"/>
    <xf numFmtId="182" fontId="36" fillId="0" borderId="0" applyFont="0" applyFill="0" applyBorder="0" applyAlignment="0" applyProtection="0"/>
    <xf numFmtId="174"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3"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1" fontId="36" fillId="0" borderId="0" applyFont="0" applyFill="0" applyBorder="0" applyAlignment="0" applyProtection="0"/>
    <xf numFmtId="0" fontId="36" fillId="0" borderId="0" applyFont="0" applyFill="0" applyBorder="0" applyAlignment="0" applyProtection="0"/>
    <xf numFmtId="175" fontId="36" fillId="0" borderId="0" applyFont="0" applyFill="0" applyBorder="0" applyAlignment="0" applyProtection="0"/>
    <xf numFmtId="182" fontId="36" fillId="0" borderId="0" applyFont="0" applyFill="0" applyBorder="0" applyAlignment="0" applyProtection="0"/>
    <xf numFmtId="182" fontId="36" fillId="0" borderId="0" applyFont="0" applyFill="0" applyBorder="0" applyAlignment="0" applyProtection="0"/>
    <xf numFmtId="182" fontId="36" fillId="0" borderId="0" applyFont="0" applyFill="0" applyBorder="0" applyAlignment="0" applyProtection="0"/>
    <xf numFmtId="182" fontId="36" fillId="0" borderId="0" applyFont="0" applyFill="0" applyBorder="0" applyAlignment="0" applyProtection="0"/>
    <xf numFmtId="182" fontId="36" fillId="0" borderId="0" applyFont="0" applyFill="0" applyBorder="0" applyAlignment="0" applyProtection="0"/>
    <xf numFmtId="174"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69" fontId="64" fillId="0" borderId="0" applyFont="0" applyFill="0" applyBorder="0" applyAlignment="0" applyProtection="0"/>
    <xf numFmtId="169" fontId="36" fillId="0" borderId="0" applyFont="0" applyFill="0" applyBorder="0" applyAlignment="0" applyProtection="0"/>
    <xf numFmtId="170" fontId="36" fillId="0" borderId="0" applyFont="0" applyFill="0" applyBorder="0" applyAlignment="0" applyProtection="0"/>
    <xf numFmtId="169" fontId="36" fillId="0" borderId="0" applyFont="0" applyFill="0" applyBorder="0" applyAlignment="0" applyProtection="0"/>
    <xf numFmtId="0" fontId="58" fillId="11" borderId="0" applyNumberFormat="0" applyBorder="0" applyAlignment="0" applyProtection="0"/>
    <xf numFmtId="0" fontId="37"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4" fillId="0" borderId="0"/>
    <xf numFmtId="0" fontId="36" fillId="0" borderId="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0" fontId="36" fillId="6" borderId="4" applyNumberFormat="0" applyFont="0" applyAlignment="0" applyProtection="0"/>
    <xf numFmtId="9" fontId="36" fillId="0" borderId="0" applyFont="0" applyFill="0" applyBorder="0" applyAlignment="0" applyProtection="0"/>
    <xf numFmtId="9" fontId="36" fillId="0" borderId="0" applyFont="0" applyFill="0" applyBorder="0" applyAlignment="0" applyProtection="0"/>
    <xf numFmtId="9" fontId="64"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9"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0" fontId="51" fillId="19" borderId="5" applyNumberFormat="0" applyAlignment="0" applyProtection="0"/>
    <xf numFmtId="0" fontId="47" fillId="0" borderId="0" applyNumberFormat="0" applyFill="0" applyBorder="0" applyAlignment="0" applyProtection="0"/>
    <xf numFmtId="0" fontId="52" fillId="0" borderId="0" applyNumberFormat="0" applyFill="0" applyBorder="0" applyAlignment="0" applyProtection="0"/>
    <xf numFmtId="49" fontId="44" fillId="0" borderId="0">
      <alignment horizontal="center" vertical="center"/>
    </xf>
    <xf numFmtId="0" fontId="59" fillId="0" borderId="6" applyNumberFormat="0" applyFill="0" applyAlignment="0" applyProtection="0"/>
    <xf numFmtId="0" fontId="60" fillId="0" borderId="7" applyNumberFormat="0" applyFill="0" applyAlignment="0" applyProtection="0"/>
    <xf numFmtId="0" fontId="55" fillId="0" borderId="8" applyNumberFormat="0" applyFill="0" applyAlignment="0" applyProtection="0"/>
    <xf numFmtId="0" fontId="61" fillId="0" borderId="0" applyNumberFormat="0" applyFill="0" applyBorder="0" applyAlignment="0" applyProtection="0"/>
    <xf numFmtId="0" fontId="41" fillId="0" borderId="0" applyNumberFormat="0" applyFill="0" applyBorder="0" applyAlignment="0" applyProtection="0"/>
    <xf numFmtId="0" fontId="42" fillId="0" borderId="9" applyNumberFormat="0" applyFill="0" applyAlignment="0" applyProtection="0"/>
    <xf numFmtId="0" fontId="65" fillId="0" borderId="0" applyNumberFormat="0" applyFill="0" applyBorder="0" applyAlignment="0" applyProtection="0"/>
    <xf numFmtId="0" fontId="34" fillId="0" borderId="0"/>
    <xf numFmtId="169" fontId="34" fillId="0" borderId="0" applyFont="0" applyFill="0" applyBorder="0" applyAlignment="0" applyProtection="0"/>
    <xf numFmtId="0" fontId="33" fillId="0" borderId="0"/>
    <xf numFmtId="169" fontId="33" fillId="0" borderId="0" applyFont="0" applyFill="0" applyBorder="0" applyAlignment="0" applyProtection="0"/>
    <xf numFmtId="0" fontId="32" fillId="0" borderId="0"/>
    <xf numFmtId="0" fontId="31" fillId="0" borderId="0"/>
    <xf numFmtId="189" fontId="36" fillId="0" borderId="0" applyFont="0" applyFill="0" applyBorder="0" applyAlignment="0" applyProtection="0"/>
    <xf numFmtId="169" fontId="70" fillId="0" borderId="0" applyFont="0" applyFill="0" applyBorder="0" applyAlignment="0" applyProtection="0"/>
    <xf numFmtId="0" fontId="30" fillId="0" borderId="0"/>
    <xf numFmtId="0" fontId="36" fillId="0" borderId="0"/>
    <xf numFmtId="0" fontId="72" fillId="0" borderId="0"/>
    <xf numFmtId="9" fontId="30" fillId="0" borderId="0" applyFont="0" applyFill="0" applyBorder="0" applyAlignment="0" applyProtection="0"/>
    <xf numFmtId="9" fontId="35" fillId="0" borderId="0" applyFont="0" applyFill="0" applyBorder="0" applyAlignment="0" applyProtection="0"/>
    <xf numFmtId="169" fontId="35" fillId="0" borderId="0" applyFont="0" applyFill="0" applyBorder="0" applyAlignment="0" applyProtection="0"/>
    <xf numFmtId="9" fontId="36" fillId="0" borderId="0" applyFont="0" applyFill="0" applyBorder="0" applyAlignment="0" applyProtection="0"/>
    <xf numFmtId="43" fontId="30" fillId="0" borderId="0" applyFont="0" applyFill="0" applyBorder="0" applyAlignment="0" applyProtection="0"/>
    <xf numFmtId="169" fontId="30" fillId="0" borderId="0" applyFont="0" applyFill="0" applyBorder="0" applyAlignment="0" applyProtection="0"/>
    <xf numFmtId="0" fontId="29" fillId="0" borderId="0"/>
    <xf numFmtId="166" fontId="29" fillId="0" borderId="0" applyFont="0" applyFill="0" applyBorder="0" applyAlignment="0" applyProtection="0"/>
    <xf numFmtId="167" fontId="29" fillId="0" borderId="0" applyFont="0" applyFill="0" applyBorder="0" applyAlignment="0" applyProtection="0"/>
    <xf numFmtId="168" fontId="29" fillId="0" borderId="0" applyFont="0" applyFill="0" applyBorder="0" applyAlignment="0" applyProtection="0"/>
    <xf numFmtId="0" fontId="28" fillId="0" borderId="0"/>
    <xf numFmtId="166" fontId="35" fillId="0" borderId="0" applyFont="0" applyFill="0" applyBorder="0" applyAlignment="0" applyProtection="0"/>
    <xf numFmtId="0" fontId="36" fillId="0" borderId="0" applyFont="0" applyFill="0" applyBorder="0" applyAlignment="0" applyProtection="0"/>
    <xf numFmtId="169" fontId="35" fillId="0" borderId="0" applyFont="0" applyFill="0" applyBorder="0" applyAlignment="0" applyProtection="0"/>
    <xf numFmtId="9" fontId="28" fillId="0" borderId="0" applyFont="0" applyFill="0" applyBorder="0" applyAlignment="0" applyProtection="0"/>
    <xf numFmtId="173" fontId="28" fillId="0" borderId="0" applyFont="0" applyFill="0" applyBorder="0" applyAlignment="0" applyProtection="0"/>
    <xf numFmtId="166" fontId="28" fillId="0" borderId="0" applyFont="0" applyFill="0" applyBorder="0" applyAlignment="0" applyProtection="0"/>
    <xf numFmtId="169" fontId="28" fillId="0" borderId="0" applyFont="0" applyFill="0" applyBorder="0" applyAlignment="0" applyProtection="0"/>
    <xf numFmtId="167" fontId="28" fillId="0" borderId="0" applyFont="0" applyFill="0" applyBorder="0" applyAlignment="0" applyProtection="0"/>
    <xf numFmtId="168" fontId="28" fillId="0" borderId="0" applyFont="0" applyFill="0" applyBorder="0" applyAlignment="0" applyProtection="0"/>
    <xf numFmtId="0" fontId="27" fillId="0" borderId="0"/>
    <xf numFmtId="167" fontId="27" fillId="0" borderId="0" applyFont="0" applyFill="0" applyBorder="0" applyAlignment="0" applyProtection="0"/>
    <xf numFmtId="168" fontId="27" fillId="0" borderId="0" applyFont="0" applyFill="0" applyBorder="0" applyAlignment="0" applyProtection="0"/>
    <xf numFmtId="173" fontId="27" fillId="0" borderId="0" applyFont="0" applyFill="0" applyBorder="0" applyAlignment="0" applyProtection="0"/>
    <xf numFmtId="166" fontId="27" fillId="0" borderId="0" applyFont="0" applyFill="0" applyBorder="0" applyAlignment="0" applyProtection="0"/>
    <xf numFmtId="169" fontId="27" fillId="0" borderId="0" applyFont="0" applyFill="0" applyBorder="0" applyAlignment="0" applyProtection="0"/>
    <xf numFmtId="0" fontId="36" fillId="0" borderId="0"/>
    <xf numFmtId="9" fontId="27" fillId="0" borderId="0" applyFont="0" applyFill="0" applyBorder="0" applyAlignment="0" applyProtection="0"/>
    <xf numFmtId="42" fontId="27" fillId="0" borderId="0" applyFont="0" applyFill="0" applyBorder="0" applyAlignment="0" applyProtection="0"/>
    <xf numFmtId="42" fontId="79" fillId="0" borderId="0" applyFont="0" applyFill="0" applyBorder="0" applyAlignment="0" applyProtection="0"/>
    <xf numFmtId="0" fontId="26" fillId="0" borderId="0"/>
    <xf numFmtId="42" fontId="36" fillId="0" borderId="0" applyFont="0" applyFill="0" applyBorder="0" applyAlignment="0" applyProtection="0"/>
    <xf numFmtId="168" fontId="26" fillId="0" borderId="0" applyFont="0" applyFill="0" applyBorder="0" applyAlignment="0" applyProtection="0"/>
    <xf numFmtId="9" fontId="26" fillId="0" borderId="0" applyFont="0" applyFill="0" applyBorder="0" applyAlignment="0" applyProtection="0"/>
    <xf numFmtId="43" fontId="25" fillId="0" borderId="0" applyFont="0" applyFill="0" applyBorder="0" applyAlignment="0" applyProtection="0"/>
    <xf numFmtId="0" fontId="89" fillId="42" borderId="99" applyNumberFormat="0" applyAlignment="0" applyProtection="0"/>
    <xf numFmtId="0" fontId="36" fillId="0" borderId="0"/>
    <xf numFmtId="0" fontId="36" fillId="0" borderId="0"/>
    <xf numFmtId="0" fontId="23" fillId="0" borderId="0"/>
    <xf numFmtId="0" fontId="21" fillId="0" borderId="0"/>
    <xf numFmtId="0" fontId="21" fillId="0" borderId="0"/>
    <xf numFmtId="9" fontId="36" fillId="0" borderId="0" applyFont="0" applyFill="0" applyBorder="0" applyAlignment="0" applyProtection="0"/>
    <xf numFmtId="0" fontId="18" fillId="0" borderId="0"/>
    <xf numFmtId="0" fontId="53" fillId="19" borderId="171" applyNumberFormat="0" applyAlignment="0" applyProtection="0"/>
    <xf numFmtId="43" fontId="36" fillId="0" borderId="0" applyFont="0" applyFill="0" applyBorder="0" applyAlignment="0" applyProtection="0"/>
    <xf numFmtId="0" fontId="48" fillId="8" borderId="171" applyNumberFormat="0" applyAlignment="0" applyProtection="0"/>
    <xf numFmtId="43"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69" fontId="17" fillId="0" borderId="0" applyFont="0" applyFill="0" applyBorder="0" applyAlignment="0" applyProtection="0"/>
    <xf numFmtId="0" fontId="17" fillId="0" borderId="0"/>
    <xf numFmtId="0" fontId="17" fillId="0" borderId="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0" fontId="36" fillId="6" borderId="172" applyNumberFormat="0" applyFont="0" applyAlignment="0" applyProtection="0"/>
    <xf numFmtId="9" fontId="17" fillId="0" borderId="0" applyFont="0" applyFill="0" applyBorder="0" applyAlignment="0" applyProtection="0"/>
    <xf numFmtId="0" fontId="51" fillId="19" borderId="173" applyNumberFormat="0" applyAlignment="0" applyProtection="0"/>
    <xf numFmtId="0" fontId="55" fillId="0" borderId="174" applyNumberFormat="0" applyFill="0" applyAlignment="0" applyProtection="0"/>
    <xf numFmtId="0" fontId="42" fillId="0" borderId="175" applyNumberFormat="0" applyFill="0" applyAlignment="0" applyProtection="0"/>
    <xf numFmtId="0" fontId="17" fillId="0" borderId="0"/>
    <xf numFmtId="169" fontId="17" fillId="0" borderId="0" applyFont="0" applyFill="0" applyBorder="0" applyAlignment="0" applyProtection="0"/>
    <xf numFmtId="0" fontId="17" fillId="0" borderId="0"/>
    <xf numFmtId="169" fontId="17" fillId="0" borderId="0" applyFont="0" applyFill="0" applyBorder="0" applyAlignment="0" applyProtection="0"/>
    <xf numFmtId="0" fontId="17" fillId="0" borderId="0"/>
    <xf numFmtId="0" fontId="17" fillId="0" borderId="0"/>
    <xf numFmtId="169" fontId="36"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169" fontId="17" fillId="0" borderId="0" applyFont="0" applyFill="0" applyBorder="0" applyAlignment="0" applyProtection="0"/>
    <xf numFmtId="0" fontId="17" fillId="0" borderId="0"/>
    <xf numFmtId="43" fontId="17" fillId="0" borderId="0" applyFont="0" applyFill="0" applyBorder="0" applyAlignment="0" applyProtection="0"/>
    <xf numFmtId="167" fontId="17" fillId="0" borderId="0" applyFont="0" applyFill="0" applyBorder="0" applyAlignment="0" applyProtection="0"/>
    <xf numFmtId="168" fontId="17" fillId="0" borderId="0" applyFont="0" applyFill="0" applyBorder="0" applyAlignment="0" applyProtection="0"/>
    <xf numFmtId="0" fontId="17" fillId="0" borderId="0"/>
    <xf numFmtId="43" fontId="35"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43" fontId="17" fillId="0" borderId="0" applyFont="0" applyFill="0" applyBorder="0" applyAlignment="0" applyProtection="0"/>
    <xf numFmtId="169" fontId="17" fillId="0" borderId="0" applyFont="0" applyFill="0" applyBorder="0" applyAlignment="0" applyProtection="0"/>
    <xf numFmtId="167" fontId="17" fillId="0" borderId="0" applyFont="0" applyFill="0" applyBorder="0" applyAlignment="0" applyProtection="0"/>
    <xf numFmtId="168" fontId="17" fillId="0" borderId="0" applyFont="0" applyFill="0" applyBorder="0" applyAlignment="0" applyProtection="0"/>
    <xf numFmtId="0" fontId="17" fillId="0" borderId="0"/>
    <xf numFmtId="167" fontId="17" fillId="0" borderId="0" applyFont="0" applyFill="0" applyBorder="0" applyAlignment="0" applyProtection="0"/>
    <xf numFmtId="168" fontId="17" fillId="0" borderId="0" applyFont="0" applyFill="0" applyBorder="0" applyAlignment="0" applyProtection="0"/>
    <xf numFmtId="173" fontId="17" fillId="0" borderId="0" applyFont="0" applyFill="0" applyBorder="0" applyAlignment="0" applyProtection="0"/>
    <xf numFmtId="43" fontId="17" fillId="0" borderId="0" applyFont="0" applyFill="0" applyBorder="0" applyAlignment="0" applyProtection="0"/>
    <xf numFmtId="169" fontId="17" fillId="0" borderId="0" applyFont="0" applyFill="0" applyBorder="0" applyAlignment="0" applyProtection="0"/>
    <xf numFmtId="9" fontId="17" fillId="0" borderId="0" applyFont="0" applyFill="0" applyBorder="0" applyAlignment="0" applyProtection="0"/>
    <xf numFmtId="42" fontId="17" fillId="0" borderId="0" applyFont="0" applyFill="0" applyBorder="0" applyAlignment="0" applyProtection="0"/>
    <xf numFmtId="42" fontId="36" fillId="0" borderId="0" applyFont="0" applyFill="0" applyBorder="0" applyAlignment="0" applyProtection="0"/>
    <xf numFmtId="0" fontId="17" fillId="0" borderId="0"/>
    <xf numFmtId="42" fontId="36" fillId="0" borderId="0" applyFont="0" applyFill="0" applyBorder="0" applyAlignment="0" applyProtection="0"/>
    <xf numFmtId="168"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55" fillId="0" borderId="176" applyNumberFormat="0" applyFill="0" applyAlignment="0" applyProtection="0"/>
    <xf numFmtId="169" fontId="36" fillId="0" borderId="0" applyFont="0" applyFill="0" applyBorder="0" applyAlignment="0" applyProtection="0"/>
    <xf numFmtId="0" fontId="51" fillId="19" borderId="188" applyNumberFormat="0" applyAlignment="0" applyProtection="0"/>
    <xf numFmtId="0" fontId="36" fillId="6" borderId="187" applyNumberFormat="0" applyFont="0" applyAlignment="0" applyProtection="0"/>
    <xf numFmtId="0" fontId="36" fillId="6" borderId="187" applyNumberFormat="0" applyFont="0" applyAlignment="0" applyProtection="0"/>
    <xf numFmtId="0" fontId="36" fillId="6" borderId="187" applyNumberFormat="0" applyFont="0" applyAlignment="0" applyProtection="0"/>
    <xf numFmtId="0" fontId="36" fillId="6" borderId="187" applyNumberFormat="0" applyFont="0" applyAlignment="0" applyProtection="0"/>
    <xf numFmtId="0" fontId="53" fillId="19" borderId="182" applyNumberFormat="0" applyAlignment="0" applyProtection="0"/>
    <xf numFmtId="0" fontId="36" fillId="6" borderId="187" applyNumberFormat="0" applyFont="0" applyAlignment="0" applyProtection="0"/>
    <xf numFmtId="0" fontId="36" fillId="6" borderId="187" applyNumberFormat="0" applyFont="0" applyAlignment="0" applyProtection="0"/>
    <xf numFmtId="0" fontId="36" fillId="6" borderId="187" applyNumberFormat="0" applyFont="0" applyAlignment="0" applyProtection="0"/>
    <xf numFmtId="0" fontId="36" fillId="6" borderId="187" applyNumberFormat="0" applyFont="0" applyAlignment="0" applyProtection="0"/>
    <xf numFmtId="0" fontId="36" fillId="6" borderId="187" applyNumberFormat="0" applyFont="0" applyAlignment="0" applyProtection="0"/>
    <xf numFmtId="0" fontId="36" fillId="6" borderId="187" applyNumberFormat="0" applyFont="0" applyAlignment="0" applyProtection="0"/>
    <xf numFmtId="0" fontId="36" fillId="6" borderId="187" applyNumberFormat="0" applyFont="0" applyAlignment="0" applyProtection="0"/>
    <xf numFmtId="0" fontId="42" fillId="0" borderId="200" applyNumberFormat="0" applyFill="0" applyAlignment="0" applyProtection="0"/>
    <xf numFmtId="0" fontId="55" fillId="0" borderId="199" applyNumberFormat="0" applyFill="0" applyAlignment="0" applyProtection="0"/>
    <xf numFmtId="0" fontId="51" fillId="19" borderId="198" applyNumberFormat="0" applyAlignment="0" applyProtection="0"/>
    <xf numFmtId="0" fontId="48" fillId="8" borderId="191" applyNumberFormat="0" applyAlignment="0" applyProtection="0"/>
    <xf numFmtId="0" fontId="36" fillId="6" borderId="197" applyNumberFormat="0" applyFont="0" applyAlignment="0" applyProtection="0"/>
    <xf numFmtId="0" fontId="36" fillId="6" borderId="197" applyNumberFormat="0" applyFont="0" applyAlignment="0" applyProtection="0"/>
    <xf numFmtId="0" fontId="48" fillId="8" borderId="182" applyNumberFormat="0" applyAlignment="0" applyProtection="0"/>
    <xf numFmtId="0" fontId="48" fillId="8" borderId="201" applyNumberFormat="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6" borderId="187" applyNumberFormat="0" applyFont="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6" borderId="202" applyNumberFormat="0" applyFont="0" applyAlignment="0" applyProtection="0"/>
    <xf numFmtId="0" fontId="48" fillId="8" borderId="196" applyNumberFormat="0" applyAlignment="0" applyProtection="0"/>
    <xf numFmtId="0" fontId="51" fillId="19" borderId="203" applyNumberFormat="0" applyAlignment="0" applyProtection="0"/>
    <xf numFmtId="0" fontId="42" fillId="0" borderId="204" applyNumberFormat="0" applyFill="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36" fillId="6" borderId="192" applyNumberFormat="0" applyFont="0" applyAlignment="0" applyProtection="0"/>
    <xf numFmtId="0" fontId="48" fillId="8" borderId="186" applyNumberFormat="0" applyAlignment="0" applyProtection="0"/>
    <xf numFmtId="169" fontId="16" fillId="0" borderId="0" applyFont="0" applyFill="0" applyBorder="0" applyAlignment="0" applyProtection="0"/>
    <xf numFmtId="0" fontId="51" fillId="19" borderId="193" applyNumberFormat="0" applyAlignment="0" applyProtection="0"/>
    <xf numFmtId="0" fontId="16" fillId="0" borderId="0"/>
    <xf numFmtId="0" fontId="55" fillId="0" borderId="194" applyNumberFormat="0" applyFill="0" applyAlignment="0" applyProtection="0"/>
    <xf numFmtId="0" fontId="42" fillId="0" borderId="195" applyNumberFormat="0" applyFill="0" applyAlignment="0" applyProtection="0"/>
    <xf numFmtId="0" fontId="16" fillId="0" borderId="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36" fillId="6" borderId="183" applyNumberFormat="0" applyFont="0" applyAlignment="0" applyProtection="0"/>
    <xf numFmtId="0" fontId="53" fillId="19" borderId="186" applyNumberFormat="0" applyAlignment="0" applyProtection="0"/>
    <xf numFmtId="9" fontId="16" fillId="0" borderId="0" applyFont="0" applyFill="0" applyBorder="0" applyAlignment="0" applyProtection="0"/>
    <xf numFmtId="0" fontId="36" fillId="6" borderId="202" applyNumberFormat="0" applyFont="0" applyAlignment="0" applyProtection="0"/>
    <xf numFmtId="0" fontId="51" fillId="19" borderId="184" applyNumberFormat="0" applyAlignment="0" applyProtection="0"/>
    <xf numFmtId="0" fontId="36" fillId="6" borderId="202" applyNumberFormat="0" applyFont="0" applyAlignment="0" applyProtection="0"/>
    <xf numFmtId="0" fontId="42" fillId="0" borderId="185" applyNumberFormat="0" applyFill="0" applyAlignment="0" applyProtection="0"/>
    <xf numFmtId="0" fontId="16" fillId="0" borderId="0"/>
    <xf numFmtId="169" fontId="16" fillId="0" borderId="0" applyFont="0" applyFill="0" applyBorder="0" applyAlignment="0" applyProtection="0"/>
    <xf numFmtId="0" fontId="16" fillId="0" borderId="0"/>
    <xf numFmtId="169" fontId="16" fillId="0" borderId="0" applyFont="0" applyFill="0" applyBorder="0" applyAlignment="0" applyProtection="0"/>
    <xf numFmtId="0" fontId="16" fillId="0" borderId="0"/>
    <xf numFmtId="0" fontId="16" fillId="0" borderId="0"/>
    <xf numFmtId="169" fontId="36" fillId="0" borderId="0" applyFont="0" applyFill="0" applyBorder="0" applyAlignment="0" applyProtection="0"/>
    <xf numFmtId="0" fontId="16" fillId="0" borderId="0"/>
    <xf numFmtId="169" fontId="36" fillId="0" borderId="0" applyFont="0" applyFill="0" applyBorder="0" applyAlignment="0" applyProtection="0"/>
    <xf numFmtId="0" fontId="36" fillId="6" borderId="202" applyNumberFormat="0" applyFont="0" applyAlignment="0" applyProtection="0"/>
    <xf numFmtId="9" fontId="16" fillId="0" borderId="0" applyFont="0" applyFill="0" applyBorder="0" applyAlignment="0" applyProtection="0"/>
    <xf numFmtId="0" fontId="36" fillId="6" borderId="202" applyNumberFormat="0" applyFont="0" applyAlignment="0" applyProtection="0"/>
    <xf numFmtId="43" fontId="16" fillId="0" borderId="0" applyFont="0" applyFill="0" applyBorder="0" applyAlignment="0" applyProtection="0"/>
    <xf numFmtId="169" fontId="16" fillId="0" borderId="0" applyFont="0" applyFill="0" applyBorder="0" applyAlignment="0" applyProtection="0"/>
    <xf numFmtId="0" fontId="16" fillId="0" borderId="0"/>
    <xf numFmtId="43" fontId="16" fillId="0" borderId="0" applyFont="0" applyFill="0" applyBorder="0" applyAlignment="0" applyProtection="0"/>
    <xf numFmtId="167" fontId="16" fillId="0" borderId="0" applyFont="0" applyFill="0" applyBorder="0" applyAlignment="0" applyProtection="0"/>
    <xf numFmtId="168" fontId="16" fillId="0" borderId="0" applyFont="0" applyFill="0" applyBorder="0" applyAlignment="0" applyProtection="0"/>
    <xf numFmtId="0" fontId="16" fillId="0" borderId="0"/>
    <xf numFmtId="0" fontId="36" fillId="6" borderId="202" applyNumberFormat="0" applyFont="0" applyAlignment="0" applyProtection="0"/>
    <xf numFmtId="9" fontId="16" fillId="0" borderId="0" applyFont="0" applyFill="0" applyBorder="0" applyAlignment="0" applyProtection="0"/>
    <xf numFmtId="173" fontId="16" fillId="0" borderId="0" applyFont="0" applyFill="0" applyBorder="0" applyAlignment="0" applyProtection="0"/>
    <xf numFmtId="43" fontId="16" fillId="0" borderId="0" applyFont="0" applyFill="0" applyBorder="0" applyAlignment="0" applyProtection="0"/>
    <xf numFmtId="169" fontId="16" fillId="0" borderId="0" applyFont="0" applyFill="0" applyBorder="0" applyAlignment="0" applyProtection="0"/>
    <xf numFmtId="167" fontId="16" fillId="0" borderId="0" applyFont="0" applyFill="0" applyBorder="0" applyAlignment="0" applyProtection="0"/>
    <xf numFmtId="168" fontId="16" fillId="0" borderId="0" applyFont="0" applyFill="0" applyBorder="0" applyAlignment="0" applyProtection="0"/>
    <xf numFmtId="0" fontId="16" fillId="0" borderId="0"/>
    <xf numFmtId="167" fontId="16" fillId="0" borderId="0" applyFont="0" applyFill="0" applyBorder="0" applyAlignment="0" applyProtection="0"/>
    <xf numFmtId="168" fontId="16" fillId="0" borderId="0" applyFont="0" applyFill="0" applyBorder="0" applyAlignment="0" applyProtection="0"/>
    <xf numFmtId="173" fontId="16" fillId="0" borderId="0" applyFont="0" applyFill="0" applyBorder="0" applyAlignment="0" applyProtection="0"/>
    <xf numFmtId="43" fontId="16"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42" fontId="16" fillId="0" borderId="0" applyFont="0" applyFill="0" applyBorder="0" applyAlignment="0" applyProtection="0"/>
    <xf numFmtId="42" fontId="36" fillId="0" borderId="0" applyFont="0" applyFill="0" applyBorder="0" applyAlignment="0" applyProtection="0"/>
    <xf numFmtId="0" fontId="16" fillId="0" borderId="0"/>
    <xf numFmtId="42" fontId="36" fillId="0" borderId="0" applyFont="0" applyFill="0" applyBorder="0" applyAlignment="0" applyProtection="0"/>
    <xf numFmtId="168" fontId="16" fillId="0" borderId="0" applyFont="0" applyFill="0" applyBorder="0" applyAlignment="0" applyProtection="0"/>
    <xf numFmtId="9"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0" fontId="16" fillId="0" borderId="0"/>
    <xf numFmtId="0" fontId="55" fillId="0" borderId="189" applyNumberFormat="0" applyFill="0" applyAlignment="0" applyProtection="0"/>
    <xf numFmtId="0" fontId="42" fillId="0" borderId="190" applyNumberFormat="0" applyFill="0" applyAlignment="0" applyProtection="0"/>
    <xf numFmtId="169" fontId="36" fillId="0" borderId="0" applyFont="0" applyFill="0" applyBorder="0" applyAlignment="0" applyProtection="0"/>
    <xf numFmtId="0" fontId="36" fillId="6" borderId="197" applyNumberFormat="0" applyFont="0" applyAlignment="0" applyProtection="0"/>
    <xf numFmtId="0" fontId="53" fillId="19" borderId="191" applyNumberFormat="0" applyAlignment="0" applyProtection="0"/>
    <xf numFmtId="0" fontId="36" fillId="6" borderId="197" applyNumberFormat="0" applyFont="0" applyAlignment="0" applyProtection="0"/>
    <xf numFmtId="0" fontId="36" fillId="6" borderId="197" applyNumberFormat="0" applyFont="0" applyAlignment="0" applyProtection="0"/>
    <xf numFmtId="0" fontId="36" fillId="6" borderId="197" applyNumberFormat="0" applyFont="0" applyAlignment="0" applyProtection="0"/>
    <xf numFmtId="0" fontId="53" fillId="19" borderId="196" applyNumberFormat="0" applyAlignment="0" applyProtection="0"/>
    <xf numFmtId="0" fontId="36" fillId="6" borderId="197" applyNumberFormat="0" applyFont="0" applyAlignment="0" applyProtection="0"/>
    <xf numFmtId="169" fontId="36" fillId="0" borderId="0" applyFont="0" applyFill="0" applyBorder="0" applyAlignment="0" applyProtection="0"/>
    <xf numFmtId="0" fontId="36" fillId="6" borderId="197" applyNumberFormat="0" applyFont="0" applyAlignment="0" applyProtection="0"/>
    <xf numFmtId="0" fontId="36" fillId="6" borderId="197" applyNumberFormat="0" applyFont="0" applyAlignment="0" applyProtection="0"/>
    <xf numFmtId="0" fontId="36" fillId="6" borderId="197" applyNumberFormat="0" applyFont="0" applyAlignment="0" applyProtection="0"/>
    <xf numFmtId="0" fontId="36" fillId="6" borderId="197" applyNumberFormat="0" applyFont="0" applyAlignment="0" applyProtection="0"/>
    <xf numFmtId="0" fontId="36" fillId="6" borderId="197" applyNumberFormat="0" applyFont="0" applyAlignment="0" applyProtection="0"/>
    <xf numFmtId="0" fontId="53" fillId="19" borderId="201" applyNumberFormat="0" applyAlignment="0" applyProtection="0"/>
    <xf numFmtId="0" fontId="36" fillId="6" borderId="202" applyNumberFormat="0" applyFont="0" applyAlignment="0" applyProtection="0"/>
    <xf numFmtId="169" fontId="36" fillId="0" borderId="0" applyFont="0" applyFill="0" applyBorder="0" applyAlignment="0" applyProtection="0"/>
    <xf numFmtId="0" fontId="36" fillId="6" borderId="202" applyNumberFormat="0" applyFont="0" applyAlignment="0" applyProtection="0"/>
    <xf numFmtId="0" fontId="36" fillId="6" borderId="202" applyNumberFormat="0" applyFont="0" applyAlignment="0" applyProtection="0"/>
    <xf numFmtId="0" fontId="36" fillId="6" borderId="202" applyNumberFormat="0" applyFont="0" applyAlignment="0" applyProtection="0"/>
    <xf numFmtId="0" fontId="36" fillId="6" borderId="202" applyNumberFormat="0" applyFont="0" applyAlignment="0" applyProtection="0"/>
    <xf numFmtId="0" fontId="36" fillId="6" borderId="202" applyNumberFormat="0" applyFont="0" applyAlignment="0" applyProtection="0"/>
    <xf numFmtId="0" fontId="36" fillId="0" borderId="0"/>
    <xf numFmtId="198" fontId="36" fillId="0" borderId="0" applyFont="0" applyFill="0" applyBorder="0" applyAlignment="0" applyProtection="0"/>
    <xf numFmtId="0" fontId="15" fillId="0" borderId="0"/>
    <xf numFmtId="173" fontId="15" fillId="0" borderId="0" applyFont="0" applyFill="0" applyBorder="0" applyAlignment="0" applyProtection="0"/>
    <xf numFmtId="0" fontId="137" fillId="0" borderId="0" applyNumberFormat="0" applyFill="0" applyBorder="0" applyAlignment="0" applyProtection="0"/>
    <xf numFmtId="0" fontId="138" fillId="0" borderId="257" applyNumberFormat="0" applyFill="0" applyAlignment="0" applyProtection="0"/>
    <xf numFmtId="0" fontId="139" fillId="0" borderId="258" applyNumberFormat="0" applyFill="0" applyAlignment="0" applyProtection="0"/>
    <xf numFmtId="0" fontId="140" fillId="0" borderId="259" applyNumberFormat="0" applyFill="0" applyAlignment="0" applyProtection="0"/>
    <xf numFmtId="0" fontId="140" fillId="0" borderId="0" applyNumberFormat="0" applyFill="0" applyBorder="0" applyAlignment="0" applyProtection="0"/>
    <xf numFmtId="0" fontId="141" fillId="50" borderId="0" applyNumberFormat="0" applyBorder="0" applyAlignment="0" applyProtection="0"/>
    <xf numFmtId="0" fontId="142" fillId="51" borderId="0" applyNumberFormat="0" applyBorder="0" applyAlignment="0" applyProtection="0"/>
    <xf numFmtId="0" fontId="143" fillId="52" borderId="0" applyNumberFormat="0" applyBorder="0" applyAlignment="0" applyProtection="0"/>
    <xf numFmtId="0" fontId="144" fillId="53" borderId="260" applyNumberFormat="0" applyAlignment="0" applyProtection="0"/>
    <xf numFmtId="0" fontId="145" fillId="42" borderId="260" applyNumberFormat="0" applyAlignment="0" applyProtection="0"/>
    <xf numFmtId="0" fontId="146" fillId="0" borderId="261" applyNumberFormat="0" applyFill="0" applyAlignment="0" applyProtection="0"/>
    <xf numFmtId="0" fontId="147" fillId="54" borderId="262" applyNumberFormat="0" applyAlignment="0" applyProtection="0"/>
    <xf numFmtId="0" fontId="94" fillId="0" borderId="0" applyNumberFormat="0" applyFill="0" applyBorder="0" applyAlignment="0" applyProtection="0"/>
    <xf numFmtId="0" fontId="148" fillId="0" borderId="0" applyNumberFormat="0" applyFill="0" applyBorder="0" applyAlignment="0" applyProtection="0"/>
    <xf numFmtId="0" fontId="90" fillId="0" borderId="264" applyNumberFormat="0" applyFill="0" applyAlignment="0" applyProtection="0"/>
    <xf numFmtId="0" fontId="126" fillId="56" borderId="0" applyNumberFormat="0" applyBorder="0" applyAlignment="0" applyProtection="0"/>
    <xf numFmtId="0" fontId="13" fillId="57" borderId="0" applyNumberFormat="0" applyBorder="0" applyAlignment="0" applyProtection="0"/>
    <xf numFmtId="0" fontId="13" fillId="58" borderId="0" applyNumberFormat="0" applyBorder="0" applyAlignment="0" applyProtection="0"/>
    <xf numFmtId="0" fontId="13" fillId="59" borderId="0" applyNumberFormat="0" applyBorder="0" applyAlignment="0" applyProtection="0"/>
    <xf numFmtId="0" fontId="126" fillId="60" borderId="0" applyNumberFormat="0" applyBorder="0" applyAlignment="0" applyProtection="0"/>
    <xf numFmtId="0" fontId="13" fillId="61" borderId="0" applyNumberFormat="0" applyBorder="0" applyAlignment="0" applyProtection="0"/>
    <xf numFmtId="0" fontId="13" fillId="62" borderId="0" applyNumberFormat="0" applyBorder="0" applyAlignment="0" applyProtection="0"/>
    <xf numFmtId="0" fontId="13" fillId="63" borderId="0" applyNumberFormat="0" applyBorder="0" applyAlignment="0" applyProtection="0"/>
    <xf numFmtId="0" fontId="126" fillId="64" borderId="0" applyNumberFormat="0" applyBorder="0" applyAlignment="0" applyProtection="0"/>
    <xf numFmtId="0" fontId="13" fillId="65" borderId="0" applyNumberFormat="0" applyBorder="0" applyAlignment="0" applyProtection="0"/>
    <xf numFmtId="0" fontId="13" fillId="66" borderId="0" applyNumberFormat="0" applyBorder="0" applyAlignment="0" applyProtection="0"/>
    <xf numFmtId="0" fontId="13" fillId="67" borderId="0" applyNumberFormat="0" applyBorder="0" applyAlignment="0" applyProtection="0"/>
    <xf numFmtId="0" fontId="126" fillId="68" borderId="0" applyNumberFormat="0" applyBorder="0" applyAlignment="0" applyProtection="0"/>
    <xf numFmtId="0" fontId="13" fillId="69" borderId="0" applyNumberFormat="0" applyBorder="0" applyAlignment="0" applyProtection="0"/>
    <xf numFmtId="0" fontId="13" fillId="70" borderId="0" applyNumberFormat="0" applyBorder="0" applyAlignment="0" applyProtection="0"/>
    <xf numFmtId="0" fontId="13" fillId="71" borderId="0" applyNumberFormat="0" applyBorder="0" applyAlignment="0" applyProtection="0"/>
    <xf numFmtId="0" fontId="126" fillId="72" borderId="0" applyNumberFormat="0" applyBorder="0" applyAlignment="0" applyProtection="0"/>
    <xf numFmtId="0" fontId="13" fillId="73" borderId="0" applyNumberFormat="0" applyBorder="0" applyAlignment="0" applyProtection="0"/>
    <xf numFmtId="0" fontId="13" fillId="74" borderId="0" applyNumberFormat="0" applyBorder="0" applyAlignment="0" applyProtection="0"/>
    <xf numFmtId="0" fontId="13" fillId="75" borderId="0" applyNumberFormat="0" applyBorder="0" applyAlignment="0" applyProtection="0"/>
    <xf numFmtId="0" fontId="126" fillId="76" borderId="0" applyNumberFormat="0" applyBorder="0" applyAlignment="0" applyProtection="0"/>
    <xf numFmtId="0" fontId="13" fillId="77" borderId="0" applyNumberFormat="0" applyBorder="0" applyAlignment="0" applyProtection="0"/>
    <xf numFmtId="0" fontId="13" fillId="78" borderId="0" applyNumberFormat="0" applyBorder="0" applyAlignment="0" applyProtection="0"/>
    <xf numFmtId="0" fontId="13" fillId="79" borderId="0" applyNumberFormat="0" applyBorder="0" applyAlignment="0" applyProtection="0"/>
    <xf numFmtId="0" fontId="53" fillId="19" borderId="268" applyNumberFormat="0" applyAlignment="0" applyProtection="0"/>
    <xf numFmtId="0" fontId="48" fillId="8" borderId="268" applyNumberFormat="0" applyAlignment="0" applyProtection="0"/>
    <xf numFmtId="43" fontId="36" fillId="0" borderId="0" applyFont="0" applyFill="0" applyBorder="0" applyAlignment="0" applyProtection="0"/>
    <xf numFmtId="169" fontId="13" fillId="0" borderId="0" applyFont="0" applyFill="0" applyBorder="0" applyAlignment="0" applyProtection="0"/>
    <xf numFmtId="0" fontId="13" fillId="0" borderId="0"/>
    <xf numFmtId="0" fontId="13" fillId="0" borderId="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0" fontId="36" fillId="6" borderId="269" applyNumberFormat="0" applyFont="0" applyAlignment="0" applyProtection="0"/>
    <xf numFmtId="9" fontId="13" fillId="0" borderId="0" applyFont="0" applyFill="0" applyBorder="0" applyAlignment="0" applyProtection="0"/>
    <xf numFmtId="0" fontId="51" fillId="19" borderId="270" applyNumberFormat="0" applyAlignment="0" applyProtection="0"/>
    <xf numFmtId="0" fontId="55" fillId="0" borderId="271" applyNumberFormat="0" applyFill="0" applyAlignment="0" applyProtection="0"/>
    <xf numFmtId="0" fontId="42" fillId="0" borderId="272" applyNumberFormat="0" applyFill="0" applyAlignment="0" applyProtection="0"/>
    <xf numFmtId="0" fontId="13" fillId="0" borderId="0"/>
    <xf numFmtId="169" fontId="13"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0" fontId="13" fillId="0" borderId="0"/>
    <xf numFmtId="169" fontId="36"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0" fontId="13" fillId="0" borderId="0"/>
    <xf numFmtId="43"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9"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167" fontId="13" fillId="0" borderId="0" applyFont="0" applyFill="0" applyBorder="0" applyAlignment="0" applyProtection="0"/>
    <xf numFmtId="168"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9" fontId="13" fillId="0" borderId="0" applyFont="0" applyFill="0" applyBorder="0" applyAlignment="0" applyProtection="0"/>
    <xf numFmtId="42" fontId="13" fillId="0" borderId="0" applyFont="0" applyFill="0" applyBorder="0" applyAlignment="0" applyProtection="0"/>
    <xf numFmtId="42" fontId="36" fillId="0" borderId="0" applyFont="0" applyFill="0" applyBorder="0" applyAlignment="0" applyProtection="0"/>
    <xf numFmtId="0" fontId="13" fillId="0" borderId="0"/>
    <xf numFmtId="42" fontId="36"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53" fillId="19" borderId="278" applyNumberFormat="0" applyAlignment="0" applyProtection="0"/>
    <xf numFmtId="43" fontId="36" fillId="0" borderId="0" applyFont="0" applyFill="0" applyBorder="0" applyAlignment="0" applyProtection="0"/>
    <xf numFmtId="0" fontId="48" fillId="8" borderId="278" applyNumberFormat="0" applyAlignment="0" applyProtection="0"/>
    <xf numFmtId="43"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69" fontId="13" fillId="0" borderId="0" applyFont="0" applyFill="0" applyBorder="0" applyAlignment="0" applyProtection="0"/>
    <xf numFmtId="0" fontId="13" fillId="0" borderId="0"/>
    <xf numFmtId="0" fontId="13" fillId="0" borderId="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9" fontId="13" fillId="0" borderId="0" applyFont="0" applyFill="0" applyBorder="0" applyAlignment="0" applyProtection="0"/>
    <xf numFmtId="0" fontId="51" fillId="19" borderId="270" applyNumberFormat="0" applyAlignment="0" applyProtection="0"/>
    <xf numFmtId="0" fontId="55" fillId="0" borderId="280" applyNumberFormat="0" applyFill="0" applyAlignment="0" applyProtection="0"/>
    <xf numFmtId="0" fontId="42" fillId="0" borderId="272" applyNumberFormat="0" applyFill="0" applyAlignment="0" applyProtection="0"/>
    <xf numFmtId="0" fontId="13" fillId="0" borderId="0"/>
    <xf numFmtId="169" fontId="13"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0" fontId="13" fillId="0" borderId="0"/>
    <xf numFmtId="43"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43" fontId="35" fillId="0" borderId="0" applyFont="0" applyFill="0" applyBorder="0" applyAlignment="0" applyProtection="0"/>
    <xf numFmtId="9"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167" fontId="13" fillId="0" borderId="0" applyFont="0" applyFill="0" applyBorder="0" applyAlignment="0" applyProtection="0"/>
    <xf numFmtId="168"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9" fontId="13" fillId="0" borderId="0" applyFont="0" applyFill="0" applyBorder="0" applyAlignment="0" applyProtection="0"/>
    <xf numFmtId="42" fontId="13" fillId="0" borderId="0" applyFont="0" applyFill="0" applyBorder="0" applyAlignment="0" applyProtection="0"/>
    <xf numFmtId="42" fontId="36" fillId="0" borderId="0" applyFont="0" applyFill="0" applyBorder="0" applyAlignment="0" applyProtection="0"/>
    <xf numFmtId="0" fontId="13" fillId="0" borderId="0"/>
    <xf numFmtId="42" fontId="36"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55" fillId="0" borderId="280" applyNumberFormat="0" applyFill="0" applyAlignment="0" applyProtection="0"/>
    <xf numFmtId="0" fontId="51" fillId="19" borderId="270" applyNumberForma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53" fillId="19" borderId="278" applyNumberForma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42" fillId="0" borderId="272" applyNumberFormat="0" applyFill="0" applyAlignment="0" applyProtection="0"/>
    <xf numFmtId="0" fontId="55" fillId="0" borderId="280" applyNumberFormat="0" applyFill="0" applyAlignment="0" applyProtection="0"/>
    <xf numFmtId="0" fontId="51" fillId="19" borderId="270" applyNumberFormat="0" applyAlignment="0" applyProtection="0"/>
    <xf numFmtId="0" fontId="48" fillId="8" borderId="278" applyNumberFormat="0" applyAlignment="0" applyProtection="0"/>
    <xf numFmtId="0" fontId="36" fillId="6" borderId="279" applyNumberFormat="0" applyFont="0" applyAlignment="0" applyProtection="0"/>
    <xf numFmtId="0" fontId="36" fillId="6" borderId="279" applyNumberFormat="0" applyFont="0" applyAlignment="0" applyProtection="0"/>
    <xf numFmtId="0" fontId="48" fillId="8" borderId="278" applyNumberFormat="0" applyAlignment="0" applyProtection="0"/>
    <xf numFmtId="0" fontId="48" fillId="8" borderId="278" applyNumberFormat="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6" borderId="279" applyNumberFormat="0" applyFont="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6" borderId="279" applyNumberFormat="0" applyFont="0" applyAlignment="0" applyProtection="0"/>
    <xf numFmtId="0" fontId="48" fillId="8" borderId="278" applyNumberFormat="0" applyAlignment="0" applyProtection="0"/>
    <xf numFmtId="0" fontId="51" fillId="19" borderId="270" applyNumberFormat="0" applyAlignment="0" applyProtection="0"/>
    <xf numFmtId="0" fontId="42" fillId="0" borderId="272" applyNumberFormat="0" applyFill="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48" fillId="8" borderId="278" applyNumberFormat="0" applyAlignment="0" applyProtection="0"/>
    <xf numFmtId="169" fontId="13" fillId="0" borderId="0" applyFont="0" applyFill="0" applyBorder="0" applyAlignment="0" applyProtection="0"/>
    <xf numFmtId="0" fontId="51" fillId="19" borderId="270" applyNumberFormat="0" applyAlignment="0" applyProtection="0"/>
    <xf numFmtId="0" fontId="13" fillId="0" borderId="0"/>
    <xf numFmtId="0" fontId="55" fillId="0" borderId="280" applyNumberFormat="0" applyFill="0" applyAlignment="0" applyProtection="0"/>
    <xf numFmtId="0" fontId="42" fillId="0" borderId="272" applyNumberFormat="0" applyFill="0" applyAlignment="0" applyProtection="0"/>
    <xf numFmtId="0" fontId="13" fillId="0" borderId="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53" fillId="19" borderId="278" applyNumberFormat="0" applyAlignment="0" applyProtection="0"/>
    <xf numFmtId="9" fontId="13" fillId="0" borderId="0" applyFont="0" applyFill="0" applyBorder="0" applyAlignment="0" applyProtection="0"/>
    <xf numFmtId="0" fontId="36" fillId="6" borderId="279" applyNumberFormat="0" applyFont="0" applyAlignment="0" applyProtection="0"/>
    <xf numFmtId="0" fontId="51" fillId="19" borderId="270" applyNumberFormat="0" applyAlignment="0" applyProtection="0"/>
    <xf numFmtId="0" fontId="36" fillId="6" borderId="279" applyNumberFormat="0" applyFont="0" applyAlignment="0" applyProtection="0"/>
    <xf numFmtId="0" fontId="42" fillId="0" borderId="272" applyNumberFormat="0" applyFill="0" applyAlignment="0" applyProtection="0"/>
    <xf numFmtId="0" fontId="13" fillId="0" borderId="0"/>
    <xf numFmtId="169" fontId="13"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0" fontId="13" fillId="0" borderId="0"/>
    <xf numFmtId="0" fontId="13" fillId="0" borderId="0"/>
    <xf numFmtId="0" fontId="36" fillId="6" borderId="279" applyNumberFormat="0" applyFont="0" applyAlignment="0" applyProtection="0"/>
    <xf numFmtId="9" fontId="13" fillId="0" borderId="0" applyFont="0" applyFill="0" applyBorder="0" applyAlignment="0" applyProtection="0"/>
    <xf numFmtId="0" fontId="36" fillId="6" borderId="279" applyNumberFormat="0" applyFont="0" applyAlignment="0" applyProtection="0"/>
    <xf numFmtId="43" fontId="13" fillId="0" borderId="0" applyFont="0" applyFill="0" applyBorder="0" applyAlignment="0" applyProtection="0"/>
    <xf numFmtId="169" fontId="13" fillId="0" borderId="0" applyFont="0" applyFill="0" applyBorder="0" applyAlignment="0" applyProtection="0"/>
    <xf numFmtId="0" fontId="13" fillId="0" borderId="0"/>
    <xf numFmtId="43"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0" fontId="36" fillId="6" borderId="279" applyNumberFormat="0" applyFont="0" applyAlignment="0" applyProtection="0"/>
    <xf numFmtId="9"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167" fontId="13" fillId="0" borderId="0" applyFont="0" applyFill="0" applyBorder="0" applyAlignment="0" applyProtection="0"/>
    <xf numFmtId="168"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9" fontId="13" fillId="0" borderId="0" applyFont="0" applyFill="0" applyBorder="0" applyAlignment="0" applyProtection="0"/>
    <xf numFmtId="42" fontId="13" fillId="0" borderId="0" applyFont="0" applyFill="0" applyBorder="0" applyAlignment="0" applyProtection="0"/>
    <xf numFmtId="42" fontId="36" fillId="0" borderId="0" applyFont="0" applyFill="0" applyBorder="0" applyAlignment="0" applyProtection="0"/>
    <xf numFmtId="0" fontId="13" fillId="0" borderId="0"/>
    <xf numFmtId="42" fontId="36"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55" fillId="0" borderId="280" applyNumberFormat="0" applyFill="0" applyAlignment="0" applyProtection="0"/>
    <xf numFmtId="0" fontId="42" fillId="0" borderId="272" applyNumberFormat="0" applyFill="0" applyAlignment="0" applyProtection="0"/>
    <xf numFmtId="0" fontId="36" fillId="6" borderId="279" applyNumberFormat="0" applyFont="0" applyAlignment="0" applyProtection="0"/>
    <xf numFmtId="0" fontId="53" fillId="19" borderId="278" applyNumberForma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53" fillId="19" borderId="278" applyNumberForma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53" fillId="19" borderId="278" applyNumberForma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36" fillId="6" borderId="279" applyNumberFormat="0" applyFont="0" applyAlignment="0" applyProtection="0"/>
    <xf numFmtId="0" fontId="13" fillId="0" borderId="0"/>
    <xf numFmtId="173" fontId="13" fillId="0" borderId="0" applyFont="0" applyFill="0" applyBorder="0" applyAlignment="0" applyProtection="0"/>
    <xf numFmtId="0" fontId="36" fillId="6" borderId="286" applyNumberFormat="0" applyFont="0" applyAlignment="0" applyProtection="0"/>
    <xf numFmtId="0" fontId="48" fillId="8" borderId="285" applyNumberFormat="0" applyAlignment="0" applyProtection="0"/>
    <xf numFmtId="169" fontId="36" fillId="0" borderId="0" applyFont="0" applyFill="0" applyBorder="0" applyAlignment="0" applyProtection="0"/>
    <xf numFmtId="0" fontId="55" fillId="0" borderId="280" applyNumberFormat="0" applyFill="0" applyAlignment="0" applyProtection="0"/>
    <xf numFmtId="0" fontId="53" fillId="19" borderId="281" applyNumberFormat="0" applyAlignment="0" applyProtection="0"/>
    <xf numFmtId="0" fontId="48" fillId="8" borderId="281" applyNumberFormat="0" applyAlignment="0" applyProtection="0"/>
    <xf numFmtId="43" fontId="36" fillId="0" borderId="0" applyFont="0" applyFill="0" applyBorder="0" applyAlignment="0" applyProtection="0"/>
    <xf numFmtId="0" fontId="48" fillId="8" borderId="285" applyNumberFormat="0" applyAlignment="0" applyProtection="0"/>
    <xf numFmtId="43" fontId="36" fillId="0" borderId="0" applyFont="0" applyFill="0" applyBorder="0" applyAlignment="0" applyProtection="0"/>
    <xf numFmtId="0" fontId="48" fillId="8"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1" fillId="19" borderId="287" applyNumberFormat="0" applyAlignment="0" applyProtection="0"/>
    <xf numFmtId="0" fontId="55" fillId="0" borderId="280" applyNumberFormat="0" applyFill="0" applyAlignment="0" applyProtection="0"/>
    <xf numFmtId="0" fontId="42" fillId="0" borderId="288" applyNumberFormat="0" applyFill="0" applyAlignment="0" applyProtection="0"/>
    <xf numFmtId="169" fontId="13" fillId="0" borderId="0" applyFont="0" applyFill="0" applyBorder="0" applyAlignment="0" applyProtection="0"/>
    <xf numFmtId="0" fontId="13" fillId="0" borderId="0"/>
    <xf numFmtId="0" fontId="36" fillId="6" borderId="286" applyNumberFormat="0" applyFont="0" applyAlignment="0" applyProtection="0"/>
    <xf numFmtId="0" fontId="48" fillId="8" borderId="285" applyNumberFormat="0" applyAlignment="0" applyProtection="0"/>
    <xf numFmtId="0" fontId="48" fillId="8" borderId="285" applyNumberFormat="0" applyAlignment="0" applyProtection="0"/>
    <xf numFmtId="0" fontId="13" fillId="0" borderId="0"/>
    <xf numFmtId="0" fontId="36" fillId="6" borderId="286"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2"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9" fontId="13" fillId="0" borderId="0" applyFont="0" applyFill="0" applyBorder="0" applyAlignment="0" applyProtection="0"/>
    <xf numFmtId="0" fontId="51" fillId="19" borderId="287" applyNumberFormat="0" applyAlignment="0" applyProtection="0"/>
    <xf numFmtId="0" fontId="55" fillId="0" borderId="280"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1" fillId="19" borderId="283" applyNumberFormat="0" applyAlignment="0" applyProtection="0"/>
    <xf numFmtId="0" fontId="55" fillId="0" borderId="280" applyNumberFormat="0" applyFill="0" applyAlignment="0" applyProtection="0"/>
    <xf numFmtId="0" fontId="42" fillId="0" borderId="284" applyNumberFormat="0" applyFill="0" applyAlignment="0" applyProtection="0"/>
    <xf numFmtId="0" fontId="13" fillId="0" borderId="0"/>
    <xf numFmtId="169" fontId="13"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0" fontId="13" fillId="0" borderId="0"/>
    <xf numFmtId="0" fontId="36" fillId="6" borderId="286" applyNumberFormat="0" applyFont="0" applyAlignment="0" applyProtection="0"/>
    <xf numFmtId="169" fontId="36" fillId="0" borderId="0" applyFont="0" applyFill="0" applyBorder="0" applyAlignment="0" applyProtection="0"/>
    <xf numFmtId="0" fontId="13" fillId="0" borderId="0"/>
    <xf numFmtId="0" fontId="42" fillId="0" borderId="288" applyNumberFormat="0" applyFill="0" applyAlignment="0" applyProtection="0"/>
    <xf numFmtId="9" fontId="13" fillId="0" borderId="0" applyFont="0" applyFill="0" applyBorder="0" applyAlignment="0" applyProtection="0"/>
    <xf numFmtId="0" fontId="36" fillId="6" borderId="286" applyNumberFormat="0" applyFont="0" applyAlignment="0" applyProtection="0"/>
    <xf numFmtId="0" fontId="48" fillId="8" borderId="285" applyNumberFormat="0" applyAlignment="0" applyProtection="0"/>
    <xf numFmtId="43" fontId="13" fillId="0" borderId="0" applyFont="0" applyFill="0" applyBorder="0" applyAlignment="0" applyProtection="0"/>
    <xf numFmtId="169" fontId="13" fillId="0" borderId="0" applyFont="0" applyFill="0" applyBorder="0" applyAlignment="0" applyProtection="0"/>
    <xf numFmtId="0" fontId="13" fillId="0" borderId="0"/>
    <xf numFmtId="43"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9"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167" fontId="13" fillId="0" borderId="0" applyFont="0" applyFill="0" applyBorder="0" applyAlignment="0" applyProtection="0"/>
    <xf numFmtId="168"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0" fontId="36" fillId="6" borderId="286" applyNumberFormat="0" applyFont="0" applyAlignment="0" applyProtection="0"/>
    <xf numFmtId="9" fontId="13" fillId="0" borderId="0" applyFont="0" applyFill="0" applyBorder="0" applyAlignment="0" applyProtection="0"/>
    <xf numFmtId="42" fontId="13" fillId="0" borderId="0" applyFont="0" applyFill="0" applyBorder="0" applyAlignment="0" applyProtection="0"/>
    <xf numFmtId="42" fontId="36" fillId="0" borderId="0" applyFont="0" applyFill="0" applyBorder="0" applyAlignment="0" applyProtection="0"/>
    <xf numFmtId="0" fontId="13" fillId="0" borderId="0"/>
    <xf numFmtId="42" fontId="36"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36" fillId="6" borderId="286" applyNumberFormat="0" applyFont="0" applyAlignment="0" applyProtection="0"/>
    <xf numFmtId="0" fontId="13" fillId="0" borderId="0"/>
    <xf numFmtId="0" fontId="53" fillId="19" borderId="285" applyNumberFormat="0" applyAlignment="0" applyProtection="0"/>
    <xf numFmtId="43" fontId="36" fillId="0" borderId="0" applyFont="0" applyFill="0" applyBorder="0" applyAlignment="0" applyProtection="0"/>
    <xf numFmtId="0" fontId="48" fillId="8" borderId="285" applyNumberFormat="0" applyAlignment="0" applyProtection="0"/>
    <xf numFmtId="43"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69" fontId="13" fillId="0" borderId="0" applyFont="0" applyFill="0" applyBorder="0" applyAlignment="0" applyProtection="0"/>
    <xf numFmtId="0" fontId="13" fillId="0" borderId="0"/>
    <xf numFmtId="0" fontId="13" fillId="0" borderId="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9" fontId="13" fillId="0" borderId="0" applyFont="0" applyFill="0" applyBorder="0" applyAlignment="0" applyProtection="0"/>
    <xf numFmtId="0" fontId="51" fillId="19" borderId="287" applyNumberFormat="0" applyAlignment="0" applyProtection="0"/>
    <xf numFmtId="0" fontId="55" fillId="0" borderId="280" applyNumberFormat="0" applyFill="0" applyAlignment="0" applyProtection="0"/>
    <xf numFmtId="0" fontId="42" fillId="0" borderId="288" applyNumberFormat="0" applyFill="0" applyAlignment="0" applyProtection="0"/>
    <xf numFmtId="0" fontId="13" fillId="0" borderId="0"/>
    <xf numFmtId="169" fontId="13"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0" fontId="13" fillId="0" borderId="0"/>
    <xf numFmtId="43"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43" fontId="35" fillId="0" borderId="0" applyFont="0" applyFill="0" applyBorder="0" applyAlignment="0" applyProtection="0"/>
    <xf numFmtId="9"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167" fontId="13" fillId="0" borderId="0" applyFont="0" applyFill="0" applyBorder="0" applyAlignment="0" applyProtection="0"/>
    <xf numFmtId="168"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9" fontId="13" fillId="0" borderId="0" applyFont="0" applyFill="0" applyBorder="0" applyAlignment="0" applyProtection="0"/>
    <xf numFmtId="42" fontId="13" fillId="0" borderId="0" applyFont="0" applyFill="0" applyBorder="0" applyAlignment="0" applyProtection="0"/>
    <xf numFmtId="42" fontId="36" fillId="0" borderId="0" applyFont="0" applyFill="0" applyBorder="0" applyAlignment="0" applyProtection="0"/>
    <xf numFmtId="0" fontId="13" fillId="0" borderId="0"/>
    <xf numFmtId="42" fontId="36"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55" fillId="0" borderId="280" applyNumberFormat="0" applyFill="0" applyAlignment="0" applyProtection="0"/>
    <xf numFmtId="0" fontId="51" fillId="19" borderId="287"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42" fillId="0" borderId="288" applyNumberFormat="0" applyFill="0" applyAlignment="0" applyProtection="0"/>
    <xf numFmtId="0" fontId="55" fillId="0" borderId="280" applyNumberFormat="0" applyFill="0" applyAlignment="0" applyProtection="0"/>
    <xf numFmtId="0" fontId="51" fillId="19" borderId="287" applyNumberFormat="0" applyAlignment="0" applyProtection="0"/>
    <xf numFmtId="0" fontId="48" fillId="8"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48" fillId="8" borderId="285" applyNumberFormat="0" applyAlignment="0" applyProtection="0"/>
    <xf numFmtId="0" fontId="48" fillId="8" borderId="285" applyNumberFormat="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6" borderId="286" applyNumberFormat="0" applyFont="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6" borderId="286" applyNumberFormat="0" applyFont="0" applyAlignment="0" applyProtection="0"/>
    <xf numFmtId="0" fontId="48" fillId="8" borderId="285" applyNumberFormat="0" applyAlignment="0" applyProtection="0"/>
    <xf numFmtId="0" fontId="51" fillId="19" borderId="287" applyNumberFormat="0" applyAlignment="0" applyProtection="0"/>
    <xf numFmtId="0" fontId="42" fillId="0" borderId="288"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48" fillId="8" borderId="285" applyNumberFormat="0" applyAlignment="0" applyProtection="0"/>
    <xf numFmtId="169" fontId="13" fillId="0" borderId="0" applyFont="0" applyFill="0" applyBorder="0" applyAlignment="0" applyProtection="0"/>
    <xf numFmtId="0" fontId="51" fillId="19" borderId="287" applyNumberFormat="0" applyAlignment="0" applyProtection="0"/>
    <xf numFmtId="0" fontId="13" fillId="0" borderId="0"/>
    <xf numFmtId="0" fontId="55" fillId="0" borderId="280" applyNumberFormat="0" applyFill="0" applyAlignment="0" applyProtection="0"/>
    <xf numFmtId="0" fontId="42" fillId="0" borderId="288" applyNumberFormat="0" applyFill="0" applyAlignment="0" applyProtection="0"/>
    <xf numFmtId="0" fontId="13" fillId="0" borderId="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9" fontId="13" fillId="0" borderId="0" applyFont="0" applyFill="0" applyBorder="0" applyAlignment="0" applyProtection="0"/>
    <xf numFmtId="0" fontId="36" fillId="6" borderId="286" applyNumberFormat="0" applyFont="0" applyAlignment="0" applyProtection="0"/>
    <xf numFmtId="0" fontId="51" fillId="19" borderId="287" applyNumberFormat="0" applyAlignment="0" applyProtection="0"/>
    <xf numFmtId="0" fontId="36" fillId="6" borderId="286" applyNumberFormat="0" applyFont="0" applyAlignment="0" applyProtection="0"/>
    <xf numFmtId="0" fontId="42" fillId="0" borderId="288" applyNumberFormat="0" applyFill="0" applyAlignment="0" applyProtection="0"/>
    <xf numFmtId="0" fontId="13" fillId="0" borderId="0"/>
    <xf numFmtId="169" fontId="13"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0" fontId="13" fillId="0" borderId="0"/>
    <xf numFmtId="0" fontId="13" fillId="0" borderId="0"/>
    <xf numFmtId="0" fontId="36" fillId="6" borderId="286" applyNumberFormat="0" applyFont="0" applyAlignment="0" applyProtection="0"/>
    <xf numFmtId="9" fontId="13" fillId="0" borderId="0" applyFont="0" applyFill="0" applyBorder="0" applyAlignment="0" applyProtection="0"/>
    <xf numFmtId="0" fontId="36" fillId="6" borderId="286" applyNumberFormat="0" applyFont="0" applyAlignment="0" applyProtection="0"/>
    <xf numFmtId="43" fontId="13" fillId="0" borderId="0" applyFont="0" applyFill="0" applyBorder="0" applyAlignment="0" applyProtection="0"/>
    <xf numFmtId="169" fontId="13" fillId="0" borderId="0" applyFont="0" applyFill="0" applyBorder="0" applyAlignment="0" applyProtection="0"/>
    <xf numFmtId="0" fontId="13" fillId="0" borderId="0"/>
    <xf numFmtId="43"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0" fontId="36" fillId="6" borderId="286" applyNumberFormat="0" applyFont="0" applyAlignment="0" applyProtection="0"/>
    <xf numFmtId="9"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167" fontId="13" fillId="0" borderId="0" applyFont="0" applyFill="0" applyBorder="0" applyAlignment="0" applyProtection="0"/>
    <xf numFmtId="168" fontId="13" fillId="0" borderId="0" applyFont="0" applyFill="0" applyBorder="0" applyAlignment="0" applyProtection="0"/>
    <xf numFmtId="0" fontId="13" fillId="0" borderId="0"/>
    <xf numFmtId="167" fontId="13" fillId="0" borderId="0" applyFont="0" applyFill="0" applyBorder="0" applyAlignment="0" applyProtection="0"/>
    <xf numFmtId="168"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69" fontId="13" fillId="0" borderId="0" applyFont="0" applyFill="0" applyBorder="0" applyAlignment="0" applyProtection="0"/>
    <xf numFmtId="9" fontId="13" fillId="0" borderId="0" applyFont="0" applyFill="0" applyBorder="0" applyAlignment="0" applyProtection="0"/>
    <xf numFmtId="42" fontId="13" fillId="0" borderId="0" applyFont="0" applyFill="0" applyBorder="0" applyAlignment="0" applyProtection="0"/>
    <xf numFmtId="42" fontId="36" fillId="0" borderId="0" applyFont="0" applyFill="0" applyBorder="0" applyAlignment="0" applyProtection="0"/>
    <xf numFmtId="0" fontId="13" fillId="0" borderId="0"/>
    <xf numFmtId="42" fontId="36"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55" fillId="0" borderId="280" applyNumberFormat="0" applyFill="0" applyAlignment="0" applyProtection="0"/>
    <xf numFmtId="0" fontId="42" fillId="0" borderId="288" applyNumberFormat="0" applyFill="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13" fillId="0" borderId="0"/>
    <xf numFmtId="173" fontId="13" fillId="0" borderId="0" applyFont="0" applyFill="0" applyBorder="0" applyAlignment="0" applyProtection="0"/>
    <xf numFmtId="169" fontId="36" fillId="0" borderId="0" applyFont="0" applyFill="0" applyBorder="0" applyAlignment="0" applyProtection="0"/>
    <xf numFmtId="0" fontId="36" fillId="6" borderId="286" applyNumberFormat="0" applyFont="0" applyAlignment="0" applyProtection="0"/>
    <xf numFmtId="0" fontId="36" fillId="6" borderId="286" applyNumberFormat="0" applyFont="0" applyAlignment="0" applyProtection="0"/>
    <xf numFmtId="0" fontId="13" fillId="0" borderId="0"/>
    <xf numFmtId="0" fontId="13" fillId="55" borderId="263"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42" fillId="0" borderId="288" applyNumberFormat="0" applyFill="0" applyAlignment="0" applyProtection="0"/>
    <xf numFmtId="0" fontId="48" fillId="8" borderId="285" applyNumberFormat="0" applyAlignment="0" applyProtection="0"/>
    <xf numFmtId="0" fontId="55" fillId="0" borderId="280" applyNumberFormat="0" applyFill="0" applyAlignment="0" applyProtection="0"/>
    <xf numFmtId="0" fontId="51" fillId="19" borderId="287"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1" fillId="19" borderId="287" applyNumberFormat="0" applyAlignment="0" applyProtection="0"/>
    <xf numFmtId="0" fontId="55" fillId="0" borderId="280" applyNumberFormat="0" applyFill="0" applyAlignment="0" applyProtection="0"/>
    <xf numFmtId="0" fontId="42" fillId="0" borderId="288" applyNumberFormat="0" applyFill="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43" fontId="36" fillId="0" borderId="0" applyFont="0" applyFill="0" applyBorder="0" applyAlignment="0" applyProtection="0"/>
    <xf numFmtId="0" fontId="42" fillId="0" borderId="288"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5" fillId="0" borderId="280" applyNumberFormat="0" applyFill="0" applyAlignment="0" applyProtection="0"/>
    <xf numFmtId="0" fontId="36" fillId="6" borderId="286" applyNumberFormat="0" applyFont="0" applyAlignment="0" applyProtection="0"/>
    <xf numFmtId="0" fontId="51" fillId="19" borderId="287"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42" fillId="0" borderId="288" applyNumberFormat="0" applyFill="0" applyAlignment="0" applyProtection="0"/>
    <xf numFmtId="0" fontId="55" fillId="0" borderId="280" applyNumberFormat="0" applyFill="0" applyAlignment="0" applyProtection="0"/>
    <xf numFmtId="0" fontId="51" fillId="19" borderId="287" applyNumberFormat="0" applyAlignment="0" applyProtection="0"/>
    <xf numFmtId="0" fontId="48" fillId="8"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48" fillId="8" borderId="285" applyNumberFormat="0" applyAlignment="0" applyProtection="0"/>
    <xf numFmtId="0" fontId="48" fillId="8"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48" fillId="8" borderId="285" applyNumberFormat="0" applyAlignment="0" applyProtection="0"/>
    <xf numFmtId="0" fontId="51" fillId="19" borderId="287" applyNumberFormat="0" applyAlignment="0" applyProtection="0"/>
    <xf numFmtId="0" fontId="42" fillId="0" borderId="288"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48" fillId="8" borderId="285" applyNumberFormat="0" applyAlignment="0" applyProtection="0"/>
    <xf numFmtId="0" fontId="51" fillId="19" borderId="287" applyNumberFormat="0" applyAlignment="0" applyProtection="0"/>
    <xf numFmtId="0" fontId="55" fillId="0" borderId="280" applyNumberFormat="0" applyFill="0" applyAlignment="0" applyProtection="0"/>
    <xf numFmtId="0" fontId="42" fillId="0" borderId="288"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51" fillId="19" borderId="287" applyNumberFormat="0" applyAlignment="0" applyProtection="0"/>
    <xf numFmtId="0" fontId="36" fillId="6" borderId="286" applyNumberFormat="0" applyFont="0" applyAlignment="0" applyProtection="0"/>
    <xf numFmtId="0" fontId="42" fillId="0" borderId="288" applyNumberFormat="0" applyFill="0" applyAlignment="0" applyProtection="0"/>
    <xf numFmtId="0" fontId="36" fillId="6" borderId="286" applyNumberFormat="0" applyFont="0" applyAlignment="0" applyProtection="0"/>
    <xf numFmtId="0" fontId="51" fillId="19" borderId="287"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51" fillId="19" borderId="287"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55" fillId="0" borderId="280" applyNumberFormat="0" applyFill="0" applyAlignment="0" applyProtection="0"/>
    <xf numFmtId="0" fontId="42" fillId="0" borderId="288"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55" fillId="0" borderId="280"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51" fillId="19" borderId="287"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48" fillId="8" borderId="285" applyNumberFormat="0" applyAlignment="0" applyProtection="0"/>
    <xf numFmtId="0" fontId="51" fillId="19" borderId="287"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42" fillId="0" borderId="288" applyNumberFormat="0" applyFill="0" applyAlignment="0" applyProtection="0"/>
    <xf numFmtId="0" fontId="36" fillId="6" borderId="286" applyNumberFormat="0" applyFont="0" applyAlignment="0" applyProtection="0"/>
    <xf numFmtId="0" fontId="42" fillId="0" borderId="288" applyNumberFormat="0" applyFill="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5" fillId="0" borderId="280" applyNumberFormat="0" applyFill="0" applyAlignment="0" applyProtection="0"/>
    <xf numFmtId="0" fontId="42" fillId="0" borderId="288" applyNumberFormat="0" applyFill="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53" fillId="19" borderId="285" applyNumberForma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36" fillId="6" borderId="286" applyNumberFormat="0" applyFont="0" applyAlignment="0" applyProtection="0"/>
    <xf numFmtId="0" fontId="12" fillId="0" borderId="0"/>
    <xf numFmtId="0" fontId="11" fillId="0" borderId="0"/>
    <xf numFmtId="0" fontId="10" fillId="0" borderId="0"/>
    <xf numFmtId="0" fontId="9" fillId="0" borderId="0"/>
    <xf numFmtId="0" fontId="8" fillId="0" borderId="0"/>
    <xf numFmtId="166" fontId="8" fillId="0" borderId="0" applyFont="0" applyFill="0" applyBorder="0" applyAlignment="0" applyProtection="0"/>
    <xf numFmtId="167" fontId="8" fillId="0" borderId="0" applyFont="0" applyFill="0" applyBorder="0" applyAlignment="0" applyProtection="0"/>
    <xf numFmtId="0" fontId="8" fillId="0" borderId="0"/>
    <xf numFmtId="0" fontId="7" fillId="0" borderId="0"/>
    <xf numFmtId="0" fontId="152" fillId="0" borderId="0"/>
    <xf numFmtId="44" fontId="152" fillId="0" borderId="0" applyFont="0" applyFill="0" applyBorder="0" applyAlignment="0" applyProtection="0"/>
    <xf numFmtId="0" fontId="5" fillId="0" borderId="0"/>
    <xf numFmtId="166" fontId="5" fillId="0" borderId="0" applyFont="0" applyFill="0" applyBorder="0" applyAlignment="0" applyProtection="0"/>
    <xf numFmtId="167" fontId="5" fillId="0" borderId="0" applyFont="0" applyFill="0" applyBorder="0" applyAlignment="0" applyProtection="0"/>
    <xf numFmtId="0" fontId="5" fillId="0" borderId="0"/>
    <xf numFmtId="0" fontId="36" fillId="0" borderId="0"/>
  </cellStyleXfs>
  <cellXfs count="2142">
    <xf numFmtId="0" fontId="0" fillId="0" borderId="0" xfId="0"/>
    <xf numFmtId="177" fontId="62" fillId="0" borderId="11" xfId="125" applyNumberFormat="1" applyFont="1" applyFill="1" applyBorder="1" applyAlignment="1">
      <alignment vertical="center"/>
    </xf>
    <xf numFmtId="0" fontId="62" fillId="0" borderId="10" xfId="169" applyFont="1" applyBorder="1" applyAlignment="1">
      <alignment vertical="center"/>
    </xf>
    <xf numFmtId="177" fontId="62" fillId="0" borderId="11" xfId="169" applyNumberFormat="1" applyFont="1" applyBorder="1" applyAlignment="1">
      <alignment vertical="center"/>
    </xf>
    <xf numFmtId="0" fontId="62" fillId="0" borderId="13" xfId="169" applyFont="1" applyBorder="1" applyAlignment="1">
      <alignment vertical="center"/>
    </xf>
    <xf numFmtId="177" fontId="62" fillId="0" borderId="11" xfId="0" applyNumberFormat="1" applyFont="1" applyBorder="1" applyAlignment="1">
      <alignment vertical="center"/>
    </xf>
    <xf numFmtId="0" fontId="62" fillId="0" borderId="0" xfId="0" applyFont="1" applyAlignment="1">
      <alignment vertical="center"/>
    </xf>
    <xf numFmtId="179" fontId="62" fillId="0" borderId="11" xfId="0" applyNumberFormat="1" applyFont="1" applyBorder="1" applyAlignment="1">
      <alignment horizontal="center" vertical="center"/>
    </xf>
    <xf numFmtId="0" fontId="62" fillId="0" borderId="11" xfId="0" applyFont="1" applyBorder="1" applyAlignment="1">
      <alignment horizontal="center" vertical="center"/>
    </xf>
    <xf numFmtId="0" fontId="62" fillId="0" borderId="15" xfId="0" applyFont="1" applyBorder="1" applyAlignment="1">
      <alignment vertical="center"/>
    </xf>
    <xf numFmtId="0" fontId="62" fillId="0" borderId="16" xfId="0" applyFont="1" applyBorder="1" applyAlignment="1">
      <alignment vertical="center"/>
    </xf>
    <xf numFmtId="0" fontId="62" fillId="0" borderId="17" xfId="0" applyFont="1" applyBorder="1" applyAlignment="1">
      <alignment vertical="center"/>
    </xf>
    <xf numFmtId="0" fontId="63" fillId="0" borderId="18" xfId="0" applyFont="1" applyBorder="1" applyAlignment="1">
      <alignment vertical="center"/>
    </xf>
    <xf numFmtId="0" fontId="63" fillId="0" borderId="0" xfId="0" applyFont="1" applyAlignment="1">
      <alignment vertical="center"/>
    </xf>
    <xf numFmtId="0" fontId="63" fillId="0" borderId="19" xfId="0" applyFont="1" applyBorder="1" applyAlignment="1">
      <alignment vertical="center"/>
    </xf>
    <xf numFmtId="0" fontId="62" fillId="0" borderId="20" xfId="0" applyFont="1" applyBorder="1" applyAlignment="1">
      <alignment vertical="center"/>
    </xf>
    <xf numFmtId="0" fontId="62" fillId="0" borderId="21" xfId="0" applyFont="1" applyBorder="1" applyAlignment="1">
      <alignment vertical="center"/>
    </xf>
    <xf numFmtId="0" fontId="62" fillId="0" borderId="22" xfId="0" applyFont="1" applyBorder="1" applyAlignment="1">
      <alignment vertical="center"/>
    </xf>
    <xf numFmtId="0" fontId="62" fillId="0" borderId="15" xfId="0" applyFont="1" applyBorder="1" applyAlignment="1">
      <alignment horizontal="center" vertical="center"/>
    </xf>
    <xf numFmtId="0" fontId="62" fillId="0" borderId="16" xfId="0" applyFont="1" applyBorder="1" applyAlignment="1">
      <alignment horizontal="center" vertical="center"/>
    </xf>
    <xf numFmtId="0" fontId="62" fillId="0" borderId="23" xfId="0" applyFont="1" applyBorder="1" applyAlignment="1">
      <alignment horizontal="center" vertical="center"/>
    </xf>
    <xf numFmtId="0" fontId="62" fillId="0" borderId="10" xfId="0" applyFont="1" applyBorder="1" applyAlignment="1">
      <alignment vertical="center"/>
    </xf>
    <xf numFmtId="0" fontId="62" fillId="0" borderId="12" xfId="0" applyFont="1" applyBorder="1" applyAlignment="1">
      <alignment vertical="center"/>
    </xf>
    <xf numFmtId="0" fontId="62" fillId="0" borderId="13" xfId="0" applyFont="1" applyBorder="1" applyAlignment="1">
      <alignment vertical="center"/>
    </xf>
    <xf numFmtId="9" fontId="62" fillId="0" borderId="12" xfId="207" applyFont="1" applyFill="1" applyBorder="1" applyAlignment="1">
      <alignment horizontal="center" vertical="center"/>
    </xf>
    <xf numFmtId="0" fontId="62" fillId="0" borderId="25" xfId="0" applyFont="1" applyBorder="1" applyAlignment="1">
      <alignment vertical="center"/>
    </xf>
    <xf numFmtId="0" fontId="62" fillId="0" borderId="26" xfId="0" applyFont="1" applyBorder="1" applyAlignment="1">
      <alignment vertical="center"/>
    </xf>
    <xf numFmtId="0" fontId="62" fillId="0" borderId="27" xfId="0" applyFont="1" applyBorder="1" applyAlignment="1">
      <alignment vertical="center"/>
    </xf>
    <xf numFmtId="177" fontId="62" fillId="0" borderId="28" xfId="0" applyNumberFormat="1" applyFont="1" applyBorder="1" applyAlignment="1">
      <alignment vertical="center"/>
    </xf>
    <xf numFmtId="177" fontId="62" fillId="0" borderId="29" xfId="0" applyNumberFormat="1" applyFont="1" applyBorder="1" applyAlignment="1">
      <alignment vertical="center"/>
    </xf>
    <xf numFmtId="177" fontId="62" fillId="0" borderId="0" xfId="0" applyNumberFormat="1" applyFont="1" applyAlignment="1">
      <alignment vertical="center"/>
    </xf>
    <xf numFmtId="0" fontId="62" fillId="0" borderId="16" xfId="0" applyFont="1" applyBorder="1" applyAlignment="1">
      <alignment horizontal="centerContinuous" vertical="center"/>
    </xf>
    <xf numFmtId="0" fontId="62" fillId="0" borderId="11" xfId="0" applyFont="1" applyBorder="1" applyAlignment="1">
      <alignment vertical="center"/>
    </xf>
    <xf numFmtId="0" fontId="62" fillId="0" borderId="28" xfId="0" applyFont="1" applyBorder="1" applyAlignment="1">
      <alignment vertical="center"/>
    </xf>
    <xf numFmtId="0" fontId="62" fillId="0" borderId="30" xfId="0" applyFont="1" applyBorder="1" applyAlignment="1">
      <alignment vertical="center"/>
    </xf>
    <xf numFmtId="0" fontId="62" fillId="0" borderId="31" xfId="0" applyFont="1" applyBorder="1" applyAlignment="1">
      <alignment horizontal="center" vertical="center"/>
    </xf>
    <xf numFmtId="177" fontId="62" fillId="0" borderId="31" xfId="0" applyNumberFormat="1" applyFont="1" applyBorder="1" applyAlignment="1">
      <alignment vertical="center"/>
    </xf>
    <xf numFmtId="0" fontId="62" fillId="0" borderId="34" xfId="0" applyFont="1" applyBorder="1" applyAlignment="1">
      <alignment vertical="center"/>
    </xf>
    <xf numFmtId="0" fontId="62" fillId="0" borderId="38" xfId="0" applyFont="1" applyBorder="1" applyAlignment="1">
      <alignment vertical="center"/>
    </xf>
    <xf numFmtId="177" fontId="62" fillId="0" borderId="21" xfId="0" applyNumberFormat="1" applyFont="1" applyBorder="1" applyAlignment="1">
      <alignment vertical="center"/>
    </xf>
    <xf numFmtId="177" fontId="62" fillId="0" borderId="38" xfId="0" applyNumberFormat="1" applyFont="1" applyBorder="1" applyAlignment="1">
      <alignment vertical="center"/>
    </xf>
    <xf numFmtId="0" fontId="62" fillId="0" borderId="40" xfId="0" applyFont="1" applyBorder="1" applyAlignment="1">
      <alignment horizontal="center" vertical="center"/>
    </xf>
    <xf numFmtId="0" fontId="62" fillId="0" borderId="23" xfId="0" applyFont="1" applyBorder="1" applyAlignment="1">
      <alignment horizontal="centerContinuous" vertical="center"/>
    </xf>
    <xf numFmtId="9" fontId="62" fillId="0" borderId="11" xfId="207" applyFont="1" applyFill="1" applyBorder="1" applyAlignment="1">
      <alignment vertical="center"/>
    </xf>
    <xf numFmtId="177" fontId="62" fillId="0" borderId="11" xfId="100" applyNumberFormat="1" applyFont="1" applyFill="1" applyBorder="1" applyAlignment="1">
      <alignment vertical="center"/>
    </xf>
    <xf numFmtId="177" fontId="62" fillId="0" borderId="28" xfId="100" applyNumberFormat="1" applyFont="1" applyFill="1" applyBorder="1" applyAlignment="1">
      <alignment vertical="center"/>
    </xf>
    <xf numFmtId="166" fontId="62" fillId="0" borderId="0" xfId="100" applyFont="1" applyFill="1" applyAlignment="1">
      <alignment vertical="center"/>
    </xf>
    <xf numFmtId="177" fontId="62" fillId="0" borderId="29" xfId="100" applyNumberFormat="1" applyFont="1" applyFill="1" applyBorder="1" applyAlignment="1">
      <alignment vertical="center"/>
    </xf>
    <xf numFmtId="177" fontId="63" fillId="0" borderId="29" xfId="101" applyNumberFormat="1" applyFont="1" applyFill="1" applyBorder="1" applyAlignment="1">
      <alignment vertical="center"/>
    </xf>
    <xf numFmtId="0" fontId="62" fillId="0" borderId="41" xfId="0" applyFont="1" applyBorder="1" applyAlignment="1">
      <alignment horizontal="center" vertical="center"/>
    </xf>
    <xf numFmtId="9" fontId="62" fillId="0" borderId="11" xfId="207" applyFont="1" applyFill="1" applyBorder="1" applyAlignment="1">
      <alignment horizontal="right" vertical="center"/>
    </xf>
    <xf numFmtId="9" fontId="62" fillId="0" borderId="28" xfId="207" applyFont="1" applyFill="1" applyBorder="1" applyAlignment="1">
      <alignment horizontal="right" vertical="center"/>
    </xf>
    <xf numFmtId="177" fontId="63" fillId="0" borderId="29" xfId="0" applyNumberFormat="1" applyFont="1" applyBorder="1" applyAlignment="1">
      <alignment vertical="center"/>
    </xf>
    <xf numFmtId="0" fontId="62" fillId="0" borderId="28" xfId="0" applyFont="1" applyBorder="1" applyAlignment="1">
      <alignment horizontal="center" vertical="center"/>
    </xf>
    <xf numFmtId="0" fontId="62" fillId="0" borderId="33" xfId="0" applyFont="1" applyBorder="1" applyAlignment="1">
      <alignment vertical="center"/>
    </xf>
    <xf numFmtId="9" fontId="62" fillId="0" borderId="31" xfId="207" applyFont="1" applyFill="1" applyBorder="1" applyAlignment="1">
      <alignment vertical="center"/>
    </xf>
    <xf numFmtId="177" fontId="62" fillId="0" borderId="31" xfId="100" applyNumberFormat="1" applyFont="1" applyFill="1" applyBorder="1" applyAlignment="1">
      <alignment vertical="center"/>
    </xf>
    <xf numFmtId="177" fontId="63" fillId="0" borderId="0" xfId="0" applyNumberFormat="1" applyFont="1" applyAlignment="1">
      <alignment vertical="center"/>
    </xf>
    <xf numFmtId="0" fontId="62" fillId="0" borderId="15" xfId="169" applyFont="1" applyBorder="1" applyAlignment="1">
      <alignment vertical="center"/>
    </xf>
    <xf numFmtId="0" fontId="62" fillId="0" borderId="16" xfId="169" applyFont="1" applyBorder="1" applyAlignment="1">
      <alignment vertical="center"/>
    </xf>
    <xf numFmtId="0" fontId="62" fillId="0" borderId="17" xfId="169" applyFont="1" applyBorder="1" applyAlignment="1">
      <alignment vertical="center"/>
    </xf>
    <xf numFmtId="0" fontId="62" fillId="0" borderId="0" xfId="169" applyFont="1" applyAlignment="1">
      <alignment vertical="center"/>
    </xf>
    <xf numFmtId="0" fontId="63" fillId="0" borderId="18" xfId="169" applyFont="1" applyBorder="1" applyAlignment="1">
      <alignment vertical="center"/>
    </xf>
    <xf numFmtId="0" fontId="63" fillId="0" borderId="0" xfId="169" applyFont="1" applyAlignment="1">
      <alignment vertical="center"/>
    </xf>
    <xf numFmtId="0" fontId="63" fillId="0" borderId="19" xfId="169" applyFont="1" applyBorder="1" applyAlignment="1">
      <alignment vertical="center"/>
    </xf>
    <xf numFmtId="0" fontId="62" fillId="0" borderId="20" xfId="169" applyFont="1" applyBorder="1" applyAlignment="1">
      <alignment vertical="center"/>
    </xf>
    <xf numFmtId="0" fontId="62" fillId="0" borderId="21" xfId="169" applyFont="1" applyBorder="1" applyAlignment="1">
      <alignment vertical="center"/>
    </xf>
    <xf numFmtId="0" fontId="62" fillId="0" borderId="22" xfId="169" applyFont="1" applyBorder="1" applyAlignment="1">
      <alignment vertical="center"/>
    </xf>
    <xf numFmtId="0" fontId="62" fillId="0" borderId="40" xfId="169" applyFont="1" applyBorder="1" applyAlignment="1">
      <alignment horizontal="center" vertical="center"/>
    </xf>
    <xf numFmtId="0" fontId="62" fillId="0" borderId="23" xfId="169" applyFont="1" applyBorder="1" applyAlignment="1">
      <alignment horizontal="center" vertical="center"/>
    </xf>
    <xf numFmtId="0" fontId="62" fillId="0" borderId="16" xfId="169" applyFont="1" applyBorder="1" applyAlignment="1">
      <alignment horizontal="center" vertical="center"/>
    </xf>
    <xf numFmtId="0" fontId="62" fillId="0" borderId="25" xfId="169" applyFont="1" applyBorder="1" applyAlignment="1">
      <alignment vertical="center"/>
    </xf>
    <xf numFmtId="0" fontId="62" fillId="0" borderId="26" xfId="169" applyFont="1" applyBorder="1" applyAlignment="1">
      <alignment vertical="center"/>
    </xf>
    <xf numFmtId="0" fontId="62" fillId="0" borderId="27" xfId="169" applyFont="1" applyBorder="1" applyAlignment="1">
      <alignment vertical="center"/>
    </xf>
    <xf numFmtId="177" fontId="62" fillId="0" borderId="28" xfId="169" applyNumberFormat="1" applyFont="1" applyBorder="1" applyAlignment="1">
      <alignment vertical="center"/>
    </xf>
    <xf numFmtId="177" fontId="62" fillId="0" borderId="29" xfId="169" applyNumberFormat="1" applyFont="1" applyBorder="1" applyAlignment="1">
      <alignment vertical="center"/>
    </xf>
    <xf numFmtId="177" fontId="62" fillId="0" borderId="0" xfId="169" applyNumberFormat="1" applyFont="1" applyAlignment="1">
      <alignment vertical="center"/>
    </xf>
    <xf numFmtId="0" fontId="62" fillId="0" borderId="16" xfId="169" applyFont="1" applyBorder="1" applyAlignment="1">
      <alignment horizontal="centerContinuous" vertical="center"/>
    </xf>
    <xf numFmtId="0" fontId="62" fillId="0" borderId="11" xfId="169" applyFont="1" applyBorder="1" applyAlignment="1">
      <alignment horizontal="center" vertical="center"/>
    </xf>
    <xf numFmtId="177" fontId="62" fillId="0" borderId="39" xfId="169" applyNumberFormat="1" applyFont="1" applyBorder="1" applyAlignment="1">
      <alignment vertical="center"/>
    </xf>
    <xf numFmtId="0" fontId="62" fillId="0" borderId="15" xfId="169" applyFont="1" applyBorder="1" applyAlignment="1">
      <alignment horizontal="center" vertical="center"/>
    </xf>
    <xf numFmtId="2" fontId="62" fillId="0" borderId="11" xfId="169" applyNumberFormat="1" applyFont="1" applyBorder="1" applyAlignment="1">
      <alignment horizontal="right" vertical="center"/>
    </xf>
    <xf numFmtId="177" fontId="62" fillId="0" borderId="11" xfId="169" applyNumberFormat="1" applyFont="1" applyBorder="1" applyAlignment="1">
      <alignment horizontal="right" vertical="center"/>
    </xf>
    <xf numFmtId="2" fontId="62" fillId="0" borderId="11" xfId="169" applyNumberFormat="1" applyFont="1" applyBorder="1" applyAlignment="1">
      <alignment horizontal="center" vertical="center"/>
    </xf>
    <xf numFmtId="0" fontId="62" fillId="0" borderId="28" xfId="169" applyFont="1" applyBorder="1" applyAlignment="1">
      <alignment vertical="center"/>
    </xf>
    <xf numFmtId="0" fontId="62" fillId="0" borderId="23" xfId="169" applyFont="1" applyBorder="1" applyAlignment="1">
      <alignment horizontal="centerContinuous" vertical="center"/>
    </xf>
    <xf numFmtId="9" fontId="62" fillId="0" borderId="11" xfId="210" applyFont="1" applyFill="1" applyBorder="1" applyAlignment="1">
      <alignment vertical="center"/>
    </xf>
    <xf numFmtId="0" fontId="62" fillId="0" borderId="11" xfId="169" applyFont="1" applyBorder="1" applyAlignment="1">
      <alignment vertical="center"/>
    </xf>
    <xf numFmtId="178" fontId="62" fillId="0" borderId="11" xfId="125" applyNumberFormat="1" applyFont="1" applyFill="1" applyBorder="1" applyAlignment="1">
      <alignment vertical="center"/>
    </xf>
    <xf numFmtId="177" fontId="62" fillId="0" borderId="28" xfId="125" applyNumberFormat="1" applyFont="1" applyFill="1" applyBorder="1" applyAlignment="1">
      <alignment vertical="center"/>
    </xf>
    <xf numFmtId="166" fontId="62" fillId="0" borderId="0" xfId="125" applyFont="1" applyFill="1" applyAlignment="1">
      <alignment vertical="center"/>
    </xf>
    <xf numFmtId="177" fontId="62" fillId="0" borderId="29" xfId="125" applyNumberFormat="1" applyFont="1" applyFill="1" applyBorder="1" applyAlignment="1">
      <alignment vertical="center"/>
    </xf>
    <xf numFmtId="177" fontId="63" fillId="0" borderId="29" xfId="103" applyNumberFormat="1" applyFont="1" applyFill="1" applyBorder="1" applyAlignment="1">
      <alignment vertical="center"/>
    </xf>
    <xf numFmtId="0" fontId="62" fillId="0" borderId="41" xfId="169" applyFont="1" applyBorder="1" applyAlignment="1">
      <alignment horizontal="center" vertical="center"/>
    </xf>
    <xf numFmtId="177" fontId="63" fillId="0" borderId="29" xfId="169" applyNumberFormat="1" applyFont="1" applyBorder="1" applyAlignment="1">
      <alignment vertical="center"/>
    </xf>
    <xf numFmtId="9" fontId="62" fillId="0" borderId="13" xfId="210" applyFont="1" applyFill="1" applyBorder="1" applyAlignment="1">
      <alignment horizontal="center" vertical="center"/>
    </xf>
    <xf numFmtId="0" fontId="62" fillId="0" borderId="32" xfId="0" applyFont="1" applyBorder="1" applyAlignment="1">
      <alignment vertical="center"/>
    </xf>
    <xf numFmtId="9" fontId="62" fillId="0" borderId="12" xfId="0" applyNumberFormat="1" applyFont="1" applyBorder="1" applyAlignment="1">
      <alignment horizontal="center" vertical="center"/>
    </xf>
    <xf numFmtId="177" fontId="62" fillId="0" borderId="12" xfId="169" applyNumberFormat="1" applyFont="1" applyBorder="1" applyAlignment="1">
      <alignment horizontal="right" vertical="center"/>
    </xf>
    <xf numFmtId="177" fontId="62" fillId="0" borderId="13" xfId="169" applyNumberFormat="1" applyFont="1" applyBorder="1" applyAlignment="1">
      <alignment vertical="center"/>
    </xf>
    <xf numFmtId="177" fontId="62" fillId="0" borderId="12" xfId="169" applyNumberFormat="1" applyFont="1" applyBorder="1" applyAlignment="1">
      <alignment horizontal="center" vertical="center"/>
    </xf>
    <xf numFmtId="0" fontId="62" fillId="0" borderId="38" xfId="169" applyFont="1" applyBorder="1" applyAlignment="1">
      <alignment vertical="center"/>
    </xf>
    <xf numFmtId="177" fontId="62" fillId="0" borderId="21" xfId="169" applyNumberFormat="1" applyFont="1" applyBorder="1" applyAlignment="1">
      <alignment vertical="center"/>
    </xf>
    <xf numFmtId="177" fontId="62" fillId="0" borderId="38" xfId="169" applyNumberFormat="1" applyFont="1" applyBorder="1" applyAlignment="1">
      <alignment vertical="center"/>
    </xf>
    <xf numFmtId="177" fontId="62" fillId="0" borderId="39" xfId="125" applyNumberFormat="1" applyFont="1" applyFill="1" applyBorder="1" applyAlignment="1">
      <alignment vertical="center"/>
    </xf>
    <xf numFmtId="0" fontId="36" fillId="0" borderId="0" xfId="0" applyFont="1" applyAlignment="1">
      <alignment vertical="center"/>
    </xf>
    <xf numFmtId="10" fontId="62" fillId="0" borderId="11" xfId="207" applyNumberFormat="1" applyFont="1" applyFill="1" applyBorder="1" applyAlignment="1">
      <alignment vertical="center"/>
    </xf>
    <xf numFmtId="0" fontId="63" fillId="0" borderId="0" xfId="0" applyFont="1" applyAlignment="1">
      <alignment horizontal="justify" vertical="center" wrapText="1"/>
    </xf>
    <xf numFmtId="0" fontId="63" fillId="0" borderId="0" xfId="0" applyFont="1" applyAlignment="1">
      <alignment horizontal="left" vertical="center" indent="2"/>
    </xf>
    <xf numFmtId="0" fontId="36" fillId="0" borderId="11" xfId="0" applyFont="1" applyBorder="1" applyAlignment="1">
      <alignment horizontal="center" vertical="center"/>
    </xf>
    <xf numFmtId="177" fontId="36" fillId="0" borderId="11" xfId="0" applyNumberFormat="1" applyFont="1" applyBorder="1" applyAlignment="1">
      <alignment vertical="center"/>
    </xf>
    <xf numFmtId="177" fontId="36" fillId="0" borderId="0" xfId="0" applyNumberFormat="1" applyFont="1" applyAlignment="1">
      <alignment vertical="center"/>
    </xf>
    <xf numFmtId="2" fontId="36" fillId="0" borderId="11" xfId="0" applyNumberFormat="1" applyFont="1" applyBorder="1" applyAlignment="1">
      <alignment horizontal="center" vertical="center"/>
    </xf>
    <xf numFmtId="0" fontId="36" fillId="0" borderId="44" xfId="0" applyFont="1" applyBorder="1" applyAlignment="1">
      <alignment vertical="center"/>
    </xf>
    <xf numFmtId="0" fontId="36" fillId="0" borderId="32" xfId="0" applyFont="1" applyBorder="1" applyAlignment="1">
      <alignment vertical="center"/>
    </xf>
    <xf numFmtId="0" fontId="36" fillId="0" borderId="33" xfId="0" applyFont="1" applyBorder="1" applyAlignment="1">
      <alignment vertical="center"/>
    </xf>
    <xf numFmtId="0" fontId="36" fillId="0" borderId="46" xfId="0" applyFont="1" applyBorder="1" applyAlignment="1">
      <alignment horizontal="left" vertical="center"/>
    </xf>
    <xf numFmtId="0" fontId="36" fillId="0" borderId="0" xfId="0" applyFont="1" applyAlignment="1">
      <alignment horizontal="left" vertical="center"/>
    </xf>
    <xf numFmtId="187" fontId="36" fillId="0" borderId="47" xfId="100" applyNumberFormat="1" applyFont="1" applyBorder="1" applyAlignment="1">
      <alignment vertical="center"/>
    </xf>
    <xf numFmtId="0" fontId="36" fillId="0" borderId="46" xfId="0" applyFont="1" applyBorder="1" applyAlignment="1">
      <alignment horizontal="center" vertical="center"/>
    </xf>
    <xf numFmtId="0" fontId="36" fillId="0" borderId="0" xfId="0" applyFont="1" applyAlignment="1">
      <alignment horizontal="center" vertical="center"/>
    </xf>
    <xf numFmtId="0" fontId="36" fillId="0" borderId="47" xfId="0" applyFont="1" applyBorder="1" applyAlignment="1">
      <alignment vertical="center"/>
    </xf>
    <xf numFmtId="0" fontId="44" fillId="0" borderId="46" xfId="0" applyFont="1" applyBorder="1" applyAlignment="1">
      <alignment vertical="center"/>
    </xf>
    <xf numFmtId="187" fontId="36" fillId="0" borderId="47" xfId="0" applyNumberFormat="1" applyFont="1" applyBorder="1" applyAlignment="1">
      <alignment vertical="center"/>
    </xf>
    <xf numFmtId="0" fontId="36" fillId="0" borderId="46" xfId="0" applyFont="1" applyBorder="1" applyAlignment="1">
      <alignment vertical="center"/>
    </xf>
    <xf numFmtId="0" fontId="36" fillId="0" borderId="48" xfId="0" applyFont="1" applyBorder="1" applyAlignment="1">
      <alignment horizontal="center" vertical="center"/>
    </xf>
    <xf numFmtId="0" fontId="36" fillId="0" borderId="36" xfId="0" applyFont="1" applyBorder="1" applyAlignment="1">
      <alignment horizontal="center" vertical="center"/>
    </xf>
    <xf numFmtId="0" fontId="36" fillId="0" borderId="36" xfId="0" applyFont="1" applyBorder="1" applyAlignment="1">
      <alignment vertical="center"/>
    </xf>
    <xf numFmtId="0" fontId="36" fillId="0" borderId="37" xfId="0" applyFont="1" applyBorder="1" applyAlignment="1">
      <alignment vertical="center"/>
    </xf>
    <xf numFmtId="0" fontId="36" fillId="0" borderId="0" xfId="0" applyFont="1"/>
    <xf numFmtId="0" fontId="36" fillId="0" borderId="15" xfId="0" applyFont="1" applyBorder="1" applyAlignment="1">
      <alignment vertical="center"/>
    </xf>
    <xf numFmtId="0" fontId="36" fillId="0" borderId="16" xfId="0" applyFont="1" applyBorder="1" applyAlignment="1">
      <alignment vertical="center"/>
    </xf>
    <xf numFmtId="0" fontId="36" fillId="0" borderId="17" xfId="0" applyFont="1" applyBorder="1" applyAlignment="1">
      <alignment vertical="center"/>
    </xf>
    <xf numFmtId="0" fontId="44" fillId="0" borderId="18" xfId="0" applyFont="1" applyBorder="1" applyAlignment="1">
      <alignment vertical="center"/>
    </xf>
    <xf numFmtId="0" fontId="44" fillId="0" borderId="0" xfId="0" applyFont="1" applyAlignment="1">
      <alignment vertical="center"/>
    </xf>
    <xf numFmtId="0" fontId="44" fillId="0" borderId="19" xfId="0" applyFont="1" applyBorder="1" applyAlignment="1">
      <alignment vertical="center"/>
    </xf>
    <xf numFmtId="0" fontId="36" fillId="0" borderId="20" xfId="0" applyFont="1" applyBorder="1" applyAlignment="1">
      <alignment vertical="center"/>
    </xf>
    <xf numFmtId="0" fontId="36" fillId="0" borderId="21" xfId="0" applyFont="1" applyBorder="1" applyAlignment="1">
      <alignment vertical="center"/>
    </xf>
    <xf numFmtId="0" fontId="36" fillId="0" borderId="22" xfId="0" applyFont="1" applyBorder="1" applyAlignment="1">
      <alignment vertical="center"/>
    </xf>
    <xf numFmtId="0" fontId="44" fillId="0" borderId="0" xfId="0" applyFont="1" applyAlignment="1">
      <alignment horizontal="left" vertical="center" indent="2"/>
    </xf>
    <xf numFmtId="0" fontId="36" fillId="0" borderId="23" xfId="0" applyFont="1" applyBorder="1" applyAlignment="1">
      <alignment horizontal="center" vertical="center"/>
    </xf>
    <xf numFmtId="0" fontId="36" fillId="0" borderId="16" xfId="0" applyFont="1" applyBorder="1" applyAlignment="1">
      <alignment horizontal="center" vertical="center"/>
    </xf>
    <xf numFmtId="0" fontId="36" fillId="0" borderId="10" xfId="0" applyFont="1" applyBorder="1" applyAlignment="1">
      <alignment vertical="center"/>
    </xf>
    <xf numFmtId="9" fontId="36" fillId="0" borderId="12" xfId="207" applyFont="1" applyFill="1" applyBorder="1" applyAlignment="1">
      <alignment horizontal="center" vertical="center"/>
    </xf>
    <xf numFmtId="0" fontId="36" fillId="0" borderId="13" xfId="0" applyFont="1" applyBorder="1" applyAlignment="1">
      <alignment vertical="center"/>
    </xf>
    <xf numFmtId="0" fontId="36" fillId="0" borderId="35" xfId="0" applyFont="1" applyBorder="1" applyAlignment="1">
      <alignment vertical="center"/>
    </xf>
    <xf numFmtId="177" fontId="36" fillId="0" borderId="31" xfId="0" applyNumberFormat="1" applyFont="1" applyBorder="1" applyAlignment="1">
      <alignment vertical="center"/>
    </xf>
    <xf numFmtId="0" fontId="36" fillId="0" borderId="25" xfId="0" applyFont="1" applyBorder="1" applyAlignment="1">
      <alignment vertical="center"/>
    </xf>
    <xf numFmtId="0" fontId="36" fillId="0" borderId="26" xfId="0" applyFont="1" applyBorder="1" applyAlignment="1">
      <alignment vertical="center"/>
    </xf>
    <xf numFmtId="0" fontId="36" fillId="0" borderId="27" xfId="0" applyFont="1" applyBorder="1" applyAlignment="1">
      <alignment vertical="center"/>
    </xf>
    <xf numFmtId="177" fontId="36" fillId="0" borderId="28" xfId="0" applyNumberFormat="1" applyFont="1" applyBorder="1" applyAlignment="1">
      <alignment vertical="center"/>
    </xf>
    <xf numFmtId="177" fontId="36" fillId="0" borderId="29" xfId="0" applyNumberFormat="1" applyFont="1" applyBorder="1" applyAlignment="1">
      <alignment vertical="center"/>
    </xf>
    <xf numFmtId="0" fontId="36" fillId="0" borderId="16" xfId="0" applyFont="1" applyBorder="1" applyAlignment="1">
      <alignment horizontal="centerContinuous" vertical="center"/>
    </xf>
    <xf numFmtId="0" fontId="36" fillId="0" borderId="30" xfId="0" applyFont="1" applyBorder="1" applyAlignment="1">
      <alignment vertical="center"/>
    </xf>
    <xf numFmtId="0" fontId="36" fillId="0" borderId="28" xfId="0" applyFont="1" applyBorder="1" applyAlignment="1">
      <alignment horizontal="center" vertical="center"/>
    </xf>
    <xf numFmtId="0" fontId="36" fillId="0" borderId="15" xfId="0" applyFont="1" applyBorder="1" applyAlignment="1">
      <alignment horizontal="center" vertical="center"/>
    </xf>
    <xf numFmtId="0" fontId="36" fillId="0" borderId="34" xfId="0" applyFont="1" applyBorder="1" applyAlignment="1">
      <alignment vertical="center"/>
    </xf>
    <xf numFmtId="166" fontId="36" fillId="0" borderId="0" xfId="100" applyFont="1" applyFill="1" applyAlignment="1">
      <alignment vertical="center"/>
    </xf>
    <xf numFmtId="0" fontId="36" fillId="0" borderId="38" xfId="0" applyFont="1" applyBorder="1" applyAlignment="1">
      <alignment vertical="center"/>
    </xf>
    <xf numFmtId="177" fontId="36" fillId="0" borderId="21" xfId="0" applyNumberFormat="1" applyFont="1" applyBorder="1" applyAlignment="1">
      <alignment vertical="center"/>
    </xf>
    <xf numFmtId="177" fontId="36" fillId="0" borderId="38" xfId="0" applyNumberFormat="1" applyFont="1" applyBorder="1" applyAlignment="1">
      <alignment vertical="center"/>
    </xf>
    <xf numFmtId="0" fontId="36" fillId="0" borderId="40" xfId="0" applyFont="1" applyBorder="1" applyAlignment="1">
      <alignment horizontal="center" vertical="center"/>
    </xf>
    <xf numFmtId="0" fontId="36" fillId="0" borderId="23" xfId="0" applyFont="1" applyBorder="1" applyAlignment="1">
      <alignment horizontal="centerContinuous" vertical="center"/>
    </xf>
    <xf numFmtId="10" fontId="36" fillId="0" borderId="11" xfId="207" applyNumberFormat="1" applyFont="1" applyFill="1" applyBorder="1" applyAlignment="1">
      <alignment vertical="center"/>
    </xf>
    <xf numFmtId="177" fontId="36" fillId="0" borderId="11" xfId="100" applyNumberFormat="1" applyFont="1" applyFill="1" applyBorder="1" applyAlignment="1">
      <alignment vertical="center"/>
    </xf>
    <xf numFmtId="10" fontId="36" fillId="0" borderId="31" xfId="207" applyNumberFormat="1" applyFont="1" applyFill="1" applyBorder="1" applyAlignment="1">
      <alignment vertical="center"/>
    </xf>
    <xf numFmtId="177" fontId="36" fillId="0" borderId="31" xfId="100" applyNumberFormat="1" applyFont="1" applyFill="1" applyBorder="1" applyAlignment="1">
      <alignment vertical="center"/>
    </xf>
    <xf numFmtId="0" fontId="36" fillId="0" borderId="28" xfId="0" applyFont="1" applyBorder="1" applyAlignment="1">
      <alignment vertical="center"/>
    </xf>
    <xf numFmtId="177" fontId="36" fillId="0" borderId="28" xfId="100" applyNumberFormat="1" applyFont="1" applyFill="1" applyBorder="1" applyAlignment="1">
      <alignment vertical="center"/>
    </xf>
    <xf numFmtId="177" fontId="36" fillId="0" borderId="29" xfId="100" applyNumberFormat="1" applyFont="1" applyFill="1" applyBorder="1" applyAlignment="1">
      <alignment vertical="center"/>
    </xf>
    <xf numFmtId="177" fontId="44" fillId="0" borderId="29" xfId="101" applyNumberFormat="1" applyFont="1" applyFill="1" applyBorder="1" applyAlignment="1">
      <alignment vertical="center"/>
    </xf>
    <xf numFmtId="0" fontId="36" fillId="0" borderId="41" xfId="0" applyFont="1" applyBorder="1" applyAlignment="1">
      <alignment horizontal="center" vertical="center"/>
    </xf>
    <xf numFmtId="9" fontId="36" fillId="0" borderId="11" xfId="207" applyFont="1" applyFill="1" applyBorder="1" applyAlignment="1">
      <alignment horizontal="right" vertical="center"/>
    </xf>
    <xf numFmtId="9" fontId="36" fillId="0" borderId="28" xfId="207" applyFont="1" applyFill="1" applyBorder="1" applyAlignment="1">
      <alignment horizontal="right" vertical="center"/>
    </xf>
    <xf numFmtId="177" fontId="44" fillId="0" borderId="29" xfId="0" applyNumberFormat="1" applyFont="1" applyBorder="1" applyAlignment="1">
      <alignment vertical="center"/>
    </xf>
    <xf numFmtId="177" fontId="44" fillId="0" borderId="0" xfId="0" applyNumberFormat="1" applyFont="1" applyAlignment="1">
      <alignment vertical="center"/>
    </xf>
    <xf numFmtId="0" fontId="36" fillId="0" borderId="31" xfId="0" applyFont="1" applyBorder="1" applyAlignment="1">
      <alignment horizontal="center" vertical="center"/>
    </xf>
    <xf numFmtId="0" fontId="36" fillId="0" borderId="12" xfId="0" applyFont="1" applyBorder="1" applyAlignment="1">
      <alignment vertical="center"/>
    </xf>
    <xf numFmtId="179" fontId="36" fillId="0" borderId="11" xfId="0" applyNumberFormat="1" applyFont="1" applyBorder="1" applyAlignment="1">
      <alignment horizontal="center" vertical="center"/>
    </xf>
    <xf numFmtId="0" fontId="36" fillId="0" borderId="11" xfId="0" applyFont="1" applyBorder="1" applyAlignment="1">
      <alignment vertical="center"/>
    </xf>
    <xf numFmtId="9" fontId="36" fillId="0" borderId="11" xfId="207" applyFont="1" applyFill="1" applyBorder="1" applyAlignment="1">
      <alignment vertical="center"/>
    </xf>
    <xf numFmtId="9" fontId="36" fillId="0" borderId="31" xfId="207" applyFont="1" applyFill="1" applyBorder="1" applyAlignment="1">
      <alignment vertical="center"/>
    </xf>
    <xf numFmtId="0" fontId="44" fillId="0" borderId="0" xfId="0" applyFont="1" applyAlignment="1">
      <alignment horizontal="justify" vertical="center" wrapText="1"/>
    </xf>
    <xf numFmtId="0" fontId="36" fillId="0" borderId="40" xfId="0" applyFont="1" applyBorder="1" applyAlignment="1">
      <alignment vertical="center"/>
    </xf>
    <xf numFmtId="177" fontId="36" fillId="0" borderId="39" xfId="0" applyNumberFormat="1" applyFont="1" applyBorder="1" applyAlignment="1">
      <alignment vertical="center"/>
    </xf>
    <xf numFmtId="0" fontId="36" fillId="0" borderId="42" xfId="0" applyFont="1" applyBorder="1" applyAlignment="1">
      <alignment horizontal="center" vertical="center"/>
    </xf>
    <xf numFmtId="2" fontId="36" fillId="0" borderId="11" xfId="0" applyNumberFormat="1" applyFont="1" applyBorder="1" applyAlignment="1">
      <alignment horizontal="right" vertical="center"/>
    </xf>
    <xf numFmtId="177" fontId="36" fillId="0" borderId="11" xfId="0" applyNumberFormat="1" applyFont="1" applyBorder="1" applyAlignment="1">
      <alignment horizontal="right" vertical="center"/>
    </xf>
    <xf numFmtId="178" fontId="36" fillId="0" borderId="11" xfId="100" applyNumberFormat="1" applyFont="1" applyFill="1" applyBorder="1" applyAlignment="1">
      <alignment vertical="center"/>
    </xf>
    <xf numFmtId="0" fontId="44" fillId="0" borderId="0" xfId="0" applyFont="1" applyAlignment="1">
      <alignment horizontal="left" vertical="center"/>
    </xf>
    <xf numFmtId="166" fontId="66" fillId="0" borderId="0" xfId="100" applyFont="1" applyAlignment="1">
      <alignment vertical="center"/>
    </xf>
    <xf numFmtId="0" fontId="66" fillId="0" borderId="0" xfId="0" applyFont="1" applyAlignment="1">
      <alignment vertical="center"/>
    </xf>
    <xf numFmtId="0" fontId="66" fillId="0" borderId="13" xfId="0" applyFont="1" applyBorder="1" applyAlignment="1">
      <alignment vertical="center"/>
    </xf>
    <xf numFmtId="166" fontId="36" fillId="0" borderId="48" xfId="100" applyFont="1" applyFill="1" applyBorder="1" applyAlignment="1">
      <alignment horizontal="center" vertical="center"/>
    </xf>
    <xf numFmtId="0" fontId="36" fillId="0" borderId="0" xfId="0" applyFont="1" applyAlignment="1">
      <alignment horizontal="right" vertical="center" indent="1"/>
    </xf>
    <xf numFmtId="4" fontId="36" fillId="0" borderId="0" xfId="0" applyNumberFormat="1" applyFont="1" applyAlignment="1">
      <alignment vertical="center"/>
    </xf>
    <xf numFmtId="0" fontId="66" fillId="0" borderId="14" xfId="0" applyFont="1" applyBorder="1" applyAlignment="1">
      <alignment horizontal="center" vertical="center"/>
    </xf>
    <xf numFmtId="0" fontId="71" fillId="0" borderId="0" xfId="239" applyFont="1" applyAlignment="1">
      <alignment wrapText="1"/>
    </xf>
    <xf numFmtId="0" fontId="71" fillId="38" borderId="0" xfId="239" applyFont="1" applyFill="1" applyAlignment="1">
      <alignment wrapText="1"/>
    </xf>
    <xf numFmtId="0" fontId="74" fillId="0" borderId="0" xfId="0" applyFont="1" applyAlignment="1">
      <alignment horizontal="center" vertical="center"/>
    </xf>
    <xf numFmtId="0" fontId="76" fillId="36" borderId="0" xfId="169" applyFont="1" applyFill="1" applyAlignment="1">
      <alignment vertical="center"/>
    </xf>
    <xf numFmtId="0" fontId="75" fillId="36" borderId="0" xfId="169" applyFont="1" applyFill="1" applyAlignment="1">
      <alignment vertical="center"/>
    </xf>
    <xf numFmtId="0" fontId="78" fillId="36" borderId="0" xfId="169" applyFont="1" applyFill="1" applyAlignment="1">
      <alignment vertical="center"/>
    </xf>
    <xf numFmtId="169" fontId="77" fillId="36" borderId="0" xfId="255" applyFont="1" applyFill="1" applyAlignment="1">
      <alignment vertical="center"/>
    </xf>
    <xf numFmtId="10" fontId="77" fillId="36" borderId="0" xfId="255" applyNumberFormat="1" applyFont="1" applyFill="1" applyAlignment="1">
      <alignment vertical="center"/>
    </xf>
    <xf numFmtId="0" fontId="27" fillId="0" borderId="0" xfId="262"/>
    <xf numFmtId="168" fontId="27" fillId="0" borderId="0" xfId="262" applyNumberFormat="1"/>
    <xf numFmtId="0" fontId="76" fillId="0" borderId="0" xfId="169" applyFont="1" applyAlignment="1">
      <alignment vertical="center"/>
    </xf>
    <xf numFmtId="169" fontId="76" fillId="0" borderId="0" xfId="169" applyNumberFormat="1" applyFont="1" applyAlignment="1">
      <alignment vertical="center"/>
    </xf>
    <xf numFmtId="0" fontId="78" fillId="0" borderId="0" xfId="169" applyFont="1" applyAlignment="1">
      <alignment vertical="center"/>
    </xf>
    <xf numFmtId="0" fontId="82" fillId="0" borderId="0" xfId="239" applyFont="1" applyAlignment="1">
      <alignment horizontal="center" wrapText="1"/>
    </xf>
    <xf numFmtId="0" fontId="82" fillId="0" borderId="0" xfId="239" applyFont="1" applyAlignment="1">
      <alignment wrapText="1"/>
    </xf>
    <xf numFmtId="191" fontId="82" fillId="0" borderId="0" xfId="239" applyNumberFormat="1" applyFont="1" applyAlignment="1">
      <alignment wrapText="1"/>
    </xf>
    <xf numFmtId="169" fontId="80" fillId="0" borderId="0" xfId="238" applyFont="1" applyFill="1" applyBorder="1" applyAlignment="1">
      <alignment vertical="center"/>
    </xf>
    <xf numFmtId="0" fontId="81" fillId="0" borderId="0" xfId="262" applyFont="1"/>
    <xf numFmtId="49" fontId="83" fillId="36" borderId="0" xfId="169" applyNumberFormat="1" applyFont="1" applyFill="1" applyAlignment="1">
      <alignment horizontal="center" vertical="center"/>
    </xf>
    <xf numFmtId="0" fontId="83" fillId="36" borderId="0" xfId="169" applyFont="1" applyFill="1" applyAlignment="1">
      <alignment vertical="center"/>
    </xf>
    <xf numFmtId="166" fontId="83" fillId="36" borderId="0" xfId="253" applyFont="1" applyFill="1" applyAlignment="1">
      <alignment vertical="center"/>
    </xf>
    <xf numFmtId="176" fontId="84" fillId="36" borderId="0" xfId="254" applyNumberFormat="1" applyFont="1" applyFill="1" applyAlignment="1">
      <alignment vertical="center"/>
    </xf>
    <xf numFmtId="4" fontId="83" fillId="36" borderId="0" xfId="169" applyNumberFormat="1" applyFont="1" applyFill="1" applyAlignment="1">
      <alignment vertical="center"/>
    </xf>
    <xf numFmtId="166" fontId="85" fillId="36" borderId="0" xfId="253" applyFont="1" applyFill="1" applyAlignment="1">
      <alignment vertical="center"/>
    </xf>
    <xf numFmtId="169" fontId="82" fillId="0" borderId="0" xfId="238" applyFont="1" applyAlignment="1">
      <alignment wrapText="1"/>
    </xf>
    <xf numFmtId="0" fontId="73" fillId="0" borderId="0" xfId="0" applyFont="1" applyAlignment="1">
      <alignment horizontal="center" vertical="center"/>
    </xf>
    <xf numFmtId="0" fontId="74" fillId="0" borderId="0" xfId="0" applyFont="1" applyAlignment="1">
      <alignment vertical="center"/>
    </xf>
    <xf numFmtId="0" fontId="73" fillId="0" borderId="0" xfId="0" applyFont="1" applyAlignment="1">
      <alignment vertical="center"/>
    </xf>
    <xf numFmtId="0" fontId="86" fillId="0" borderId="0" xfId="0" applyFont="1" applyAlignment="1">
      <alignment vertical="center"/>
    </xf>
    <xf numFmtId="0" fontId="36" fillId="0" borderId="94" xfId="0" applyFont="1" applyBorder="1" applyAlignment="1">
      <alignment horizontal="center" vertical="center"/>
    </xf>
    <xf numFmtId="177" fontId="36" fillId="0" borderId="94" xfId="0" applyNumberFormat="1" applyFont="1" applyBorder="1" applyAlignment="1">
      <alignment vertical="center"/>
    </xf>
    <xf numFmtId="44" fontId="71" fillId="0" borderId="0" xfId="239" applyNumberFormat="1" applyFont="1" applyAlignment="1">
      <alignment wrapText="1"/>
    </xf>
    <xf numFmtId="42" fontId="27" fillId="0" borderId="0" xfId="262" applyNumberFormat="1"/>
    <xf numFmtId="42" fontId="24" fillId="0" borderId="0" xfId="271" applyFont="1" applyAlignment="1">
      <alignment wrapText="1"/>
    </xf>
    <xf numFmtId="42" fontId="0" fillId="0" borderId="0" xfId="271" applyFont="1"/>
    <xf numFmtId="169" fontId="76" fillId="36" borderId="0" xfId="169" applyNumberFormat="1" applyFont="1" applyFill="1" applyAlignment="1">
      <alignment vertical="center"/>
    </xf>
    <xf numFmtId="0" fontId="76" fillId="0" borderId="0" xfId="179" applyFont="1" applyAlignment="1">
      <alignment vertical="center"/>
    </xf>
    <xf numFmtId="0" fontId="76" fillId="0" borderId="0" xfId="179" applyFont="1" applyAlignment="1">
      <alignment horizontal="center" vertical="center"/>
    </xf>
    <xf numFmtId="0" fontId="75" fillId="0" borderId="0" xfId="179" applyFont="1" applyAlignment="1">
      <alignment horizontal="left" vertical="center"/>
    </xf>
    <xf numFmtId="168" fontId="76" fillId="0" borderId="0" xfId="179" applyNumberFormat="1" applyFont="1" applyAlignment="1">
      <alignment vertical="center"/>
    </xf>
    <xf numFmtId="0" fontId="0" fillId="0" borderId="18" xfId="0" applyBorder="1"/>
    <xf numFmtId="0" fontId="0" fillId="0" borderId="19" xfId="0" applyBorder="1"/>
    <xf numFmtId="0" fontId="93" fillId="0" borderId="0" xfId="0" applyFont="1" applyAlignment="1">
      <alignment horizontal="left" vertical="center"/>
    </xf>
    <xf numFmtId="0" fontId="86" fillId="0" borderId="0" xfId="0" applyFont="1" applyAlignment="1">
      <alignment horizontal="left" vertical="center"/>
    </xf>
    <xf numFmtId="0" fontId="0" fillId="0" borderId="76" xfId="0" applyBorder="1"/>
    <xf numFmtId="0" fontId="99" fillId="0" borderId="0" xfId="272" applyFont="1" applyAlignment="1">
      <alignment horizontal="center" vertical="center"/>
    </xf>
    <xf numFmtId="0" fontId="0" fillId="0" borderId="0" xfId="0" applyAlignment="1">
      <alignment vertical="center"/>
    </xf>
    <xf numFmtId="0" fontId="87" fillId="0" borderId="42" xfId="272" applyFont="1" applyBorder="1" applyAlignment="1">
      <alignment vertical="center" wrapText="1"/>
    </xf>
    <xf numFmtId="169" fontId="88" fillId="0" borderId="41" xfId="244" applyFont="1" applyBorder="1" applyAlignment="1">
      <alignment horizontal="center" vertical="center"/>
    </xf>
    <xf numFmtId="0" fontId="88" fillId="0" borderId="66" xfId="272" applyFont="1" applyBorder="1" applyAlignment="1">
      <alignment horizontal="center" vertical="center"/>
    </xf>
    <xf numFmtId="0" fontId="88" fillId="0" borderId="0" xfId="272" applyFont="1" applyAlignment="1">
      <alignment horizontal="center" vertical="center"/>
    </xf>
    <xf numFmtId="0" fontId="87" fillId="0" borderId="89" xfId="272" applyFont="1" applyBorder="1" applyAlignment="1">
      <alignment vertical="center" wrapText="1"/>
    </xf>
    <xf numFmtId="0" fontId="88" fillId="0" borderId="97" xfId="272" applyFont="1" applyBorder="1" applyAlignment="1">
      <alignment horizontal="center" vertical="center"/>
    </xf>
    <xf numFmtId="0" fontId="88" fillId="0" borderId="98" xfId="272" applyFont="1" applyBorder="1" applyAlignment="1">
      <alignment horizontal="center" vertical="center"/>
    </xf>
    <xf numFmtId="0" fontId="88" fillId="0" borderId="0" xfId="272" applyFont="1" applyAlignment="1">
      <alignment vertical="center" wrapText="1"/>
    </xf>
    <xf numFmtId="0" fontId="87" fillId="0" borderId="105" xfId="272" applyFont="1" applyBorder="1" applyAlignment="1">
      <alignment vertical="center" wrapText="1"/>
    </xf>
    <xf numFmtId="0" fontId="87" fillId="0" borderId="71" xfId="272" applyFont="1" applyBorder="1" applyAlignment="1">
      <alignment horizontal="center" vertical="center"/>
    </xf>
    <xf numFmtId="0" fontId="87" fillId="0" borderId="62" xfId="272" applyFont="1" applyBorder="1" applyAlignment="1">
      <alignment horizontal="center" vertical="center"/>
    </xf>
    <xf numFmtId="0" fontId="87" fillId="0" borderId="102" xfId="272" applyFont="1" applyBorder="1" applyAlignment="1">
      <alignment vertical="center" wrapText="1"/>
    </xf>
    <xf numFmtId="0" fontId="87" fillId="0" borderId="104" xfId="272" applyFont="1" applyBorder="1" applyAlignment="1">
      <alignment horizontal="center" vertical="center"/>
    </xf>
    <xf numFmtId="0" fontId="88" fillId="0" borderId="102" xfId="272" applyFont="1" applyBorder="1" applyAlignment="1">
      <alignment vertical="center" wrapText="1"/>
    </xf>
    <xf numFmtId="169" fontId="88" fillId="0" borderId="103" xfId="244" applyFont="1" applyBorder="1" applyAlignment="1">
      <alignment vertical="center"/>
    </xf>
    <xf numFmtId="169" fontId="88" fillId="0" borderId="104" xfId="244" applyFont="1" applyBorder="1" applyAlignment="1">
      <alignment vertical="center"/>
    </xf>
    <xf numFmtId="166" fontId="88" fillId="0" borderId="103" xfId="276" applyNumberFormat="1" applyFont="1" applyBorder="1" applyAlignment="1">
      <alignment vertical="center"/>
    </xf>
    <xf numFmtId="168" fontId="88" fillId="0" borderId="103" xfId="272" applyNumberFormat="1" applyFont="1" applyBorder="1" applyAlignment="1">
      <alignment vertical="center"/>
    </xf>
    <xf numFmtId="10" fontId="88" fillId="0" borderId="104" xfId="275" applyNumberFormat="1" applyFont="1" applyBorder="1" applyAlignment="1">
      <alignment vertical="center"/>
    </xf>
    <xf numFmtId="0" fontId="87" fillId="0" borderId="103" xfId="272" applyFont="1" applyBorder="1" applyAlignment="1">
      <alignment horizontal="center" vertical="center"/>
    </xf>
    <xf numFmtId="10" fontId="88" fillId="0" borderId="104" xfId="207" applyNumberFormat="1" applyFont="1" applyBorder="1" applyAlignment="1">
      <alignment vertical="center"/>
    </xf>
    <xf numFmtId="0" fontId="88" fillId="0" borderId="104" xfId="272" applyFont="1" applyBorder="1" applyAlignment="1">
      <alignment vertical="center"/>
    </xf>
    <xf numFmtId="168" fontId="87" fillId="0" borderId="103" xfId="272" applyNumberFormat="1" applyFont="1" applyBorder="1" applyAlignment="1">
      <alignment vertical="center"/>
    </xf>
    <xf numFmtId="10" fontId="87" fillId="0" borderId="104" xfId="272" applyNumberFormat="1" applyFont="1" applyBorder="1" applyAlignment="1">
      <alignment vertical="center"/>
    </xf>
    <xf numFmtId="169" fontId="87" fillId="37" borderId="103" xfId="244" applyFont="1" applyFill="1" applyBorder="1" applyAlignment="1">
      <alignment vertical="center"/>
    </xf>
    <xf numFmtId="10" fontId="87" fillId="0" borderId="104" xfId="207" applyNumberFormat="1" applyFont="1" applyBorder="1" applyAlignment="1">
      <alignment vertical="center"/>
    </xf>
    <xf numFmtId="0" fontId="88" fillId="0" borderId="59" xfId="272" applyFont="1" applyBorder="1" applyAlignment="1">
      <alignment vertical="center" wrapText="1"/>
    </xf>
    <xf numFmtId="169" fontId="88" fillId="0" borderId="89" xfId="244" applyFont="1" applyBorder="1" applyAlignment="1">
      <alignment vertical="center"/>
    </xf>
    <xf numFmtId="0" fontId="88" fillId="0" borderId="98" xfId="272" applyFont="1" applyBorder="1" applyAlignment="1">
      <alignment vertical="center"/>
    </xf>
    <xf numFmtId="0" fontId="88" fillId="0" borderId="0" xfId="272" applyFont="1" applyAlignment="1">
      <alignment vertical="center"/>
    </xf>
    <xf numFmtId="0" fontId="87" fillId="0" borderId="41" xfId="272" applyFont="1" applyBorder="1" applyAlignment="1">
      <alignment horizontal="center" vertical="center"/>
    </xf>
    <xf numFmtId="0" fontId="98" fillId="0" borderId="0" xfId="262" applyFont="1"/>
    <xf numFmtId="0" fontId="66" fillId="0" borderId="0" xfId="262" applyFont="1" applyAlignment="1">
      <alignment horizontal="justify" vertical="center"/>
    </xf>
    <xf numFmtId="0" fontId="36" fillId="0" borderId="0" xfId="268" applyAlignment="1">
      <alignment vertical="center"/>
    </xf>
    <xf numFmtId="0" fontId="86" fillId="0" borderId="0" xfId="0" applyFont="1" applyAlignment="1">
      <alignment horizontal="center" vertical="center"/>
    </xf>
    <xf numFmtId="0" fontId="103" fillId="0" borderId="65" xfId="239" applyFont="1" applyBorder="1" applyAlignment="1">
      <alignment horizontal="center" wrapText="1"/>
    </xf>
    <xf numFmtId="0" fontId="103" fillId="0" borderId="15" xfId="239" applyFont="1" applyBorder="1" applyAlignment="1">
      <alignment wrapText="1"/>
    </xf>
    <xf numFmtId="0" fontId="103" fillId="0" borderId="64" xfId="239" applyFont="1" applyBorder="1" applyAlignment="1">
      <alignment wrapText="1"/>
    </xf>
    <xf numFmtId="0" fontId="103" fillId="0" borderId="43" xfId="239" applyFont="1" applyBorder="1" applyAlignment="1">
      <alignment wrapText="1"/>
    </xf>
    <xf numFmtId="169" fontId="103" fillId="0" borderId="49" xfId="238" applyFont="1" applyBorder="1" applyAlignment="1">
      <alignment wrapText="1"/>
    </xf>
    <xf numFmtId="0" fontId="105" fillId="0" borderId="61" xfId="240" applyFont="1" applyBorder="1" applyAlignment="1">
      <alignment horizontal="center" vertical="center" wrapText="1"/>
    </xf>
    <xf numFmtId="0" fontId="105" fillId="0" borderId="34" xfId="240" applyFont="1" applyBorder="1" applyAlignment="1">
      <alignment vertical="center" wrapText="1"/>
    </xf>
    <xf numFmtId="0" fontId="105" fillId="0" borderId="11" xfId="240" applyFont="1" applyBorder="1" applyAlignment="1">
      <alignment vertical="center" wrapText="1"/>
    </xf>
    <xf numFmtId="169" fontId="105" fillId="0" borderId="86" xfId="238" applyFont="1" applyBorder="1" applyAlignment="1">
      <alignment vertical="center" wrapText="1"/>
    </xf>
    <xf numFmtId="0" fontId="105" fillId="0" borderId="86" xfId="240" applyFont="1" applyBorder="1" applyAlignment="1">
      <alignment vertical="center" wrapText="1"/>
    </xf>
    <xf numFmtId="169" fontId="105" fillId="0" borderId="11" xfId="238" applyFont="1" applyFill="1" applyBorder="1" applyAlignment="1">
      <alignment vertical="center" wrapText="1"/>
    </xf>
    <xf numFmtId="191" fontId="105" fillId="0" borderId="60" xfId="240" applyNumberFormat="1" applyFont="1" applyBorder="1" applyAlignment="1">
      <alignment vertical="center" wrapText="1"/>
    </xf>
    <xf numFmtId="188" fontId="97" fillId="0" borderId="61" xfId="240" applyNumberFormat="1" applyFont="1" applyBorder="1" applyAlignment="1">
      <alignment horizontal="center" vertical="center" wrapText="1"/>
    </xf>
    <xf numFmtId="188" fontId="97" fillId="0" borderId="34" xfId="240" applyNumberFormat="1" applyFont="1" applyBorder="1" applyAlignment="1">
      <alignment vertical="center" wrapText="1"/>
    </xf>
    <xf numFmtId="0" fontId="97" fillId="0" borderId="11" xfId="240" applyFont="1" applyBorder="1" applyAlignment="1">
      <alignment vertical="center" wrapText="1"/>
    </xf>
    <xf numFmtId="169" fontId="97" fillId="0" borderId="86" xfId="238" applyFont="1" applyBorder="1" applyAlignment="1">
      <alignment vertical="center" wrapText="1"/>
    </xf>
    <xf numFmtId="0" fontId="97" fillId="0" borderId="86" xfId="240" applyFont="1" applyBorder="1" applyAlignment="1">
      <alignment vertical="center" wrapText="1"/>
    </xf>
    <xf numFmtId="188" fontId="105" fillId="39" borderId="61" xfId="240" applyNumberFormat="1" applyFont="1" applyFill="1" applyBorder="1" applyAlignment="1">
      <alignment horizontal="center" vertical="center" wrapText="1"/>
    </xf>
    <xf numFmtId="0" fontId="97" fillId="39" borderId="34" xfId="240" applyFont="1" applyFill="1" applyBorder="1" applyAlignment="1">
      <alignment horizontal="left" vertical="center" wrapText="1"/>
    </xf>
    <xf numFmtId="0" fontId="97" fillId="39" borderId="11" xfId="240" applyFont="1" applyFill="1" applyBorder="1" applyAlignment="1">
      <alignment horizontal="center" vertical="center" wrapText="1"/>
    </xf>
    <xf numFmtId="169" fontId="97" fillId="39" borderId="86" xfId="238" applyFont="1" applyFill="1" applyBorder="1" applyAlignment="1">
      <alignment horizontal="center" vertical="center" wrapText="1"/>
    </xf>
    <xf numFmtId="0" fontId="97" fillId="39" borderId="86" xfId="240" applyFont="1" applyFill="1" applyBorder="1" applyAlignment="1">
      <alignment horizontal="center" vertical="center" wrapText="1"/>
    </xf>
    <xf numFmtId="169" fontId="97" fillId="40" borderId="11" xfId="238" applyFont="1" applyFill="1" applyBorder="1" applyAlignment="1">
      <alignment horizontal="center" vertical="center" wrapText="1"/>
    </xf>
    <xf numFmtId="191" fontId="97" fillId="39" borderId="60" xfId="240" applyNumberFormat="1" applyFont="1" applyFill="1" applyBorder="1" applyAlignment="1">
      <alignment horizontal="center" vertical="center" wrapText="1"/>
    </xf>
    <xf numFmtId="188" fontId="105" fillId="0" borderId="61" xfId="240" applyNumberFormat="1" applyFont="1" applyBorder="1" applyAlignment="1">
      <alignment horizontal="center" vertical="center" wrapText="1"/>
    </xf>
    <xf numFmtId="188" fontId="105" fillId="0" borderId="34" xfId="240" applyNumberFormat="1" applyFont="1" applyBorder="1" applyAlignment="1">
      <alignment vertical="center" wrapText="1"/>
    </xf>
    <xf numFmtId="0" fontId="97" fillId="0" borderId="11" xfId="240" applyFont="1" applyBorder="1" applyAlignment="1">
      <alignment horizontal="center" vertical="center" wrapText="1"/>
    </xf>
    <xf numFmtId="169" fontId="97" fillId="0" borderId="86" xfId="238" applyFont="1" applyBorder="1" applyAlignment="1">
      <alignment horizontal="center" vertical="center" wrapText="1"/>
    </xf>
    <xf numFmtId="0" fontId="97" fillId="0" borderId="86" xfId="240" applyFont="1" applyBorder="1" applyAlignment="1">
      <alignment horizontal="center" vertical="center" wrapText="1"/>
    </xf>
    <xf numFmtId="169" fontId="97" fillId="0" borderId="11" xfId="238" applyFont="1" applyFill="1" applyBorder="1" applyAlignment="1">
      <alignment horizontal="center" vertical="center" wrapText="1"/>
    </xf>
    <xf numFmtId="191" fontId="97" fillId="0" borderId="60" xfId="240" applyNumberFormat="1" applyFont="1" applyBorder="1" applyAlignment="1">
      <alignment horizontal="center" vertical="center" wrapText="1"/>
    </xf>
    <xf numFmtId="188" fontId="105" fillId="0" borderId="34" xfId="240" applyNumberFormat="1" applyFont="1" applyBorder="1" applyAlignment="1">
      <alignment horizontal="left" vertical="center" wrapText="1"/>
    </xf>
    <xf numFmtId="0" fontId="105" fillId="0" borderId="11" xfId="240" applyFont="1" applyBorder="1" applyAlignment="1">
      <alignment horizontal="center" vertical="center" wrapText="1"/>
    </xf>
    <xf numFmtId="4" fontId="105" fillId="0" borderId="11" xfId="246" applyNumberFormat="1" applyFont="1" applyFill="1" applyBorder="1" applyAlignment="1">
      <alignment horizontal="center" vertical="center" wrapText="1"/>
    </xf>
    <xf numFmtId="169" fontId="105" fillId="0" borderId="86" xfId="238" applyFont="1" applyFill="1" applyBorder="1" applyAlignment="1">
      <alignment horizontal="center" vertical="center" wrapText="1"/>
    </xf>
    <xf numFmtId="9" fontId="105" fillId="0" borderId="11" xfId="242" applyFont="1" applyFill="1" applyBorder="1" applyAlignment="1">
      <alignment horizontal="center" vertical="center" wrapText="1"/>
    </xf>
    <xf numFmtId="191" fontId="105" fillId="0" borderId="60" xfId="244" applyNumberFormat="1" applyFont="1" applyFill="1" applyBorder="1" applyAlignment="1">
      <alignment horizontal="center" vertical="center" wrapText="1"/>
    </xf>
    <xf numFmtId="188" fontId="105" fillId="36" borderId="34" xfId="240" applyNumberFormat="1" applyFont="1" applyFill="1" applyBorder="1" applyAlignment="1">
      <alignment horizontal="left" vertical="center" wrapText="1"/>
    </xf>
    <xf numFmtId="188" fontId="105" fillId="0" borderId="102" xfId="240" applyNumberFormat="1" applyFont="1" applyBorder="1" applyAlignment="1">
      <alignment horizontal="center" vertical="center" wrapText="1"/>
    </xf>
    <xf numFmtId="188" fontId="105" fillId="0" borderId="103" xfId="240" applyNumberFormat="1" applyFont="1" applyBorder="1" applyAlignment="1">
      <alignment vertical="center" wrapText="1"/>
    </xf>
    <xf numFmtId="0" fontId="105" fillId="0" borderId="101" xfId="240" applyFont="1" applyBorder="1" applyAlignment="1">
      <alignment vertical="center" wrapText="1"/>
    </xf>
    <xf numFmtId="169" fontId="105" fillId="0" borderId="101" xfId="238" applyFont="1" applyBorder="1" applyAlignment="1">
      <alignment vertical="center" wrapText="1"/>
    </xf>
    <xf numFmtId="169" fontId="105" fillId="0" borderId="101" xfId="238" applyFont="1" applyFill="1" applyBorder="1" applyAlignment="1">
      <alignment vertical="center" wrapText="1"/>
    </xf>
    <xf numFmtId="191" fontId="105" fillId="0" borderId="104" xfId="240" applyNumberFormat="1" applyFont="1" applyBorder="1" applyAlignment="1">
      <alignment vertical="center" wrapText="1"/>
    </xf>
    <xf numFmtId="4" fontId="105" fillId="0" borderId="86" xfId="246" applyNumberFormat="1" applyFont="1" applyFill="1" applyBorder="1" applyAlignment="1">
      <alignment horizontal="center" vertical="center" wrapText="1"/>
    </xf>
    <xf numFmtId="169" fontId="105" fillId="0" borderId="11" xfId="238" applyFont="1" applyFill="1" applyBorder="1" applyAlignment="1">
      <alignment horizontal="center" vertical="center" wrapText="1"/>
    </xf>
    <xf numFmtId="0" fontId="105" fillId="0" borderId="34" xfId="241" applyFont="1" applyBorder="1" applyAlignment="1">
      <alignment vertical="center" wrapText="1"/>
    </xf>
    <xf numFmtId="9" fontId="105" fillId="0" borderId="86" xfId="242" applyFont="1" applyFill="1" applyBorder="1" applyAlignment="1">
      <alignment horizontal="center" vertical="center" wrapText="1"/>
    </xf>
    <xf numFmtId="0" fontId="105" fillId="0" borderId="59" xfId="240" applyFont="1" applyBorder="1" applyAlignment="1">
      <alignment horizontal="center" vertical="center" wrapText="1"/>
    </xf>
    <xf numFmtId="0" fontId="105" fillId="0" borderId="58" xfId="240" applyFont="1" applyBorder="1" applyAlignment="1">
      <alignment vertical="center" wrapText="1"/>
    </xf>
    <xf numFmtId="0" fontId="105" fillId="0" borderId="28" xfId="240" applyFont="1" applyBorder="1" applyAlignment="1">
      <alignment vertical="center" wrapText="1"/>
    </xf>
    <xf numFmtId="169" fontId="105" fillId="0" borderId="90" xfId="238" applyFont="1" applyBorder="1" applyAlignment="1">
      <alignment vertical="center" wrapText="1"/>
    </xf>
    <xf numFmtId="0" fontId="105" fillId="0" borderId="90" xfId="240" applyFont="1" applyBorder="1" applyAlignment="1">
      <alignment vertical="center" wrapText="1"/>
    </xf>
    <xf numFmtId="169" fontId="105" fillId="0" borderId="28" xfId="238" applyFont="1" applyFill="1" applyBorder="1" applyAlignment="1">
      <alignment vertical="center" wrapText="1"/>
    </xf>
    <xf numFmtId="191" fontId="105" fillId="0" borderId="57" xfId="240" applyNumberFormat="1" applyFont="1" applyBorder="1" applyAlignment="1">
      <alignment vertical="center" wrapText="1"/>
    </xf>
    <xf numFmtId="0" fontId="103" fillId="0" borderId="0" xfId="239" applyFont="1" applyAlignment="1">
      <alignment horizontal="center" wrapText="1"/>
    </xf>
    <xf numFmtId="0" fontId="103" fillId="0" borderId="0" xfId="239" applyFont="1" applyAlignment="1">
      <alignment wrapText="1"/>
    </xf>
    <xf numFmtId="169" fontId="103" fillId="0" borderId="0" xfId="238" applyFont="1" applyAlignment="1">
      <alignment wrapText="1"/>
    </xf>
    <xf numFmtId="191" fontId="103" fillId="0" borderId="0" xfId="239" applyNumberFormat="1" applyFont="1" applyAlignment="1">
      <alignment wrapText="1"/>
    </xf>
    <xf numFmtId="169" fontId="91" fillId="0" borderId="0" xfId="238" applyFont="1" applyFill="1" applyBorder="1" applyAlignment="1">
      <alignment vertical="center"/>
    </xf>
    <xf numFmtId="49" fontId="75" fillId="36" borderId="42" xfId="169" applyNumberFormat="1" applyFont="1" applyFill="1" applyBorder="1" applyAlignment="1">
      <alignment horizontal="center" vertical="center"/>
    </xf>
    <xf numFmtId="0" fontId="75" fillId="36" borderId="41" xfId="169" applyFont="1" applyFill="1" applyBorder="1" applyAlignment="1">
      <alignment vertical="center"/>
    </xf>
    <xf numFmtId="10" fontId="75" fillId="36" borderId="41" xfId="169" applyNumberFormat="1" applyFont="1" applyFill="1" applyBorder="1" applyAlignment="1">
      <alignment horizontal="center" vertical="center"/>
    </xf>
    <xf numFmtId="166" fontId="75" fillId="36" borderId="41" xfId="253" applyFont="1" applyFill="1" applyBorder="1" applyAlignment="1">
      <alignment horizontal="center" vertical="center"/>
    </xf>
    <xf numFmtId="176" fontId="75" fillId="36" borderId="41" xfId="254" applyNumberFormat="1" applyFont="1" applyFill="1" applyBorder="1" applyAlignment="1">
      <alignment vertical="center"/>
    </xf>
    <xf numFmtId="4" fontId="75" fillId="36" borderId="66" xfId="169" applyNumberFormat="1" applyFont="1" applyFill="1" applyBorder="1" applyAlignment="1">
      <alignment vertical="center"/>
    </xf>
    <xf numFmtId="49" fontId="75" fillId="36" borderId="96" xfId="169" applyNumberFormat="1" applyFont="1" applyFill="1" applyBorder="1" applyAlignment="1">
      <alignment horizontal="center" vertical="center"/>
    </xf>
    <xf numFmtId="0" fontId="75" fillId="36" borderId="94" xfId="169" applyFont="1" applyFill="1" applyBorder="1" applyAlignment="1">
      <alignment vertical="center"/>
    </xf>
    <xf numFmtId="0" fontId="75" fillId="36" borderId="94" xfId="169" applyFont="1" applyFill="1" applyBorder="1" applyAlignment="1">
      <alignment horizontal="center" vertical="center"/>
    </xf>
    <xf numFmtId="10" fontId="75" fillId="36" borderId="94" xfId="169" applyNumberFormat="1" applyFont="1" applyFill="1" applyBorder="1" applyAlignment="1">
      <alignment horizontal="center" vertical="center"/>
    </xf>
    <xf numFmtId="176" fontId="107" fillId="36" borderId="94" xfId="254" applyNumberFormat="1" applyFont="1" applyFill="1" applyBorder="1" applyAlignment="1">
      <alignment vertical="center"/>
    </xf>
    <xf numFmtId="4" fontId="75" fillId="36" borderId="95" xfId="169" applyNumberFormat="1" applyFont="1" applyFill="1" applyBorder="1" applyAlignment="1">
      <alignment vertical="center"/>
    </xf>
    <xf numFmtId="49" fontId="76" fillId="36" borderId="96" xfId="169" applyNumberFormat="1" applyFont="1" applyFill="1" applyBorder="1" applyAlignment="1">
      <alignment horizontal="center" vertical="center"/>
    </xf>
    <xf numFmtId="0" fontId="76" fillId="0" borderId="94" xfId="262" applyFont="1" applyBorder="1" applyAlignment="1">
      <alignment vertical="center"/>
    </xf>
    <xf numFmtId="0" fontId="76" fillId="36" borderId="94" xfId="169" applyFont="1" applyFill="1" applyBorder="1" applyAlignment="1">
      <alignment horizontal="center" vertical="center"/>
    </xf>
    <xf numFmtId="9" fontId="76" fillId="36" borderId="94" xfId="243" applyFont="1" applyFill="1" applyBorder="1" applyAlignment="1">
      <alignment horizontal="center" vertical="center"/>
    </xf>
    <xf numFmtId="2" fontId="75" fillId="36" borderId="94" xfId="169" applyNumberFormat="1" applyFont="1" applyFill="1" applyBorder="1" applyAlignment="1">
      <alignment horizontal="center" vertical="center"/>
    </xf>
    <xf numFmtId="0" fontId="76" fillId="36" borderId="94" xfId="169" applyFont="1" applyFill="1" applyBorder="1" applyAlignment="1">
      <alignment vertical="center"/>
    </xf>
    <xf numFmtId="49" fontId="76" fillId="41" borderId="96" xfId="169" applyNumberFormat="1" applyFont="1" applyFill="1" applyBorder="1" applyAlignment="1">
      <alignment horizontal="center" vertical="center"/>
    </xf>
    <xf numFmtId="0" fontId="76" fillId="41" borderId="94" xfId="169" applyFont="1" applyFill="1" applyBorder="1" applyAlignment="1">
      <alignment vertical="center" wrapText="1"/>
    </xf>
    <xf numFmtId="0" fontId="76" fillId="41" borderId="94" xfId="169" applyFont="1" applyFill="1" applyBorder="1" applyAlignment="1">
      <alignment horizontal="center" vertical="center"/>
    </xf>
    <xf numFmtId="9" fontId="76" fillId="41" borderId="94" xfId="243" applyFont="1" applyFill="1" applyBorder="1" applyAlignment="1">
      <alignment horizontal="center" vertical="center"/>
    </xf>
    <xf numFmtId="49" fontId="75" fillId="36" borderId="75" xfId="169" applyNumberFormat="1" applyFont="1" applyFill="1" applyBorder="1" applyAlignment="1">
      <alignment horizontal="center" vertical="center"/>
    </xf>
    <xf numFmtId="4" fontId="75" fillId="36" borderId="78" xfId="169" applyNumberFormat="1" applyFont="1" applyFill="1" applyBorder="1" applyAlignment="1">
      <alignment vertical="center"/>
    </xf>
    <xf numFmtId="49" fontId="76" fillId="36" borderId="87" xfId="169" applyNumberFormat="1" applyFont="1" applyFill="1" applyBorder="1" applyAlignment="1">
      <alignment horizontal="center" vertical="center"/>
    </xf>
    <xf numFmtId="4" fontId="76" fillId="36" borderId="88" xfId="255" applyNumberFormat="1" applyFont="1" applyFill="1" applyBorder="1" applyAlignment="1">
      <alignment vertical="center"/>
    </xf>
    <xf numFmtId="49" fontId="76" fillId="36" borderId="79" xfId="169" applyNumberFormat="1" applyFont="1" applyFill="1" applyBorder="1" applyAlignment="1">
      <alignment horizontal="center" vertical="center"/>
    </xf>
    <xf numFmtId="49" fontId="76" fillId="0" borderId="0" xfId="169" applyNumberFormat="1" applyFont="1" applyAlignment="1">
      <alignment horizontal="center" vertical="center"/>
    </xf>
    <xf numFmtId="166" fontId="76" fillId="0" borderId="0" xfId="253" applyFont="1" applyFill="1" applyAlignment="1">
      <alignment vertical="center"/>
    </xf>
    <xf numFmtId="176" fontId="77" fillId="0" borderId="0" xfId="254" applyNumberFormat="1" applyFont="1" applyFill="1" applyAlignment="1">
      <alignment vertical="center"/>
    </xf>
    <xf numFmtId="4" fontId="76" fillId="0" borderId="0" xfId="169" applyNumberFormat="1" applyFont="1" applyAlignment="1">
      <alignment vertical="center"/>
    </xf>
    <xf numFmtId="0" fontId="66" fillId="0" borderId="71" xfId="0" applyFont="1" applyBorder="1" applyAlignment="1">
      <alignment vertical="center"/>
    </xf>
    <xf numFmtId="166" fontId="66" fillId="0" borderId="62" xfId="100" applyFont="1" applyFill="1" applyBorder="1" applyAlignment="1">
      <alignment horizontal="center" vertical="center"/>
    </xf>
    <xf numFmtId="0" fontId="36" fillId="0" borderId="13" xfId="0" applyFont="1" applyBorder="1" applyAlignment="1">
      <alignment horizontal="center" vertical="center"/>
    </xf>
    <xf numFmtId="177" fontId="36" fillId="0" borderId="13" xfId="0" applyNumberFormat="1" applyFont="1" applyBorder="1" applyAlignment="1">
      <alignment vertical="center"/>
    </xf>
    <xf numFmtId="9" fontId="36" fillId="0" borderId="36" xfId="207" applyFont="1" applyFill="1" applyBorder="1" applyAlignment="1">
      <alignment horizontal="center" vertical="center"/>
    </xf>
    <xf numFmtId="0" fontId="36" fillId="0" borderId="18" xfId="0" applyFont="1" applyBorder="1" applyAlignment="1">
      <alignment vertical="center"/>
    </xf>
    <xf numFmtId="9" fontId="36" fillId="0" borderId="0" xfId="207" applyFont="1" applyFill="1" applyBorder="1" applyAlignment="1">
      <alignment horizontal="center" vertical="center"/>
    </xf>
    <xf numFmtId="177" fontId="36" fillId="0" borderId="11" xfId="0" applyNumberFormat="1" applyFont="1" applyBorder="1" applyAlignment="1">
      <alignment horizontal="center" vertical="center"/>
    </xf>
    <xf numFmtId="166" fontId="36" fillId="0" borderId="34" xfId="100" applyFont="1" applyFill="1" applyBorder="1" applyAlignment="1">
      <alignment vertical="center"/>
    </xf>
    <xf numFmtId="166" fontId="36" fillId="0" borderId="11" xfId="100" applyFont="1" applyFill="1" applyBorder="1" applyAlignment="1">
      <alignment horizontal="center" vertical="center"/>
    </xf>
    <xf numFmtId="166" fontId="36" fillId="0" borderId="11" xfId="100" applyFont="1" applyFill="1" applyBorder="1" applyAlignment="1">
      <alignment vertical="center"/>
    </xf>
    <xf numFmtId="9" fontId="36" fillId="0" borderId="31" xfId="0" applyNumberFormat="1" applyFont="1" applyBorder="1" applyAlignment="1">
      <alignment horizontal="center" vertical="center"/>
    </xf>
    <xf numFmtId="188" fontId="105" fillId="0" borderId="107" xfId="240" applyNumberFormat="1" applyFont="1" applyBorder="1" applyAlignment="1">
      <alignment horizontal="center" vertical="center" wrapText="1"/>
    </xf>
    <xf numFmtId="188" fontId="105" fillId="0" borderId="108" xfId="240" applyNumberFormat="1" applyFont="1" applyBorder="1" applyAlignment="1">
      <alignment horizontal="left" vertical="center" wrapText="1"/>
    </xf>
    <xf numFmtId="0" fontId="105" fillId="0" borderId="109" xfId="240" applyFont="1" applyBorder="1" applyAlignment="1">
      <alignment horizontal="center" vertical="center" wrapText="1"/>
    </xf>
    <xf numFmtId="169" fontId="105" fillId="0" borderId="109" xfId="238" applyFont="1" applyFill="1" applyBorder="1" applyAlignment="1">
      <alignment horizontal="center" vertical="center" wrapText="1"/>
    </xf>
    <xf numFmtId="9" fontId="105" fillId="0" borderId="109" xfId="242" applyFont="1" applyFill="1" applyBorder="1" applyAlignment="1">
      <alignment horizontal="center" vertical="center" wrapText="1"/>
    </xf>
    <xf numFmtId="191" fontId="105" fillId="0" borderId="110" xfId="244" applyNumberFormat="1" applyFont="1" applyFill="1" applyBorder="1" applyAlignment="1">
      <alignment horizontal="center" vertical="center" wrapText="1"/>
    </xf>
    <xf numFmtId="1" fontId="105" fillId="0" borderId="109" xfId="242" applyNumberFormat="1" applyFont="1" applyFill="1" applyBorder="1" applyAlignment="1">
      <alignment horizontal="center" vertical="center" wrapText="1"/>
    </xf>
    <xf numFmtId="0" fontId="98" fillId="0" borderId="109" xfId="262" applyFont="1" applyBorder="1" applyAlignment="1">
      <alignment horizontal="center"/>
    </xf>
    <xf numFmtId="42" fontId="36" fillId="0" borderId="110" xfId="270" applyFont="1" applyBorder="1"/>
    <xf numFmtId="0" fontId="109" fillId="0" borderId="47" xfId="262" applyFont="1" applyBorder="1" applyAlignment="1">
      <alignment horizontal="center"/>
    </xf>
    <xf numFmtId="0" fontId="110" fillId="0" borderId="42" xfId="262" applyFont="1" applyBorder="1"/>
    <xf numFmtId="0" fontId="109" fillId="0" borderId="64" xfId="262" applyFont="1" applyBorder="1"/>
    <xf numFmtId="0" fontId="111" fillId="0" borderId="49" xfId="262" applyFont="1" applyBorder="1" applyAlignment="1">
      <alignment horizontal="center"/>
    </xf>
    <xf numFmtId="0" fontId="112" fillId="0" borderId="49" xfId="262" applyFont="1" applyBorder="1"/>
    <xf numFmtId="0" fontId="112" fillId="0" borderId="43" xfId="262" applyFont="1" applyBorder="1"/>
    <xf numFmtId="0" fontId="111" fillId="0" borderId="66" xfId="262" applyFont="1" applyBorder="1" applyAlignment="1">
      <alignment horizontal="right"/>
    </xf>
    <xf numFmtId="0" fontId="112" fillId="0" borderId="108" xfId="262" applyFont="1" applyBorder="1" applyAlignment="1">
      <alignment horizontal="left"/>
    </xf>
    <xf numFmtId="0" fontId="110" fillId="0" borderId="108" xfId="262" applyFont="1" applyBorder="1"/>
    <xf numFmtId="0" fontId="110" fillId="0" borderId="108" xfId="262" applyFont="1" applyBorder="1" applyAlignment="1">
      <alignment horizontal="left"/>
    </xf>
    <xf numFmtId="0" fontId="109" fillId="0" borderId="111" xfId="262" applyFont="1" applyBorder="1"/>
    <xf numFmtId="0" fontId="62" fillId="0" borderId="116" xfId="262" applyFont="1" applyBorder="1" applyAlignment="1">
      <alignment wrapText="1"/>
    </xf>
    <xf numFmtId="2" fontId="110" fillId="0" borderId="108" xfId="262" applyNumberFormat="1" applyFont="1" applyBorder="1" applyAlignment="1">
      <alignment horizontal="left"/>
    </xf>
    <xf numFmtId="168" fontId="113" fillId="0" borderId="0" xfId="0" applyNumberFormat="1" applyFont="1" applyAlignment="1">
      <alignment horizontal="center" vertical="center" wrapText="1"/>
    </xf>
    <xf numFmtId="9" fontId="87" fillId="37" borderId="104" xfId="207" applyFont="1" applyFill="1" applyBorder="1" applyAlignment="1">
      <alignment vertical="center"/>
    </xf>
    <xf numFmtId="49" fontId="75" fillId="36" borderId="67" xfId="169" applyNumberFormat="1" applyFont="1" applyFill="1" applyBorder="1" applyAlignment="1">
      <alignment horizontal="center" vertical="center"/>
    </xf>
    <xf numFmtId="4" fontId="75" fillId="41" borderId="69" xfId="169" applyNumberFormat="1" applyFont="1" applyFill="1" applyBorder="1" applyAlignment="1">
      <alignment vertical="center"/>
    </xf>
    <xf numFmtId="0" fontId="0" fillId="0" borderId="121" xfId="0" applyBorder="1"/>
    <xf numFmtId="9" fontId="88" fillId="0" borderId="104" xfId="207" applyFont="1" applyBorder="1" applyAlignment="1">
      <alignment vertical="center"/>
    </xf>
    <xf numFmtId="9" fontId="0" fillId="0" borderId="0" xfId="207" applyFont="1" applyFill="1"/>
    <xf numFmtId="9" fontId="36" fillId="0" borderId="109" xfId="270" applyNumberFormat="1" applyFont="1" applyBorder="1" applyAlignment="1">
      <alignment horizontal="center"/>
    </xf>
    <xf numFmtId="0" fontId="22" fillId="0" borderId="0" xfId="262" applyFont="1"/>
    <xf numFmtId="0" fontId="98" fillId="0" borderId="108" xfId="262" applyFont="1" applyBorder="1" applyAlignment="1">
      <alignment horizontal="center"/>
    </xf>
    <xf numFmtId="0" fontId="31" fillId="0" borderId="0" xfId="236"/>
    <xf numFmtId="0" fontId="90" fillId="0" borderId="121" xfId="236" applyFont="1" applyBorder="1" applyAlignment="1">
      <alignment horizontal="center" vertical="center"/>
    </xf>
    <xf numFmtId="0" fontId="90" fillId="39" borderId="121" xfId="236" applyFont="1" applyFill="1" applyBorder="1" applyAlignment="1">
      <alignment horizontal="center" vertical="center"/>
    </xf>
    <xf numFmtId="0" fontId="90" fillId="0" borderId="123" xfId="236" applyFont="1" applyBorder="1" applyAlignment="1">
      <alignment horizontal="center" vertical="center"/>
    </xf>
    <xf numFmtId="0" fontId="31" fillId="0" borderId="123" xfId="236" applyBorder="1" applyAlignment="1">
      <alignment horizontal="center" vertical="center" wrapText="1"/>
    </xf>
    <xf numFmtId="175" fontId="0" fillId="0" borderId="123" xfId="156" applyFont="1" applyBorder="1" applyAlignment="1">
      <alignment vertical="center"/>
    </xf>
    <xf numFmtId="0" fontId="31" fillId="0" borderId="123" xfId="236" applyBorder="1" applyAlignment="1">
      <alignment wrapText="1"/>
    </xf>
    <xf numFmtId="0" fontId="90" fillId="36" borderId="123" xfId="236" applyFont="1" applyFill="1" applyBorder="1" applyAlignment="1">
      <alignment horizontal="center" vertical="center"/>
    </xf>
    <xf numFmtId="0" fontId="90" fillId="0" borderId="123" xfId="236" applyFont="1" applyBorder="1" applyAlignment="1">
      <alignment horizontal="center" vertical="center" wrapText="1"/>
    </xf>
    <xf numFmtId="168" fontId="31" fillId="39" borderId="123" xfId="236" applyNumberFormat="1" applyFill="1" applyBorder="1" applyAlignment="1">
      <alignment horizontal="left"/>
    </xf>
    <xf numFmtId="0" fontId="90" fillId="39" borderId="123" xfId="236" applyFont="1" applyFill="1" applyBorder="1" applyAlignment="1">
      <alignment horizontal="center" vertical="center"/>
    </xf>
    <xf numFmtId="0" fontId="31" fillId="0" borderId="123" xfId="236" applyBorder="1" applyAlignment="1">
      <alignment horizontal="center" vertical="center"/>
    </xf>
    <xf numFmtId="175" fontId="0" fillId="0" borderId="123" xfId="156" applyFont="1" applyBorder="1" applyAlignment="1">
      <alignment horizontal="center" vertical="center"/>
    </xf>
    <xf numFmtId="168" fontId="31" fillId="0" borderId="0" xfId="236" applyNumberFormat="1"/>
    <xf numFmtId="0" fontId="91" fillId="0" borderId="0" xfId="236" applyFont="1"/>
    <xf numFmtId="0" fontId="69" fillId="0" borderId="0" xfId="236" applyFont="1"/>
    <xf numFmtId="42" fontId="69" fillId="0" borderId="109" xfId="271" applyFont="1" applyFill="1" applyBorder="1" applyAlignment="1">
      <alignment horizontal="center" vertical="center"/>
    </xf>
    <xf numFmtId="176" fontId="78" fillId="0" borderId="0" xfId="254" applyNumberFormat="1" applyFont="1" applyFill="1" applyAlignment="1">
      <alignment vertical="center"/>
    </xf>
    <xf numFmtId="4" fontId="78" fillId="0" borderId="0" xfId="169" applyNumberFormat="1" applyFont="1" applyAlignment="1">
      <alignment vertical="center"/>
    </xf>
    <xf numFmtId="0" fontId="83" fillId="0" borderId="0" xfId="169" applyFont="1" applyAlignment="1">
      <alignment vertical="center"/>
    </xf>
    <xf numFmtId="166" fontId="83" fillId="0" borderId="0" xfId="253" applyFont="1" applyFill="1" applyAlignment="1">
      <alignment vertical="center"/>
    </xf>
    <xf numFmtId="176" fontId="84" fillId="0" borderId="0" xfId="254" applyNumberFormat="1" applyFont="1" applyFill="1" applyAlignment="1">
      <alignment vertical="center"/>
    </xf>
    <xf numFmtId="4" fontId="83" fillId="0" borderId="0" xfId="169" applyNumberFormat="1" applyFont="1" applyAlignment="1">
      <alignment vertical="center"/>
    </xf>
    <xf numFmtId="0" fontId="93" fillId="0" borderId="0" xfId="0" applyFont="1" applyAlignment="1">
      <alignment vertical="center"/>
    </xf>
    <xf numFmtId="49" fontId="83" fillId="0" borderId="0" xfId="169" applyNumberFormat="1" applyFont="1" applyAlignment="1">
      <alignment horizontal="center" vertical="center"/>
    </xf>
    <xf numFmtId="0" fontId="75" fillId="0" borderId="0" xfId="169" applyFont="1" applyAlignment="1">
      <alignment vertical="center"/>
    </xf>
    <xf numFmtId="194" fontId="75" fillId="0" borderId="0" xfId="169" applyNumberFormat="1" applyFont="1" applyAlignment="1">
      <alignment vertical="center"/>
    </xf>
    <xf numFmtId="168" fontId="76" fillId="0" borderId="0" xfId="264" applyFont="1" applyFill="1" applyAlignment="1">
      <alignment vertical="center"/>
    </xf>
    <xf numFmtId="3" fontId="105" fillId="0" borderId="101" xfId="240" applyNumberFormat="1" applyFont="1" applyBorder="1" applyAlignment="1">
      <alignment vertical="center" wrapText="1"/>
    </xf>
    <xf numFmtId="0" fontId="86" fillId="0" borderId="0" xfId="0" applyFont="1"/>
    <xf numFmtId="0" fontId="118" fillId="0" borderId="0" xfId="230" applyFont="1" applyFill="1" applyAlignment="1">
      <alignment vertical="center" wrapText="1"/>
    </xf>
    <xf numFmtId="10" fontId="110" fillId="0" borderId="130" xfId="262" applyNumberFormat="1" applyFont="1" applyBorder="1"/>
    <xf numFmtId="10" fontId="110" fillId="0" borderId="135" xfId="262" applyNumberFormat="1" applyFont="1" applyBorder="1"/>
    <xf numFmtId="0" fontId="110" fillId="0" borderId="135" xfId="262" applyFont="1" applyBorder="1" applyAlignment="1">
      <alignment horizontal="left"/>
    </xf>
    <xf numFmtId="0" fontId="109" fillId="0" borderId="135" xfId="262" applyFont="1" applyBorder="1"/>
    <xf numFmtId="10" fontId="110" fillId="0" borderId="136" xfId="262" applyNumberFormat="1" applyFont="1" applyBorder="1"/>
    <xf numFmtId="0" fontId="109" fillId="0" borderId="134" xfId="262" applyFont="1" applyBorder="1"/>
    <xf numFmtId="10" fontId="112" fillId="0" borderId="130" xfId="262" applyNumberFormat="1" applyFont="1" applyBorder="1"/>
    <xf numFmtId="0" fontId="110" fillId="0" borderId="137" xfId="262" applyFont="1" applyBorder="1"/>
    <xf numFmtId="0" fontId="110" fillId="0" borderId="135" xfId="262" applyFont="1" applyBorder="1"/>
    <xf numFmtId="10" fontId="110" fillId="0" borderId="138" xfId="262" applyNumberFormat="1" applyFont="1" applyBorder="1"/>
    <xf numFmtId="0" fontId="109" fillId="0" borderId="128" xfId="262" applyFont="1" applyBorder="1"/>
    <xf numFmtId="10" fontId="112" fillId="0" borderId="124" xfId="262" applyNumberFormat="1" applyFont="1" applyBorder="1"/>
    <xf numFmtId="0" fontId="112" fillId="0" borderId="127" xfId="262" applyFont="1" applyBorder="1"/>
    <xf numFmtId="0" fontId="111" fillId="0" borderId="128" xfId="262" applyFont="1" applyBorder="1"/>
    <xf numFmtId="0" fontId="110" fillId="0" borderId="128" xfId="262" applyFont="1" applyBorder="1"/>
    <xf numFmtId="10" fontId="110" fillId="0" borderId="128" xfId="262" applyNumberFormat="1" applyFont="1" applyBorder="1"/>
    <xf numFmtId="10" fontId="110" fillId="0" borderId="120" xfId="262" applyNumberFormat="1" applyFont="1" applyBorder="1"/>
    <xf numFmtId="0" fontId="110" fillId="0" borderId="127" xfId="262" applyFont="1" applyBorder="1"/>
    <xf numFmtId="9" fontId="108" fillId="0" borderId="120" xfId="262" applyNumberFormat="1" applyFont="1" applyBorder="1"/>
    <xf numFmtId="0" fontId="81" fillId="0" borderId="125" xfId="262" applyFont="1" applyBorder="1" applyAlignment="1">
      <alignment wrapText="1"/>
    </xf>
    <xf numFmtId="0" fontId="81" fillId="0" borderId="126" xfId="262" applyFont="1" applyBorder="1" applyAlignment="1">
      <alignment wrapText="1"/>
    </xf>
    <xf numFmtId="10" fontId="119" fillId="0" borderId="124" xfId="262" applyNumberFormat="1" applyFont="1" applyBorder="1" applyAlignment="1">
      <alignment wrapText="1"/>
    </xf>
    <xf numFmtId="0" fontId="20" fillId="0" borderId="123" xfId="236" applyFont="1" applyBorder="1" applyAlignment="1">
      <alignment wrapText="1"/>
    </xf>
    <xf numFmtId="42" fontId="31" fillId="0" borderId="0" xfId="271" applyFont="1"/>
    <xf numFmtId="0" fontId="31" fillId="0" borderId="139" xfId="236" applyBorder="1" applyAlignment="1">
      <alignment horizontal="center" vertical="center"/>
    </xf>
    <xf numFmtId="175" fontId="0" fillId="0" borderId="139" xfId="156" applyFont="1" applyBorder="1" applyAlignment="1">
      <alignment horizontal="center" vertical="center"/>
    </xf>
    <xf numFmtId="0" fontId="19" fillId="0" borderId="139" xfId="236" applyFont="1" applyBorder="1" applyAlignment="1">
      <alignment wrapText="1"/>
    </xf>
    <xf numFmtId="0" fontId="19" fillId="0" borderId="139" xfId="236" applyFont="1" applyBorder="1" applyAlignment="1">
      <alignment horizontal="center" vertical="center"/>
    </xf>
    <xf numFmtId="0" fontId="19" fillId="0" borderId="123" xfId="236" applyFont="1" applyBorder="1" applyAlignment="1">
      <alignment horizontal="left" vertical="center" wrapText="1"/>
    </xf>
    <xf numFmtId="0" fontId="19" fillId="0" borderId="123" xfId="236" applyFont="1" applyBorder="1" applyAlignment="1">
      <alignment wrapText="1"/>
    </xf>
    <xf numFmtId="0" fontId="19" fillId="0" borderId="123" xfId="236" applyFont="1" applyBorder="1" applyAlignment="1">
      <alignment vertical="center" wrapText="1"/>
    </xf>
    <xf numFmtId="0" fontId="19" fillId="0" borderId="139" xfId="236" applyFont="1" applyBorder="1" applyAlignment="1">
      <alignment vertical="center" wrapText="1"/>
    </xf>
    <xf numFmtId="0" fontId="105" fillId="36" borderId="61" xfId="240" applyFont="1" applyFill="1" applyBorder="1" applyAlignment="1">
      <alignment horizontal="center" vertical="center" wrapText="1"/>
    </xf>
    <xf numFmtId="0" fontId="97" fillId="36" borderId="34" xfId="240" applyFont="1" applyFill="1" applyBorder="1" applyAlignment="1">
      <alignment vertical="center" wrapText="1"/>
    </xf>
    <xf numFmtId="0" fontId="105" fillId="36" borderId="14" xfId="240" applyFont="1" applyFill="1" applyBorder="1" applyAlignment="1">
      <alignment vertical="center" wrapText="1"/>
    </xf>
    <xf numFmtId="169" fontId="105" fillId="36" borderId="14" xfId="238" applyFont="1" applyFill="1" applyBorder="1" applyAlignment="1">
      <alignment vertical="center" wrapText="1"/>
    </xf>
    <xf numFmtId="191" fontId="97" fillId="43" borderId="62" xfId="247" applyNumberFormat="1" applyFont="1" applyFill="1" applyBorder="1" applyAlignment="1">
      <alignment vertical="center" wrapText="1"/>
    </xf>
    <xf numFmtId="0" fontId="105" fillId="36" borderId="34" xfId="240" applyFont="1" applyFill="1" applyBorder="1" applyAlignment="1">
      <alignment vertical="center" wrapText="1"/>
    </xf>
    <xf numFmtId="0" fontId="105" fillId="36" borderId="11" xfId="240" applyFont="1" applyFill="1" applyBorder="1" applyAlignment="1">
      <alignment vertical="center" wrapText="1"/>
    </xf>
    <xf numFmtId="169" fontId="105" fillId="36" borderId="86" xfId="238" applyFont="1" applyFill="1" applyBorder="1" applyAlignment="1">
      <alignment vertical="center" wrapText="1"/>
    </xf>
    <xf numFmtId="0" fontId="105" fillId="36" borderId="86" xfId="240" applyFont="1" applyFill="1" applyBorder="1" applyAlignment="1">
      <alignment vertical="center" wrapText="1"/>
    </xf>
    <xf numFmtId="169" fontId="105" fillId="36" borderId="11" xfId="238" applyFont="1" applyFill="1" applyBorder="1" applyAlignment="1">
      <alignment vertical="center" wrapText="1"/>
    </xf>
    <xf numFmtId="191" fontId="105" fillId="36" borderId="60" xfId="240" applyNumberFormat="1" applyFont="1" applyFill="1" applyBorder="1" applyAlignment="1">
      <alignment vertical="center" wrapText="1"/>
    </xf>
    <xf numFmtId="1" fontId="97" fillId="36" borderId="61" xfId="240" applyNumberFormat="1" applyFont="1" applyFill="1" applyBorder="1" applyAlignment="1">
      <alignment horizontal="center" vertical="center" wrapText="1"/>
    </xf>
    <xf numFmtId="0" fontId="97" fillId="36" borderId="11" xfId="240" applyFont="1" applyFill="1" applyBorder="1" applyAlignment="1">
      <alignment vertical="center" wrapText="1"/>
    </xf>
    <xf numFmtId="169" fontId="97" fillId="36" borderId="86" xfId="238" applyFont="1" applyFill="1" applyBorder="1" applyAlignment="1">
      <alignment vertical="center" wrapText="1"/>
    </xf>
    <xf numFmtId="0" fontId="97" fillId="36" borderId="86" xfId="240" applyFont="1" applyFill="1" applyBorder="1" applyAlignment="1">
      <alignment vertical="center" wrapText="1"/>
    </xf>
    <xf numFmtId="188" fontId="105" fillId="36" borderId="61" xfId="240" applyNumberFormat="1" applyFont="1" applyFill="1" applyBorder="1" applyAlignment="1">
      <alignment horizontal="center" vertical="center" wrapText="1"/>
    </xf>
    <xf numFmtId="0" fontId="105" fillId="36" borderId="11" xfId="240" applyFont="1" applyFill="1" applyBorder="1" applyAlignment="1">
      <alignment horizontal="center" vertical="center" wrapText="1"/>
    </xf>
    <xf numFmtId="3" fontId="105" fillId="36" borderId="11" xfId="240" applyNumberFormat="1" applyFont="1" applyFill="1" applyBorder="1" applyAlignment="1">
      <alignment horizontal="center" vertical="center" wrapText="1"/>
    </xf>
    <xf numFmtId="169" fontId="105" fillId="36" borderId="86" xfId="238" applyFont="1" applyFill="1" applyBorder="1" applyAlignment="1">
      <alignment horizontal="center" vertical="center" wrapText="1"/>
    </xf>
    <xf numFmtId="4" fontId="105" fillId="36" borderId="11" xfId="240" applyNumberFormat="1" applyFont="1" applyFill="1" applyBorder="1" applyAlignment="1">
      <alignment horizontal="center" vertical="center" wrapText="1"/>
    </xf>
    <xf numFmtId="169" fontId="97" fillId="43" borderId="11" xfId="238" applyFont="1" applyFill="1" applyBorder="1" applyAlignment="1">
      <alignment horizontal="center" vertical="center" wrapText="1"/>
    </xf>
    <xf numFmtId="9" fontId="105" fillId="36" borderId="11" xfId="242" applyFont="1" applyFill="1" applyBorder="1" applyAlignment="1">
      <alignment horizontal="center" vertical="center" wrapText="1"/>
    </xf>
    <xf numFmtId="9" fontId="105" fillId="36" borderId="86" xfId="242" applyFont="1" applyFill="1" applyBorder="1" applyAlignment="1">
      <alignment horizontal="center" vertical="center" wrapText="1"/>
    </xf>
    <xf numFmtId="4" fontId="105" fillId="36" borderId="86" xfId="240" applyNumberFormat="1" applyFont="1" applyFill="1" applyBorder="1" applyAlignment="1">
      <alignment horizontal="center" vertical="center" wrapText="1"/>
    </xf>
    <xf numFmtId="191" fontId="97" fillId="36" borderId="60" xfId="244" applyNumberFormat="1" applyFont="1" applyFill="1" applyBorder="1" applyAlignment="1">
      <alignment horizontal="center" vertical="center" wrapText="1"/>
    </xf>
    <xf numFmtId="0" fontId="97" fillId="36" borderId="61" xfId="240" applyFont="1" applyFill="1" applyBorder="1" applyAlignment="1">
      <alignment horizontal="center" vertical="center" wrapText="1"/>
    </xf>
    <xf numFmtId="0" fontId="97" fillId="36" borderId="11" xfId="240" applyFont="1" applyFill="1" applyBorder="1" applyAlignment="1">
      <alignment horizontal="center" vertical="center" wrapText="1"/>
    </xf>
    <xf numFmtId="4" fontId="97" fillId="36" borderId="11" xfId="240" applyNumberFormat="1" applyFont="1" applyFill="1" applyBorder="1" applyAlignment="1">
      <alignment horizontal="center" vertical="center" wrapText="1"/>
    </xf>
    <xf numFmtId="169" fontId="97" fillId="36" borderId="86" xfId="238" applyFont="1" applyFill="1" applyBorder="1" applyAlignment="1">
      <alignment horizontal="center" vertical="center" wrapText="1"/>
    </xf>
    <xf numFmtId="4" fontId="97" fillId="36" borderId="86" xfId="240" applyNumberFormat="1" applyFont="1" applyFill="1" applyBorder="1" applyAlignment="1">
      <alignment horizontal="center" vertical="center" wrapText="1"/>
    </xf>
    <xf numFmtId="169" fontId="105" fillId="43" borderId="11" xfId="238" applyFont="1" applyFill="1" applyBorder="1" applyAlignment="1">
      <alignment vertical="center" wrapText="1"/>
    </xf>
    <xf numFmtId="192" fontId="105" fillId="36" borderId="11" xfId="240" applyNumberFormat="1" applyFont="1" applyFill="1" applyBorder="1" applyAlignment="1">
      <alignment vertical="center" wrapText="1"/>
    </xf>
    <xf numFmtId="191" fontId="97" fillId="36" borderId="60" xfId="240" applyNumberFormat="1" applyFont="1" applyFill="1" applyBorder="1" applyAlignment="1">
      <alignment vertical="center" wrapText="1"/>
    </xf>
    <xf numFmtId="0" fontId="92" fillId="36" borderId="108" xfId="262" applyFont="1" applyFill="1" applyBorder="1" applyAlignment="1">
      <alignment horizontal="center" vertical="center" wrapText="1"/>
    </xf>
    <xf numFmtId="0" fontId="92" fillId="36" borderId="117" xfId="262" applyFont="1" applyFill="1" applyBorder="1" applyAlignment="1">
      <alignment horizontal="center" vertical="center" wrapText="1"/>
    </xf>
    <xf numFmtId="0" fontId="92" fillId="36" borderId="119" xfId="262" applyFont="1" applyFill="1" applyBorder="1" applyAlignment="1">
      <alignment horizontal="center" vertical="center" wrapText="1"/>
    </xf>
    <xf numFmtId="0" fontId="92" fillId="36" borderId="109" xfId="262" applyFont="1" applyFill="1" applyBorder="1" applyAlignment="1">
      <alignment horizontal="center" vertical="center" wrapText="1"/>
    </xf>
    <xf numFmtId="0" fontId="98" fillId="36" borderId="118" xfId="262" applyFont="1" applyFill="1" applyBorder="1" applyAlignment="1">
      <alignment horizontal="center" vertical="center"/>
    </xf>
    <xf numFmtId="0" fontId="98" fillId="36" borderId="112" xfId="262" applyFont="1" applyFill="1" applyBorder="1" applyAlignment="1">
      <alignment horizontal="center" vertical="center"/>
    </xf>
    <xf numFmtId="0" fontId="98" fillId="36" borderId="109" xfId="262" applyFont="1" applyFill="1" applyBorder="1" applyAlignment="1">
      <alignment horizontal="center" vertical="center"/>
    </xf>
    <xf numFmtId="42" fontId="36" fillId="36" borderId="109" xfId="270" applyFont="1" applyFill="1" applyBorder="1" applyAlignment="1">
      <alignment vertical="center"/>
    </xf>
    <xf numFmtId="0" fontId="76" fillId="36" borderId="0" xfId="179" applyFont="1" applyFill="1" applyAlignment="1">
      <alignment vertical="center"/>
    </xf>
    <xf numFmtId="0" fontId="113" fillId="36" borderId="0" xfId="0" applyFont="1" applyFill="1" applyAlignment="1">
      <alignment vertical="center" wrapText="1"/>
    </xf>
    <xf numFmtId="168" fontId="113" fillId="36" borderId="0" xfId="0" applyNumberFormat="1" applyFont="1" applyFill="1" applyAlignment="1">
      <alignment horizontal="center" vertical="center" wrapText="1"/>
    </xf>
    <xf numFmtId="0" fontId="76" fillId="36" borderId="67" xfId="179" applyFont="1" applyFill="1" applyBorder="1" applyAlignment="1">
      <alignment vertical="center"/>
    </xf>
    <xf numFmtId="0" fontId="115" fillId="36" borderId="68" xfId="0" applyFont="1" applyFill="1" applyBorder="1" applyAlignment="1">
      <alignment horizontal="center" vertical="center" wrapText="1"/>
    </xf>
    <xf numFmtId="0" fontId="76" fillId="36" borderId="42" xfId="179" applyFont="1" applyFill="1" applyBorder="1" applyAlignment="1">
      <alignment vertical="center"/>
    </xf>
    <xf numFmtId="0" fontId="115" fillId="36" borderId="41" xfId="0" applyFont="1" applyFill="1" applyBorder="1" applyAlignment="1">
      <alignment vertical="center" wrapText="1"/>
    </xf>
    <xf numFmtId="0" fontId="67" fillId="36" borderId="68" xfId="0" applyFont="1" applyFill="1" applyBorder="1" applyAlignment="1">
      <alignment horizontal="center" vertical="center" wrapText="1"/>
    </xf>
    <xf numFmtId="3" fontId="76" fillId="36" borderId="94" xfId="253" applyNumberFormat="1" applyFont="1" applyFill="1" applyBorder="1" applyAlignment="1">
      <alignment horizontal="center" vertical="center"/>
    </xf>
    <xf numFmtId="3" fontId="76" fillId="41" borderId="94" xfId="266" applyNumberFormat="1" applyFont="1" applyFill="1" applyBorder="1" applyAlignment="1">
      <alignment horizontal="center" vertical="center"/>
    </xf>
    <xf numFmtId="4" fontId="76" fillId="36" borderId="0" xfId="169" applyNumberFormat="1" applyFont="1" applyFill="1" applyAlignment="1">
      <alignment vertical="center"/>
    </xf>
    <xf numFmtId="49" fontId="75" fillId="36" borderId="145" xfId="169" applyNumberFormat="1" applyFont="1" applyFill="1" applyBorder="1" applyAlignment="1">
      <alignment horizontal="center" vertical="center"/>
    </xf>
    <xf numFmtId="0" fontId="75" fillId="36" borderId="142" xfId="169" applyFont="1" applyFill="1" applyBorder="1" applyAlignment="1">
      <alignment vertical="center"/>
    </xf>
    <xf numFmtId="0" fontId="75" fillId="36" borderId="142" xfId="169" applyFont="1" applyFill="1" applyBorder="1" applyAlignment="1">
      <alignment horizontal="center" vertical="center"/>
    </xf>
    <xf numFmtId="166" fontId="75" fillId="36" borderId="142" xfId="253" applyFont="1" applyFill="1" applyBorder="1" applyAlignment="1">
      <alignment horizontal="center" vertical="center"/>
    </xf>
    <xf numFmtId="176" fontId="107" fillId="36" borderId="142" xfId="254" applyNumberFormat="1" applyFont="1" applyFill="1" applyBorder="1" applyAlignment="1">
      <alignment vertical="center"/>
    </xf>
    <xf numFmtId="4" fontId="75" fillId="36" borderId="144" xfId="169" applyNumberFormat="1" applyFont="1" applyFill="1" applyBorder="1" applyAlignment="1">
      <alignment horizontal="center" vertical="center"/>
    </xf>
    <xf numFmtId="0" fontId="76" fillId="36" borderId="142" xfId="169" applyFont="1" applyFill="1" applyBorder="1" applyAlignment="1">
      <alignment vertical="center"/>
    </xf>
    <xf numFmtId="0" fontId="76" fillId="36" borderId="142" xfId="169" applyFont="1" applyFill="1" applyBorder="1" applyAlignment="1">
      <alignment horizontal="center" vertical="center"/>
    </xf>
    <xf numFmtId="3" fontId="76" fillId="36" borderId="142" xfId="169" applyNumberFormat="1" applyFont="1" applyFill="1" applyBorder="1" applyAlignment="1">
      <alignment horizontal="center" vertical="center"/>
    </xf>
    <xf numFmtId="0" fontId="76" fillId="36" borderId="142" xfId="169" applyFont="1" applyFill="1" applyBorder="1" applyAlignment="1">
      <alignment vertical="center" wrapText="1"/>
    </xf>
    <xf numFmtId="0" fontId="76" fillId="36" borderId="143" xfId="169" applyFont="1" applyFill="1" applyBorder="1" applyAlignment="1">
      <alignment vertical="center" wrapText="1"/>
    </xf>
    <xf numFmtId="0" fontId="76" fillId="36" borderId="143" xfId="169" applyFont="1" applyFill="1" applyBorder="1" applyAlignment="1">
      <alignment horizontal="center" vertical="center"/>
    </xf>
    <xf numFmtId="0" fontId="75" fillId="36" borderId="143" xfId="169" applyFont="1" applyFill="1" applyBorder="1" applyAlignment="1">
      <alignment vertical="center"/>
    </xf>
    <xf numFmtId="0" fontId="75" fillId="36" borderId="143" xfId="169" applyFont="1" applyFill="1" applyBorder="1" applyAlignment="1">
      <alignment horizontal="center" vertical="center"/>
    </xf>
    <xf numFmtId="176" fontId="107" fillId="36" borderId="143" xfId="254" applyNumberFormat="1" applyFont="1" applyFill="1" applyBorder="1" applyAlignment="1">
      <alignment vertical="center"/>
    </xf>
    <xf numFmtId="188" fontId="105" fillId="0" borderId="145" xfId="240" applyNumberFormat="1" applyFont="1" applyBorder="1" applyAlignment="1">
      <alignment horizontal="left" vertical="center" wrapText="1"/>
    </xf>
    <xf numFmtId="0" fontId="105" fillId="0" borderId="142" xfId="240" applyFont="1" applyBorder="1" applyAlignment="1">
      <alignment horizontal="center" vertical="center" wrapText="1"/>
    </xf>
    <xf numFmtId="9" fontId="105" fillId="0" borderId="142" xfId="242" applyFont="1" applyFill="1" applyBorder="1" applyAlignment="1">
      <alignment horizontal="center" vertical="center" wrapText="1"/>
    </xf>
    <xf numFmtId="3" fontId="105" fillId="0" borderId="11" xfId="246" applyNumberFormat="1" applyFont="1" applyFill="1" applyBorder="1" applyAlignment="1">
      <alignment horizontal="center" vertical="center" wrapText="1"/>
    </xf>
    <xf numFmtId="169" fontId="71" fillId="0" borderId="0" xfId="239" applyNumberFormat="1" applyFont="1" applyAlignment="1">
      <alignment wrapText="1"/>
    </xf>
    <xf numFmtId="0" fontId="86" fillId="0" borderId="0" xfId="0" applyFont="1" applyAlignment="1">
      <alignment horizontal="left"/>
    </xf>
    <xf numFmtId="0" fontId="93" fillId="0" borderId="0" xfId="0" applyFont="1" applyAlignment="1">
      <alignment horizontal="left"/>
    </xf>
    <xf numFmtId="0" fontId="66" fillId="0" borderId="0" xfId="239" applyFont="1" applyAlignment="1">
      <alignment horizontal="left"/>
    </xf>
    <xf numFmtId="0" fontId="67" fillId="0" borderId="0" xfId="239" applyFont="1" applyAlignment="1">
      <alignment horizontal="left"/>
    </xf>
    <xf numFmtId="0" fontId="69" fillId="0" borderId="109" xfId="262" applyFont="1" applyBorder="1" applyAlignment="1">
      <alignment horizontal="center"/>
    </xf>
    <xf numFmtId="0" fontId="36" fillId="0" borderId="37" xfId="0" applyFont="1" applyBorder="1" applyAlignment="1">
      <alignment horizontal="center" vertical="center"/>
    </xf>
    <xf numFmtId="177" fontId="36" fillId="0" borderId="148" xfId="0" applyNumberFormat="1" applyFont="1" applyBorder="1" applyAlignment="1">
      <alignment vertical="center"/>
    </xf>
    <xf numFmtId="177" fontId="36" fillId="0" borderId="149" xfId="0" applyNumberFormat="1" applyFont="1" applyBorder="1" applyAlignment="1">
      <alignment vertical="center"/>
    </xf>
    <xf numFmtId="0" fontId="76" fillId="0" borderId="153" xfId="0" applyFont="1" applyBorder="1"/>
    <xf numFmtId="0" fontId="76" fillId="0" borderId="154" xfId="0" applyFont="1" applyBorder="1"/>
    <xf numFmtId="0" fontId="76" fillId="0" borderId="155" xfId="0" applyFont="1" applyBorder="1" applyAlignment="1">
      <alignment horizontal="center"/>
    </xf>
    <xf numFmtId="0" fontId="122" fillId="0" borderId="155" xfId="0" applyFont="1" applyBorder="1" applyAlignment="1">
      <alignment horizontal="center"/>
    </xf>
    <xf numFmtId="0" fontId="86" fillId="0" borderId="14" xfId="0" applyFont="1" applyBorder="1" applyAlignment="1">
      <alignment horizontal="center" vertical="center"/>
    </xf>
    <xf numFmtId="0" fontId="86" fillId="0" borderId="151" xfId="0" applyFont="1" applyBorder="1" applyAlignment="1">
      <alignment horizontal="center" vertical="center"/>
    </xf>
    <xf numFmtId="0" fontId="86" fillId="0" borderId="149" xfId="0" applyFont="1" applyBorder="1" applyAlignment="1">
      <alignment horizontal="center" vertical="center"/>
    </xf>
    <xf numFmtId="42" fontId="86" fillId="0" borderId="149" xfId="271" applyFont="1" applyBorder="1" applyAlignment="1">
      <alignment horizontal="center" vertical="center"/>
    </xf>
    <xf numFmtId="42" fontId="93" fillId="0" borderId="149" xfId="271" applyFont="1" applyBorder="1" applyAlignment="1">
      <alignment horizontal="center" vertical="center"/>
    </xf>
    <xf numFmtId="42" fontId="86" fillId="0" borderId="150" xfId="271" applyFont="1" applyBorder="1" applyAlignment="1">
      <alignment horizontal="center" vertical="center"/>
    </xf>
    <xf numFmtId="42" fontId="86" fillId="0" borderId="152" xfId="271" applyFont="1" applyBorder="1" applyAlignment="1">
      <alignment horizontal="center" vertical="center"/>
    </xf>
    <xf numFmtId="10" fontId="86" fillId="0" borderId="0" xfId="207" applyNumberFormat="1" applyFont="1"/>
    <xf numFmtId="0" fontId="93" fillId="0" borderId="0" xfId="0" applyFont="1"/>
    <xf numFmtId="190" fontId="71" fillId="0" borderId="0" xfId="271" applyNumberFormat="1" applyFont="1" applyFill="1" applyAlignment="1">
      <alignment wrapText="1"/>
    </xf>
    <xf numFmtId="0" fontId="66" fillId="0" borderId="0" xfId="0" applyFont="1" applyAlignment="1">
      <alignment horizontal="center" vertical="center"/>
    </xf>
    <xf numFmtId="166" fontId="66" fillId="0" borderId="0" xfId="100" applyFont="1" applyBorder="1" applyAlignment="1">
      <alignment horizontal="center" vertical="center"/>
    </xf>
    <xf numFmtId="0" fontId="93" fillId="0" borderId="0" xfId="0" applyFont="1" applyAlignment="1">
      <alignment horizontal="right"/>
    </xf>
    <xf numFmtId="42" fontId="93" fillId="0" borderId="0" xfId="271" applyFont="1" applyBorder="1" applyAlignment="1">
      <alignment horizontal="center" vertical="center"/>
    </xf>
    <xf numFmtId="42" fontId="86" fillId="0" borderId="0" xfId="273" applyFont="1" applyFill="1" applyAlignment="1">
      <alignment vertical="center"/>
    </xf>
    <xf numFmtId="2" fontId="86" fillId="0" borderId="14" xfId="0" applyNumberFormat="1" applyFont="1" applyBorder="1" applyAlignment="1">
      <alignment horizontal="center" vertical="center"/>
    </xf>
    <xf numFmtId="0" fontId="93" fillId="0" borderId="159" xfId="194" applyFont="1" applyBorder="1" applyAlignment="1">
      <alignment horizontal="right" vertical="center" indent="1"/>
    </xf>
    <xf numFmtId="0" fontId="86" fillId="0" borderId="159" xfId="0" applyFont="1" applyBorder="1" applyAlignment="1">
      <alignment horizontal="center" vertical="center"/>
    </xf>
    <xf numFmtId="177" fontId="86" fillId="0" borderId="159" xfId="0" applyNumberFormat="1" applyFont="1" applyBorder="1" applyAlignment="1">
      <alignment vertical="center"/>
    </xf>
    <xf numFmtId="2" fontId="36" fillId="0" borderId="160" xfId="236" applyNumberFormat="1" applyFont="1" applyBorder="1" applyAlignment="1">
      <alignment horizontal="center" vertical="center" wrapText="1"/>
    </xf>
    <xf numFmtId="0" fontId="44" fillId="0" borderId="161" xfId="236" applyFont="1" applyBorder="1" applyAlignment="1">
      <alignment horizontal="center" vertical="center" wrapText="1"/>
    </xf>
    <xf numFmtId="0" fontId="44" fillId="0" borderId="162" xfId="236" applyFont="1" applyBorder="1" applyAlignment="1">
      <alignment horizontal="center" vertical="center" wrapText="1"/>
    </xf>
    <xf numFmtId="1" fontId="36" fillId="0" borderId="161" xfId="236" applyNumberFormat="1" applyFont="1" applyBorder="1" applyAlignment="1">
      <alignment horizontal="center" vertical="center" wrapText="1"/>
    </xf>
    <xf numFmtId="0" fontId="0" fillId="0" borderId="141" xfId="0" applyBorder="1"/>
    <xf numFmtId="0" fontId="65" fillId="0" borderId="0" xfId="230" applyAlignment="1">
      <alignment horizontal="center" vertical="center"/>
    </xf>
    <xf numFmtId="2" fontId="86" fillId="0" borderId="149" xfId="0" applyNumberFormat="1" applyFont="1" applyBorder="1" applyAlignment="1">
      <alignment horizontal="center" vertical="center"/>
    </xf>
    <xf numFmtId="168" fontId="115" fillId="36" borderId="68" xfId="0" applyNumberFormat="1" applyFont="1" applyFill="1" applyBorder="1" applyAlignment="1">
      <alignment horizontal="center" vertical="center" wrapText="1"/>
    </xf>
    <xf numFmtId="0" fontId="115" fillId="36" borderId="0" xfId="0" applyFont="1" applyFill="1" applyAlignment="1">
      <alignment horizontal="center" vertical="center" wrapText="1"/>
    </xf>
    <xf numFmtId="168" fontId="115" fillId="36" borderId="41" xfId="0" applyNumberFormat="1" applyFont="1" applyFill="1" applyBorder="1" applyAlignment="1">
      <alignment horizontal="center" vertical="center" wrapText="1"/>
    </xf>
    <xf numFmtId="0" fontId="76" fillId="36" borderId="165" xfId="169" applyFont="1" applyFill="1" applyBorder="1" applyAlignment="1">
      <alignment vertical="center" wrapText="1"/>
    </xf>
    <xf numFmtId="0" fontId="76" fillId="36" borderId="165" xfId="169" applyFont="1" applyFill="1" applyBorder="1" applyAlignment="1">
      <alignment horizontal="center" vertical="center"/>
    </xf>
    <xf numFmtId="0" fontId="75" fillId="36" borderId="165" xfId="169" applyFont="1" applyFill="1" applyBorder="1" applyAlignment="1">
      <alignment horizontal="center" vertical="center"/>
    </xf>
    <xf numFmtId="176" fontId="107" fillId="36" borderId="165" xfId="254" applyNumberFormat="1" applyFont="1" applyFill="1" applyBorder="1" applyAlignment="1">
      <alignment vertical="center"/>
    </xf>
    <xf numFmtId="0" fontId="76" fillId="36" borderId="145" xfId="169" applyFont="1" applyFill="1" applyBorder="1" applyAlignment="1">
      <alignment horizontal="center" vertical="center"/>
    </xf>
    <xf numFmtId="4" fontId="75" fillId="36" borderId="88" xfId="255" applyNumberFormat="1" applyFont="1" applyFill="1" applyBorder="1" applyAlignment="1">
      <alignment vertical="center"/>
    </xf>
    <xf numFmtId="1" fontId="36" fillId="0" borderId="161" xfId="0" applyNumberFormat="1" applyFont="1" applyBorder="1" applyAlignment="1">
      <alignment horizontal="center"/>
    </xf>
    <xf numFmtId="1" fontId="36" fillId="0" borderId="166" xfId="236" applyNumberFormat="1" applyFont="1" applyBorder="1" applyAlignment="1">
      <alignment horizontal="center" vertical="center" wrapText="1"/>
    </xf>
    <xf numFmtId="1" fontId="66" fillId="0" borderId="161" xfId="0" applyNumberFormat="1" applyFont="1" applyBorder="1" applyAlignment="1">
      <alignment horizontal="center"/>
    </xf>
    <xf numFmtId="1" fontId="36" fillId="0" borderId="167" xfId="236" applyNumberFormat="1" applyFont="1" applyBorder="1" applyAlignment="1">
      <alignment horizontal="center" vertical="center" wrapText="1"/>
    </xf>
    <xf numFmtId="42" fontId="86" fillId="0" borderId="0" xfId="271" applyFont="1"/>
    <xf numFmtId="42" fontId="86" fillId="0" borderId="0" xfId="0" applyNumberFormat="1" applyFont="1"/>
    <xf numFmtId="0" fontId="76" fillId="0" borderId="168" xfId="262" applyFont="1" applyBorder="1" applyAlignment="1">
      <alignment vertical="center"/>
    </xf>
    <xf numFmtId="0" fontId="76" fillId="36" borderId="168" xfId="169" applyFont="1" applyFill="1" applyBorder="1" applyAlignment="1">
      <alignment horizontal="center" vertical="center"/>
    </xf>
    <xf numFmtId="9" fontId="76" fillId="36" borderId="168" xfId="243" applyFont="1" applyFill="1" applyBorder="1" applyAlignment="1">
      <alignment horizontal="center" vertical="center"/>
    </xf>
    <xf numFmtId="42" fontId="71" fillId="0" borderId="0" xfId="271" applyFont="1" applyFill="1" applyAlignment="1">
      <alignment wrapText="1"/>
    </xf>
    <xf numFmtId="0" fontId="105" fillId="36" borderId="169" xfId="240" applyFont="1" applyFill="1" applyBorder="1" applyAlignment="1">
      <alignment horizontal="center" vertical="center" wrapText="1"/>
    </xf>
    <xf numFmtId="169" fontId="105" fillId="36" borderId="169" xfId="238" applyFont="1" applyFill="1" applyBorder="1" applyAlignment="1">
      <alignment horizontal="center" vertical="center" wrapText="1"/>
    </xf>
    <xf numFmtId="9" fontId="105" fillId="36" borderId="169" xfId="242" applyFont="1" applyFill="1" applyBorder="1" applyAlignment="1">
      <alignment horizontal="center" vertical="center" wrapText="1"/>
    </xf>
    <xf numFmtId="0" fontId="123" fillId="36" borderId="16" xfId="0" applyFont="1" applyFill="1" applyBorder="1" applyAlignment="1">
      <alignment vertical="center" wrapText="1"/>
    </xf>
    <xf numFmtId="0" fontId="123" fillId="36" borderId="17" xfId="0" applyFont="1" applyFill="1" applyBorder="1" applyAlignment="1">
      <alignment vertical="center" wrapText="1"/>
    </xf>
    <xf numFmtId="0" fontId="123" fillId="36" borderId="141" xfId="0" applyFont="1" applyFill="1" applyBorder="1" applyAlignment="1">
      <alignment vertical="center" wrapText="1"/>
    </xf>
    <xf numFmtId="0" fontId="123" fillId="36" borderId="76" xfId="0" applyFont="1" applyFill="1" applyBorder="1" applyAlignment="1">
      <alignment vertical="center" wrapText="1"/>
    </xf>
    <xf numFmtId="0" fontId="123" fillId="36" borderId="93" xfId="0" applyFont="1" applyFill="1" applyBorder="1" applyAlignment="1">
      <alignment vertical="center" wrapText="1"/>
    </xf>
    <xf numFmtId="0" fontId="86" fillId="0" borderId="15" xfId="0" applyFont="1" applyBorder="1"/>
    <xf numFmtId="0" fontId="93" fillId="45" borderId="67" xfId="0" applyFont="1" applyFill="1" applyBorder="1" applyAlignment="1">
      <alignment horizontal="center" vertical="center"/>
    </xf>
    <xf numFmtId="42" fontId="93" fillId="45" borderId="69" xfId="271" applyFont="1" applyFill="1" applyBorder="1"/>
    <xf numFmtId="0" fontId="93" fillId="45" borderId="41" xfId="0" applyFont="1" applyFill="1" applyBorder="1" applyAlignment="1">
      <alignment horizontal="center" vertical="center"/>
    </xf>
    <xf numFmtId="42" fontId="93" fillId="45" borderId="66" xfId="271" applyFont="1" applyFill="1" applyBorder="1" applyAlignment="1">
      <alignment horizontal="center" vertical="center"/>
    </xf>
    <xf numFmtId="42" fontId="93" fillId="45" borderId="41" xfId="271" applyFont="1" applyFill="1" applyBorder="1" applyAlignment="1">
      <alignment horizontal="center" vertical="center"/>
    </xf>
    <xf numFmtId="0" fontId="73" fillId="45" borderId="54" xfId="236" applyFont="1" applyFill="1" applyBorder="1" applyAlignment="1">
      <alignment horizontal="center" vertical="center" wrapText="1"/>
    </xf>
    <xf numFmtId="0" fontId="75" fillId="45" borderId="68" xfId="169" applyFont="1" applyFill="1" applyBorder="1" applyAlignment="1">
      <alignment horizontal="center" vertical="center" wrapText="1"/>
    </xf>
    <xf numFmtId="166" fontId="75" fillId="45" borderId="68" xfId="253" applyFont="1" applyFill="1" applyBorder="1" applyAlignment="1">
      <alignment horizontal="center" vertical="center" wrapText="1"/>
    </xf>
    <xf numFmtId="176" fontId="75" fillId="45" borderId="68" xfId="254" applyNumberFormat="1" applyFont="1" applyFill="1" applyBorder="1" applyAlignment="1">
      <alignment horizontal="center" vertical="center" wrapText="1"/>
    </xf>
    <xf numFmtId="4" fontId="75" fillId="45" borderId="69" xfId="169" applyNumberFormat="1" applyFont="1" applyFill="1" applyBorder="1" applyAlignment="1">
      <alignment horizontal="center" vertical="center" wrapText="1"/>
    </xf>
    <xf numFmtId="0" fontId="75" fillId="45" borderId="23" xfId="169" applyFont="1" applyFill="1" applyBorder="1" applyAlignment="1">
      <alignment horizontal="center" vertical="center" wrapText="1"/>
    </xf>
    <xf numFmtId="166" fontId="75" fillId="45" borderId="23" xfId="253" applyFont="1" applyFill="1" applyBorder="1" applyAlignment="1">
      <alignment horizontal="center" vertical="center" wrapText="1"/>
    </xf>
    <xf numFmtId="176" fontId="75" fillId="45" borderId="23" xfId="254" applyNumberFormat="1" applyFont="1" applyFill="1" applyBorder="1" applyAlignment="1">
      <alignment horizontal="center" vertical="center" wrapText="1"/>
    </xf>
    <xf numFmtId="4" fontId="75" fillId="45" borderId="45" xfId="169" applyNumberFormat="1" applyFont="1" applyFill="1" applyBorder="1" applyAlignment="1">
      <alignment horizontal="center" vertical="center" wrapText="1"/>
    </xf>
    <xf numFmtId="0" fontId="87" fillId="45" borderId="29" xfId="272" applyFont="1" applyFill="1" applyBorder="1" applyAlignment="1">
      <alignment horizontal="center" vertical="center" wrapText="1"/>
    </xf>
    <xf numFmtId="0" fontId="92" fillId="45" borderId="42" xfId="262" applyFont="1" applyFill="1" applyBorder="1" applyAlignment="1">
      <alignment horizontal="center" vertical="center" wrapText="1"/>
    </xf>
    <xf numFmtId="0" fontId="92" fillId="45" borderId="41" xfId="262" applyFont="1" applyFill="1" applyBorder="1" applyAlignment="1">
      <alignment horizontal="center" vertical="center" wrapText="1"/>
    </xf>
    <xf numFmtId="0" fontId="92" fillId="45" borderId="66" xfId="262" applyFont="1" applyFill="1" applyBorder="1" applyAlignment="1">
      <alignment horizontal="center" vertical="center" wrapText="1"/>
    </xf>
    <xf numFmtId="1" fontId="97" fillId="45" borderId="61" xfId="240" applyNumberFormat="1" applyFont="1" applyFill="1" applyBorder="1" applyAlignment="1">
      <alignment horizontal="center" vertical="center" wrapText="1"/>
    </xf>
    <xf numFmtId="0" fontId="97" fillId="45" borderId="34" xfId="240" applyFont="1" applyFill="1" applyBorder="1" applyAlignment="1">
      <alignment vertical="center" wrapText="1"/>
    </xf>
    <xf numFmtId="0" fontId="105" fillId="45" borderId="11" xfId="240" applyFont="1" applyFill="1" applyBorder="1" applyAlignment="1">
      <alignment vertical="center" wrapText="1"/>
    </xf>
    <xf numFmtId="169" fontId="105" fillId="45" borderId="86" xfId="238" applyFont="1" applyFill="1" applyBorder="1" applyAlignment="1">
      <alignment vertical="center" wrapText="1"/>
    </xf>
    <xf numFmtId="0" fontId="105" fillId="45" borderId="86" xfId="240" applyFont="1" applyFill="1" applyBorder="1" applyAlignment="1">
      <alignment vertical="center" wrapText="1"/>
    </xf>
    <xf numFmtId="169" fontId="105" fillId="45" borderId="11" xfId="238" applyFont="1" applyFill="1" applyBorder="1" applyAlignment="1">
      <alignment vertical="center" wrapText="1"/>
    </xf>
    <xf numFmtId="191" fontId="105" fillId="45" borderId="60" xfId="240" applyNumberFormat="1" applyFont="1" applyFill="1" applyBorder="1" applyAlignment="1">
      <alignment vertical="center" wrapText="1"/>
    </xf>
    <xf numFmtId="0" fontId="76" fillId="0" borderId="170" xfId="262" applyFont="1" applyBorder="1" applyAlignment="1">
      <alignment vertical="center"/>
    </xf>
    <xf numFmtId="0" fontId="76" fillId="36" borderId="170" xfId="169" applyFont="1" applyFill="1" applyBorder="1" applyAlignment="1">
      <alignment horizontal="center" vertical="center"/>
    </xf>
    <xf numFmtId="9" fontId="76" fillId="36" borderId="170" xfId="243" applyFont="1" applyFill="1" applyBorder="1" applyAlignment="1">
      <alignment horizontal="center" vertical="center"/>
    </xf>
    <xf numFmtId="2" fontId="75" fillId="36" borderId="170" xfId="169" applyNumberFormat="1" applyFont="1" applyFill="1" applyBorder="1" applyAlignment="1">
      <alignment horizontal="center" vertical="center"/>
    </xf>
    <xf numFmtId="0" fontId="0" fillId="0" borderId="23" xfId="0" applyBorder="1"/>
    <xf numFmtId="0" fontId="127" fillId="44" borderId="70" xfId="0" applyFont="1" applyFill="1" applyBorder="1" applyAlignment="1">
      <alignment horizontal="center" vertical="center"/>
    </xf>
    <xf numFmtId="0" fontId="128" fillId="44" borderId="23" xfId="0" applyFont="1" applyFill="1" applyBorder="1" applyAlignment="1">
      <alignment horizontal="center" vertical="center" wrapText="1"/>
    </xf>
    <xf numFmtId="0" fontId="44" fillId="0" borderId="42" xfId="0" applyFont="1" applyBorder="1"/>
    <xf numFmtId="177" fontId="36" fillId="0" borderId="179" xfId="0" applyNumberFormat="1" applyFont="1" applyBorder="1" applyAlignment="1">
      <alignment vertical="center"/>
    </xf>
    <xf numFmtId="0" fontId="36" fillId="0" borderId="181" xfId="0" applyFont="1" applyBorder="1" applyAlignment="1">
      <alignment vertical="center"/>
    </xf>
    <xf numFmtId="0" fontId="36" fillId="0" borderId="180" xfId="0" applyFont="1" applyBorder="1" applyAlignment="1">
      <alignment vertical="center"/>
    </xf>
    <xf numFmtId="0" fontId="36" fillId="0" borderId="178" xfId="0" applyFont="1" applyBorder="1" applyAlignment="1">
      <alignment vertical="center"/>
    </xf>
    <xf numFmtId="0" fontId="76" fillId="0" borderId="14" xfId="0" applyFont="1" applyBorder="1" applyAlignment="1">
      <alignment vertical="center" wrapText="1"/>
    </xf>
    <xf numFmtId="177" fontId="36" fillId="0" borderId="205" xfId="394" applyNumberFormat="1" applyFont="1" applyFill="1" applyBorder="1" applyAlignment="1">
      <alignment vertical="center"/>
    </xf>
    <xf numFmtId="178" fontId="36" fillId="0" borderId="11" xfId="0" applyNumberFormat="1" applyFont="1" applyBorder="1" applyAlignment="1">
      <alignment vertical="center"/>
    </xf>
    <xf numFmtId="197" fontId="86" fillId="0" borderId="0" xfId="207" applyNumberFormat="1" applyFont="1"/>
    <xf numFmtId="169" fontId="86" fillId="0" borderId="0" xfId="238" applyFont="1"/>
    <xf numFmtId="169" fontId="76" fillId="0" borderId="0" xfId="238" applyFont="1" applyFill="1" applyAlignment="1">
      <alignment vertical="center"/>
    </xf>
    <xf numFmtId="169" fontId="88" fillId="0" borderId="208" xfId="244" applyFont="1" applyBorder="1" applyAlignment="1">
      <alignment horizontal="center" vertical="center"/>
    </xf>
    <xf numFmtId="2" fontId="86" fillId="0" borderId="0" xfId="0" applyNumberFormat="1" applyFont="1" applyAlignment="1">
      <alignment horizontal="center" vertical="center"/>
    </xf>
    <xf numFmtId="0" fontId="93" fillId="0" borderId="0" xfId="194" applyFont="1" applyAlignment="1">
      <alignment horizontal="right" vertical="center" indent="1"/>
    </xf>
    <xf numFmtId="177" fontId="86" fillId="0" borderId="0" xfId="0" applyNumberFormat="1" applyFont="1" applyAlignment="1">
      <alignment vertical="center"/>
    </xf>
    <xf numFmtId="177" fontId="93" fillId="0" borderId="0" xfId="0" applyNumberFormat="1" applyFont="1" applyAlignment="1">
      <alignment vertical="center"/>
    </xf>
    <xf numFmtId="0" fontId="86" fillId="0" borderId="210" xfId="0" applyFont="1" applyBorder="1" applyAlignment="1">
      <alignment horizontal="center" vertical="center"/>
    </xf>
    <xf numFmtId="0" fontId="86" fillId="0" borderId="210" xfId="0" applyFont="1" applyBorder="1" applyAlignment="1">
      <alignment wrapText="1"/>
    </xf>
    <xf numFmtId="2" fontId="86" fillId="0" borderId="210" xfId="0" applyNumberFormat="1" applyFont="1" applyBorder="1" applyAlignment="1">
      <alignment horizontal="center" vertical="center"/>
    </xf>
    <xf numFmtId="0" fontId="36" fillId="0" borderId="18" xfId="279" applyBorder="1"/>
    <xf numFmtId="0" fontId="36" fillId="0" borderId="0" xfId="279"/>
    <xf numFmtId="0" fontId="36" fillId="0" borderId="19" xfId="279" applyBorder="1"/>
    <xf numFmtId="0" fontId="44" fillId="0" borderId="210" xfId="280" applyFont="1" applyBorder="1" applyAlignment="1">
      <alignment horizontal="center" vertical="center" wrapText="1"/>
    </xf>
    <xf numFmtId="0" fontId="44" fillId="0" borderId="211" xfId="280" applyFont="1" applyBorder="1" applyAlignment="1">
      <alignment horizontal="center" vertical="center" wrapText="1"/>
    </xf>
    <xf numFmtId="0" fontId="36" fillId="0" borderId="210" xfId="280" applyFont="1" applyBorder="1" applyAlignment="1">
      <alignment horizontal="center" vertical="center" wrapText="1"/>
    </xf>
    <xf numFmtId="0" fontId="66" fillId="0" borderId="213" xfId="279" applyFont="1" applyBorder="1" applyAlignment="1">
      <alignment horizontal="left"/>
    </xf>
    <xf numFmtId="0" fontId="66" fillId="0" borderId="214" xfId="279" applyFont="1" applyBorder="1" applyAlignment="1">
      <alignment horizontal="left"/>
    </xf>
    <xf numFmtId="1" fontId="66" fillId="0" borderId="214" xfId="279" applyNumberFormat="1" applyFont="1" applyBorder="1" applyAlignment="1">
      <alignment horizontal="center"/>
    </xf>
    <xf numFmtId="2" fontId="66" fillId="0" borderId="214" xfId="279" applyNumberFormat="1" applyFont="1" applyBorder="1" applyAlignment="1">
      <alignment horizontal="center"/>
    </xf>
    <xf numFmtId="0" fontId="66" fillId="0" borderId="214" xfId="279" applyFont="1" applyBorder="1" applyAlignment="1">
      <alignment horizontal="center"/>
    </xf>
    <xf numFmtId="1" fontId="36" fillId="0" borderId="214" xfId="280" applyNumberFormat="1" applyFont="1" applyBorder="1" applyAlignment="1">
      <alignment horizontal="center" vertical="center" wrapText="1"/>
    </xf>
    <xf numFmtId="2" fontId="36" fillId="0" borderId="211" xfId="280" applyNumberFormat="1" applyFont="1" applyBorder="1" applyAlignment="1">
      <alignment horizontal="center" vertical="center" wrapText="1"/>
    </xf>
    <xf numFmtId="2" fontId="36" fillId="0" borderId="215" xfId="280" applyNumberFormat="1" applyFont="1" applyBorder="1" applyAlignment="1">
      <alignment horizontal="center" vertical="center" wrapText="1"/>
    </xf>
    <xf numFmtId="2" fontId="36" fillId="0" borderId="210" xfId="280" applyNumberFormat="1" applyFont="1" applyBorder="1" applyAlignment="1">
      <alignment horizontal="center" vertical="center" wrapText="1"/>
    </xf>
    <xf numFmtId="166" fontId="66" fillId="0" borderId="0" xfId="100" applyFont="1" applyFill="1" applyBorder="1" applyAlignment="1">
      <alignment vertical="center"/>
    </xf>
    <xf numFmtId="0" fontId="44" fillId="0" borderId="0" xfId="0" applyFont="1" applyAlignment="1">
      <alignment horizontal="center"/>
    </xf>
    <xf numFmtId="0" fontId="91" fillId="0" borderId="0" xfId="0" applyFont="1" applyAlignment="1">
      <alignment vertical="center"/>
    </xf>
    <xf numFmtId="0" fontId="121" fillId="36" borderId="41" xfId="0" applyFont="1" applyFill="1" applyBorder="1" applyAlignment="1">
      <alignment horizontal="center"/>
    </xf>
    <xf numFmtId="2" fontId="17" fillId="0" borderId="41" xfId="0" applyNumberFormat="1" applyFont="1" applyBorder="1" applyAlignment="1">
      <alignment horizontal="center"/>
    </xf>
    <xf numFmtId="0" fontId="0" fillId="0" borderId="41" xfId="0" applyBorder="1" applyAlignment="1">
      <alignment horizontal="center"/>
    </xf>
    <xf numFmtId="2" fontId="0" fillId="0" borderId="41" xfId="0" applyNumberFormat="1" applyBorder="1" applyAlignment="1">
      <alignment horizontal="center"/>
    </xf>
    <xf numFmtId="0" fontId="44" fillId="0" borderId="0" xfId="0" applyFont="1" applyAlignment="1">
      <alignment horizontal="center" vertical="center" wrapText="1"/>
    </xf>
    <xf numFmtId="0" fontId="44" fillId="0" borderId="0" xfId="0" applyFont="1" applyAlignment="1">
      <alignment horizontal="center" vertical="center"/>
    </xf>
    <xf numFmtId="1" fontId="95" fillId="0" borderId="0" xfId="0" applyNumberFormat="1" applyFont="1" applyAlignment="1">
      <alignment horizontal="center" vertical="center"/>
    </xf>
    <xf numFmtId="1" fontId="90" fillId="0" borderId="0" xfId="0" applyNumberFormat="1" applyFont="1" applyAlignment="1">
      <alignment horizontal="center"/>
    </xf>
    <xf numFmtId="0" fontId="66" fillId="0" borderId="0" xfId="279" applyFont="1" applyAlignment="1">
      <alignment horizontal="center"/>
    </xf>
    <xf numFmtId="0" fontId="66" fillId="0" borderId="0" xfId="279" applyFont="1"/>
    <xf numFmtId="0" fontId="96" fillId="0" borderId="0" xfId="279" applyFont="1" applyAlignment="1">
      <alignment horizontal="center"/>
    </xf>
    <xf numFmtId="2" fontId="44" fillId="0" borderId="0" xfId="280" applyNumberFormat="1" applyFont="1" applyAlignment="1">
      <alignment horizontal="center" vertical="center" wrapText="1"/>
    </xf>
    <xf numFmtId="10" fontId="105" fillId="36" borderId="11" xfId="207" applyNumberFormat="1" applyFont="1" applyFill="1" applyBorder="1" applyAlignment="1">
      <alignment horizontal="center" vertical="center" wrapText="1"/>
    </xf>
    <xf numFmtId="3" fontId="121" fillId="0" borderId="123" xfId="236" applyNumberFormat="1" applyFont="1" applyBorder="1" applyAlignment="1">
      <alignment horizontal="center" vertical="center" wrapText="1"/>
    </xf>
    <xf numFmtId="3" fontId="69" fillId="0" borderId="109" xfId="262" applyNumberFormat="1" applyFont="1" applyBorder="1" applyAlignment="1">
      <alignment horizontal="center" vertical="center"/>
    </xf>
    <xf numFmtId="44" fontId="76" fillId="0" borderId="0" xfId="179" applyNumberFormat="1" applyFont="1" applyAlignment="1">
      <alignment vertical="center"/>
    </xf>
    <xf numFmtId="0" fontId="76" fillId="0" borderId="41" xfId="179" applyFont="1" applyBorder="1" applyAlignment="1">
      <alignment horizontal="left" vertical="center"/>
    </xf>
    <xf numFmtId="0" fontId="78" fillId="0" borderId="0" xfId="179" applyFont="1" applyAlignment="1">
      <alignment horizontal="center" vertical="center"/>
    </xf>
    <xf numFmtId="0" fontId="76" fillId="0" borderId="68" xfId="179" applyFont="1" applyBorder="1" applyAlignment="1">
      <alignment horizontal="left" vertical="center"/>
    </xf>
    <xf numFmtId="0" fontId="76" fillId="0" borderId="0" xfId="179" applyFont="1" applyAlignment="1">
      <alignment horizontal="left" vertical="center"/>
    </xf>
    <xf numFmtId="195" fontId="76" fillId="0" borderId="0" xfId="179" applyNumberFormat="1" applyFont="1" applyAlignment="1">
      <alignment horizontal="left" vertical="center"/>
    </xf>
    <xf numFmtId="195" fontId="76" fillId="44" borderId="68" xfId="179" applyNumberFormat="1" applyFont="1" applyFill="1" applyBorder="1" applyAlignment="1">
      <alignment horizontal="left" vertical="center"/>
    </xf>
    <xf numFmtId="188" fontId="121" fillId="0" borderId="0" xfId="0" applyNumberFormat="1" applyFont="1" applyAlignment="1">
      <alignment horizontal="center"/>
    </xf>
    <xf numFmtId="1" fontId="121" fillId="0" borderId="0" xfId="0" applyNumberFormat="1" applyFont="1" applyAlignment="1">
      <alignment horizontal="center"/>
    </xf>
    <xf numFmtId="0" fontId="127" fillId="0" borderId="0" xfId="0" applyFont="1" applyAlignment="1">
      <alignment horizontal="center" vertical="center" wrapText="1"/>
    </xf>
    <xf numFmtId="0" fontId="121" fillId="0" borderId="0" xfId="0" applyFont="1" applyAlignment="1">
      <alignment horizontal="center"/>
    </xf>
    <xf numFmtId="2" fontId="121" fillId="0" borderId="0" xfId="0" applyNumberFormat="1" applyFont="1" applyAlignment="1">
      <alignment horizontal="center"/>
    </xf>
    <xf numFmtId="0" fontId="127" fillId="44" borderId="45" xfId="0" applyFont="1" applyFill="1" applyBorder="1" applyAlignment="1">
      <alignment horizontal="center" vertical="center" wrapText="1"/>
    </xf>
    <xf numFmtId="0" fontId="0" fillId="0" borderId="45" xfId="0" applyBorder="1"/>
    <xf numFmtId="191" fontId="71" fillId="0" borderId="0" xfId="239" applyNumberFormat="1" applyFont="1" applyAlignment="1">
      <alignment wrapText="1"/>
    </xf>
    <xf numFmtId="44" fontId="86" fillId="0" borderId="0" xfId="0" applyNumberFormat="1" applyFont="1"/>
    <xf numFmtId="0" fontId="0" fillId="36" borderId="0" xfId="0" applyFill="1"/>
    <xf numFmtId="4" fontId="131" fillId="0" borderId="0" xfId="0" applyNumberFormat="1" applyFont="1"/>
    <xf numFmtId="169" fontId="131" fillId="0" borderId="0" xfId="238" applyFont="1" applyBorder="1"/>
    <xf numFmtId="0" fontId="90" fillId="0" borderId="0" xfId="236" applyFont="1" applyAlignment="1">
      <alignment horizontal="center" vertical="center" wrapText="1"/>
    </xf>
    <xf numFmtId="168" fontId="90" fillId="0" borderId="0" xfId="236" applyNumberFormat="1" applyFont="1" applyAlignment="1">
      <alignment horizontal="center" vertical="center" wrapText="1"/>
    </xf>
    <xf numFmtId="169" fontId="86" fillId="0" borderId="0" xfId="238" applyFont="1" applyBorder="1"/>
    <xf numFmtId="169" fontId="86" fillId="0" borderId="0" xfId="238" applyFont="1" applyFill="1" applyBorder="1" applyAlignment="1">
      <alignment vertical="center"/>
    </xf>
    <xf numFmtId="169" fontId="81" fillId="0" borderId="0" xfId="238" applyFont="1"/>
    <xf numFmtId="0" fontId="92" fillId="45" borderId="0" xfId="262" applyFont="1" applyFill="1" applyAlignment="1">
      <alignment horizontal="center" vertical="center" wrapText="1"/>
    </xf>
    <xf numFmtId="0" fontId="98" fillId="0" borderId="0" xfId="262" applyFont="1" applyAlignment="1">
      <alignment horizontal="center"/>
    </xf>
    <xf numFmtId="0" fontId="69" fillId="0" borderId="0" xfId="262" applyFont="1" applyAlignment="1">
      <alignment horizontal="center"/>
    </xf>
    <xf numFmtId="3" fontId="69" fillId="0" borderId="0" xfId="262" applyNumberFormat="1" applyFont="1" applyAlignment="1">
      <alignment horizontal="center" vertical="center"/>
    </xf>
    <xf numFmtId="42" fontId="69" fillId="0" borderId="0" xfId="271" applyFont="1" applyFill="1" applyBorder="1" applyAlignment="1">
      <alignment horizontal="center" vertical="center"/>
    </xf>
    <xf numFmtId="9" fontId="36" fillId="0" borderId="0" xfId="270" applyNumberFormat="1" applyFont="1" applyBorder="1" applyAlignment="1">
      <alignment horizontal="center"/>
    </xf>
    <xf numFmtId="42" fontId="36" fillId="0" borderId="0" xfId="270" applyFont="1" applyBorder="1"/>
    <xf numFmtId="0" fontId="92" fillId="36" borderId="0" xfId="262" applyFont="1" applyFill="1" applyAlignment="1">
      <alignment horizontal="center" vertical="center" wrapText="1"/>
    </xf>
    <xf numFmtId="0" fontId="98" fillId="36" borderId="0" xfId="262" applyFont="1" applyFill="1" applyAlignment="1">
      <alignment horizontal="center" vertical="center"/>
    </xf>
    <xf numFmtId="42" fontId="36" fillId="36" borderId="0" xfId="270" applyFont="1" applyFill="1" applyBorder="1" applyAlignment="1">
      <alignment vertical="center"/>
    </xf>
    <xf numFmtId="0" fontId="92" fillId="36" borderId="0" xfId="262" applyFont="1" applyFill="1"/>
    <xf numFmtId="190" fontId="100" fillId="36" borderId="0" xfId="270" applyNumberFormat="1" applyFont="1" applyFill="1" applyBorder="1" applyAlignment="1">
      <alignment wrapText="1"/>
    </xf>
    <xf numFmtId="177" fontId="0" fillId="0" borderId="0" xfId="0" applyNumberFormat="1"/>
    <xf numFmtId="166" fontId="36" fillId="0" borderId="0" xfId="0" applyNumberFormat="1" applyFont="1" applyAlignment="1">
      <alignment vertical="center"/>
    </xf>
    <xf numFmtId="190" fontId="86" fillId="0" borderId="149" xfId="271" applyNumberFormat="1" applyFont="1" applyBorder="1" applyAlignment="1">
      <alignment horizontal="center" vertical="center"/>
    </xf>
    <xf numFmtId="0" fontId="105" fillId="0" borderId="41" xfId="179" applyFont="1" applyBorder="1" applyAlignment="1">
      <alignment horizontal="left" vertical="center"/>
    </xf>
    <xf numFmtId="0" fontId="105" fillId="0" borderId="0" xfId="179" applyFont="1" applyAlignment="1">
      <alignment horizontal="left" vertical="center"/>
    </xf>
    <xf numFmtId="195" fontId="105" fillId="0" borderId="0" xfId="179" applyNumberFormat="1" applyFont="1" applyAlignment="1">
      <alignment horizontal="left" vertical="center"/>
    </xf>
    <xf numFmtId="0" fontId="105" fillId="0" borderId="68" xfId="179" applyFont="1" applyBorder="1" applyAlignment="1">
      <alignment horizontal="left" vertical="center"/>
    </xf>
    <xf numFmtId="195" fontId="105" fillId="44" borderId="68" xfId="179" applyNumberFormat="1" applyFont="1" applyFill="1" applyBorder="1" applyAlignment="1">
      <alignment horizontal="left" vertical="center"/>
    </xf>
    <xf numFmtId="0" fontId="76" fillId="0" borderId="0" xfId="0" applyFont="1"/>
    <xf numFmtId="195" fontId="76" fillId="38" borderId="68" xfId="179" applyNumberFormat="1" applyFont="1" applyFill="1" applyBorder="1" applyAlignment="1">
      <alignment horizontal="left" vertical="center"/>
    </xf>
    <xf numFmtId="195" fontId="76" fillId="38" borderId="41" xfId="179" applyNumberFormat="1" applyFont="1" applyFill="1" applyBorder="1" applyAlignment="1">
      <alignment horizontal="left" vertical="center"/>
    </xf>
    <xf numFmtId="0" fontId="44" fillId="0" borderId="224" xfId="280" applyFont="1" applyBorder="1" applyAlignment="1">
      <alignment horizontal="center" vertical="center" wrapText="1"/>
    </xf>
    <xf numFmtId="0" fontId="44" fillId="0" borderId="225" xfId="280" applyFont="1" applyBorder="1" applyAlignment="1">
      <alignment horizontal="center" vertical="center" wrapText="1"/>
    </xf>
    <xf numFmtId="1" fontId="66" fillId="0" borderId="224" xfId="0" applyNumberFormat="1" applyFont="1" applyBorder="1" applyAlignment="1">
      <alignment horizontal="center"/>
    </xf>
    <xf numFmtId="2" fontId="66" fillId="0" borderId="224" xfId="0" applyNumberFormat="1" applyFont="1" applyBorder="1" applyAlignment="1">
      <alignment horizontal="center"/>
    </xf>
    <xf numFmtId="2" fontId="36" fillId="0" borderId="224" xfId="280" applyNumberFormat="1" applyFont="1" applyBorder="1" applyAlignment="1">
      <alignment horizontal="center" vertical="center" wrapText="1"/>
    </xf>
    <xf numFmtId="1" fontId="36" fillId="0" borderId="224" xfId="280" applyNumberFormat="1" applyFont="1" applyBorder="1" applyAlignment="1">
      <alignment horizontal="center" vertical="center" wrapText="1"/>
    </xf>
    <xf numFmtId="0" fontId="36" fillId="0" borderId="224" xfId="280" applyFont="1" applyBorder="1" applyAlignment="1">
      <alignment horizontal="center" vertical="center" wrapText="1"/>
    </xf>
    <xf numFmtId="1" fontId="36" fillId="0" borderId="225" xfId="280" applyNumberFormat="1" applyFont="1" applyBorder="1" applyAlignment="1">
      <alignment horizontal="center" vertical="center" wrapText="1"/>
    </xf>
    <xf numFmtId="188" fontId="66" fillId="0" borderId="224" xfId="0" applyNumberFormat="1" applyFont="1" applyBorder="1" applyAlignment="1">
      <alignment horizontal="center"/>
    </xf>
    <xf numFmtId="197" fontId="86" fillId="0" borderId="0" xfId="207" applyNumberFormat="1" applyFont="1" applyBorder="1"/>
    <xf numFmtId="0" fontId="14" fillId="0" borderId="0" xfId="262" applyFont="1"/>
    <xf numFmtId="0" fontId="81" fillId="0" borderId="0" xfId="262" applyFont="1" applyAlignment="1">
      <alignment horizontal="center" vertical="center"/>
    </xf>
    <xf numFmtId="4" fontId="81" fillId="0" borderId="0" xfId="262" applyNumberFormat="1" applyFont="1"/>
    <xf numFmtId="0" fontId="133" fillId="0" borderId="0" xfId="262" applyFont="1"/>
    <xf numFmtId="4" fontId="98" fillId="0" borderId="0" xfId="262" applyNumberFormat="1" applyFont="1"/>
    <xf numFmtId="0" fontId="92" fillId="0" borderId="0" xfId="262" applyFont="1"/>
    <xf numFmtId="0" fontId="98" fillId="0" borderId="0" xfId="262" applyFont="1" applyAlignment="1">
      <alignment horizontal="center" vertical="center"/>
    </xf>
    <xf numFmtId="0" fontId="92" fillId="46" borderId="42" xfId="262" applyFont="1" applyFill="1" applyBorder="1" applyAlignment="1">
      <alignment horizontal="center" vertical="center" wrapText="1"/>
    </xf>
    <xf numFmtId="0" fontId="92" fillId="36" borderId="14" xfId="262" applyFont="1" applyFill="1" applyBorder="1" applyAlignment="1">
      <alignment horizontal="center" vertical="center" wrapText="1"/>
    </xf>
    <xf numFmtId="0" fontId="92" fillId="36" borderId="62" xfId="262" applyFont="1" applyFill="1" applyBorder="1" applyAlignment="1">
      <alignment horizontal="center" vertical="center" wrapText="1"/>
    </xf>
    <xf numFmtId="0" fontId="92" fillId="36" borderId="231" xfId="262" applyFont="1" applyFill="1" applyBorder="1" applyAlignment="1">
      <alignment horizontal="center" vertical="center" wrapText="1"/>
    </xf>
    <xf numFmtId="0" fontId="92" fillId="36" borderId="226" xfId="262" applyFont="1" applyFill="1" applyBorder="1" applyAlignment="1">
      <alignment horizontal="center" vertical="center" wrapText="1"/>
    </xf>
    <xf numFmtId="4" fontId="92" fillId="36" borderId="226" xfId="262" applyNumberFormat="1" applyFont="1" applyFill="1" applyBorder="1" applyAlignment="1">
      <alignment horizontal="center" vertical="center" wrapText="1"/>
    </xf>
    <xf numFmtId="0" fontId="92" fillId="36" borderId="228" xfId="262" applyFont="1" applyFill="1" applyBorder="1" applyAlignment="1">
      <alignment horizontal="center" vertical="center" wrapText="1"/>
    </xf>
    <xf numFmtId="0" fontId="92" fillId="0" borderId="91" xfId="262" applyFont="1" applyBorder="1" applyAlignment="1">
      <alignment horizontal="center" vertical="center" wrapText="1"/>
    </xf>
    <xf numFmtId="0" fontId="92" fillId="0" borderId="56" xfId="262" applyFont="1" applyBorder="1" applyAlignment="1">
      <alignment horizontal="left" vertical="center" wrapText="1"/>
    </xf>
    <xf numFmtId="0" fontId="98" fillId="0" borderId="231" xfId="262" applyFont="1" applyBorder="1" applyAlignment="1">
      <alignment horizontal="center" vertical="center" wrapText="1"/>
    </xf>
    <xf numFmtId="0" fontId="98" fillId="0" borderId="226" xfId="262" applyFont="1" applyBorder="1" applyAlignment="1">
      <alignment vertical="center" wrapText="1"/>
    </xf>
    <xf numFmtId="0" fontId="98" fillId="0" borderId="226" xfId="262" applyFont="1" applyBorder="1" applyAlignment="1">
      <alignment horizontal="center" vertical="center" wrapText="1"/>
    </xf>
    <xf numFmtId="193" fontId="98" fillId="0" borderId="226" xfId="262" applyNumberFormat="1" applyFont="1" applyBorder="1" applyAlignment="1">
      <alignment horizontal="center" vertical="center" wrapText="1"/>
    </xf>
    <xf numFmtId="2" fontId="98" fillId="0" borderId="226" xfId="262" applyNumberFormat="1" applyFont="1" applyBorder="1" applyAlignment="1">
      <alignment horizontal="center" vertical="center" wrapText="1"/>
    </xf>
    <xf numFmtId="196" fontId="98" fillId="0" borderId="226" xfId="262" applyNumberFormat="1" applyFont="1" applyBorder="1" applyAlignment="1">
      <alignment horizontal="center" vertical="center" wrapText="1"/>
    </xf>
    <xf numFmtId="199" fontId="92" fillId="0" borderId="228" xfId="266" applyNumberFormat="1" applyFont="1" applyFill="1" applyBorder="1" applyAlignment="1">
      <alignment horizontal="center" vertical="center" wrapText="1"/>
    </xf>
    <xf numFmtId="193" fontId="92" fillId="0" borderId="228" xfId="262" applyNumberFormat="1" applyFont="1" applyBorder="1" applyAlignment="1">
      <alignment horizontal="right" vertical="center" wrapText="1"/>
    </xf>
    <xf numFmtId="0" fontId="92" fillId="36" borderId="71" xfId="262" applyFont="1" applyFill="1" applyBorder="1" applyAlignment="1">
      <alignment horizontal="center" vertical="center" wrapText="1"/>
    </xf>
    <xf numFmtId="0" fontId="92" fillId="36" borderId="14" xfId="262" applyFont="1" applyFill="1" applyBorder="1" applyAlignment="1">
      <alignment horizontal="left" vertical="center" wrapText="1"/>
    </xf>
    <xf numFmtId="0" fontId="92" fillId="36" borderId="48" xfId="262" applyFont="1" applyFill="1" applyBorder="1" applyAlignment="1">
      <alignment vertical="center" wrapText="1"/>
    </xf>
    <xf numFmtId="0" fontId="98" fillId="0" borderId="226" xfId="262" applyFont="1" applyBorder="1" applyAlignment="1">
      <alignment horizontal="left" vertical="center" wrapText="1"/>
    </xf>
    <xf numFmtId="167" fontId="92" fillId="0" borderId="228" xfId="263" applyFont="1" applyFill="1" applyBorder="1" applyAlignment="1">
      <alignment vertical="center" wrapText="1"/>
    </xf>
    <xf numFmtId="0" fontId="98" fillId="0" borderId="229" xfId="262" applyFont="1" applyBorder="1" applyAlignment="1">
      <alignment horizontal="center" vertical="center" wrapText="1"/>
    </xf>
    <xf numFmtId="187" fontId="92" fillId="0" borderId="18" xfId="266" applyNumberFormat="1" applyFont="1" applyFill="1" applyBorder="1" applyAlignment="1">
      <alignment horizontal="right" vertical="center" wrapText="1"/>
    </xf>
    <xf numFmtId="187" fontId="92" fillId="0" borderId="0" xfId="266" applyNumberFormat="1" applyFont="1" applyFill="1" applyBorder="1" applyAlignment="1">
      <alignment horizontal="right" vertical="center" wrapText="1"/>
    </xf>
    <xf numFmtId="167" fontId="92" fillId="0" borderId="19" xfId="263" applyFont="1" applyFill="1" applyBorder="1" applyAlignment="1">
      <alignment horizontal="right" vertical="center" wrapText="1"/>
    </xf>
    <xf numFmtId="187" fontId="92" fillId="0" borderId="0" xfId="266" applyNumberFormat="1" applyFont="1" applyFill="1" applyBorder="1" applyAlignment="1">
      <alignment vertical="center" wrapText="1"/>
    </xf>
    <xf numFmtId="0" fontId="104" fillId="36" borderId="226" xfId="262" applyFont="1" applyFill="1" applyBorder="1" applyAlignment="1">
      <alignment horizontal="center" vertical="center" wrapText="1"/>
    </xf>
    <xf numFmtId="199" fontId="98" fillId="0" borderId="226" xfId="262" applyNumberFormat="1" applyFont="1" applyBorder="1" applyAlignment="1">
      <alignment horizontal="center" vertical="center" wrapText="1"/>
    </xf>
    <xf numFmtId="199" fontId="98" fillId="0" borderId="228" xfId="262" applyNumberFormat="1" applyFont="1" applyBorder="1" applyAlignment="1">
      <alignment horizontal="center" vertical="center" wrapText="1"/>
    </xf>
    <xf numFmtId="4" fontId="92" fillId="36" borderId="0" xfId="262" applyNumberFormat="1" applyFont="1" applyFill="1" applyAlignment="1">
      <alignment horizontal="right" vertical="center" wrapText="1"/>
    </xf>
    <xf numFmtId="199" fontId="92" fillId="36" borderId="0" xfId="262" applyNumberFormat="1" applyFont="1" applyFill="1" applyAlignment="1">
      <alignment horizontal="right" vertical="center" wrapText="1"/>
    </xf>
    <xf numFmtId="199" fontId="92" fillId="36" borderId="55" xfId="262" applyNumberFormat="1" applyFont="1" applyFill="1" applyBorder="1" applyAlignment="1">
      <alignment horizontal="right" vertical="center" wrapText="1"/>
    </xf>
    <xf numFmtId="4" fontId="92" fillId="36" borderId="235" xfId="262" applyNumberFormat="1" applyFont="1" applyFill="1" applyBorder="1" applyAlignment="1">
      <alignment horizontal="right" vertical="center" wrapText="1"/>
    </xf>
    <xf numFmtId="199" fontId="92" fillId="36" borderId="235" xfId="262" applyNumberFormat="1" applyFont="1" applyFill="1" applyBorder="1" applyAlignment="1">
      <alignment horizontal="right" vertical="center" wrapText="1"/>
    </xf>
    <xf numFmtId="200" fontId="92" fillId="36" borderId="55" xfId="262" applyNumberFormat="1" applyFont="1" applyFill="1" applyBorder="1" applyAlignment="1">
      <alignment vertical="center" wrapText="1"/>
    </xf>
    <xf numFmtId="0" fontId="92" fillId="0" borderId="0" xfId="262" applyFont="1" applyAlignment="1">
      <alignment vertical="center" wrapText="1"/>
    </xf>
    <xf numFmtId="196" fontId="92" fillId="0" borderId="226" xfId="262" applyNumberFormat="1" applyFont="1" applyBorder="1" applyAlignment="1">
      <alignment horizontal="center" vertical="center" wrapText="1"/>
    </xf>
    <xf numFmtId="0" fontId="93" fillId="0" borderId="0" xfId="0" applyFont="1" applyAlignment="1">
      <alignment horizontal="center" vertical="center"/>
    </xf>
    <xf numFmtId="193" fontId="92" fillId="0" borderId="221" xfId="263" applyNumberFormat="1" applyFont="1" applyFill="1" applyBorder="1" applyAlignment="1">
      <alignment vertical="center" wrapText="1"/>
    </xf>
    <xf numFmtId="199" fontId="92" fillId="36" borderId="221" xfId="262" applyNumberFormat="1" applyFont="1" applyFill="1" applyBorder="1" applyAlignment="1">
      <alignment horizontal="center" vertical="center" wrapText="1"/>
    </xf>
    <xf numFmtId="0" fontId="31" fillId="0" borderId="226" xfId="236" applyBorder="1" applyAlignment="1">
      <alignment horizontal="center" vertical="center"/>
    </xf>
    <xf numFmtId="175" fontId="0" fillId="0" borderId="226" xfId="156" applyFont="1" applyBorder="1" applyAlignment="1">
      <alignment horizontal="center" vertical="center"/>
    </xf>
    <xf numFmtId="0" fontId="14" fillId="0" borderId="226" xfId="236" applyFont="1" applyBorder="1" applyAlignment="1">
      <alignment wrapText="1"/>
    </xf>
    <xf numFmtId="0" fontId="14" fillId="0" borderId="226" xfId="236" applyFont="1" applyBorder="1" applyAlignment="1">
      <alignment horizontal="center" vertical="center"/>
    </xf>
    <xf numFmtId="3" fontId="121" fillId="0" borderId="226" xfId="236" applyNumberFormat="1" applyFont="1" applyBorder="1" applyAlignment="1">
      <alignment horizontal="center" vertical="center" wrapText="1"/>
    </xf>
    <xf numFmtId="175" fontId="0" fillId="0" borderId="226" xfId="156" applyFont="1" applyBorder="1" applyAlignment="1">
      <alignment vertical="center"/>
    </xf>
    <xf numFmtId="0" fontId="14" fillId="0" borderId="226" xfId="236" applyFont="1" applyBorder="1" applyAlignment="1">
      <alignment horizontal="left" vertical="center" wrapText="1"/>
    </xf>
    <xf numFmtId="0" fontId="14" fillId="0" borderId="226" xfId="236" applyFont="1" applyBorder="1" applyAlignment="1">
      <alignment horizontal="center" vertical="center" wrapText="1"/>
    </xf>
    <xf numFmtId="201" fontId="0" fillId="0" borderId="123" xfId="156" applyNumberFormat="1" applyFont="1" applyBorder="1" applyAlignment="1">
      <alignment vertical="center"/>
    </xf>
    <xf numFmtId="0" fontId="66" fillId="0" borderId="237" xfId="279" applyFont="1" applyBorder="1"/>
    <xf numFmtId="1" fontId="44" fillId="0" borderId="239" xfId="280" applyNumberFormat="1" applyFont="1" applyBorder="1" applyAlignment="1">
      <alignment horizontal="center" vertical="center" wrapText="1"/>
    </xf>
    <xf numFmtId="0" fontId="110" fillId="0" borderId="240" xfId="262" applyFont="1" applyBorder="1" applyAlignment="1">
      <alignment horizontal="left"/>
    </xf>
    <xf numFmtId="0" fontId="36" fillId="0" borderId="241" xfId="280" applyFont="1" applyBorder="1" applyAlignment="1">
      <alignment horizontal="center" vertical="center" wrapText="1"/>
    </xf>
    <xf numFmtId="0" fontId="36" fillId="0" borderId="242" xfId="280" applyFont="1" applyBorder="1" applyAlignment="1">
      <alignment horizontal="center" vertical="center" wrapText="1"/>
    </xf>
    <xf numFmtId="2" fontId="66" fillId="0" borderId="242" xfId="279" applyNumberFormat="1" applyFont="1" applyBorder="1" applyAlignment="1">
      <alignment horizontal="center"/>
    </xf>
    <xf numFmtId="2" fontId="36" fillId="0" borderId="242" xfId="280" applyNumberFormat="1" applyFont="1" applyBorder="1" applyAlignment="1">
      <alignment horizontal="center" vertical="center" wrapText="1"/>
    </xf>
    <xf numFmtId="1" fontId="36" fillId="0" borderId="243" xfId="280" applyNumberFormat="1" applyFont="1" applyBorder="1" applyAlignment="1">
      <alignment horizontal="center" vertical="center" wrapText="1"/>
    </xf>
    <xf numFmtId="0" fontId="127" fillId="44" borderId="52" xfId="0" applyFont="1" applyFill="1" applyBorder="1" applyAlignment="1">
      <alignment horizontal="center" vertical="center"/>
    </xf>
    <xf numFmtId="0" fontId="44" fillId="0" borderId="52" xfId="0" applyFont="1" applyBorder="1"/>
    <xf numFmtId="0" fontId="66" fillId="0" borderId="246" xfId="279" applyFont="1" applyBorder="1" applyAlignment="1">
      <alignment horizontal="left"/>
    </xf>
    <xf numFmtId="1" fontId="66" fillId="0" borderId="244" xfId="279" applyNumberFormat="1" applyFont="1" applyBorder="1" applyAlignment="1">
      <alignment horizontal="center"/>
    </xf>
    <xf numFmtId="1" fontId="66" fillId="0" borderId="245" xfId="279" applyNumberFormat="1" applyFont="1" applyBorder="1" applyAlignment="1">
      <alignment horizontal="center"/>
    </xf>
    <xf numFmtId="0" fontId="66" fillId="0" borderId="251" xfId="279" applyFont="1" applyBorder="1" applyAlignment="1">
      <alignment horizontal="left"/>
    </xf>
    <xf numFmtId="1" fontId="66" fillId="0" borderId="246" xfId="279" applyNumberFormat="1" applyFont="1" applyBorder="1" applyAlignment="1">
      <alignment horizontal="center"/>
    </xf>
    <xf numFmtId="2" fontId="66" fillId="0" borderId="246" xfId="279" applyNumberFormat="1" applyFont="1" applyBorder="1" applyAlignment="1">
      <alignment horizontal="center"/>
    </xf>
    <xf numFmtId="0" fontId="66" fillId="0" borderId="246" xfId="279" applyFont="1" applyBorder="1" applyAlignment="1">
      <alignment horizontal="center"/>
    </xf>
    <xf numFmtId="1" fontId="36" fillId="0" borderId="246" xfId="280" applyNumberFormat="1" applyFont="1" applyBorder="1" applyAlignment="1">
      <alignment horizontal="center" vertical="center" wrapText="1"/>
    </xf>
    <xf numFmtId="2" fontId="36" fillId="0" borderId="252" xfId="280" applyNumberFormat="1" applyFont="1" applyBorder="1" applyAlignment="1">
      <alignment horizontal="center" vertical="center" wrapText="1"/>
    </xf>
    <xf numFmtId="0" fontId="36" fillId="0" borderId="155" xfId="0" applyFont="1" applyBorder="1" applyAlignment="1">
      <alignment horizontal="center"/>
    </xf>
    <xf numFmtId="0" fontId="136" fillId="0" borderId="155" xfId="0" applyFont="1" applyBorder="1" applyAlignment="1">
      <alignment horizontal="center"/>
    </xf>
    <xf numFmtId="202" fontId="36" fillId="0" borderId="11" xfId="0" applyNumberFormat="1" applyFont="1" applyBorder="1" applyAlignment="1">
      <alignment vertical="center"/>
    </xf>
    <xf numFmtId="0" fontId="76" fillId="36" borderId="250" xfId="179" applyFont="1" applyFill="1" applyBorder="1" applyAlignment="1">
      <alignment vertical="center"/>
    </xf>
    <xf numFmtId="0" fontId="90" fillId="39" borderId="253" xfId="236" applyFont="1" applyFill="1" applyBorder="1" applyAlignment="1">
      <alignment horizontal="center" vertical="center"/>
    </xf>
    <xf numFmtId="3" fontId="121" fillId="0" borderId="253" xfId="236" applyNumberFormat="1" applyFont="1" applyBorder="1" applyAlignment="1">
      <alignment horizontal="center" vertical="center" wrapText="1"/>
    </xf>
    <xf numFmtId="0" fontId="31" fillId="0" borderId="253" xfId="236" applyBorder="1" applyAlignment="1">
      <alignment horizontal="center" vertical="center" wrapText="1"/>
    </xf>
    <xf numFmtId="0" fontId="31" fillId="0" borderId="253" xfId="236" applyBorder="1" applyAlignment="1">
      <alignment horizontal="center" vertical="center"/>
    </xf>
    <xf numFmtId="0" fontId="93" fillId="45" borderId="14" xfId="0" applyFont="1" applyFill="1" applyBorder="1" applyAlignment="1">
      <alignment horizontal="center" vertical="center"/>
    </xf>
    <xf numFmtId="42" fontId="93" fillId="45" borderId="14" xfId="271" applyFont="1" applyFill="1" applyBorder="1" applyAlignment="1">
      <alignment horizontal="center" vertical="center"/>
    </xf>
    <xf numFmtId="42" fontId="93" fillId="45" borderId="62" xfId="271" applyFont="1" applyFill="1" applyBorder="1" applyAlignment="1">
      <alignment horizontal="center" vertical="center"/>
    </xf>
    <xf numFmtId="0" fontId="86" fillId="0" borderId="255" xfId="0" applyFont="1" applyBorder="1" applyAlignment="1">
      <alignment horizontal="center" vertical="center"/>
    </xf>
    <xf numFmtId="0" fontId="86" fillId="0" borderId="255" xfId="0" applyFont="1" applyBorder="1" applyAlignment="1">
      <alignment wrapText="1"/>
    </xf>
    <xf numFmtId="2" fontId="86" fillId="0" borderId="255" xfId="0" applyNumberFormat="1" applyFont="1" applyBorder="1" applyAlignment="1">
      <alignment horizontal="center" vertical="center"/>
    </xf>
    <xf numFmtId="42" fontId="86" fillId="0" borderId="255" xfId="271" applyFont="1" applyBorder="1" applyAlignment="1">
      <alignment horizontal="center" vertical="center"/>
    </xf>
    <xf numFmtId="2" fontId="66" fillId="0" borderId="255" xfId="0" applyNumberFormat="1" applyFont="1" applyBorder="1" applyAlignment="1">
      <alignment horizontal="center"/>
    </xf>
    <xf numFmtId="2" fontId="36" fillId="0" borderId="255" xfId="280" applyNumberFormat="1" applyFont="1" applyBorder="1" applyAlignment="1">
      <alignment horizontal="center" vertical="center" wrapText="1"/>
    </xf>
    <xf numFmtId="1" fontId="36" fillId="0" borderId="255" xfId="280" applyNumberFormat="1" applyFont="1" applyBorder="1" applyAlignment="1">
      <alignment horizontal="center" vertical="center" wrapText="1"/>
    </xf>
    <xf numFmtId="0" fontId="36" fillId="0" borderId="255" xfId="280" applyFont="1" applyBorder="1" applyAlignment="1">
      <alignment horizontal="center" vertical="center" wrapText="1"/>
    </xf>
    <xf numFmtId="196" fontId="66" fillId="0" borderId="255" xfId="0" applyNumberFormat="1" applyFont="1" applyBorder="1" applyAlignment="1">
      <alignment horizontal="center"/>
    </xf>
    <xf numFmtId="196" fontId="66" fillId="0" borderId="224" xfId="0" applyNumberFormat="1" applyFont="1" applyBorder="1" applyAlignment="1">
      <alignment horizontal="center"/>
    </xf>
    <xf numFmtId="196" fontId="66" fillId="0" borderId="237" xfId="279" applyNumberFormat="1" applyFont="1" applyBorder="1"/>
    <xf numFmtId="188" fontId="36" fillId="0" borderId="256" xfId="280" applyNumberFormat="1" applyFont="1" applyBorder="1" applyAlignment="1">
      <alignment horizontal="center" vertical="center" wrapText="1"/>
    </xf>
    <xf numFmtId="0" fontId="88" fillId="0" borderId="266" xfId="272" applyFont="1" applyBorder="1" applyAlignment="1">
      <alignment vertical="center" wrapText="1"/>
    </xf>
    <xf numFmtId="169" fontId="88" fillId="0" borderId="267" xfId="244" applyFont="1" applyBorder="1" applyAlignment="1">
      <alignment vertical="center"/>
    </xf>
    <xf numFmtId="10" fontId="88" fillId="0" borderId="265" xfId="275" applyNumberFormat="1" applyFont="1" applyBorder="1" applyAlignment="1">
      <alignment vertical="center"/>
    </xf>
    <xf numFmtId="169" fontId="88" fillId="0" borderId="274" xfId="244" applyFont="1" applyBorder="1" applyAlignment="1">
      <alignment vertical="center"/>
    </xf>
    <xf numFmtId="0" fontId="87" fillId="0" borderId="276" xfId="1009" applyFont="1" applyBorder="1" applyAlignment="1">
      <alignment vertical="center" wrapText="1"/>
    </xf>
    <xf numFmtId="0" fontId="88" fillId="0" borderId="276" xfId="1009" applyFont="1" applyBorder="1" applyAlignment="1">
      <alignment vertical="center" wrapText="1"/>
    </xf>
    <xf numFmtId="10" fontId="88" fillId="0" borderId="275" xfId="1012" applyNumberFormat="1" applyFont="1" applyBorder="1" applyAlignment="1">
      <alignment vertical="center"/>
    </xf>
    <xf numFmtId="1" fontId="36" fillId="0" borderId="289" xfId="236" applyNumberFormat="1" applyFont="1" applyBorder="1" applyAlignment="1">
      <alignment horizontal="center" vertical="center" wrapText="1"/>
    </xf>
    <xf numFmtId="1" fontId="36" fillId="0" borderId="290" xfId="236" applyNumberFormat="1" applyFont="1" applyBorder="1" applyAlignment="1">
      <alignment horizontal="center" vertical="center" wrapText="1"/>
    </xf>
    <xf numFmtId="2" fontId="66" fillId="0" borderId="289" xfId="0" applyNumberFormat="1" applyFont="1" applyBorder="1" applyAlignment="1">
      <alignment horizontal="center"/>
    </xf>
    <xf numFmtId="2" fontId="36" fillId="0" borderId="289" xfId="280" applyNumberFormat="1" applyFont="1" applyBorder="1" applyAlignment="1">
      <alignment horizontal="center" vertical="center" wrapText="1"/>
    </xf>
    <xf numFmtId="1" fontId="36" fillId="0" borderId="289" xfId="280" applyNumberFormat="1" applyFont="1" applyBorder="1" applyAlignment="1">
      <alignment horizontal="center" vertical="center" wrapText="1"/>
    </xf>
    <xf numFmtId="0" fontId="36" fillId="0" borderId="289" xfId="280" applyFont="1" applyBorder="1" applyAlignment="1">
      <alignment horizontal="center" vertical="center" wrapText="1"/>
    </xf>
    <xf numFmtId="0" fontId="44" fillId="0" borderId="0" xfId="0" applyFont="1"/>
    <xf numFmtId="0" fontId="36" fillId="0" borderId="0" xfId="0" applyFont="1" applyAlignment="1">
      <alignment horizontal="center"/>
    </xf>
    <xf numFmtId="196" fontId="66" fillId="0" borderId="289" xfId="0" applyNumberFormat="1" applyFont="1" applyBorder="1" applyAlignment="1">
      <alignment horizontal="center"/>
    </xf>
    <xf numFmtId="2" fontId="66" fillId="0" borderId="291" xfId="0" applyNumberFormat="1" applyFont="1" applyBorder="1" applyAlignment="1">
      <alignment horizontal="center"/>
    </xf>
    <xf numFmtId="2" fontId="36" fillId="0" borderId="291" xfId="280" applyNumberFormat="1" applyFont="1" applyBorder="1" applyAlignment="1">
      <alignment horizontal="center" vertical="center" wrapText="1"/>
    </xf>
    <xf numFmtId="1" fontId="36" fillId="0" borderId="291" xfId="280" applyNumberFormat="1" applyFont="1" applyBorder="1" applyAlignment="1">
      <alignment horizontal="center" vertical="center" wrapText="1"/>
    </xf>
    <xf numFmtId="2" fontId="66" fillId="0" borderId="289" xfId="279" applyNumberFormat="1" applyFont="1" applyBorder="1" applyAlignment="1">
      <alignment horizontal="center"/>
    </xf>
    <xf numFmtId="0" fontId="76" fillId="36" borderId="71" xfId="179" applyFont="1" applyFill="1" applyBorder="1" applyAlignment="1">
      <alignment vertical="center"/>
    </xf>
    <xf numFmtId="0" fontId="113" fillId="36" borderId="14" xfId="0" applyFont="1" applyFill="1" applyBorder="1" applyAlignment="1">
      <alignment vertical="center" wrapText="1"/>
    </xf>
    <xf numFmtId="0" fontId="113" fillId="36" borderId="48" xfId="0" applyFont="1" applyFill="1" applyBorder="1" applyAlignment="1">
      <alignment horizontal="center" vertical="center" wrapText="1"/>
    </xf>
    <xf numFmtId="0" fontId="76" fillId="44" borderId="14" xfId="179" applyFont="1" applyFill="1" applyBorder="1" applyAlignment="1">
      <alignment horizontal="left" vertical="center"/>
    </xf>
    <xf numFmtId="0" fontId="105" fillId="44" borderId="14" xfId="179" applyFont="1" applyFill="1" applyBorder="1" applyAlignment="1">
      <alignment horizontal="left" vertical="center"/>
    </xf>
    <xf numFmtId="0" fontId="105" fillId="0" borderId="14" xfId="179" applyFont="1" applyBorder="1" applyAlignment="1">
      <alignment horizontal="left" vertical="center"/>
    </xf>
    <xf numFmtId="0" fontId="0" fillId="0" borderId="0" xfId="0" applyAlignment="1">
      <alignment wrapText="1"/>
    </xf>
    <xf numFmtId="9" fontId="121" fillId="0" borderId="253" xfId="207" applyFont="1" applyBorder="1" applyAlignment="1">
      <alignment horizontal="center" vertical="center" wrapText="1"/>
    </xf>
    <xf numFmtId="201" fontId="0" fillId="0" borderId="295" xfId="156" applyNumberFormat="1" applyFont="1" applyBorder="1" applyAlignment="1">
      <alignment vertical="center"/>
    </xf>
    <xf numFmtId="175" fontId="0" fillId="0" borderId="295" xfId="156" applyFont="1" applyBorder="1" applyAlignment="1">
      <alignment vertical="center"/>
    </xf>
    <xf numFmtId="0" fontId="0" fillId="0" borderId="0" xfId="0" applyAlignment="1">
      <alignment horizontal="center" vertical="center"/>
    </xf>
    <xf numFmtId="0" fontId="67" fillId="0" borderId="294" xfId="0" applyFont="1" applyBorder="1" applyAlignment="1">
      <alignment horizontal="center" vertical="center"/>
    </xf>
    <xf numFmtId="0" fontId="67" fillId="0" borderId="295" xfId="0" applyFont="1" applyBorder="1" applyAlignment="1">
      <alignment horizontal="center" vertical="center"/>
    </xf>
    <xf numFmtId="166" fontId="67" fillId="0" borderId="296" xfId="100" applyFont="1" applyFill="1" applyBorder="1" applyAlignment="1">
      <alignment horizontal="center" vertical="center"/>
    </xf>
    <xf numFmtId="0" fontId="67" fillId="37" borderId="294" xfId="0" applyFont="1" applyFill="1" applyBorder="1" applyAlignment="1">
      <alignment vertical="center"/>
    </xf>
    <xf numFmtId="0" fontId="67" fillId="37" borderId="295" xfId="0" applyFont="1" applyFill="1" applyBorder="1" applyAlignment="1">
      <alignment horizontal="center" vertical="center"/>
    </xf>
    <xf numFmtId="166" fontId="67" fillId="37" borderId="296" xfId="100" applyFont="1" applyFill="1" applyBorder="1" applyAlignment="1">
      <alignment horizontal="center" vertical="center"/>
    </xf>
    <xf numFmtId="0" fontId="66" fillId="0" borderId="294" xfId="0" applyFont="1" applyBorder="1" applyAlignment="1">
      <alignment vertical="center"/>
    </xf>
    <xf numFmtId="0" fontId="66" fillId="0" borderId="295" xfId="0" applyFont="1" applyBorder="1" applyAlignment="1">
      <alignment horizontal="center" vertical="center"/>
    </xf>
    <xf numFmtId="166" fontId="66" fillId="0" borderId="296" xfId="100" applyFont="1" applyFill="1" applyBorder="1" applyAlignment="1">
      <alignment vertical="center"/>
    </xf>
    <xf numFmtId="0" fontId="66" fillId="0" borderId="294" xfId="0" applyFont="1" applyBorder="1" applyAlignment="1">
      <alignment vertical="center" wrapText="1"/>
    </xf>
    <xf numFmtId="0" fontId="66" fillId="0" borderId="300" xfId="0" applyFont="1" applyBorder="1" applyAlignment="1">
      <alignment vertical="center"/>
    </xf>
    <xf numFmtId="0" fontId="66" fillId="0" borderId="291" xfId="0" applyFont="1" applyBorder="1" applyAlignment="1">
      <alignment horizontal="center" vertical="center"/>
    </xf>
    <xf numFmtId="166" fontId="66" fillId="0" borderId="292" xfId="100" applyFont="1" applyFill="1" applyBorder="1" applyAlignment="1">
      <alignment vertical="center"/>
    </xf>
    <xf numFmtId="166" fontId="66" fillId="0" borderId="292" xfId="100" applyFont="1" applyBorder="1" applyAlignment="1">
      <alignment vertical="center"/>
    </xf>
    <xf numFmtId="0" fontId="36" fillId="0" borderId="294" xfId="0" applyFont="1" applyBorder="1" applyAlignment="1">
      <alignment vertical="center"/>
    </xf>
    <xf numFmtId="0" fontId="36" fillId="0" borderId="295" xfId="0" applyFont="1" applyBorder="1" applyAlignment="1">
      <alignment horizontal="center" vertical="center"/>
    </xf>
    <xf numFmtId="166" fontId="36" fillId="0" borderId="296" xfId="100" applyFont="1" applyFill="1" applyBorder="1" applyAlignment="1">
      <alignment vertical="center"/>
    </xf>
    <xf numFmtId="166" fontId="66" fillId="0" borderId="296" xfId="100" applyFont="1" applyBorder="1" applyAlignment="1">
      <alignment vertical="center"/>
    </xf>
    <xf numFmtId="0" fontId="66" fillId="0" borderId="216" xfId="0" applyFont="1" applyBorder="1" applyAlignment="1">
      <alignment vertical="center"/>
    </xf>
    <xf numFmtId="0" fontId="66" fillId="0" borderId="302" xfId="0" applyFont="1" applyBorder="1" applyAlignment="1">
      <alignment horizontal="center" vertical="center"/>
    </xf>
    <xf numFmtId="166" fontId="66" fillId="0" borderId="93" xfId="100" applyFont="1" applyFill="1" applyBorder="1" applyAlignment="1">
      <alignment vertical="center"/>
    </xf>
    <xf numFmtId="0" fontId="44" fillId="80" borderId="295" xfId="0" applyFont="1" applyFill="1" applyBorder="1" applyAlignment="1">
      <alignment horizontal="center" vertical="center"/>
    </xf>
    <xf numFmtId="2" fontId="36" fillId="0" borderId="296" xfId="280" applyNumberFormat="1" applyFont="1" applyBorder="1" applyAlignment="1">
      <alignment horizontal="center" vertical="center" wrapText="1"/>
    </xf>
    <xf numFmtId="2" fontId="36" fillId="0" borderId="292" xfId="280" applyNumberFormat="1" applyFont="1" applyBorder="1" applyAlignment="1">
      <alignment horizontal="center" vertical="center" wrapText="1"/>
    </xf>
    <xf numFmtId="2" fontId="66" fillId="0" borderId="245" xfId="279" applyNumberFormat="1" applyFont="1" applyBorder="1" applyAlignment="1">
      <alignment horizontal="center"/>
    </xf>
    <xf numFmtId="0" fontId="76" fillId="36" borderId="71" xfId="179" applyFont="1" applyFill="1" applyBorder="1" applyAlignment="1">
      <alignment horizontal="center" vertical="center"/>
    </xf>
    <xf numFmtId="0" fontId="115" fillId="80" borderId="14" xfId="0" applyFont="1" applyFill="1" applyBorder="1" applyAlignment="1">
      <alignment horizontal="left" vertical="center" wrapText="1"/>
    </xf>
    <xf numFmtId="0" fontId="75" fillId="80" borderId="71" xfId="179" applyFont="1" applyFill="1" applyBorder="1" applyAlignment="1">
      <alignment horizontal="center" vertical="center"/>
    </xf>
    <xf numFmtId="0" fontId="105" fillId="0" borderId="62" xfId="179" applyFont="1" applyBorder="1" applyAlignment="1">
      <alignment horizontal="left" vertical="center"/>
    </xf>
    <xf numFmtId="195" fontId="76" fillId="36" borderId="296" xfId="179" applyNumberFormat="1" applyFont="1" applyFill="1" applyBorder="1" applyAlignment="1">
      <alignment horizontal="center" vertical="center"/>
    </xf>
    <xf numFmtId="168" fontId="115" fillId="36" borderId="295" xfId="0" applyNumberFormat="1" applyFont="1" applyFill="1" applyBorder="1" applyAlignment="1">
      <alignment horizontal="center" vertical="center" wrapText="1"/>
    </xf>
    <xf numFmtId="0" fontId="78" fillId="0" borderId="291" xfId="179" applyFont="1" applyBorder="1" applyAlignment="1">
      <alignment horizontal="center" vertical="center"/>
    </xf>
    <xf numFmtId="0" fontId="105" fillId="36" borderId="291" xfId="179" applyFont="1" applyFill="1" applyBorder="1" applyAlignment="1">
      <alignment horizontal="left" vertical="center"/>
    </xf>
    <xf numFmtId="0" fontId="76" fillId="36" borderId="301" xfId="179" applyFont="1" applyFill="1" applyBorder="1" applyAlignment="1">
      <alignment vertical="center"/>
    </xf>
    <xf numFmtId="0" fontId="75" fillId="45" borderId="301" xfId="179" applyFont="1" applyFill="1" applyBorder="1" applyAlignment="1">
      <alignment horizontal="centerContinuous" vertical="center"/>
    </xf>
    <xf numFmtId="0" fontId="76" fillId="36" borderId="294" xfId="179" applyFont="1" applyFill="1" applyBorder="1" applyAlignment="1">
      <alignment vertical="center"/>
    </xf>
    <xf numFmtId="0" fontId="113" fillId="36" borderId="295" xfId="0" applyFont="1" applyFill="1" applyBorder="1" applyAlignment="1">
      <alignment vertical="center" wrapText="1"/>
    </xf>
    <xf numFmtId="195" fontId="76" fillId="0" borderId="295" xfId="179" applyNumberFormat="1" applyFont="1" applyBorder="1" applyAlignment="1">
      <alignment horizontal="left" vertical="center"/>
    </xf>
    <xf numFmtId="195" fontId="105" fillId="0" borderId="295" xfId="179" applyNumberFormat="1" applyFont="1" applyBorder="1" applyAlignment="1">
      <alignment horizontal="left" vertical="center"/>
    </xf>
    <xf numFmtId="195" fontId="76" fillId="38" borderId="295" xfId="179" applyNumberFormat="1" applyFont="1" applyFill="1" applyBorder="1" applyAlignment="1">
      <alignment horizontal="left" vertical="center"/>
    </xf>
    <xf numFmtId="0" fontId="113" fillId="36" borderId="254" xfId="0" applyFont="1" applyFill="1" applyBorder="1" applyAlignment="1">
      <alignment vertical="center" wrapText="1"/>
    </xf>
    <xf numFmtId="168" fontId="115" fillId="36" borderId="254" xfId="0" applyNumberFormat="1" applyFont="1" applyFill="1" applyBorder="1" applyAlignment="1">
      <alignment horizontal="center" vertical="center" wrapText="1"/>
    </xf>
    <xf numFmtId="195" fontId="76" fillId="0" borderId="254" xfId="179" applyNumberFormat="1" applyFont="1" applyBorder="1" applyAlignment="1">
      <alignment horizontal="left" vertical="center"/>
    </xf>
    <xf numFmtId="195" fontId="105" fillId="0" borderId="254" xfId="179" applyNumberFormat="1" applyFont="1" applyBorder="1" applyAlignment="1">
      <alignment horizontal="left" vertical="center"/>
    </xf>
    <xf numFmtId="195" fontId="76" fillId="38" borderId="254" xfId="179" applyNumberFormat="1" applyFont="1" applyFill="1" applyBorder="1" applyAlignment="1">
      <alignment horizontal="left" vertical="center"/>
    </xf>
    <xf numFmtId="195" fontId="75" fillId="0" borderId="0" xfId="179" applyNumberFormat="1" applyFont="1" applyAlignment="1">
      <alignment horizontal="left" vertical="center"/>
    </xf>
    <xf numFmtId="0" fontId="66" fillId="0" borderId="305" xfId="0" applyFont="1" applyBorder="1" applyAlignment="1">
      <alignment horizontal="center" vertical="center"/>
    </xf>
    <xf numFmtId="0" fontId="67" fillId="0" borderId="71" xfId="0" applyFont="1" applyBorder="1" applyAlignment="1">
      <alignment vertical="center"/>
    </xf>
    <xf numFmtId="2" fontId="44" fillId="0" borderId="296" xfId="280" applyNumberFormat="1" applyFont="1" applyBorder="1" applyAlignment="1">
      <alignment horizontal="center" vertical="center" wrapText="1"/>
    </xf>
    <xf numFmtId="2" fontId="44" fillId="0" borderId="29" xfId="280" applyNumberFormat="1" applyFont="1" applyBorder="1" applyAlignment="1">
      <alignment horizontal="center" vertical="center" wrapText="1"/>
    </xf>
    <xf numFmtId="42" fontId="86" fillId="0" borderId="305" xfId="271" applyFont="1" applyBorder="1" applyAlignment="1">
      <alignment horizontal="center" vertical="center"/>
    </xf>
    <xf numFmtId="0" fontId="78" fillId="0" borderId="305" xfId="179" applyFont="1" applyBorder="1" applyAlignment="1">
      <alignment horizontal="center" vertical="center"/>
    </xf>
    <xf numFmtId="0" fontId="105" fillId="36" borderId="305" xfId="179" applyFont="1" applyFill="1" applyBorder="1" applyAlignment="1">
      <alignment horizontal="left" vertical="center"/>
    </xf>
    <xf numFmtId="195" fontId="76" fillId="36" borderId="305" xfId="179" applyNumberFormat="1" applyFont="1" applyFill="1" applyBorder="1" applyAlignment="1">
      <alignment horizontal="center" vertical="center"/>
    </xf>
    <xf numFmtId="0" fontId="76" fillId="0" borderId="305" xfId="0" applyFont="1" applyBorder="1" applyAlignment="1">
      <alignment vertical="center" wrapText="1"/>
    </xf>
    <xf numFmtId="168" fontId="113" fillId="36" borderId="305" xfId="0" applyNumberFormat="1" applyFont="1" applyFill="1" applyBorder="1" applyAlignment="1">
      <alignment horizontal="center" vertical="center" wrapText="1"/>
    </xf>
    <xf numFmtId="0" fontId="36" fillId="0" borderId="15" xfId="278" applyBorder="1" applyAlignment="1">
      <alignment vertical="center"/>
    </xf>
    <xf numFmtId="0" fontId="36" fillId="0" borderId="16" xfId="278" applyBorder="1" applyAlignment="1">
      <alignment vertical="center"/>
    </xf>
    <xf numFmtId="0" fontId="36" fillId="0" borderId="17" xfId="278" applyBorder="1" applyAlignment="1">
      <alignment vertical="center"/>
    </xf>
    <xf numFmtId="0" fontId="36" fillId="0" borderId="0" xfId="278"/>
    <xf numFmtId="0" fontId="44" fillId="0" borderId="18" xfId="278" applyFont="1" applyBorder="1" applyAlignment="1">
      <alignment vertical="center"/>
    </xf>
    <xf numFmtId="0" fontId="44" fillId="0" borderId="0" xfId="278" applyFont="1" applyAlignment="1">
      <alignment vertical="center"/>
    </xf>
    <xf numFmtId="0" fontId="44" fillId="0" borderId="19" xfId="278" applyFont="1" applyBorder="1" applyAlignment="1">
      <alignment vertical="center"/>
    </xf>
    <xf numFmtId="0" fontId="36" fillId="0" borderId="216" xfId="278" applyBorder="1" applyAlignment="1">
      <alignment vertical="center"/>
    </xf>
    <xf numFmtId="0" fontId="36" fillId="0" borderId="302" xfId="278" applyBorder="1" applyAlignment="1">
      <alignment vertical="center"/>
    </xf>
    <xf numFmtId="0" fontId="36" fillId="0" borderId="93" xfId="278" applyBorder="1" applyAlignment="1">
      <alignment vertical="center"/>
    </xf>
    <xf numFmtId="0" fontId="36" fillId="0" borderId="0" xfId="278" applyAlignment="1">
      <alignment vertical="center"/>
    </xf>
    <xf numFmtId="0" fontId="44" fillId="0" borderId="0" xfId="278" applyFont="1" applyAlignment="1">
      <alignment horizontal="left" vertical="center" indent="2"/>
    </xf>
    <xf numFmtId="0" fontId="44" fillId="0" borderId="0" xfId="278" applyFont="1" applyAlignment="1">
      <alignment horizontal="justify" vertical="center" wrapText="1"/>
    </xf>
    <xf numFmtId="0" fontId="36" fillId="0" borderId="23" xfId="278" applyBorder="1" applyAlignment="1">
      <alignment horizontal="center" vertical="center"/>
    </xf>
    <xf numFmtId="0" fontId="36" fillId="0" borderId="16" xfId="278" applyBorder="1" applyAlignment="1">
      <alignment horizontal="center" vertical="center"/>
    </xf>
    <xf numFmtId="0" fontId="36" fillId="0" borderId="299" xfId="278" applyBorder="1" applyAlignment="1">
      <alignment vertical="center"/>
    </xf>
    <xf numFmtId="0" fontId="36" fillId="0" borderId="293" xfId="278" applyBorder="1" applyAlignment="1">
      <alignment vertical="center"/>
    </xf>
    <xf numFmtId="0" fontId="36" fillId="0" borderId="298" xfId="278" applyBorder="1" applyAlignment="1">
      <alignment vertical="center"/>
    </xf>
    <xf numFmtId="177" fontId="36" fillId="0" borderId="305" xfId="278" applyNumberFormat="1" applyBorder="1" applyAlignment="1">
      <alignment vertical="center"/>
    </xf>
    <xf numFmtId="9" fontId="36" fillId="0" borderId="293" xfId="207" applyFont="1" applyFill="1" applyBorder="1" applyAlignment="1">
      <alignment horizontal="center" vertical="center"/>
    </xf>
    <xf numFmtId="0" fontId="36" fillId="0" borderId="310" xfId="278" applyBorder="1" applyAlignment="1">
      <alignment vertical="center"/>
    </xf>
    <xf numFmtId="0" fontId="36" fillId="0" borderId="311" xfId="278" applyBorder="1" applyAlignment="1">
      <alignment vertical="center"/>
    </xf>
    <xf numFmtId="0" fontId="36" fillId="0" borderId="309" xfId="278" applyBorder="1" applyAlignment="1">
      <alignment vertical="center"/>
    </xf>
    <xf numFmtId="177" fontId="36" fillId="0" borderId="254" xfId="278" applyNumberFormat="1" applyBorder="1" applyAlignment="1">
      <alignment vertical="center"/>
    </xf>
    <xf numFmtId="177" fontId="36" fillId="0" borderId="29" xfId="278" applyNumberFormat="1" applyBorder="1" applyAlignment="1">
      <alignment vertical="center"/>
    </xf>
    <xf numFmtId="177" fontId="36" fillId="0" borderId="0" xfId="278" applyNumberFormat="1" applyAlignment="1">
      <alignment vertical="center"/>
    </xf>
    <xf numFmtId="0" fontId="36" fillId="0" borderId="40" xfId="278" applyBorder="1" applyAlignment="1">
      <alignment vertical="center"/>
    </xf>
    <xf numFmtId="0" fontId="36" fillId="0" borderId="16" xfId="278" applyBorder="1" applyAlignment="1">
      <alignment horizontal="centerContinuous" vertical="center"/>
    </xf>
    <xf numFmtId="0" fontId="36" fillId="0" borderId="35" xfId="278" applyBorder="1" applyAlignment="1">
      <alignment vertical="center"/>
    </xf>
    <xf numFmtId="0" fontId="36" fillId="0" borderId="305" xfId="278" applyBorder="1" applyAlignment="1">
      <alignment horizontal="center" vertical="center"/>
    </xf>
    <xf numFmtId="10" fontId="36" fillId="0" borderId="305" xfId="207" applyNumberFormat="1" applyFont="1" applyFill="1" applyBorder="1" applyAlignment="1">
      <alignment vertical="center"/>
    </xf>
    <xf numFmtId="0" fontId="36" fillId="0" borderId="307" xfId="278" applyBorder="1" applyAlignment="1">
      <alignment vertical="center"/>
    </xf>
    <xf numFmtId="0" fontId="36" fillId="0" borderId="291" xfId="278" applyBorder="1" applyAlignment="1">
      <alignment horizontal="center" vertical="center"/>
    </xf>
    <xf numFmtId="177" fontId="36" fillId="0" borderId="291" xfId="278" applyNumberFormat="1" applyBorder="1" applyAlignment="1">
      <alignment vertical="center"/>
    </xf>
    <xf numFmtId="10" fontId="36" fillId="0" borderId="291" xfId="207" applyNumberFormat="1" applyFont="1" applyFill="1" applyBorder="1" applyAlignment="1">
      <alignment vertical="center"/>
    </xf>
    <xf numFmtId="0" fontId="36" fillId="0" borderId="254" xfId="278" applyBorder="1" applyAlignment="1">
      <alignment horizontal="center" vertical="center"/>
    </xf>
    <xf numFmtId="177" fontId="36" fillId="0" borderId="39" xfId="278" applyNumberFormat="1" applyBorder="1" applyAlignment="1">
      <alignment vertical="center"/>
    </xf>
    <xf numFmtId="0" fontId="36" fillId="0" borderId="42" xfId="278" applyBorder="1" applyAlignment="1">
      <alignment horizontal="center" vertical="center"/>
    </xf>
    <xf numFmtId="2" fontId="36" fillId="0" borderId="305" xfId="278" applyNumberFormat="1" applyBorder="1" applyAlignment="1">
      <alignment horizontal="right" vertical="center"/>
    </xf>
    <xf numFmtId="177" fontId="36" fillId="0" borderId="305" xfId="278" applyNumberFormat="1" applyBorder="1" applyAlignment="1">
      <alignment horizontal="right" vertical="center"/>
    </xf>
    <xf numFmtId="0" fontId="36" fillId="0" borderId="254" xfId="278" applyBorder="1" applyAlignment="1">
      <alignment vertical="center"/>
    </xf>
    <xf numFmtId="0" fontId="36" fillId="0" borderId="0" xfId="278" applyAlignment="1">
      <alignment horizontal="left" vertical="center"/>
    </xf>
    <xf numFmtId="0" fontId="36" fillId="0" borderId="40" xfId="278" applyBorder="1" applyAlignment="1">
      <alignment horizontal="center" vertical="center"/>
    </xf>
    <xf numFmtId="0" fontId="36" fillId="0" borderId="23" xfId="278" applyBorder="1" applyAlignment="1">
      <alignment horizontal="centerContinuous" vertical="center"/>
    </xf>
    <xf numFmtId="177" fontId="36" fillId="0" borderId="305" xfId="100" applyNumberFormat="1" applyFont="1" applyFill="1" applyBorder="1" applyAlignment="1">
      <alignment vertical="center"/>
    </xf>
    <xf numFmtId="0" fontId="36" fillId="0" borderId="305" xfId="278" applyBorder="1" applyAlignment="1">
      <alignment vertical="center"/>
    </xf>
    <xf numFmtId="178" fontId="36" fillId="0" borderId="305" xfId="100" applyNumberFormat="1" applyFont="1" applyFill="1" applyBorder="1" applyAlignment="1">
      <alignment vertical="center"/>
    </xf>
    <xf numFmtId="177" fontId="36" fillId="0" borderId="254" xfId="100" applyNumberFormat="1" applyFont="1" applyFill="1" applyBorder="1" applyAlignment="1">
      <alignment vertical="center"/>
    </xf>
    <xf numFmtId="10" fontId="86" fillId="0" borderId="149" xfId="0" applyNumberFormat="1" applyFont="1" applyBorder="1" applyAlignment="1">
      <alignment horizontal="center" vertical="center"/>
    </xf>
    <xf numFmtId="10" fontId="86" fillId="0" borderId="151" xfId="0" applyNumberFormat="1" applyFont="1" applyBorder="1" applyAlignment="1">
      <alignment horizontal="center" vertical="center"/>
    </xf>
    <xf numFmtId="177" fontId="36" fillId="0" borderId="11" xfId="100" applyNumberFormat="1" applyFont="1" applyFill="1" applyBorder="1" applyAlignment="1">
      <alignment horizontal="center" vertical="center"/>
    </xf>
    <xf numFmtId="191" fontId="97" fillId="0" borderId="60" xfId="244" applyNumberFormat="1" applyFont="1" applyFill="1" applyBorder="1" applyAlignment="1">
      <alignment horizontal="center" vertical="center" wrapText="1"/>
    </xf>
    <xf numFmtId="1" fontId="97" fillId="45" borderId="276" xfId="240" applyNumberFormat="1" applyFont="1" applyFill="1" applyBorder="1" applyAlignment="1">
      <alignment horizontal="center" vertical="center" wrapText="1"/>
    </xf>
    <xf numFmtId="0" fontId="105" fillId="45" borderId="305" xfId="240" applyFont="1" applyFill="1" applyBorder="1" applyAlignment="1">
      <alignment vertical="center" wrapText="1"/>
    </xf>
    <xf numFmtId="169" fontId="105" fillId="45" borderId="305" xfId="238" applyFont="1" applyFill="1" applyBorder="1" applyAlignment="1">
      <alignment vertical="center" wrapText="1"/>
    </xf>
    <xf numFmtId="197" fontId="105" fillId="45" borderId="305" xfId="207" applyNumberFormat="1" applyFont="1" applyFill="1" applyBorder="1" applyAlignment="1">
      <alignment horizontal="center" vertical="center" wrapText="1"/>
    </xf>
    <xf numFmtId="191" fontId="97" fillId="0" borderId="296" xfId="244" applyNumberFormat="1" applyFont="1" applyFill="1" applyBorder="1" applyAlignment="1">
      <alignment horizontal="center" vertical="center" wrapText="1"/>
    </xf>
    <xf numFmtId="0" fontId="105" fillId="45" borderId="294" xfId="240" applyFont="1" applyFill="1" applyBorder="1" applyAlignment="1">
      <alignment horizontal="left" vertical="center" wrapText="1" indent="3"/>
    </xf>
    <xf numFmtId="197" fontId="97" fillId="45" borderId="11" xfId="207" applyNumberFormat="1" applyFont="1" applyFill="1" applyBorder="1" applyAlignment="1">
      <alignment horizontal="center" vertical="center" wrapText="1"/>
    </xf>
    <xf numFmtId="0" fontId="112" fillId="0" borderId="294" xfId="262" applyFont="1" applyBorder="1" applyAlignment="1">
      <alignment horizontal="left"/>
    </xf>
    <xf numFmtId="0" fontId="111" fillId="0" borderId="297" xfId="262" applyFont="1" applyBorder="1" applyAlignment="1">
      <alignment horizontal="left"/>
    </xf>
    <xf numFmtId="0" fontId="111" fillId="0" borderId="293" xfId="262" applyFont="1" applyBorder="1" applyAlignment="1">
      <alignment horizontal="left"/>
    </xf>
    <xf numFmtId="10" fontId="119" fillId="0" borderId="296" xfId="262" applyNumberFormat="1" applyFont="1" applyBorder="1" applyAlignment="1">
      <alignment wrapText="1"/>
    </xf>
    <xf numFmtId="0" fontId="110" fillId="0" borderId="297" xfId="262" applyFont="1" applyBorder="1" applyAlignment="1">
      <alignment horizontal="left" indent="3"/>
    </xf>
    <xf numFmtId="0" fontId="0" fillId="0" borderId="305" xfId="0" applyBorder="1"/>
    <xf numFmtId="0" fontId="0" fillId="0" borderId="305" xfId="0" applyBorder="1" applyAlignment="1">
      <alignment horizontal="center"/>
    </xf>
    <xf numFmtId="0" fontId="0" fillId="0" borderId="0" xfId="0" applyAlignment="1">
      <alignment horizontal="center" vertical="center" wrapText="1"/>
    </xf>
    <xf numFmtId="0" fontId="44" fillId="0" borderId="305" xfId="280" applyFont="1" applyBorder="1" applyAlignment="1">
      <alignment horizontal="center" vertical="center" wrapText="1"/>
    </xf>
    <xf numFmtId="2" fontId="36" fillId="0" borderId="305" xfId="280" applyNumberFormat="1" applyFont="1" applyBorder="1" applyAlignment="1">
      <alignment horizontal="center" vertical="center" wrapText="1"/>
    </xf>
    <xf numFmtId="0" fontId="36" fillId="0" borderId="305" xfId="280" applyFont="1" applyBorder="1" applyAlignment="1">
      <alignment horizontal="center" vertical="center" wrapText="1"/>
    </xf>
    <xf numFmtId="2" fontId="66" fillId="0" borderId="296" xfId="100" applyNumberFormat="1" applyFont="1" applyFill="1" applyBorder="1" applyAlignment="1">
      <alignment horizontal="center" vertical="center"/>
    </xf>
    <xf numFmtId="0" fontId="0" fillId="0" borderId="0" xfId="0" applyAlignment="1">
      <alignment horizontal="center"/>
    </xf>
    <xf numFmtId="0" fontId="36" fillId="0" borderId="305" xfId="0" applyFont="1" applyBorder="1" applyAlignment="1">
      <alignment horizontal="center" vertical="center"/>
    </xf>
    <xf numFmtId="0" fontId="36" fillId="0" borderId="304" xfId="278" applyBorder="1" applyAlignment="1">
      <alignment vertical="center"/>
    </xf>
    <xf numFmtId="0" fontId="36" fillId="0" borderId="294" xfId="278" applyBorder="1" applyAlignment="1">
      <alignment vertical="center"/>
    </xf>
    <xf numFmtId="179" fontId="36" fillId="0" borderId="305" xfId="278" applyNumberFormat="1" applyBorder="1" applyAlignment="1">
      <alignment horizontal="center" vertical="center"/>
    </xf>
    <xf numFmtId="9" fontId="36" fillId="0" borderId="305" xfId="207" applyFont="1" applyFill="1" applyBorder="1" applyAlignment="1">
      <alignment vertical="center"/>
    </xf>
    <xf numFmtId="9" fontId="36" fillId="0" borderId="291" xfId="207" applyFont="1" applyFill="1" applyBorder="1" applyAlignment="1">
      <alignment vertical="center"/>
    </xf>
    <xf numFmtId="177" fontId="36" fillId="0" borderId="291" xfId="100" applyNumberFormat="1" applyFont="1" applyFill="1" applyBorder="1" applyAlignment="1">
      <alignment vertical="center"/>
    </xf>
    <xf numFmtId="177" fontId="44" fillId="0" borderId="0" xfId="278" applyNumberFormat="1" applyFont="1" applyAlignment="1">
      <alignment vertical="center"/>
    </xf>
    <xf numFmtId="2" fontId="36" fillId="0" borderId="305" xfId="278" applyNumberFormat="1" applyBorder="1" applyAlignment="1">
      <alignment horizontal="center" vertical="center"/>
    </xf>
    <xf numFmtId="0" fontId="36" fillId="0" borderId="15" xfId="278" applyBorder="1" applyAlignment="1">
      <alignment horizontal="center" vertical="center"/>
    </xf>
    <xf numFmtId="0" fontId="36" fillId="0" borderId="317" xfId="278" applyBorder="1" applyAlignment="1">
      <alignment vertical="center"/>
    </xf>
    <xf numFmtId="177" fontId="36" fillId="0" borderId="317" xfId="278" applyNumberFormat="1" applyBorder="1" applyAlignment="1">
      <alignment vertical="center"/>
    </xf>
    <xf numFmtId="0" fontId="66" fillId="0" borderId="299" xfId="279" applyFont="1" applyBorder="1" applyAlignment="1">
      <alignment horizontal="left"/>
    </xf>
    <xf numFmtId="0" fontId="66" fillId="0" borderId="293" xfId="279" applyFont="1" applyBorder="1" applyAlignment="1">
      <alignment horizontal="left"/>
    </xf>
    <xf numFmtId="0" fontId="66" fillId="0" borderId="298" xfId="279" applyFont="1" applyBorder="1" applyAlignment="1">
      <alignment horizontal="left"/>
    </xf>
    <xf numFmtId="0" fontId="44" fillId="47" borderId="297" xfId="279" applyFont="1" applyFill="1" applyBorder="1" applyAlignment="1">
      <alignment horizontal="left"/>
    </xf>
    <xf numFmtId="0" fontId="44" fillId="47" borderId="293" xfId="279" applyFont="1" applyFill="1" applyBorder="1" applyAlignment="1">
      <alignment horizontal="left"/>
    </xf>
    <xf numFmtId="0" fontId="44" fillId="47" borderId="277" xfId="279" applyFont="1" applyFill="1" applyBorder="1" applyAlignment="1">
      <alignment horizontal="left"/>
    </xf>
    <xf numFmtId="0" fontId="36" fillId="0" borderId="312" xfId="280" applyFont="1" applyBorder="1" applyAlignment="1">
      <alignment horizontal="center" vertical="center" wrapText="1"/>
    </xf>
    <xf numFmtId="0" fontId="36" fillId="0" borderId="313" xfId="280" applyFont="1" applyBorder="1" applyAlignment="1">
      <alignment horizontal="center" vertical="center" wrapText="1"/>
    </xf>
    <xf numFmtId="0" fontId="96" fillId="0" borderId="247" xfId="279" applyFont="1" applyBorder="1" applyAlignment="1">
      <alignment horizontal="center"/>
    </xf>
    <xf numFmtId="2" fontId="44" fillId="47" borderId="64" xfId="279" applyNumberFormat="1" applyFont="1" applyFill="1" applyBorder="1" applyAlignment="1">
      <alignment horizontal="left"/>
    </xf>
    <xf numFmtId="2" fontId="44" fillId="47" borderId="49" xfId="279" applyNumberFormat="1" applyFont="1" applyFill="1" applyBorder="1" applyAlignment="1">
      <alignment horizontal="left"/>
    </xf>
    <xf numFmtId="2" fontId="44" fillId="47" borderId="63" xfId="279" applyNumberFormat="1" applyFont="1" applyFill="1" applyBorder="1" applyAlignment="1">
      <alignment horizontal="left"/>
    </xf>
    <xf numFmtId="0" fontId="66" fillId="0" borderId="306" xfId="279" applyFont="1" applyBorder="1" applyAlignment="1">
      <alignment horizontal="left"/>
    </xf>
    <xf numFmtId="0" fontId="66" fillId="0" borderId="310" xfId="279" applyFont="1" applyBorder="1" applyAlignment="1">
      <alignment horizontal="center"/>
    </xf>
    <xf numFmtId="0" fontId="66" fillId="0" borderId="311" xfId="279" applyFont="1" applyBorder="1" applyAlignment="1">
      <alignment horizontal="center"/>
    </xf>
    <xf numFmtId="0" fontId="66" fillId="0" borderId="309" xfId="279" applyFont="1" applyBorder="1" applyAlignment="1">
      <alignment horizontal="center"/>
    </xf>
    <xf numFmtId="0" fontId="96" fillId="0" borderId="308" xfId="279" applyFont="1" applyBorder="1" applyAlignment="1">
      <alignment horizontal="center"/>
    </xf>
    <xf numFmtId="0" fontId="96" fillId="0" borderId="309" xfId="279" applyFont="1" applyBorder="1" applyAlignment="1">
      <alignment horizontal="center"/>
    </xf>
    <xf numFmtId="0" fontId="96" fillId="0" borderId="308" xfId="0" applyFont="1" applyBorder="1" applyAlignment="1">
      <alignment horizontal="center"/>
    </xf>
    <xf numFmtId="0" fontId="96" fillId="0" borderId="309" xfId="0" applyFont="1" applyBorder="1" applyAlignment="1">
      <alignment horizontal="center"/>
    </xf>
    <xf numFmtId="0" fontId="66" fillId="0" borderId="299" xfId="0" applyFont="1" applyBorder="1" applyAlignment="1">
      <alignment horizontal="left"/>
    </xf>
    <xf numFmtId="0" fontId="66" fillId="0" borderId="293" xfId="0" applyFont="1" applyBorder="1" applyAlignment="1">
      <alignment horizontal="left"/>
    </xf>
    <xf numFmtId="0" fontId="66" fillId="0" borderId="298" xfId="0" applyFont="1" applyBorder="1" applyAlignment="1">
      <alignment horizontal="left"/>
    </xf>
    <xf numFmtId="2" fontId="44" fillId="48" borderId="64" xfId="0" applyNumberFormat="1" applyFont="1" applyFill="1" applyBorder="1" applyAlignment="1">
      <alignment horizontal="left"/>
    </xf>
    <xf numFmtId="2" fontId="44" fillId="48" borderId="49" xfId="0" applyNumberFormat="1" applyFont="1" applyFill="1" applyBorder="1" applyAlignment="1">
      <alignment horizontal="left"/>
    </xf>
    <xf numFmtId="2" fontId="44" fillId="48" borderId="63" xfId="0" applyNumberFormat="1" applyFont="1" applyFill="1" applyBorder="1" applyAlignment="1">
      <alignment horizontal="left"/>
    </xf>
    <xf numFmtId="0" fontId="44" fillId="48" borderId="297" xfId="0" applyFont="1" applyFill="1" applyBorder="1" applyAlignment="1">
      <alignment horizontal="left"/>
    </xf>
    <xf numFmtId="0" fontId="44" fillId="48" borderId="293" xfId="0" applyFont="1" applyFill="1" applyBorder="1" applyAlignment="1">
      <alignment horizontal="left"/>
    </xf>
    <xf numFmtId="0" fontId="44" fillId="48" borderId="277" xfId="0" applyFont="1" applyFill="1" applyBorder="1" applyAlignment="1">
      <alignment horizontal="left"/>
    </xf>
    <xf numFmtId="0" fontId="121" fillId="0" borderId="0" xfId="0" applyFont="1" applyAlignment="1">
      <alignment vertical="center" wrapText="1"/>
    </xf>
    <xf numFmtId="0" fontId="44" fillId="0" borderId="295" xfId="0" applyFont="1" applyBorder="1" applyAlignment="1">
      <alignment horizontal="center" vertical="center" wrapText="1"/>
    </xf>
    <xf numFmtId="0" fontId="44" fillId="0" borderId="296" xfId="280" applyFont="1" applyBorder="1" applyAlignment="1">
      <alignment horizontal="center" vertical="center" wrapText="1"/>
    </xf>
    <xf numFmtId="177" fontId="36" fillId="0" borderId="76" xfId="278" applyNumberFormat="1" applyBorder="1" applyAlignment="1">
      <alignment vertical="center"/>
    </xf>
    <xf numFmtId="0" fontId="67" fillId="0" borderId="0" xfId="1338" applyFont="1" applyAlignment="1">
      <alignment horizontal="left"/>
    </xf>
    <xf numFmtId="0" fontId="66" fillId="0" borderId="0" xfId="1338" applyFont="1" applyAlignment="1">
      <alignment horizontal="left"/>
    </xf>
    <xf numFmtId="188" fontId="44" fillId="0" borderId="29" xfId="280" applyNumberFormat="1" applyFont="1" applyBorder="1" applyAlignment="1">
      <alignment horizontal="center" vertical="center" wrapText="1"/>
    </xf>
    <xf numFmtId="2" fontId="36" fillId="0" borderId="315" xfId="280" applyNumberFormat="1" applyFont="1" applyBorder="1" applyAlignment="1">
      <alignment horizontal="center" vertical="center" wrapText="1"/>
    </xf>
    <xf numFmtId="2" fontId="66" fillId="0" borderId="305" xfId="279" applyNumberFormat="1" applyFont="1" applyBorder="1" applyAlignment="1">
      <alignment horizontal="center"/>
    </xf>
    <xf numFmtId="1" fontId="66" fillId="0" borderId="305" xfId="279" applyNumberFormat="1" applyFont="1" applyBorder="1" applyAlignment="1">
      <alignment horizontal="center"/>
    </xf>
    <xf numFmtId="2" fontId="44" fillId="0" borderId="292" xfId="280" applyNumberFormat="1" applyFont="1" applyBorder="1" applyAlignment="1">
      <alignment horizontal="center" vertical="center" wrapText="1"/>
    </xf>
    <xf numFmtId="0" fontId="121" fillId="36" borderId="305" xfId="0" applyFont="1" applyFill="1" applyBorder="1" applyAlignment="1">
      <alignment horizontal="center"/>
    </xf>
    <xf numFmtId="2" fontId="17" fillId="0" borderId="305" xfId="0" applyNumberFormat="1" applyFont="1" applyBorder="1" applyAlignment="1">
      <alignment horizontal="center"/>
    </xf>
    <xf numFmtId="2" fontId="0" fillId="0" borderId="305" xfId="0" applyNumberFormat="1" applyBorder="1" applyAlignment="1">
      <alignment horizontal="center"/>
    </xf>
    <xf numFmtId="1" fontId="44" fillId="0" borderId="0" xfId="0" applyNumberFormat="1" applyFont="1" applyAlignment="1">
      <alignment horizontal="center"/>
    </xf>
    <xf numFmtId="2" fontId="44" fillId="0" borderId="177" xfId="280" applyNumberFormat="1" applyFont="1" applyBorder="1" applyAlignment="1">
      <alignment horizontal="center" vertical="center" wrapText="1"/>
    </xf>
    <xf numFmtId="0" fontId="86" fillId="0" borderId="0" xfId="0" applyFont="1" applyAlignment="1">
      <alignment horizontal="center"/>
    </xf>
    <xf numFmtId="0" fontId="44" fillId="0" borderId="305" xfId="0" applyFont="1" applyBorder="1" applyAlignment="1">
      <alignment horizontal="center" vertical="center" wrapText="1"/>
    </xf>
    <xf numFmtId="0" fontId="36" fillId="0" borderId="36" xfId="278" applyBorder="1" applyAlignment="1">
      <alignment vertical="center"/>
    </xf>
    <xf numFmtId="169" fontId="115" fillId="36" borderId="48" xfId="238" applyFont="1" applyFill="1" applyBorder="1" applyAlignment="1">
      <alignment horizontal="center" vertical="center" wrapText="1"/>
    </xf>
    <xf numFmtId="0" fontId="76" fillId="0" borderId="14" xfId="179" applyFont="1" applyBorder="1" applyAlignment="1">
      <alignment horizontal="left" vertical="center"/>
    </xf>
    <xf numFmtId="0" fontId="36" fillId="0" borderId="301" xfId="0" applyFont="1" applyBorder="1" applyAlignment="1">
      <alignment vertical="center"/>
    </xf>
    <xf numFmtId="0" fontId="36" fillId="0" borderId="317" xfId="0" applyFont="1" applyBorder="1" applyAlignment="1">
      <alignment horizontal="center" vertical="center"/>
    </xf>
    <xf numFmtId="0" fontId="36" fillId="0" borderId="305" xfId="0" applyFont="1" applyBorder="1" applyAlignment="1">
      <alignment horizontal="center" vertical="center" wrapText="1"/>
    </xf>
    <xf numFmtId="166" fontId="66" fillId="0" borderId="296" xfId="100" applyFont="1" applyFill="1" applyBorder="1" applyAlignment="1">
      <alignment horizontal="center" vertical="center"/>
    </xf>
    <xf numFmtId="177" fontId="36" fillId="0" borderId="296" xfId="0" applyNumberFormat="1" applyFont="1" applyBorder="1" applyAlignment="1">
      <alignment vertical="center"/>
    </xf>
    <xf numFmtId="0" fontId="87" fillId="0" borderId="36" xfId="272" applyFont="1" applyBorder="1" applyAlignment="1">
      <alignment horizontal="center" vertical="center"/>
    </xf>
    <xf numFmtId="169" fontId="88" fillId="0" borderId="293" xfId="244" applyFont="1" applyBorder="1" applyAlignment="1">
      <alignment horizontal="center" vertical="center"/>
    </xf>
    <xf numFmtId="169" fontId="88" fillId="0" borderId="293" xfId="244" applyFont="1" applyBorder="1" applyAlignment="1">
      <alignment vertical="center"/>
    </xf>
    <xf numFmtId="10" fontId="88" fillId="0" borderId="293" xfId="275" applyNumberFormat="1" applyFont="1" applyBorder="1" applyAlignment="1">
      <alignment vertical="center"/>
    </xf>
    <xf numFmtId="10" fontId="88" fillId="0" borderId="293" xfId="207" applyNumberFormat="1" applyFont="1" applyBorder="1" applyAlignment="1">
      <alignment vertical="center"/>
    </xf>
    <xf numFmtId="169" fontId="88" fillId="0" borderId="293" xfId="238" applyFont="1" applyBorder="1" applyAlignment="1">
      <alignment vertical="center"/>
    </xf>
    <xf numFmtId="0" fontId="86" fillId="0" borderId="36" xfId="0" applyFont="1" applyBorder="1"/>
    <xf numFmtId="0" fontId="76" fillId="0" borderId="36" xfId="179" applyFont="1" applyBorder="1" applyAlignment="1">
      <alignment vertical="center"/>
    </xf>
    <xf numFmtId="0" fontId="0" fillId="0" borderId="36" xfId="0" applyBorder="1"/>
    <xf numFmtId="0" fontId="103" fillId="0" borderId="36" xfId="239" applyFont="1" applyBorder="1" applyAlignment="1">
      <alignment horizontal="center" wrapText="1"/>
    </xf>
    <xf numFmtId="169" fontId="91" fillId="0" borderId="36" xfId="238" applyFont="1" applyFill="1" applyBorder="1" applyAlignment="1">
      <alignment vertical="center"/>
    </xf>
    <xf numFmtId="49" fontId="76" fillId="0" borderId="36" xfId="169" applyNumberFormat="1" applyFont="1" applyBorder="1" applyAlignment="1">
      <alignment horizontal="center" vertical="center"/>
    </xf>
    <xf numFmtId="0" fontId="44" fillId="0" borderId="36" xfId="262" applyFont="1" applyBorder="1" applyAlignment="1">
      <alignment vertical="center" wrapText="1"/>
    </xf>
    <xf numFmtId="0" fontId="44" fillId="0" borderId="36" xfId="0" applyFont="1" applyBorder="1" applyAlignment="1">
      <alignment vertical="center"/>
    </xf>
    <xf numFmtId="0" fontId="73" fillId="0" borderId="36" xfId="0" applyFont="1" applyBorder="1" applyAlignment="1">
      <alignment horizontal="left" vertical="center"/>
    </xf>
    <xf numFmtId="0" fontId="81" fillId="0" borderId="36" xfId="262" applyFont="1" applyBorder="1"/>
    <xf numFmtId="169" fontId="90" fillId="0" borderId="123" xfId="238" applyFont="1" applyBorder="1" applyAlignment="1">
      <alignment horizontal="center" vertical="center" wrapText="1"/>
    </xf>
    <xf numFmtId="0" fontId="101" fillId="36" borderId="0" xfId="262" applyFont="1" applyFill="1" applyAlignment="1">
      <alignment horizontal="left" vertical="center" wrapText="1"/>
    </xf>
    <xf numFmtId="42" fontId="36" fillId="36" borderId="0" xfId="270" applyFont="1" applyFill="1" applyBorder="1" applyAlignment="1">
      <alignment horizontal="center" vertical="center"/>
    </xf>
    <xf numFmtId="0" fontId="36" fillId="0" borderId="0" xfId="278" applyAlignment="1">
      <alignment horizontal="left" vertical="top"/>
    </xf>
    <xf numFmtId="0" fontId="149" fillId="35" borderId="305" xfId="278" applyFont="1" applyFill="1" applyBorder="1" applyAlignment="1">
      <alignment horizontal="left" vertical="top"/>
    </xf>
    <xf numFmtId="2" fontId="101" fillId="0" borderId="305" xfId="278" applyNumberFormat="1" applyFont="1" applyBorder="1" applyAlignment="1">
      <alignment horizontal="center" vertical="top"/>
    </xf>
    <xf numFmtId="0" fontId="101" fillId="0" borderId="0" xfId="278" applyFont="1" applyAlignment="1">
      <alignment horizontal="left" vertical="top"/>
    </xf>
    <xf numFmtId="0" fontId="101" fillId="0" borderId="305" xfId="278" applyFont="1" applyBorder="1" applyAlignment="1">
      <alignment horizontal="center" vertical="top"/>
    </xf>
    <xf numFmtId="0" fontId="149" fillId="0" borderId="0" xfId="278" applyFont="1" applyAlignment="1">
      <alignment horizontal="center" vertical="center"/>
    </xf>
    <xf numFmtId="0" fontId="149" fillId="0" borderId="305" xfId="278" applyFont="1" applyBorder="1" applyAlignment="1">
      <alignment horizontal="center" vertical="center"/>
    </xf>
    <xf numFmtId="0" fontId="149" fillId="0" borderId="305" xfId="278" applyFont="1" applyBorder="1" applyAlignment="1">
      <alignment horizontal="center" vertical="center" wrapText="1"/>
    </xf>
    <xf numFmtId="0" fontId="101" fillId="0" borderId="0" xfId="278" applyFont="1" applyAlignment="1">
      <alignment horizontal="center" vertical="center"/>
    </xf>
    <xf numFmtId="0" fontId="69" fillId="0" borderId="305" xfId="278" applyFont="1" applyBorder="1" applyAlignment="1">
      <alignment horizontal="center" vertical="center" wrapText="1"/>
    </xf>
    <xf numFmtId="0" fontId="101" fillId="0" borderId="305" xfId="278" applyFont="1" applyBorder="1" applyAlignment="1">
      <alignment horizontal="center" vertical="center"/>
    </xf>
    <xf numFmtId="169" fontId="101" fillId="0" borderId="305" xfId="164" applyFont="1" applyFill="1" applyBorder="1" applyAlignment="1">
      <alignment vertical="center"/>
    </xf>
    <xf numFmtId="0" fontId="69" fillId="36" borderId="305" xfId="278" applyFont="1" applyFill="1" applyBorder="1" applyAlignment="1">
      <alignment horizontal="center" vertical="center" wrapText="1"/>
    </xf>
    <xf numFmtId="0" fontId="101" fillId="0" borderId="305" xfId="278" applyFont="1" applyBorder="1" applyAlignment="1">
      <alignment horizontal="center" vertical="center" wrapText="1"/>
    </xf>
    <xf numFmtId="0" fontId="101" fillId="0" borderId="305" xfId="278" applyFont="1" applyBorder="1" applyAlignment="1">
      <alignment vertical="center" wrapText="1"/>
    </xf>
    <xf numFmtId="169" fontId="101" fillId="0" borderId="305" xfId="164" applyFont="1" applyFill="1" applyBorder="1" applyAlignment="1">
      <alignment horizontal="center" vertical="center"/>
    </xf>
    <xf numFmtId="1" fontId="101" fillId="0" borderId="305" xfId="278" applyNumberFormat="1" applyFont="1" applyBorder="1" applyAlignment="1">
      <alignment horizontal="center" vertical="center"/>
    </xf>
    <xf numFmtId="0" fontId="101" fillId="0" borderId="315" xfId="278" applyFont="1" applyBorder="1" applyAlignment="1">
      <alignment horizontal="left" vertical="center" wrapText="1"/>
    </xf>
    <xf numFmtId="0" fontId="101" fillId="0" borderId="305" xfId="278" applyFont="1" applyBorder="1" applyAlignment="1">
      <alignment horizontal="left" vertical="center" wrapText="1"/>
    </xf>
    <xf numFmtId="0" fontId="101" fillId="0" borderId="305" xfId="278" applyFont="1" applyBorder="1" applyAlignment="1">
      <alignment horizontal="left" vertical="center"/>
    </xf>
    <xf numFmtId="0" fontId="101" fillId="0" borderId="0" xfId="278" applyFont="1" applyAlignment="1">
      <alignment horizontal="center" vertical="top"/>
    </xf>
    <xf numFmtId="0" fontId="69" fillId="0" borderId="0" xfId="278" applyFont="1" applyAlignment="1">
      <alignment horizontal="center" vertical="center" wrapText="1"/>
    </xf>
    <xf numFmtId="169" fontId="101" fillId="0" borderId="0" xfId="164" applyFont="1" applyFill="1" applyBorder="1" applyAlignment="1">
      <alignment vertical="center"/>
    </xf>
    <xf numFmtId="44" fontId="149" fillId="0" borderId="305" xfId="278" applyNumberFormat="1" applyFont="1" applyBorder="1" applyAlignment="1">
      <alignment horizontal="left" vertical="top"/>
    </xf>
    <xf numFmtId="0" fontId="149" fillId="0" borderId="0" xfId="278" applyFont="1" applyAlignment="1">
      <alignment horizontal="center" vertical="top"/>
    </xf>
    <xf numFmtId="0" fontId="149" fillId="0" borderId="0" xfId="278" applyFont="1" applyAlignment="1">
      <alignment horizontal="left" vertical="top"/>
    </xf>
    <xf numFmtId="0" fontId="36" fillId="0" borderId="36" xfId="278" applyBorder="1" applyAlignment="1">
      <alignment horizontal="left" vertical="top"/>
    </xf>
    <xf numFmtId="0" fontId="103" fillId="0" borderId="15" xfId="239" applyFont="1" applyBorder="1" applyAlignment="1">
      <alignment horizontal="center" wrapText="1"/>
    </xf>
    <xf numFmtId="0" fontId="105" fillId="36" borderId="299" xfId="240" applyFont="1" applyFill="1" applyBorder="1" applyAlignment="1">
      <alignment horizontal="center" vertical="center" wrapText="1"/>
    </xf>
    <xf numFmtId="1" fontId="97" fillId="36" borderId="299" xfId="240" applyNumberFormat="1" applyFont="1" applyFill="1" applyBorder="1" applyAlignment="1">
      <alignment horizontal="center" vertical="center" wrapText="1"/>
    </xf>
    <xf numFmtId="188" fontId="97" fillId="0" borderId="299" xfId="240" applyNumberFormat="1" applyFont="1" applyBorder="1" applyAlignment="1">
      <alignment horizontal="center" vertical="center" wrapText="1"/>
    </xf>
    <xf numFmtId="188" fontId="105" fillId="39" borderId="299" xfId="240" applyNumberFormat="1" applyFont="1" applyFill="1" applyBorder="1" applyAlignment="1">
      <alignment horizontal="center" vertical="center" wrapText="1"/>
    </xf>
    <xf numFmtId="188" fontId="105" fillId="0" borderId="299" xfId="240" applyNumberFormat="1" applyFont="1" applyBorder="1" applyAlignment="1">
      <alignment horizontal="center" vertical="center" wrapText="1"/>
    </xf>
    <xf numFmtId="1" fontId="97" fillId="45" borderId="299" xfId="240" applyNumberFormat="1" applyFont="1" applyFill="1" applyBorder="1" applyAlignment="1">
      <alignment horizontal="center" vertical="center" wrapText="1"/>
    </xf>
    <xf numFmtId="188" fontId="105" fillId="36" borderId="299" xfId="240" applyNumberFormat="1" applyFont="1" applyFill="1" applyBorder="1" applyAlignment="1">
      <alignment horizontal="center" vertical="center" wrapText="1"/>
    </xf>
    <xf numFmtId="0" fontId="97" fillId="36" borderId="299" xfId="240" applyFont="1" applyFill="1" applyBorder="1" applyAlignment="1">
      <alignment horizontal="center" vertical="center" wrapText="1"/>
    </xf>
    <xf numFmtId="0" fontId="105" fillId="0" borderId="299" xfId="240" applyFont="1" applyBorder="1" applyAlignment="1">
      <alignment horizontal="center" vertical="center" wrapText="1"/>
    </xf>
    <xf numFmtId="0" fontId="105" fillId="0" borderId="310" xfId="240" applyFont="1" applyBorder="1" applyAlignment="1">
      <alignment horizontal="center" vertical="center" wrapText="1"/>
    </xf>
    <xf numFmtId="203" fontId="71" fillId="0" borderId="0" xfId="239" applyNumberFormat="1" applyFont="1" applyAlignment="1">
      <alignment wrapText="1"/>
    </xf>
    <xf numFmtId="0" fontId="98" fillId="36" borderId="299" xfId="262" applyFont="1" applyFill="1" applyBorder="1" applyAlignment="1">
      <alignment horizontal="center" vertical="center" wrapText="1"/>
    </xf>
    <xf numFmtId="0" fontId="98" fillId="36" borderId="298" xfId="262" applyFont="1" applyFill="1" applyBorder="1" applyAlignment="1">
      <alignment horizontal="center" vertical="center" wrapText="1"/>
    </xf>
    <xf numFmtId="0" fontId="98" fillId="36" borderId="305" xfId="262" applyFont="1" applyFill="1" applyBorder="1" applyAlignment="1">
      <alignment horizontal="center" vertical="center" wrapText="1"/>
    </xf>
    <xf numFmtId="0" fontId="98" fillId="36" borderId="299" xfId="262" applyFont="1" applyFill="1" applyBorder="1" applyAlignment="1">
      <alignment horizontal="center" vertical="center"/>
    </xf>
    <xf numFmtId="0" fontId="98" fillId="36" borderId="298" xfId="262" applyFont="1" applyFill="1" applyBorder="1" applyAlignment="1">
      <alignment horizontal="center" vertical="center"/>
    </xf>
    <xf numFmtId="0" fontId="98" fillId="36" borderId="305" xfId="262" applyFont="1" applyFill="1" applyBorder="1" applyAlignment="1">
      <alignment horizontal="center" vertical="center"/>
    </xf>
    <xf numFmtId="42" fontId="36" fillId="36" borderId="305" xfId="270" applyFont="1" applyFill="1" applyBorder="1" applyAlignment="1">
      <alignment vertical="center"/>
    </xf>
    <xf numFmtId="0" fontId="87" fillId="0" borderId="64" xfId="272" applyFont="1" applyBorder="1" applyAlignment="1">
      <alignment horizontal="center" vertical="center"/>
    </xf>
    <xf numFmtId="0" fontId="88" fillId="0" borderId="308" xfId="272" applyFont="1" applyBorder="1" applyAlignment="1">
      <alignment horizontal="center" vertical="center"/>
    </xf>
    <xf numFmtId="0" fontId="36" fillId="0" borderId="300" xfId="0" applyFont="1" applyBorder="1" applyAlignment="1">
      <alignment vertical="center"/>
    </xf>
    <xf numFmtId="0" fontId="36" fillId="0" borderId="291" xfId="0" applyFont="1" applyBorder="1" applyAlignment="1">
      <alignment horizontal="center" vertical="center"/>
    </xf>
    <xf numFmtId="177" fontId="36" fillId="0" borderId="292" xfId="0" applyNumberFormat="1" applyFont="1" applyBorder="1" applyAlignment="1">
      <alignment vertical="center"/>
    </xf>
    <xf numFmtId="0" fontId="66" fillId="0" borderId="324" xfId="0" applyFont="1" applyBorder="1" applyAlignment="1">
      <alignment vertical="center"/>
    </xf>
    <xf numFmtId="0" fontId="36" fillId="0" borderId="324" xfId="0" applyFont="1" applyBorder="1" applyAlignment="1">
      <alignment vertical="center"/>
    </xf>
    <xf numFmtId="0" fontId="36" fillId="0" borderId="324" xfId="0" applyFont="1" applyBorder="1" applyAlignment="1">
      <alignment vertical="center" wrapText="1"/>
    </xf>
    <xf numFmtId="177" fontId="36" fillId="0" borderId="327" xfId="0" applyNumberFormat="1" applyFont="1" applyBorder="1" applyAlignment="1">
      <alignment vertical="center"/>
    </xf>
    <xf numFmtId="0" fontId="36" fillId="0" borderId="324" xfId="0" applyFont="1" applyBorder="1" applyAlignment="1">
      <alignment horizontal="left" vertical="center"/>
    </xf>
    <xf numFmtId="204" fontId="71" fillId="0" borderId="0" xfId="239" applyNumberFormat="1" applyFont="1" applyAlignment="1">
      <alignment wrapText="1"/>
    </xf>
    <xf numFmtId="205" fontId="71" fillId="0" borderId="0" xfId="239" applyNumberFormat="1" applyFont="1" applyAlignment="1">
      <alignment wrapText="1"/>
    </xf>
    <xf numFmtId="188" fontId="36" fillId="0" borderId="224" xfId="280" applyNumberFormat="1" applyFont="1" applyBorder="1" applyAlignment="1">
      <alignment horizontal="center" vertical="center" wrapText="1"/>
    </xf>
    <xf numFmtId="169" fontId="103" fillId="0" borderId="0" xfId="239" applyNumberFormat="1" applyFont="1" applyAlignment="1">
      <alignment wrapText="1"/>
    </xf>
    <xf numFmtId="206" fontId="97" fillId="36" borderId="60" xfId="240" applyNumberFormat="1" applyFont="1" applyFill="1" applyBorder="1" applyAlignment="1">
      <alignment vertical="center" wrapText="1"/>
    </xf>
    <xf numFmtId="0" fontId="66" fillId="0" borderId="307" xfId="279" applyFont="1" applyBorder="1" applyAlignment="1">
      <alignment horizontal="center"/>
    </xf>
    <xf numFmtId="0" fontId="66" fillId="0" borderId="303" xfId="279" applyFont="1" applyBorder="1" applyAlignment="1">
      <alignment horizontal="center"/>
    </xf>
    <xf numFmtId="0" fontId="86" fillId="0" borderId="14" xfId="0" applyFont="1" applyBorder="1" applyAlignment="1">
      <alignment horizontal="center"/>
    </xf>
    <xf numFmtId="0" fontId="86" fillId="0" borderId="14" xfId="0" applyFont="1" applyBorder="1"/>
    <xf numFmtId="0" fontId="44" fillId="0" borderId="303" xfId="280" applyFont="1" applyBorder="1" applyAlignment="1">
      <alignment horizontal="center" vertical="center" wrapText="1"/>
    </xf>
    <xf numFmtId="2" fontId="36" fillId="0" borderId="303" xfId="280" applyNumberFormat="1" applyFont="1" applyBorder="1" applyAlignment="1">
      <alignment horizontal="center" vertical="center" wrapText="1"/>
    </xf>
    <xf numFmtId="2" fontId="36" fillId="0" borderId="19" xfId="280" applyNumberFormat="1" applyFont="1" applyBorder="1" applyAlignment="1">
      <alignment horizontal="center" vertical="center" wrapText="1"/>
    </xf>
    <xf numFmtId="188" fontId="36" fillId="0" borderId="305" xfId="280" applyNumberFormat="1" applyFont="1" applyBorder="1" applyAlignment="1">
      <alignment horizontal="center" vertical="center" wrapText="1"/>
    </xf>
    <xf numFmtId="2" fontId="86" fillId="0" borderId="14" xfId="0" applyNumberFormat="1" applyFont="1" applyBorder="1" applyAlignment="1">
      <alignment horizontal="center"/>
    </xf>
    <xf numFmtId="0" fontId="66" fillId="0" borderId="326" xfId="0" applyFont="1" applyBorder="1" applyAlignment="1">
      <alignment vertical="center"/>
    </xf>
    <xf numFmtId="0" fontId="66" fillId="0" borderId="321" xfId="0" applyFont="1" applyBorder="1" applyAlignment="1">
      <alignment horizontal="center" vertical="center"/>
    </xf>
    <xf numFmtId="2" fontId="66" fillId="0" borderId="325" xfId="100" applyNumberFormat="1" applyFont="1" applyFill="1" applyBorder="1" applyAlignment="1">
      <alignment horizontal="center" vertical="center"/>
    </xf>
    <xf numFmtId="0" fontId="44" fillId="80" borderId="305" xfId="278" applyFont="1" applyFill="1" applyBorder="1" applyAlignment="1">
      <alignment horizontal="center" vertical="center"/>
    </xf>
    <xf numFmtId="0" fontId="44" fillId="0" borderId="305" xfId="278" applyFont="1" applyBorder="1" applyAlignment="1">
      <alignment horizontal="center" vertical="center"/>
    </xf>
    <xf numFmtId="178" fontId="36" fillId="0" borderId="305" xfId="278" applyNumberFormat="1" applyBorder="1" applyAlignment="1">
      <alignment vertical="center"/>
    </xf>
    <xf numFmtId="177" fontId="36" fillId="0" borderId="321" xfId="278" applyNumberFormat="1" applyBorder="1" applyAlignment="1">
      <alignment vertical="center"/>
    </xf>
    <xf numFmtId="0" fontId="36" fillId="0" borderId="321" xfId="278" applyBorder="1" applyAlignment="1">
      <alignment horizontal="center" vertical="center"/>
    </xf>
    <xf numFmtId="0" fontId="36" fillId="0" borderId="324" xfId="278" applyBorder="1" applyAlignment="1">
      <alignment vertical="center"/>
    </xf>
    <xf numFmtId="177" fontId="36" fillId="0" borderId="322" xfId="278" applyNumberFormat="1" applyBorder="1" applyAlignment="1">
      <alignment vertical="center"/>
    </xf>
    <xf numFmtId="0" fontId="36" fillId="0" borderId="321" xfId="278" applyBorder="1" applyAlignment="1">
      <alignment vertical="center"/>
    </xf>
    <xf numFmtId="177" fontId="36" fillId="0" borderId="321" xfId="100" applyNumberFormat="1" applyFont="1" applyFill="1" applyBorder="1" applyAlignment="1">
      <alignment vertical="center"/>
    </xf>
    <xf numFmtId="0" fontId="67" fillId="0" borderId="0" xfId="1344" applyFont="1" applyAlignment="1">
      <alignment horizontal="left"/>
    </xf>
    <xf numFmtId="0" fontId="66" fillId="0" borderId="0" xfId="1344" applyFont="1" applyAlignment="1">
      <alignment horizontal="left"/>
    </xf>
    <xf numFmtId="0" fontId="76" fillId="0" borderId="71" xfId="179" applyFont="1" applyBorder="1" applyAlignment="1">
      <alignment horizontal="center" vertical="center"/>
    </xf>
    <xf numFmtId="0" fontId="113" fillId="0" borderId="14" xfId="0" applyFont="1" applyBorder="1" applyAlignment="1">
      <alignment horizontal="left" vertical="center" wrapText="1"/>
    </xf>
    <xf numFmtId="191" fontId="113" fillId="36" borderId="48" xfId="238" applyNumberFormat="1" applyFont="1" applyFill="1" applyBorder="1" applyAlignment="1">
      <alignment horizontal="center" vertical="center" wrapText="1"/>
    </xf>
    <xf numFmtId="12" fontId="0" fillId="0" borderId="305" xfId="0" applyNumberFormat="1" applyBorder="1" applyAlignment="1">
      <alignment horizontal="center"/>
    </xf>
    <xf numFmtId="0" fontId="44" fillId="0" borderId="305" xfId="0" applyFont="1" applyBorder="1" applyAlignment="1">
      <alignment horizontal="center" vertical="center"/>
    </xf>
    <xf numFmtId="0" fontId="86" fillId="0" borderId="149" xfId="0" applyFont="1" applyBorder="1" applyAlignment="1">
      <alignment horizontal="left" vertical="center" wrapText="1"/>
    </xf>
    <xf numFmtId="0" fontId="105" fillId="43" borderId="14" xfId="238" applyNumberFormat="1" applyFont="1" applyFill="1" applyBorder="1" applyAlignment="1">
      <alignment horizontal="center" vertical="center" wrapText="1"/>
    </xf>
    <xf numFmtId="0" fontId="97" fillId="36" borderId="14" xfId="240" applyFont="1" applyFill="1" applyBorder="1" applyAlignment="1">
      <alignment horizontal="center" vertical="center" wrapText="1"/>
    </xf>
    <xf numFmtId="0" fontId="6" fillId="0" borderId="139" xfId="236" applyFont="1" applyBorder="1" applyAlignment="1">
      <alignment wrapText="1"/>
    </xf>
    <xf numFmtId="10" fontId="93" fillId="45" borderId="68" xfId="207" applyNumberFormat="1" applyFont="1" applyFill="1" applyBorder="1" applyAlignment="1">
      <alignment horizontal="center"/>
    </xf>
    <xf numFmtId="189" fontId="121" fillId="0" borderId="0" xfId="0" applyNumberFormat="1" applyFont="1" applyAlignment="1">
      <alignment horizontal="center"/>
    </xf>
    <xf numFmtId="1" fontId="36" fillId="0" borderId="256" xfId="280" applyNumberFormat="1" applyFont="1" applyBorder="1" applyAlignment="1">
      <alignment horizontal="center" vertical="center" wrapText="1"/>
    </xf>
    <xf numFmtId="207" fontId="71" fillId="0" borderId="0" xfId="239" applyNumberFormat="1" applyFont="1" applyAlignment="1">
      <alignment wrapText="1"/>
    </xf>
    <xf numFmtId="3" fontId="31" fillId="0" borderId="123" xfId="236" applyNumberFormat="1" applyBorder="1" applyAlignment="1">
      <alignment horizontal="center" vertical="center" wrapText="1"/>
    </xf>
    <xf numFmtId="1" fontId="0" fillId="0" borderId="0" xfId="0" applyNumberFormat="1"/>
    <xf numFmtId="208" fontId="71" fillId="0" borderId="0" xfId="239" applyNumberFormat="1" applyFont="1" applyAlignment="1">
      <alignment wrapText="1"/>
    </xf>
    <xf numFmtId="0" fontId="81" fillId="0" borderId="0" xfId="1347" applyFont="1"/>
    <xf numFmtId="0" fontId="81" fillId="0" borderId="0" xfId="1347" applyFont="1" applyAlignment="1">
      <alignment horizontal="center" vertical="center"/>
    </xf>
    <xf numFmtId="4" fontId="81" fillId="0" borderId="0" xfId="1347" applyNumberFormat="1" applyFont="1"/>
    <xf numFmtId="0" fontId="5" fillId="0" borderId="0" xfId="1347"/>
    <xf numFmtId="0" fontId="98" fillId="0" borderId="0" xfId="1347" applyFont="1"/>
    <xf numFmtId="0" fontId="133" fillId="0" borderId="0" xfId="1347" applyFont="1"/>
    <xf numFmtId="4" fontId="98" fillId="0" borderId="0" xfId="1347" applyNumberFormat="1" applyFont="1"/>
    <xf numFmtId="0" fontId="92" fillId="0" borderId="0" xfId="1347" applyFont="1"/>
    <xf numFmtId="0" fontId="98" fillId="0" borderId="0" xfId="1347" applyFont="1" applyAlignment="1">
      <alignment horizontal="center" vertical="center"/>
    </xf>
    <xf numFmtId="0" fontId="92" fillId="45" borderId="42" xfId="1347" applyFont="1" applyFill="1" applyBorder="1" applyAlignment="1">
      <alignment horizontal="center" vertical="center" wrapText="1"/>
    </xf>
    <xf numFmtId="0" fontId="92" fillId="36" borderId="14" xfId="1347" applyFont="1" applyFill="1" applyBorder="1" applyAlignment="1">
      <alignment horizontal="center" vertical="center" wrapText="1"/>
    </xf>
    <xf numFmtId="0" fontId="92" fillId="36" borderId="62" xfId="1347" applyFont="1" applyFill="1" applyBorder="1" applyAlignment="1">
      <alignment horizontal="center" vertical="center" wrapText="1"/>
    </xf>
    <xf numFmtId="0" fontId="92" fillId="36" borderId="324" xfId="1347" applyFont="1" applyFill="1" applyBorder="1" applyAlignment="1">
      <alignment horizontal="center" vertical="center" wrapText="1"/>
    </xf>
    <xf numFmtId="0" fontId="92" fillId="36" borderId="305" xfId="1347" applyFont="1" applyFill="1" applyBorder="1" applyAlignment="1">
      <alignment horizontal="center" vertical="center" wrapText="1"/>
    </xf>
    <xf numFmtId="4" fontId="92" fillId="36" borderId="305" xfId="1347" applyNumberFormat="1" applyFont="1" applyFill="1" applyBorder="1" applyAlignment="1">
      <alignment horizontal="center" vertical="center" wrapText="1"/>
    </xf>
    <xf numFmtId="0" fontId="92" fillId="36" borderId="296" xfId="1347" applyFont="1" applyFill="1" applyBorder="1" applyAlignment="1">
      <alignment horizontal="center" vertical="center" wrapText="1"/>
    </xf>
    <xf numFmtId="0" fontId="92" fillId="0" borderId="91" xfId="1347" applyFont="1" applyBorder="1" applyAlignment="1">
      <alignment horizontal="center" vertical="center" wrapText="1"/>
    </xf>
    <xf numFmtId="0" fontId="92" fillId="0" borderId="56" xfId="1347" applyFont="1" applyBorder="1" applyAlignment="1">
      <alignment horizontal="left" vertical="center" wrapText="1"/>
    </xf>
    <xf numFmtId="0" fontId="98" fillId="0" borderId="324" xfId="1347" applyFont="1" applyBorder="1" applyAlignment="1">
      <alignment horizontal="center" vertical="center" wrapText="1"/>
    </xf>
    <xf numFmtId="0" fontId="98" fillId="0" borderId="305" xfId="1347" applyFont="1" applyBorder="1" applyAlignment="1">
      <alignment vertical="center" wrapText="1"/>
    </xf>
    <xf numFmtId="0" fontId="98" fillId="0" borderId="305" xfId="1347" applyFont="1" applyBorder="1" applyAlignment="1">
      <alignment horizontal="center" vertical="center" wrapText="1"/>
    </xf>
    <xf numFmtId="193" fontId="98" fillId="0" borderId="305" xfId="1347" applyNumberFormat="1" applyFont="1" applyBorder="1" applyAlignment="1">
      <alignment horizontal="center" vertical="center" wrapText="1"/>
    </xf>
    <xf numFmtId="2" fontId="98" fillId="0" borderId="305" xfId="1347" applyNumberFormat="1" applyFont="1" applyBorder="1" applyAlignment="1">
      <alignment horizontal="center" vertical="center" wrapText="1"/>
    </xf>
    <xf numFmtId="196" fontId="98" fillId="0" borderId="305" xfId="1347" applyNumberFormat="1" applyFont="1" applyBorder="1" applyAlignment="1">
      <alignment horizontal="center" vertical="center" wrapText="1"/>
    </xf>
    <xf numFmtId="199" fontId="92" fillId="0" borderId="296" xfId="1348" applyNumberFormat="1" applyFont="1" applyFill="1" applyBorder="1" applyAlignment="1">
      <alignment horizontal="center" vertical="center" wrapText="1"/>
    </xf>
    <xf numFmtId="0" fontId="92" fillId="36" borderId="71" xfId="1347" applyFont="1" applyFill="1" applyBorder="1" applyAlignment="1">
      <alignment horizontal="center" vertical="center" wrapText="1"/>
    </xf>
    <xf numFmtId="0" fontId="92" fillId="36" borderId="14" xfId="1347" applyFont="1" applyFill="1" applyBorder="1" applyAlignment="1">
      <alignment horizontal="left" vertical="center" wrapText="1"/>
    </xf>
    <xf numFmtId="0" fontId="92" fillId="36" borderId="48" xfId="1347" applyFont="1" applyFill="1" applyBorder="1" applyAlignment="1">
      <alignment horizontal="center" vertical="center" wrapText="1"/>
    </xf>
    <xf numFmtId="0" fontId="98" fillId="0" borderId="299" xfId="1347" applyFont="1" applyBorder="1" applyAlignment="1">
      <alignment horizontal="center" vertical="center" wrapText="1"/>
    </xf>
    <xf numFmtId="0" fontId="98" fillId="0" borderId="305" xfId="1347" applyFont="1" applyBorder="1" applyAlignment="1">
      <alignment horizontal="left" vertical="center" wrapText="1"/>
    </xf>
    <xf numFmtId="167" fontId="92" fillId="0" borderId="296" xfId="1349" applyFont="1" applyFill="1" applyBorder="1" applyAlignment="1">
      <alignment vertical="center" wrapText="1"/>
    </xf>
    <xf numFmtId="187" fontId="92" fillId="0" borderId="18" xfId="1348" applyNumberFormat="1" applyFont="1" applyFill="1" applyBorder="1" applyAlignment="1">
      <alignment horizontal="right" vertical="center" wrapText="1"/>
    </xf>
    <xf numFmtId="187" fontId="92" fillId="0" borderId="0" xfId="1348" applyNumberFormat="1" applyFont="1" applyFill="1" applyBorder="1" applyAlignment="1">
      <alignment horizontal="right" vertical="center" wrapText="1"/>
    </xf>
    <xf numFmtId="167" fontId="92" fillId="0" borderId="19" xfId="1349" applyFont="1" applyFill="1" applyBorder="1" applyAlignment="1">
      <alignment horizontal="right" vertical="center" wrapText="1"/>
    </xf>
    <xf numFmtId="0" fontId="90" fillId="0" borderId="0" xfId="1347" applyFont="1" applyAlignment="1">
      <alignment vertical="center" wrapText="1"/>
    </xf>
    <xf numFmtId="0" fontId="90" fillId="0" borderId="0" xfId="1347" applyFont="1" applyAlignment="1">
      <alignment vertical="center"/>
    </xf>
    <xf numFmtId="187" fontId="92" fillId="0" borderId="0" xfId="1348" applyNumberFormat="1" applyFont="1" applyFill="1" applyBorder="1" applyAlignment="1">
      <alignment vertical="center" wrapText="1"/>
    </xf>
    <xf numFmtId="0" fontId="90" fillId="0" borderId="0" xfId="1347" applyFont="1" applyAlignment="1">
      <alignment horizontal="center"/>
    </xf>
    <xf numFmtId="0" fontId="90" fillId="0" borderId="0" xfId="1347" applyFont="1" applyAlignment="1">
      <alignment horizontal="center" vertical="center"/>
    </xf>
    <xf numFmtId="0" fontId="5" fillId="0" borderId="0" xfId="1347" applyAlignment="1">
      <alignment wrapText="1"/>
    </xf>
    <xf numFmtId="0" fontId="5" fillId="0" borderId="0" xfId="1347" applyAlignment="1">
      <alignment horizontal="center"/>
    </xf>
    <xf numFmtId="0" fontId="104" fillId="36" borderId="305" xfId="1347" applyFont="1" applyFill="1" applyBorder="1" applyAlignment="1">
      <alignment horizontal="center" vertical="center" wrapText="1"/>
    </xf>
    <xf numFmtId="199" fontId="98" fillId="0" borderId="305" xfId="1347" applyNumberFormat="1" applyFont="1" applyBorder="1" applyAlignment="1">
      <alignment horizontal="center" vertical="center" wrapText="1"/>
    </xf>
    <xf numFmtId="9" fontId="98" fillId="0" borderId="305" xfId="207" applyFont="1" applyBorder="1" applyAlignment="1">
      <alignment horizontal="center" vertical="center" wrapText="1"/>
    </xf>
    <xf numFmtId="199" fontId="98" fillId="0" borderId="296" xfId="1347" applyNumberFormat="1" applyFont="1" applyBorder="1" applyAlignment="1">
      <alignment horizontal="center" vertical="center" wrapText="1"/>
    </xf>
    <xf numFmtId="199" fontId="5" fillId="0" borderId="0" xfId="1347" applyNumberFormat="1"/>
    <xf numFmtId="0" fontId="5" fillId="0" borderId="0" xfId="1347" applyAlignment="1">
      <alignment vertical="center" wrapText="1"/>
    </xf>
    <xf numFmtId="199" fontId="92" fillId="36" borderId="325" xfId="1347" applyNumberFormat="1" applyFont="1" applyFill="1" applyBorder="1" applyAlignment="1">
      <alignment horizontal="center" vertical="center" wrapText="1"/>
    </xf>
    <xf numFmtId="4" fontId="92" fillId="36" borderId="0" xfId="1347" applyNumberFormat="1" applyFont="1" applyFill="1" applyAlignment="1">
      <alignment horizontal="right" vertical="center" wrapText="1"/>
    </xf>
    <xf numFmtId="199" fontId="92" fillId="36" borderId="0" xfId="1347" applyNumberFormat="1" applyFont="1" applyFill="1" applyAlignment="1">
      <alignment horizontal="right" vertical="center" wrapText="1"/>
    </xf>
    <xf numFmtId="4" fontId="92" fillId="36" borderId="235" xfId="1347" applyNumberFormat="1" applyFont="1" applyFill="1" applyBorder="1" applyAlignment="1">
      <alignment horizontal="right" vertical="center" wrapText="1"/>
    </xf>
    <xf numFmtId="199" fontId="92" fillId="36" borderId="235" xfId="1347" applyNumberFormat="1" applyFont="1" applyFill="1" applyBorder="1" applyAlignment="1">
      <alignment horizontal="right" vertical="center" wrapText="1"/>
    </xf>
    <xf numFmtId="200" fontId="92" fillId="36" borderId="55" xfId="1347" applyNumberFormat="1" applyFont="1" applyFill="1" applyBorder="1" applyAlignment="1">
      <alignment vertical="center" wrapText="1"/>
    </xf>
    <xf numFmtId="42" fontId="5" fillId="0" borderId="0" xfId="273" applyFont="1"/>
    <xf numFmtId="209" fontId="5" fillId="0" borderId="0" xfId="1347" applyNumberFormat="1"/>
    <xf numFmtId="0" fontId="90" fillId="0" borderId="0" xfId="1347" applyFont="1" applyAlignment="1">
      <alignment wrapText="1"/>
    </xf>
    <xf numFmtId="0" fontId="92" fillId="0" borderId="0" xfId="1347" applyFont="1" applyAlignment="1">
      <alignment vertical="center" wrapText="1"/>
    </xf>
    <xf numFmtId="0" fontId="90" fillId="0" borderId="0" xfId="1347" applyFont="1"/>
    <xf numFmtId="0" fontId="90" fillId="0" borderId="0" xfId="1347" applyFont="1" applyAlignment="1">
      <alignment vertical="distributed" wrapText="1"/>
    </xf>
    <xf numFmtId="0" fontId="67" fillId="0" borderId="0" xfId="1350" applyFont="1" applyAlignment="1">
      <alignment horizontal="left"/>
    </xf>
    <xf numFmtId="0" fontId="93" fillId="0" borderId="0" xfId="278" applyFont="1" applyAlignment="1">
      <alignment vertical="center"/>
    </xf>
    <xf numFmtId="0" fontId="93" fillId="0" borderId="0" xfId="278" applyFont="1" applyAlignment="1">
      <alignment horizontal="center" vertical="center"/>
    </xf>
    <xf numFmtId="0" fontId="5" fillId="0" borderId="0" xfId="1347" applyAlignment="1">
      <alignment horizontal="center" vertical="center"/>
    </xf>
    <xf numFmtId="0" fontId="66" fillId="0" borderId="0" xfId="1350" applyFont="1" applyAlignment="1">
      <alignment horizontal="left"/>
    </xf>
    <xf numFmtId="0" fontId="86" fillId="0" borderId="0" xfId="278" applyFont="1" applyAlignment="1">
      <alignment vertical="center"/>
    </xf>
    <xf numFmtId="0" fontId="86" fillId="0" borderId="0" xfId="278" applyFont="1" applyAlignment="1">
      <alignment horizontal="center" vertical="center"/>
    </xf>
    <xf numFmtId="0" fontId="74" fillId="0" borderId="0" xfId="278" applyFont="1" applyAlignment="1">
      <alignment vertical="center"/>
    </xf>
    <xf numFmtId="0" fontId="74" fillId="0" borderId="0" xfId="278" applyFont="1" applyAlignment="1">
      <alignment horizontal="center" vertical="center"/>
    </xf>
    <xf numFmtId="0" fontId="62" fillId="0" borderId="0" xfId="278" applyFont="1" applyAlignment="1">
      <alignment vertical="center"/>
    </xf>
    <xf numFmtId="193" fontId="92" fillId="0" borderId="296" xfId="1347" applyNumberFormat="1" applyFont="1" applyBorder="1" applyAlignment="1">
      <alignment horizontal="center" vertical="center" wrapText="1"/>
    </xf>
    <xf numFmtId="167" fontId="92" fillId="0" borderId="296" xfId="1349" applyFont="1" applyFill="1" applyBorder="1" applyAlignment="1">
      <alignment horizontal="center" vertical="center" wrapText="1"/>
    </xf>
    <xf numFmtId="193" fontId="92" fillId="0" borderId="325" xfId="1349" applyNumberFormat="1" applyFont="1" applyFill="1" applyBorder="1" applyAlignment="1">
      <alignment horizontal="center" vertical="center" wrapText="1"/>
    </xf>
    <xf numFmtId="199" fontId="92" fillId="36" borderId="55" xfId="1347" applyNumberFormat="1" applyFont="1" applyFill="1" applyBorder="1" applyAlignment="1">
      <alignment horizontal="center" vertical="center" wrapText="1"/>
    </xf>
    <xf numFmtId="0" fontId="93" fillId="45" borderId="321" xfId="0" applyFont="1" applyFill="1" applyBorder="1" applyAlignment="1">
      <alignment horizontal="center" vertical="center"/>
    </xf>
    <xf numFmtId="42" fontId="93" fillId="45" borderId="321" xfId="271" applyFont="1" applyFill="1" applyBorder="1" applyAlignment="1">
      <alignment horizontal="center" vertical="center"/>
    </xf>
    <xf numFmtId="42" fontId="93" fillId="45" borderId="325" xfId="271" applyFont="1" applyFill="1" applyBorder="1" applyAlignment="1">
      <alignment horizontal="center" vertical="center"/>
    </xf>
    <xf numFmtId="0" fontId="76" fillId="36" borderId="324" xfId="179" applyFont="1" applyFill="1" applyBorder="1" applyAlignment="1">
      <alignment vertical="center"/>
    </xf>
    <xf numFmtId="0" fontId="113" fillId="36" borderId="305" xfId="0" applyFont="1" applyFill="1" applyBorder="1" applyAlignment="1">
      <alignment vertical="center" wrapText="1"/>
    </xf>
    <xf numFmtId="168" fontId="115" fillId="36" borderId="305" xfId="0" applyNumberFormat="1" applyFont="1" applyFill="1" applyBorder="1" applyAlignment="1">
      <alignment horizontal="center" vertical="center" wrapText="1"/>
    </xf>
    <xf numFmtId="195" fontId="76" fillId="0" borderId="305" xfId="179" applyNumberFormat="1" applyFont="1" applyBorder="1" applyAlignment="1">
      <alignment horizontal="left" vertical="center"/>
    </xf>
    <xf numFmtId="195" fontId="105" fillId="0" borderId="305" xfId="179" applyNumberFormat="1" applyFont="1" applyBorder="1" applyAlignment="1">
      <alignment horizontal="left" vertical="center"/>
    </xf>
    <xf numFmtId="0" fontId="4" fillId="0" borderId="123" xfId="236" applyFont="1" applyBorder="1" applyAlignment="1">
      <alignment wrapText="1"/>
    </xf>
    <xf numFmtId="0" fontId="86" fillId="0" borderId="149" xfId="0" applyFont="1" applyBorder="1" applyAlignment="1">
      <alignment horizontal="left" vertical="center"/>
    </xf>
    <xf numFmtId="0" fontId="36" fillId="0" borderId="18" xfId="0" applyFont="1" applyBorder="1" applyAlignment="1">
      <alignment horizontal="center" vertical="center"/>
    </xf>
    <xf numFmtId="0" fontId="67" fillId="37" borderId="41" xfId="0" applyFont="1" applyFill="1" applyBorder="1" applyAlignment="1">
      <alignment horizontal="center" vertical="center"/>
    </xf>
    <xf numFmtId="166" fontId="67" fillId="37" borderId="66" xfId="100" applyFont="1" applyFill="1" applyBorder="1" applyAlignment="1">
      <alignment horizontal="center" vertical="center"/>
    </xf>
    <xf numFmtId="0" fontId="86" fillId="0" borderId="14" xfId="0" applyFont="1" applyBorder="1" applyAlignment="1">
      <alignment horizontal="left" vertical="center"/>
    </xf>
    <xf numFmtId="0" fontId="44" fillId="37" borderId="42" xfId="0" applyFont="1" applyFill="1" applyBorder="1" applyAlignment="1">
      <alignment horizontal="center" vertical="center"/>
    </xf>
    <xf numFmtId="166" fontId="66" fillId="0" borderId="296" xfId="100" applyFont="1" applyBorder="1" applyAlignment="1">
      <alignment horizontal="center" vertical="center"/>
    </xf>
    <xf numFmtId="0" fontId="36" fillId="0" borderId="326" xfId="0" applyFont="1" applyBorder="1" applyAlignment="1">
      <alignment vertical="center"/>
    </xf>
    <xf numFmtId="187" fontId="66" fillId="0" borderId="325" xfId="100" applyNumberFormat="1" applyFont="1" applyBorder="1" applyAlignment="1">
      <alignment horizontal="center" vertical="center"/>
    </xf>
    <xf numFmtId="0" fontId="0" fillId="0" borderId="321" xfId="0" applyBorder="1" applyAlignment="1">
      <alignment horizontal="center" vertical="center"/>
    </xf>
    <xf numFmtId="0" fontId="36" fillId="0" borderId="321" xfId="0" applyFont="1" applyBorder="1" applyAlignment="1">
      <alignment horizontal="center" vertical="center"/>
    </xf>
    <xf numFmtId="0" fontId="0" fillId="0" borderId="325" xfId="0" applyBorder="1" applyAlignment="1">
      <alignment horizontal="center" vertical="center"/>
    </xf>
    <xf numFmtId="0" fontId="0" fillId="0" borderId="216" xfId="0" applyBorder="1" applyAlignment="1">
      <alignment horizontal="center" vertical="center"/>
    </xf>
    <xf numFmtId="0" fontId="86" fillId="0" borderId="149" xfId="0" applyFont="1" applyBorder="1" applyAlignment="1">
      <alignment wrapText="1"/>
    </xf>
    <xf numFmtId="1" fontId="36" fillId="0" borderId="41" xfId="0" applyNumberFormat="1" applyFont="1" applyBorder="1" applyAlignment="1">
      <alignment horizontal="center"/>
    </xf>
    <xf numFmtId="2" fontId="0" fillId="0" borderId="64" xfId="0" applyNumberFormat="1" applyBorder="1" applyAlignment="1">
      <alignment horizontal="center"/>
    </xf>
    <xf numFmtId="2" fontId="0" fillId="0" borderId="315" xfId="0" applyNumberFormat="1" applyBorder="1" applyAlignment="1">
      <alignment horizontal="center"/>
    </xf>
    <xf numFmtId="0" fontId="0" fillId="0" borderId="315" xfId="0" applyBorder="1"/>
    <xf numFmtId="2" fontId="44" fillId="0" borderId="54" xfId="0" applyNumberFormat="1" applyFont="1" applyBorder="1" applyAlignment="1">
      <alignment horizontal="center"/>
    </xf>
    <xf numFmtId="2" fontId="0" fillId="0" borderId="320" xfId="0" applyNumberFormat="1" applyBorder="1" applyAlignment="1">
      <alignment horizontal="center"/>
    </xf>
    <xf numFmtId="0" fontId="44" fillId="0" borderId="14" xfId="280" applyFont="1" applyBorder="1" applyAlignment="1">
      <alignment horizontal="center" vertical="center" wrapText="1"/>
    </xf>
    <xf numFmtId="0" fontId="44" fillId="0" borderId="14" xfId="0" applyFont="1" applyBorder="1" applyAlignment="1">
      <alignment horizontal="center" vertical="center"/>
    </xf>
    <xf numFmtId="0" fontId="44" fillId="0" borderId="62" xfId="280" applyFont="1" applyBorder="1" applyAlignment="1">
      <alignment horizontal="center" vertical="center" wrapText="1"/>
    </xf>
    <xf numFmtId="177" fontId="36" fillId="0" borderId="298" xfId="0" applyNumberFormat="1" applyFont="1" applyBorder="1" applyAlignment="1">
      <alignment vertical="center"/>
    </xf>
    <xf numFmtId="177" fontId="36" fillId="0" borderId="305" xfId="0" applyNumberFormat="1" applyFont="1" applyBorder="1" applyAlignment="1">
      <alignment vertical="center"/>
    </xf>
    <xf numFmtId="9" fontId="36" fillId="0" borderId="305" xfId="207" applyFont="1" applyFill="1" applyBorder="1" applyAlignment="1">
      <alignment horizontal="center" vertical="center"/>
    </xf>
    <xf numFmtId="9" fontId="36" fillId="0" borderId="11" xfId="207" applyFont="1" applyFill="1" applyBorder="1" applyAlignment="1">
      <alignment horizontal="center" vertical="center"/>
    </xf>
    <xf numFmtId="0" fontId="36" fillId="0" borderId="299" xfId="0" applyFont="1" applyBorder="1" applyAlignment="1">
      <alignment vertical="center"/>
    </xf>
    <xf numFmtId="0" fontId="36" fillId="0" borderId="293" xfId="0" applyFont="1" applyBorder="1" applyAlignment="1">
      <alignment vertical="center"/>
    </xf>
    <xf numFmtId="0" fontId="36" fillId="0" borderId="298" xfId="0" applyFont="1" applyBorder="1" applyAlignment="1">
      <alignment vertical="center"/>
    </xf>
    <xf numFmtId="2" fontId="44" fillId="0" borderId="50" xfId="280" applyNumberFormat="1" applyFont="1" applyBorder="1" applyAlignment="1">
      <alignment horizontal="center" vertical="center" wrapText="1"/>
    </xf>
    <xf numFmtId="0" fontId="0" fillId="0" borderId="69" xfId="0" applyBorder="1"/>
    <xf numFmtId="0" fontId="44" fillId="0" borderId="0" xfId="0" applyFont="1" applyAlignment="1">
      <alignment horizontal="right"/>
    </xf>
    <xf numFmtId="2" fontId="44" fillId="0" borderId="69" xfId="0" applyNumberFormat="1" applyFont="1" applyBorder="1" applyAlignment="1">
      <alignment horizontal="center"/>
    </xf>
    <xf numFmtId="0" fontId="44" fillId="81" borderId="54" xfId="0" applyFont="1" applyFill="1" applyBorder="1" applyAlignment="1">
      <alignment horizontal="center" vertical="center"/>
    </xf>
    <xf numFmtId="0" fontId="36" fillId="0" borderId="34" xfId="0" applyFont="1" applyBorder="1" applyAlignment="1">
      <alignment vertical="center" wrapText="1"/>
    </xf>
    <xf numFmtId="188" fontId="75" fillId="80" borderId="324" xfId="179" applyNumberFormat="1" applyFont="1" applyFill="1" applyBorder="1" applyAlignment="1">
      <alignment horizontal="center" vertical="center"/>
    </xf>
    <xf numFmtId="168" fontId="115" fillId="36" borderId="315" xfId="0" applyNumberFormat="1" applyFont="1" applyFill="1" applyBorder="1" applyAlignment="1">
      <alignment horizontal="center" vertical="center" wrapText="1"/>
    </xf>
    <xf numFmtId="168" fontId="113" fillId="36" borderId="315" xfId="0" applyNumberFormat="1" applyFont="1" applyFill="1" applyBorder="1" applyAlignment="1">
      <alignment horizontal="center" vertical="center" wrapText="1"/>
    </xf>
    <xf numFmtId="210" fontId="93" fillId="0" borderId="159" xfId="0" applyNumberFormat="1" applyFont="1" applyBorder="1" applyAlignment="1">
      <alignment vertical="center"/>
    </xf>
    <xf numFmtId="0" fontId="75" fillId="45" borderId="317" xfId="179" applyFont="1" applyFill="1" applyBorder="1" applyAlignment="1">
      <alignment horizontal="centerContinuous" vertical="center"/>
    </xf>
    <xf numFmtId="0" fontId="115" fillId="80" borderId="305" xfId="0" applyFont="1" applyFill="1" applyBorder="1" applyAlignment="1">
      <alignment vertical="center" wrapText="1"/>
    </xf>
    <xf numFmtId="188" fontId="76" fillId="36" borderId="324" xfId="179" applyNumberFormat="1" applyFont="1" applyFill="1" applyBorder="1" applyAlignment="1">
      <alignment horizontal="center" vertical="center"/>
    </xf>
    <xf numFmtId="0" fontId="75" fillId="80" borderId="305" xfId="0" applyFont="1" applyFill="1" applyBorder="1" applyAlignment="1">
      <alignment vertical="center" wrapText="1"/>
    </xf>
    <xf numFmtId="0" fontId="115" fillId="36" borderId="317" xfId="0" applyFont="1" applyFill="1" applyBorder="1" applyAlignment="1">
      <alignment vertical="center" wrapText="1"/>
    </xf>
    <xf numFmtId="168" fontId="113" fillId="36" borderId="317" xfId="0" applyNumberFormat="1" applyFont="1" applyFill="1" applyBorder="1" applyAlignment="1">
      <alignment horizontal="center" vertical="center" wrapText="1"/>
    </xf>
    <xf numFmtId="0" fontId="78" fillId="0" borderId="317" xfId="179" applyFont="1" applyBorder="1" applyAlignment="1">
      <alignment horizontal="center" vertical="center"/>
    </xf>
    <xf numFmtId="0" fontId="105" fillId="36" borderId="317" xfId="179" applyFont="1" applyFill="1" applyBorder="1" applyAlignment="1">
      <alignment horizontal="left" vertical="center"/>
    </xf>
    <xf numFmtId="0" fontId="76" fillId="36" borderId="317" xfId="0" applyFont="1" applyFill="1" applyBorder="1"/>
    <xf numFmtId="195" fontId="76" fillId="36" borderId="317" xfId="179" applyNumberFormat="1" applyFont="1" applyFill="1" applyBorder="1" applyAlignment="1">
      <alignment horizontal="left" vertical="center"/>
    </xf>
    <xf numFmtId="195" fontId="76" fillId="49" borderId="325" xfId="179" applyNumberFormat="1" applyFont="1" applyFill="1" applyBorder="1" applyAlignment="1">
      <alignment horizontal="left" vertical="center"/>
    </xf>
    <xf numFmtId="3" fontId="76" fillId="36" borderId="165" xfId="169" applyNumberFormat="1" applyFont="1" applyFill="1" applyBorder="1" applyAlignment="1">
      <alignment horizontal="center" vertical="center"/>
    </xf>
    <xf numFmtId="2" fontId="66" fillId="0" borderId="244" xfId="279" applyNumberFormat="1" applyFont="1" applyBorder="1" applyAlignment="1">
      <alignment horizontal="center"/>
    </xf>
    <xf numFmtId="178" fontId="36" fillId="0" borderId="94" xfId="0" applyNumberFormat="1" applyFont="1" applyBorder="1" applyAlignment="1">
      <alignment vertical="center"/>
    </xf>
    <xf numFmtId="2" fontId="36" fillId="0" borderId="225" xfId="280" applyNumberFormat="1" applyFont="1" applyBorder="1" applyAlignment="1">
      <alignment horizontal="center" vertical="center" wrapText="1"/>
    </xf>
    <xf numFmtId="2" fontId="44" fillId="0" borderId="239" xfId="280" applyNumberFormat="1" applyFont="1" applyBorder="1" applyAlignment="1">
      <alignment horizontal="center" vertical="center" wrapText="1"/>
    </xf>
    <xf numFmtId="211" fontId="71" fillId="0" borderId="0" xfId="239" applyNumberFormat="1" applyFont="1" applyAlignment="1">
      <alignment wrapText="1"/>
    </xf>
    <xf numFmtId="191" fontId="105" fillId="0" borderId="11" xfId="238" applyNumberFormat="1" applyFont="1" applyFill="1" applyBorder="1" applyAlignment="1">
      <alignment horizontal="center" vertical="center" wrapText="1"/>
    </xf>
    <xf numFmtId="189" fontId="92" fillId="0" borderId="305" xfId="1347" applyNumberFormat="1" applyFont="1" applyBorder="1" applyAlignment="1">
      <alignment horizontal="center" vertical="center" wrapText="1"/>
    </xf>
    <xf numFmtId="195" fontId="115" fillId="36" borderId="68" xfId="0" applyNumberFormat="1" applyFont="1" applyFill="1" applyBorder="1" applyAlignment="1">
      <alignment horizontal="center" vertical="center" wrapText="1"/>
    </xf>
    <xf numFmtId="0" fontId="36" fillId="0" borderId="294" xfId="278" applyBorder="1" applyAlignment="1">
      <alignment vertical="center" wrapText="1"/>
    </xf>
    <xf numFmtId="0" fontId="44" fillId="0" borderId="14" xfId="0" applyFont="1" applyBorder="1" applyAlignment="1">
      <alignment horizontal="center" vertical="center" wrapText="1"/>
    </xf>
    <xf numFmtId="2" fontId="0" fillId="0" borderId="69" xfId="0" applyNumberFormat="1" applyBorder="1" applyAlignment="1">
      <alignment horizontal="center" vertical="center"/>
    </xf>
    <xf numFmtId="169" fontId="66" fillId="0" borderId="296" xfId="164" applyFont="1" applyFill="1" applyBorder="1" applyAlignment="1">
      <alignment horizontal="center" vertical="center"/>
    </xf>
    <xf numFmtId="43" fontId="0" fillId="0" borderId="0" xfId="0" applyNumberFormat="1"/>
    <xf numFmtId="0" fontId="90" fillId="0" borderId="0" xfId="1347" applyFont="1" applyAlignment="1">
      <alignment horizontal="center" vertical="center" wrapText="1"/>
    </xf>
    <xf numFmtId="0" fontId="5" fillId="0" borderId="0" xfId="1347" applyAlignment="1">
      <alignment horizontal="center" vertical="center" wrapText="1"/>
    </xf>
    <xf numFmtId="0" fontId="98" fillId="36" borderId="35" xfId="1347" applyFont="1" applyFill="1" applyBorder="1" applyAlignment="1">
      <alignment horizontal="center" vertical="center" wrapText="1"/>
    </xf>
    <xf numFmtId="0" fontId="98" fillId="36" borderId="14" xfId="1347" applyFont="1" applyFill="1" applyBorder="1" applyAlignment="1">
      <alignment horizontal="left" vertical="center" wrapText="1"/>
    </xf>
    <xf numFmtId="0" fontId="98" fillId="36" borderId="48" xfId="1347" applyFont="1" applyFill="1" applyBorder="1" applyAlignment="1">
      <alignment horizontal="center" vertical="center" wrapText="1"/>
    </xf>
    <xf numFmtId="0" fontId="98" fillId="36" borderId="305" xfId="1347" applyFont="1" applyFill="1" applyBorder="1" applyAlignment="1">
      <alignment horizontal="center" vertical="center" wrapText="1"/>
    </xf>
    <xf numFmtId="180" fontId="98" fillId="36" borderId="305" xfId="1347" applyNumberFormat="1" applyFont="1" applyFill="1" applyBorder="1" applyAlignment="1">
      <alignment horizontal="center" vertical="center" wrapText="1"/>
    </xf>
    <xf numFmtId="0" fontId="105" fillId="45" borderId="294" xfId="240" applyFont="1" applyFill="1" applyBorder="1" applyAlignment="1">
      <alignment horizontal="left" vertical="center" wrapText="1"/>
    </xf>
    <xf numFmtId="0" fontId="105" fillId="36" borderId="34" xfId="240" applyFont="1" applyFill="1" applyBorder="1" applyAlignment="1">
      <alignment horizontal="left" vertical="center" wrapText="1"/>
    </xf>
    <xf numFmtId="9" fontId="105" fillId="36" borderId="11" xfId="207" applyFont="1" applyFill="1" applyBorder="1" applyAlignment="1">
      <alignment horizontal="center" vertical="center" wrapText="1"/>
    </xf>
    <xf numFmtId="0" fontId="105" fillId="36" borderId="323" xfId="240" applyFont="1" applyFill="1" applyBorder="1" applyAlignment="1">
      <alignment horizontal="center" vertical="center" wrapText="1"/>
    </xf>
    <xf numFmtId="0" fontId="105" fillId="36" borderId="324" xfId="240" applyFont="1" applyFill="1" applyBorder="1" applyAlignment="1">
      <alignment horizontal="left" vertical="center" wrapText="1"/>
    </xf>
    <xf numFmtId="0" fontId="105" fillId="36" borderId="305" xfId="240" applyFont="1" applyFill="1" applyBorder="1" applyAlignment="1">
      <alignment vertical="center" wrapText="1"/>
    </xf>
    <xf numFmtId="192" fontId="105" fillId="36" borderId="305" xfId="240" applyNumberFormat="1" applyFont="1" applyFill="1" applyBorder="1" applyAlignment="1">
      <alignment vertical="center" wrapText="1"/>
    </xf>
    <xf numFmtId="169" fontId="105" fillId="36" borderId="305" xfId="238" applyFont="1" applyFill="1" applyBorder="1" applyAlignment="1">
      <alignment vertical="center" wrapText="1"/>
    </xf>
    <xf numFmtId="9" fontId="105" fillId="36" borderId="305" xfId="207" applyFont="1" applyFill="1" applyBorder="1" applyAlignment="1">
      <alignment horizontal="center" vertical="center" wrapText="1"/>
    </xf>
    <xf numFmtId="191" fontId="97" fillId="36" borderId="296" xfId="240" applyNumberFormat="1" applyFont="1" applyFill="1" applyBorder="1" applyAlignment="1">
      <alignment vertical="center" wrapText="1"/>
    </xf>
    <xf numFmtId="49" fontId="76" fillId="36" borderId="324" xfId="169" applyNumberFormat="1" applyFont="1" applyFill="1" applyBorder="1" applyAlignment="1">
      <alignment horizontal="center" vertical="center"/>
    </xf>
    <xf numFmtId="0" fontId="76" fillId="0" borderId="305" xfId="262" applyFont="1" applyBorder="1" applyAlignment="1">
      <alignment vertical="center"/>
    </xf>
    <xf numFmtId="0" fontId="76" fillId="36" borderId="305" xfId="169" applyFont="1" applyFill="1" applyBorder="1" applyAlignment="1">
      <alignment horizontal="center" vertical="center"/>
    </xf>
    <xf numFmtId="9" fontId="76" fillId="36" borderId="305" xfId="243" applyFont="1" applyFill="1" applyBorder="1" applyAlignment="1">
      <alignment horizontal="center" vertical="center"/>
    </xf>
    <xf numFmtId="3" fontId="76" fillId="36" borderId="305" xfId="253" applyNumberFormat="1" applyFont="1" applyFill="1" applyBorder="1" applyAlignment="1">
      <alignment horizontal="center" vertical="center"/>
    </xf>
    <xf numFmtId="0" fontId="76" fillId="36" borderId="91" xfId="169" applyFont="1" applyFill="1" applyBorder="1" applyAlignment="1">
      <alignment horizontal="center" vertical="center"/>
    </xf>
    <xf numFmtId="0" fontId="76" fillId="36" borderId="332" xfId="169" applyFont="1" applyFill="1" applyBorder="1" applyAlignment="1">
      <alignment vertical="center" wrapText="1"/>
    </xf>
    <xf numFmtId="0" fontId="76" fillId="36" borderId="322" xfId="169" applyFont="1" applyFill="1" applyBorder="1" applyAlignment="1">
      <alignment horizontal="center" vertical="center"/>
    </xf>
    <xf numFmtId="0" fontId="75" fillId="36" borderId="322" xfId="169" applyFont="1" applyFill="1" applyBorder="1" applyAlignment="1">
      <alignment vertical="center"/>
    </xf>
    <xf numFmtId="3" fontId="76" fillId="36" borderId="0" xfId="169" applyNumberFormat="1" applyFont="1" applyFill="1" applyAlignment="1">
      <alignment horizontal="center" vertical="center"/>
    </xf>
    <xf numFmtId="0" fontId="75" fillId="36" borderId="322" xfId="169" applyFont="1" applyFill="1" applyBorder="1" applyAlignment="1">
      <alignment horizontal="center" vertical="center"/>
    </xf>
    <xf numFmtId="169" fontId="76" fillId="36" borderId="322" xfId="255" applyFont="1" applyFill="1" applyBorder="1" applyAlignment="1">
      <alignment horizontal="center" vertical="center"/>
    </xf>
    <xf numFmtId="176" fontId="107" fillId="36" borderId="319" xfId="254" applyNumberFormat="1" applyFont="1" applyFill="1" applyBorder="1" applyAlignment="1">
      <alignment vertical="center"/>
    </xf>
    <xf numFmtId="4" fontId="76" fillId="36" borderId="327" xfId="255" applyNumberFormat="1" applyFont="1" applyFill="1" applyBorder="1" applyAlignment="1">
      <alignment vertical="center"/>
    </xf>
    <xf numFmtId="49" fontId="75" fillId="36" borderId="305" xfId="169" applyNumberFormat="1" applyFont="1" applyFill="1" applyBorder="1" applyAlignment="1">
      <alignment horizontal="center" vertical="center"/>
    </xf>
    <xf numFmtId="49" fontId="76" fillId="36" borderId="35" xfId="169" applyNumberFormat="1" applyFont="1" applyFill="1" applyBorder="1" applyAlignment="1">
      <alignment horizontal="center" vertical="center"/>
    </xf>
    <xf numFmtId="49" fontId="76" fillId="36" borderId="36" xfId="169" applyNumberFormat="1" applyFont="1" applyFill="1" applyBorder="1" applyAlignment="1">
      <alignment horizontal="center" vertical="center"/>
    </xf>
    <xf numFmtId="49" fontId="76" fillId="36" borderId="305" xfId="169" applyNumberFormat="1" applyFont="1" applyFill="1" applyBorder="1" applyAlignment="1">
      <alignment horizontal="center" vertical="center"/>
    </xf>
    <xf numFmtId="197" fontId="76" fillId="36" borderId="305" xfId="207" applyNumberFormat="1" applyFont="1" applyFill="1" applyBorder="1" applyAlignment="1">
      <alignment horizontal="center" vertical="center"/>
    </xf>
    <xf numFmtId="209" fontId="76" fillId="36" borderId="305" xfId="169" applyNumberFormat="1" applyFont="1" applyFill="1" applyBorder="1" applyAlignment="1">
      <alignment horizontal="center" vertical="center"/>
    </xf>
    <xf numFmtId="209" fontId="76" fillId="36" borderId="305" xfId="238" applyNumberFormat="1" applyFont="1" applyFill="1" applyBorder="1" applyAlignment="1">
      <alignment horizontal="center" vertical="center"/>
    </xf>
    <xf numFmtId="49" fontId="76" fillId="36" borderId="0" xfId="169" applyNumberFormat="1" applyFont="1" applyFill="1" applyAlignment="1">
      <alignment horizontal="center" vertical="center"/>
    </xf>
    <xf numFmtId="209" fontId="76" fillId="36" borderId="291" xfId="238" applyNumberFormat="1" applyFont="1" applyFill="1" applyBorder="1" applyAlignment="1">
      <alignment horizontal="center" vertical="center"/>
    </xf>
    <xf numFmtId="209" fontId="75" fillId="36" borderId="0" xfId="169" applyNumberFormat="1" applyFont="1" applyFill="1" applyAlignment="1">
      <alignment vertical="center"/>
    </xf>
    <xf numFmtId="209" fontId="75" fillId="36" borderId="29" xfId="238" applyNumberFormat="1" applyFont="1" applyFill="1" applyBorder="1" applyAlignment="1">
      <alignment horizontal="center" vertical="center"/>
    </xf>
    <xf numFmtId="1" fontId="97" fillId="45" borderId="323" xfId="240" applyNumberFormat="1" applyFont="1" applyFill="1" applyBorder="1" applyAlignment="1">
      <alignment horizontal="center" vertical="center" wrapText="1"/>
    </xf>
    <xf numFmtId="0" fontId="105" fillId="45" borderId="324" xfId="240" applyFont="1" applyFill="1" applyBorder="1" applyAlignment="1">
      <alignment horizontal="left" vertical="center" wrapText="1"/>
    </xf>
    <xf numFmtId="197" fontId="76" fillId="45" borderId="305" xfId="207" applyNumberFormat="1" applyFont="1" applyFill="1" applyBorder="1" applyAlignment="1">
      <alignment horizontal="center" vertical="center" wrapText="1"/>
    </xf>
    <xf numFmtId="0" fontId="105" fillId="36" borderId="91" xfId="240" applyFont="1" applyFill="1" applyBorder="1" applyAlignment="1">
      <alignment horizontal="left" vertical="center" wrapText="1"/>
    </xf>
    <xf numFmtId="49" fontId="76" fillId="36" borderId="56" xfId="169" applyNumberFormat="1" applyFont="1" applyFill="1" applyBorder="1" applyAlignment="1">
      <alignment horizontal="center" vertical="center"/>
    </xf>
    <xf numFmtId="9" fontId="76" fillId="36" borderId="56" xfId="207" applyFont="1" applyFill="1" applyBorder="1" applyAlignment="1">
      <alignment horizontal="center" vertical="center" wrapText="1"/>
    </xf>
    <xf numFmtId="209" fontId="76" fillId="36" borderId="56" xfId="169" applyNumberFormat="1" applyFont="1" applyFill="1" applyBorder="1" applyAlignment="1">
      <alignment horizontal="center" vertical="center"/>
    </xf>
    <xf numFmtId="190" fontId="93" fillId="45" borderId="69" xfId="271" applyNumberFormat="1" applyFont="1" applyFill="1" applyBorder="1"/>
    <xf numFmtId="10" fontId="97" fillId="83" borderId="11" xfId="207" applyNumberFormat="1" applyFont="1" applyFill="1" applyBorder="1" applyAlignment="1">
      <alignment horizontal="center" vertical="center" wrapText="1"/>
    </xf>
    <xf numFmtId="42" fontId="93" fillId="0" borderId="14" xfId="271" applyFont="1" applyBorder="1" applyAlignment="1">
      <alignment horizontal="center" vertical="center"/>
    </xf>
    <xf numFmtId="0" fontId="86" fillId="0" borderId="305" xfId="0" applyFont="1" applyBorder="1" applyAlignment="1">
      <alignment horizontal="center" vertical="center"/>
    </xf>
    <xf numFmtId="0" fontId="86" fillId="0" borderId="305" xfId="0" applyFont="1" applyBorder="1" applyAlignment="1">
      <alignment wrapText="1"/>
    </xf>
    <xf numFmtId="2" fontId="86" fillId="0" borderId="305" xfId="0" applyNumberFormat="1" applyFont="1" applyBorder="1" applyAlignment="1">
      <alignment horizontal="center" vertical="center"/>
    </xf>
    <xf numFmtId="195" fontId="113" fillId="0" borderId="0" xfId="0" applyNumberFormat="1" applyFont="1" applyAlignment="1">
      <alignment horizontal="center" vertical="center" wrapText="1"/>
    </xf>
    <xf numFmtId="0" fontId="154" fillId="0" borderId="334" xfId="0" applyFont="1" applyBorder="1" applyAlignment="1">
      <alignment horizontal="center" vertical="top" wrapText="1"/>
    </xf>
    <xf numFmtId="1" fontId="156" fillId="0" borderId="335" xfId="0" applyNumberFormat="1" applyFont="1" applyBorder="1" applyAlignment="1">
      <alignment horizontal="center" vertical="top" shrinkToFit="1"/>
    </xf>
    <xf numFmtId="2" fontId="156" fillId="0" borderId="335" xfId="0" applyNumberFormat="1" applyFont="1" applyBorder="1" applyAlignment="1">
      <alignment horizontal="center" vertical="top" shrinkToFit="1"/>
    </xf>
    <xf numFmtId="1" fontId="156" fillId="0" borderId="336" xfId="0" applyNumberFormat="1" applyFont="1" applyBorder="1" applyAlignment="1">
      <alignment horizontal="center" vertical="top" shrinkToFit="1"/>
    </xf>
    <xf numFmtId="188" fontId="156" fillId="0" borderId="336" xfId="0" applyNumberFormat="1" applyFont="1" applyBorder="1" applyAlignment="1">
      <alignment horizontal="center" vertical="top" shrinkToFit="1"/>
    </xf>
    <xf numFmtId="2" fontId="156" fillId="0" borderId="336" xfId="0" applyNumberFormat="1" applyFont="1" applyBorder="1" applyAlignment="1">
      <alignment horizontal="center" vertical="top" shrinkToFit="1"/>
    </xf>
    <xf numFmtId="188" fontId="156" fillId="0" borderId="335" xfId="0" applyNumberFormat="1" applyFont="1" applyBorder="1" applyAlignment="1">
      <alignment horizontal="center" vertical="top" shrinkToFit="1"/>
    </xf>
    <xf numFmtId="1" fontId="156" fillId="0" borderId="338" xfId="0" applyNumberFormat="1" applyFont="1" applyBorder="1" applyAlignment="1">
      <alignment horizontal="center" vertical="top" shrinkToFit="1"/>
    </xf>
    <xf numFmtId="0" fontId="154" fillId="0" borderId="337" xfId="0" applyFont="1" applyBorder="1" applyAlignment="1">
      <alignment horizontal="center" vertical="top" wrapText="1"/>
    </xf>
    <xf numFmtId="2" fontId="156" fillId="0" borderId="338" xfId="0" applyNumberFormat="1" applyFont="1" applyBorder="1" applyAlignment="1">
      <alignment horizontal="center" vertical="top" shrinkToFit="1"/>
    </xf>
    <xf numFmtId="2" fontId="156" fillId="0" borderId="339" xfId="0" applyNumberFormat="1" applyFont="1" applyBorder="1" applyAlignment="1">
      <alignment horizontal="center" vertical="top" shrinkToFit="1"/>
    </xf>
    <xf numFmtId="0" fontId="44" fillId="0" borderId="14" xfId="0" applyFont="1" applyBorder="1" applyAlignment="1">
      <alignment horizontal="center"/>
    </xf>
    <xf numFmtId="0" fontId="155" fillId="0" borderId="305" xfId="0" applyFont="1" applyBorder="1" applyAlignment="1">
      <alignment horizontal="center" vertical="top" wrapText="1"/>
    </xf>
    <xf numFmtId="1" fontId="156" fillId="0" borderId="305" xfId="0" applyNumberFormat="1" applyFont="1" applyBorder="1" applyAlignment="1">
      <alignment horizontal="center" vertical="top" shrinkToFit="1"/>
    </xf>
    <xf numFmtId="188" fontId="156" fillId="0" borderId="305" xfId="0" applyNumberFormat="1" applyFont="1" applyBorder="1" applyAlignment="1">
      <alignment horizontal="center" vertical="top" shrinkToFit="1"/>
    </xf>
    <xf numFmtId="2" fontId="156" fillId="0" borderId="305" xfId="0" applyNumberFormat="1" applyFont="1" applyBorder="1" applyAlignment="1">
      <alignment horizontal="center" vertical="top" shrinkToFit="1"/>
    </xf>
    <xf numFmtId="9" fontId="93" fillId="45" borderId="41" xfId="0" applyNumberFormat="1" applyFont="1" applyFill="1" applyBorder="1" applyAlignment="1">
      <alignment horizontal="center" vertical="center"/>
    </xf>
    <xf numFmtId="2" fontId="66" fillId="0" borderId="237" xfId="279" applyNumberFormat="1" applyFont="1" applyBorder="1" applyAlignment="1">
      <alignment horizontal="center" vertical="center"/>
    </xf>
    <xf numFmtId="9" fontId="105" fillId="45" borderId="305" xfId="207" applyFont="1" applyFill="1" applyBorder="1" applyAlignment="1">
      <alignment horizontal="center" vertical="center" wrapText="1"/>
    </xf>
    <xf numFmtId="0" fontId="44" fillId="0" borderId="56" xfId="0" applyFont="1" applyBorder="1" applyAlignment="1">
      <alignment horizontal="center"/>
    </xf>
    <xf numFmtId="0" fontId="155" fillId="0" borderId="336" xfId="0" applyFont="1" applyBorder="1" applyAlignment="1">
      <alignment horizontal="center" vertical="top" wrapText="1"/>
    </xf>
    <xf numFmtId="0" fontId="0" fillId="0" borderId="336" xfId="0" applyBorder="1" applyAlignment="1">
      <alignment horizontal="center"/>
    </xf>
    <xf numFmtId="0" fontId="44" fillId="0" borderId="339" xfId="0" applyFont="1" applyBorder="1" applyAlignment="1">
      <alignment horizontal="center"/>
    </xf>
    <xf numFmtId="0" fontId="44" fillId="0" borderId="29" xfId="0" applyFont="1" applyBorder="1" applyAlignment="1">
      <alignment horizontal="center"/>
    </xf>
    <xf numFmtId="0" fontId="66" fillId="0" borderId="299" xfId="279" applyFont="1" applyBorder="1" applyAlignment="1">
      <alignment horizontal="center"/>
    </xf>
    <xf numFmtId="0" fontId="66" fillId="0" borderId="293" xfId="279" applyFont="1" applyBorder="1" applyAlignment="1">
      <alignment horizontal="center"/>
    </xf>
    <xf numFmtId="0" fontId="121" fillId="36" borderId="336" xfId="0" applyFont="1" applyFill="1" applyBorder="1" applyAlignment="1">
      <alignment horizontal="center"/>
    </xf>
    <xf numFmtId="2" fontId="17" fillId="0" borderId="336" xfId="0" applyNumberFormat="1" applyFont="1" applyBorder="1" applyAlignment="1">
      <alignment horizontal="center"/>
    </xf>
    <xf numFmtId="0" fontId="121" fillId="36" borderId="315" xfId="0" applyFont="1" applyFill="1" applyBorder="1" applyAlignment="1">
      <alignment horizontal="center"/>
    </xf>
    <xf numFmtId="0" fontId="121" fillId="36" borderId="298" xfId="0" applyFont="1" applyFill="1" applyBorder="1" applyAlignment="1">
      <alignment horizontal="center"/>
    </xf>
    <xf numFmtId="0" fontId="157" fillId="0" borderId="336" xfId="0" applyFont="1" applyBorder="1" applyAlignment="1">
      <alignment horizontal="center" vertical="center"/>
    </xf>
    <xf numFmtId="0" fontId="121" fillId="36" borderId="14" xfId="0" applyFont="1" applyFill="1" applyBorder="1" applyAlignment="1">
      <alignment horizontal="center"/>
    </xf>
    <xf numFmtId="2" fontId="17" fillId="0" borderId="14" xfId="0" applyNumberFormat="1" applyFont="1" applyBorder="1" applyAlignment="1">
      <alignment horizontal="center"/>
    </xf>
    <xf numFmtId="0" fontId="0" fillId="0" borderId="14" xfId="0" applyBorder="1" applyAlignment="1">
      <alignment horizontal="center"/>
    </xf>
    <xf numFmtId="0" fontId="3" fillId="0" borderId="315" xfId="0" applyFont="1" applyBorder="1" applyAlignment="1">
      <alignment horizontal="center" vertical="center"/>
    </xf>
    <xf numFmtId="2" fontId="0" fillId="0" borderId="336" xfId="0" applyNumberFormat="1" applyBorder="1" applyAlignment="1">
      <alignment horizontal="center" vertical="center"/>
    </xf>
    <xf numFmtId="2" fontId="69" fillId="0" borderId="336" xfId="0" applyNumberFormat="1" applyFont="1" applyBorder="1" applyAlignment="1">
      <alignment horizontal="center" vertical="center"/>
    </xf>
    <xf numFmtId="0" fontId="0" fillId="0" borderId="315" xfId="0" applyBorder="1" applyAlignment="1">
      <alignment horizontal="center"/>
    </xf>
    <xf numFmtId="0" fontId="69" fillId="0" borderId="336" xfId="0" applyFont="1" applyBorder="1" applyAlignment="1">
      <alignment horizontal="center"/>
    </xf>
    <xf numFmtId="2" fontId="0" fillId="0" borderId="296" xfId="0" applyNumberFormat="1" applyBorder="1" applyAlignment="1">
      <alignment horizontal="center"/>
    </xf>
    <xf numFmtId="0" fontId="44" fillId="0" borderId="336" xfId="0" applyFont="1" applyBorder="1" applyAlignment="1">
      <alignment horizontal="center"/>
    </xf>
    <xf numFmtId="2" fontId="44" fillId="0" borderId="292" xfId="0" applyNumberFormat="1" applyFont="1" applyBorder="1" applyAlignment="1">
      <alignment horizontal="center"/>
    </xf>
    <xf numFmtId="2" fontId="44" fillId="0" borderId="29" xfId="0" applyNumberFormat="1" applyFont="1" applyBorder="1" applyAlignment="1">
      <alignment horizontal="center"/>
    </xf>
    <xf numFmtId="0" fontId="67" fillId="47" borderId="23" xfId="0" applyFont="1" applyFill="1" applyBorder="1" applyAlignment="1">
      <alignment horizontal="center" vertical="center"/>
    </xf>
    <xf numFmtId="0" fontId="129" fillId="47" borderId="23" xfId="0" applyFont="1" applyFill="1" applyBorder="1" applyAlignment="1">
      <alignment horizontal="center" vertical="center" wrapText="1"/>
    </xf>
    <xf numFmtId="0" fontId="67" fillId="47" borderId="23" xfId="0" applyFont="1" applyFill="1" applyBorder="1" applyAlignment="1">
      <alignment horizontal="center" vertical="center" wrapText="1"/>
    </xf>
    <xf numFmtId="0" fontId="44" fillId="47" borderId="23" xfId="0" applyFont="1" applyFill="1" applyBorder="1" applyAlignment="1">
      <alignment horizontal="center" vertical="center" wrapText="1"/>
    </xf>
    <xf numFmtId="0" fontId="44" fillId="47" borderId="45" xfId="0" applyFont="1" applyFill="1" applyBorder="1" applyAlignment="1">
      <alignment horizontal="center" vertical="center" wrapText="1"/>
    </xf>
    <xf numFmtId="0" fontId="0" fillId="0" borderId="336" xfId="0" applyBorder="1" applyAlignment="1">
      <alignment horizontal="center" vertical="center"/>
    </xf>
    <xf numFmtId="0" fontId="121" fillId="47" borderId="48" xfId="0" applyFont="1" applyFill="1" applyBorder="1" applyAlignment="1">
      <alignment horizontal="center" vertical="center"/>
    </xf>
    <xf numFmtId="0" fontId="158" fillId="47" borderId="336" xfId="0" applyFont="1" applyFill="1" applyBorder="1" applyAlignment="1">
      <alignment horizontal="center" vertical="center"/>
    </xf>
    <xf numFmtId="0" fontId="158" fillId="47" borderId="47" xfId="0" applyFont="1" applyFill="1" applyBorder="1" applyAlignment="1">
      <alignment horizontal="center" vertical="center"/>
    </xf>
    <xf numFmtId="0" fontId="121" fillId="47" borderId="14" xfId="0" applyFont="1" applyFill="1" applyBorder="1" applyAlignment="1">
      <alignment horizontal="center" vertical="center"/>
    </xf>
    <xf numFmtId="2" fontId="17" fillId="47" borderId="14" xfId="0" applyNumberFormat="1" applyFont="1" applyFill="1" applyBorder="1" applyAlignment="1">
      <alignment horizontal="center" vertical="center"/>
    </xf>
    <xf numFmtId="0" fontId="0" fillId="47" borderId="14" xfId="0" applyFill="1" applyBorder="1" applyAlignment="1">
      <alignment horizontal="center" vertical="center"/>
    </xf>
    <xf numFmtId="0" fontId="44" fillId="47" borderId="14" xfId="0" applyFont="1" applyFill="1" applyBorder="1" applyAlignment="1">
      <alignment horizontal="center" vertical="center"/>
    </xf>
    <xf numFmtId="0" fontId="0" fillId="47" borderId="336" xfId="0" applyFill="1" applyBorder="1" applyAlignment="1">
      <alignment horizontal="center" vertical="center"/>
    </xf>
    <xf numFmtId="2" fontId="44" fillId="47" borderId="296" xfId="0" applyNumberFormat="1" applyFont="1" applyFill="1" applyBorder="1" applyAlignment="1">
      <alignment horizontal="center" vertical="center" wrapText="1"/>
    </xf>
    <xf numFmtId="0" fontId="158" fillId="36" borderId="14" xfId="0" applyFont="1" applyFill="1" applyBorder="1" applyAlignment="1">
      <alignment horizontal="center"/>
    </xf>
    <xf numFmtId="0" fontId="158" fillId="36" borderId="56" xfId="0" applyFont="1" applyFill="1" applyBorder="1" applyAlignment="1">
      <alignment horizontal="center"/>
    </xf>
    <xf numFmtId="2" fontId="44" fillId="0" borderId="62" xfId="0" applyNumberFormat="1" applyFont="1" applyBorder="1" applyAlignment="1">
      <alignment horizontal="center"/>
    </xf>
    <xf numFmtId="2" fontId="66" fillId="0" borderId="336" xfId="279" applyNumberFormat="1" applyFont="1" applyBorder="1" applyAlignment="1">
      <alignment horizontal="center"/>
    </xf>
    <xf numFmtId="0" fontId="36" fillId="0" borderId="336" xfId="280" applyFont="1" applyBorder="1" applyAlignment="1">
      <alignment horizontal="center" vertical="center" wrapText="1"/>
    </xf>
    <xf numFmtId="0" fontId="66" fillId="0" borderId="299" xfId="279" applyFont="1" applyBorder="1"/>
    <xf numFmtId="0" fontId="66" fillId="0" borderId="293" xfId="279" applyFont="1" applyBorder="1"/>
    <xf numFmtId="0" fontId="66" fillId="0" borderId="298" xfId="279" applyFont="1" applyBorder="1"/>
    <xf numFmtId="2" fontId="66" fillId="0" borderId="298" xfId="279" applyNumberFormat="1" applyFont="1" applyBorder="1" applyAlignment="1">
      <alignment horizontal="center"/>
    </xf>
    <xf numFmtId="0" fontId="67" fillId="47" borderId="304" xfId="279" applyFont="1" applyFill="1" applyBorder="1" applyAlignment="1">
      <alignment horizontal="center"/>
    </xf>
    <xf numFmtId="2" fontId="36" fillId="0" borderId="48" xfId="280" applyNumberFormat="1" applyFont="1" applyBorder="1" applyAlignment="1">
      <alignment horizontal="center" vertical="center" wrapText="1"/>
    </xf>
    <xf numFmtId="0" fontId="44" fillId="47" borderId="305" xfId="280" applyFont="1" applyFill="1" applyBorder="1" applyAlignment="1">
      <alignment horizontal="center" vertical="center" wrapText="1"/>
    </xf>
    <xf numFmtId="0" fontId="44" fillId="47" borderId="296" xfId="280" applyFont="1" applyFill="1" applyBorder="1" applyAlignment="1">
      <alignment horizontal="center" vertical="center" wrapText="1"/>
    </xf>
    <xf numFmtId="2" fontId="66" fillId="47" borderId="336" xfId="279" applyNumberFormat="1" applyFont="1" applyFill="1" applyBorder="1" applyAlignment="1">
      <alignment horizontal="center"/>
    </xf>
    <xf numFmtId="2" fontId="36" fillId="47" borderId="336" xfId="280" applyNumberFormat="1" applyFont="1" applyFill="1" applyBorder="1" applyAlignment="1">
      <alignment horizontal="center" vertical="center" wrapText="1"/>
    </xf>
    <xf numFmtId="10" fontId="97" fillId="84" borderId="11" xfId="207" applyNumberFormat="1" applyFont="1" applyFill="1" applyBorder="1" applyAlignment="1">
      <alignment horizontal="center" vertical="center" wrapText="1"/>
    </xf>
    <xf numFmtId="0" fontId="93" fillId="45" borderId="29" xfId="0" applyFont="1" applyFill="1" applyBorder="1" applyAlignment="1">
      <alignment horizontal="center" vertical="center"/>
    </xf>
    <xf numFmtId="42" fontId="93" fillId="45" borderId="29" xfId="271" applyFont="1" applyFill="1" applyBorder="1" applyAlignment="1">
      <alignment horizontal="center" vertical="center"/>
    </xf>
    <xf numFmtId="169" fontId="88" fillId="0" borderId="0" xfId="238" applyFont="1" applyAlignment="1">
      <alignment vertical="center"/>
    </xf>
    <xf numFmtId="169" fontId="0" fillId="0" borderId="0" xfId="238" applyFont="1" applyAlignment="1">
      <alignment vertical="center"/>
    </xf>
    <xf numFmtId="0" fontId="2" fillId="0" borderId="123" xfId="236" applyFont="1" applyBorder="1" applyAlignment="1">
      <alignment wrapText="1"/>
    </xf>
    <xf numFmtId="4" fontId="160" fillId="0" borderId="0" xfId="0" applyNumberFormat="1" applyFont="1"/>
    <xf numFmtId="191" fontId="88" fillId="82" borderId="103" xfId="244" applyNumberFormat="1" applyFont="1" applyFill="1" applyBorder="1" applyAlignment="1">
      <alignment vertical="center"/>
    </xf>
    <xf numFmtId="191" fontId="87" fillId="37" borderId="103" xfId="244" applyNumberFormat="1" applyFont="1" applyFill="1" applyBorder="1" applyAlignment="1">
      <alignment vertical="center"/>
    </xf>
    <xf numFmtId="191" fontId="76" fillId="36" borderId="143" xfId="255" applyNumberFormat="1" applyFont="1" applyFill="1" applyBorder="1" applyAlignment="1">
      <alignment horizontal="center" vertical="center"/>
    </xf>
    <xf numFmtId="191" fontId="76" fillId="36" borderId="142" xfId="255" applyNumberFormat="1" applyFont="1" applyFill="1" applyBorder="1" applyAlignment="1">
      <alignment horizontal="center" vertical="center"/>
    </xf>
    <xf numFmtId="191" fontId="76" fillId="36" borderId="142" xfId="267" applyNumberFormat="1" applyFont="1" applyFill="1" applyBorder="1" applyAlignment="1">
      <alignment horizontal="center" vertical="center"/>
    </xf>
    <xf numFmtId="191" fontId="76" fillId="36" borderId="209" xfId="267" applyNumberFormat="1" applyFont="1" applyFill="1" applyBorder="1" applyAlignment="1">
      <alignment horizontal="center" vertical="center"/>
    </xf>
    <xf numFmtId="191" fontId="76" fillId="36" borderId="209" xfId="255" applyNumberFormat="1" applyFont="1" applyFill="1" applyBorder="1" applyAlignment="1">
      <alignment horizontal="center" vertical="center"/>
    </xf>
    <xf numFmtId="191" fontId="76" fillId="36" borderId="165" xfId="255" applyNumberFormat="1" applyFont="1" applyFill="1" applyBorder="1" applyAlignment="1">
      <alignment horizontal="center" vertical="center"/>
    </xf>
    <xf numFmtId="187" fontId="75" fillId="36" borderId="94" xfId="253" applyNumberFormat="1" applyFont="1" applyFill="1" applyBorder="1" applyAlignment="1">
      <alignment horizontal="center" vertical="center"/>
    </xf>
    <xf numFmtId="187" fontId="76" fillId="36" borderId="94" xfId="253" applyNumberFormat="1" applyFont="1" applyFill="1" applyBorder="1" applyAlignment="1">
      <alignment horizontal="center" vertical="center"/>
    </xf>
    <xf numFmtId="191" fontId="76" fillId="36" borderId="94" xfId="255" applyNumberFormat="1" applyFont="1" applyFill="1" applyBorder="1" applyAlignment="1">
      <alignment horizontal="center" vertical="center"/>
    </xf>
    <xf numFmtId="191" fontId="76" fillId="36" borderId="170" xfId="255" applyNumberFormat="1" applyFont="1" applyFill="1" applyBorder="1" applyAlignment="1">
      <alignment horizontal="center" vertical="center"/>
    </xf>
    <xf numFmtId="191" fontId="76" fillId="36" borderId="168" xfId="255" applyNumberFormat="1" applyFont="1" applyFill="1" applyBorder="1" applyAlignment="1">
      <alignment horizontal="center" vertical="center"/>
    </xf>
    <xf numFmtId="191" fontId="76" fillId="36" borderId="305" xfId="255" applyNumberFormat="1" applyFont="1" applyFill="1" applyBorder="1" applyAlignment="1">
      <alignment horizontal="center" vertical="center"/>
    </xf>
    <xf numFmtId="191" fontId="76" fillId="36" borderId="94" xfId="169" applyNumberFormat="1" applyFont="1" applyFill="1" applyBorder="1" applyAlignment="1">
      <alignment horizontal="center" vertical="center"/>
    </xf>
    <xf numFmtId="191" fontId="76" fillId="41" borderId="94" xfId="244" applyNumberFormat="1" applyFont="1" applyFill="1" applyBorder="1" applyAlignment="1">
      <alignment horizontal="center" vertical="center"/>
    </xf>
    <xf numFmtId="3" fontId="76" fillId="36" borderId="95" xfId="265" applyNumberFormat="1" applyFont="1" applyFill="1" applyBorder="1" applyAlignment="1">
      <alignment horizontal="right" vertical="center"/>
    </xf>
    <xf numFmtId="3" fontId="76" fillId="36" borderId="144" xfId="255" applyNumberFormat="1" applyFont="1" applyFill="1" applyBorder="1" applyAlignment="1">
      <alignment vertical="center"/>
    </xf>
    <xf numFmtId="3" fontId="76" fillId="36" borderId="164" xfId="255" applyNumberFormat="1" applyFont="1" applyFill="1" applyBorder="1" applyAlignment="1">
      <alignment vertical="center"/>
    </xf>
    <xf numFmtId="3" fontId="76" fillId="36" borderId="147" xfId="255" applyNumberFormat="1" applyFont="1" applyFill="1" applyBorder="1" applyAlignment="1">
      <alignment vertical="center"/>
    </xf>
    <xf numFmtId="191" fontId="105" fillId="0" borderId="86" xfId="238" applyNumberFormat="1" applyFont="1" applyFill="1" applyBorder="1" applyAlignment="1">
      <alignment horizontal="center" vertical="center" wrapText="1"/>
    </xf>
    <xf numFmtId="191" fontId="105" fillId="0" borderId="142" xfId="238" applyNumberFormat="1" applyFont="1" applyFill="1" applyBorder="1" applyAlignment="1">
      <alignment horizontal="center" vertical="center" wrapText="1"/>
    </xf>
    <xf numFmtId="191" fontId="105" fillId="36" borderId="86" xfId="238" applyNumberFormat="1" applyFont="1" applyFill="1" applyBorder="1" applyAlignment="1">
      <alignment horizontal="center" vertical="center" wrapText="1"/>
    </xf>
    <xf numFmtId="191" fontId="105" fillId="36" borderId="169" xfId="238" applyNumberFormat="1" applyFont="1" applyFill="1" applyBorder="1" applyAlignment="1">
      <alignment horizontal="center" vertical="center" wrapText="1"/>
    </xf>
    <xf numFmtId="0" fontId="1" fillId="0" borderId="123" xfId="236" applyFont="1" applyBorder="1" applyAlignment="1">
      <alignment wrapText="1"/>
    </xf>
    <xf numFmtId="165" fontId="86" fillId="0" borderId="0" xfId="0" applyNumberFormat="1" applyFont="1"/>
    <xf numFmtId="10" fontId="86" fillId="0" borderId="0" xfId="0" applyNumberFormat="1" applyFont="1"/>
    <xf numFmtId="0" fontId="86" fillId="0" borderId="145" xfId="0" applyFont="1" applyBorder="1" applyAlignment="1">
      <alignment horizontal="left" vertical="center"/>
    </xf>
    <xf numFmtId="0" fontId="86" fillId="0" borderId="149" xfId="0" applyFont="1" applyBorder="1" applyAlignment="1">
      <alignment horizontal="left" vertical="center"/>
    </xf>
    <xf numFmtId="0" fontId="93" fillId="45" borderId="42" xfId="0" applyFont="1" applyFill="1" applyBorder="1" applyAlignment="1">
      <alignment horizontal="left" vertical="center"/>
    </xf>
    <xf numFmtId="0" fontId="93" fillId="45" borderId="41" xfId="0" applyFont="1" applyFill="1" applyBorder="1" applyAlignment="1">
      <alignment horizontal="left" vertical="center"/>
    </xf>
    <xf numFmtId="0" fontId="93" fillId="45" borderId="73" xfId="0" applyFont="1" applyFill="1" applyBorder="1"/>
    <xf numFmtId="0" fontId="93" fillId="45" borderId="53" xfId="0" applyFont="1" applyFill="1" applyBorder="1"/>
    <xf numFmtId="0" fontId="93" fillId="45" borderId="55" xfId="0" applyFont="1" applyFill="1" applyBorder="1"/>
    <xf numFmtId="0" fontId="93" fillId="45" borderId="67" xfId="0" applyFont="1" applyFill="1" applyBorder="1"/>
    <xf numFmtId="0" fontId="93" fillId="45" borderId="68" xfId="0" applyFont="1" applyFill="1" applyBorder="1"/>
    <xf numFmtId="0" fontId="86" fillId="0" borderId="0" xfId="0" applyFont="1"/>
    <xf numFmtId="0" fontId="93" fillId="45" borderId="326" xfId="0" applyFont="1" applyFill="1" applyBorder="1" applyAlignment="1">
      <alignment horizontal="left" vertical="center"/>
    </xf>
    <xf numFmtId="0" fontId="93" fillId="45" borderId="321" xfId="0" applyFont="1" applyFill="1" applyBorder="1" applyAlignment="1">
      <alignment horizontal="left" vertical="center"/>
    </xf>
    <xf numFmtId="0" fontId="93" fillId="45" borderId="54" xfId="0" applyFont="1" applyFill="1" applyBorder="1" applyAlignment="1">
      <alignment horizontal="left"/>
    </xf>
    <xf numFmtId="0" fontId="93" fillId="45" borderId="53" xfId="0" applyFont="1" applyFill="1" applyBorder="1" applyAlignment="1">
      <alignment horizontal="left"/>
    </xf>
    <xf numFmtId="0" fontId="93" fillId="45" borderId="74" xfId="0" applyFont="1" applyFill="1" applyBorder="1" applyAlignment="1">
      <alignment horizontal="left"/>
    </xf>
    <xf numFmtId="0" fontId="86" fillId="0" borderId="146" xfId="0" applyFont="1" applyBorder="1" applyAlignment="1">
      <alignment horizontal="left" vertical="center"/>
    </xf>
    <xf numFmtId="0" fontId="86" fillId="0" borderId="151" xfId="0" applyFont="1" applyBorder="1" applyAlignment="1">
      <alignment horizontal="left" vertical="center"/>
    </xf>
    <xf numFmtId="0" fontId="93" fillId="45" borderId="299" xfId="0" applyFont="1" applyFill="1" applyBorder="1" applyAlignment="1">
      <alignment horizontal="left" vertical="center"/>
    </xf>
    <xf numFmtId="0" fontId="93" fillId="45" borderId="293" xfId="0" applyFont="1" applyFill="1" applyBorder="1" applyAlignment="1">
      <alignment horizontal="left" vertical="center"/>
    </xf>
    <xf numFmtId="0" fontId="93" fillId="45" borderId="298" xfId="0" applyFont="1" applyFill="1" applyBorder="1" applyAlignment="1">
      <alignment horizontal="left" vertical="center"/>
    </xf>
    <xf numFmtId="0" fontId="93" fillId="45" borderId="54" xfId="0" applyFont="1" applyFill="1" applyBorder="1" applyAlignment="1">
      <alignment horizontal="left" vertical="center"/>
    </xf>
    <xf numFmtId="0" fontId="93" fillId="45" borderId="53" xfId="0" applyFont="1" applyFill="1" applyBorder="1" applyAlignment="1">
      <alignment horizontal="left" vertical="center"/>
    </xf>
    <xf numFmtId="0" fontId="93" fillId="45" borderId="55" xfId="0" applyFont="1" applyFill="1" applyBorder="1" applyAlignment="1">
      <alignment horizontal="left" vertical="center"/>
    </xf>
    <xf numFmtId="0" fontId="123" fillId="36" borderId="54" xfId="0" applyFont="1" applyFill="1" applyBorder="1" applyAlignment="1">
      <alignment horizontal="center" vertical="center" wrapText="1"/>
    </xf>
    <xf numFmtId="0" fontId="123" fillId="36" borderId="53" xfId="0" applyFont="1" applyFill="1" applyBorder="1" applyAlignment="1">
      <alignment horizontal="center" vertical="center" wrapText="1"/>
    </xf>
    <xf numFmtId="0" fontId="123" fillId="36" borderId="55" xfId="0" applyFont="1" applyFill="1" applyBorder="1" applyAlignment="1">
      <alignment horizontal="center" vertical="center" wrapText="1"/>
    </xf>
    <xf numFmtId="0" fontId="151" fillId="36" borderId="16" xfId="0" applyFont="1" applyFill="1" applyBorder="1" applyAlignment="1">
      <alignment horizontal="center" vertical="center" wrapText="1"/>
    </xf>
    <xf numFmtId="0" fontId="151" fillId="36" borderId="76" xfId="0" applyFont="1" applyFill="1" applyBorder="1" applyAlignment="1">
      <alignment horizontal="center" vertical="center" wrapText="1"/>
    </xf>
    <xf numFmtId="0" fontId="91" fillId="0" borderId="0" xfId="0" applyFont="1" applyAlignment="1">
      <alignment horizontal="center" vertical="center"/>
    </xf>
    <xf numFmtId="0" fontId="93" fillId="45" borderId="45" xfId="0" applyFont="1" applyFill="1" applyBorder="1" applyAlignment="1">
      <alignment horizontal="center" vertical="center"/>
    </xf>
    <xf numFmtId="0" fontId="93" fillId="45" borderId="158" xfId="0" applyFont="1" applyFill="1" applyBorder="1" applyAlignment="1">
      <alignment horizontal="center" vertical="center"/>
    </xf>
    <xf numFmtId="0" fontId="93" fillId="45" borderId="70" xfId="0" applyFont="1" applyFill="1" applyBorder="1" applyAlignment="1">
      <alignment horizontal="center" vertical="center"/>
    </xf>
    <xf numFmtId="0" fontId="93" fillId="45" borderId="156" xfId="0" applyFont="1" applyFill="1" applyBorder="1" applyAlignment="1">
      <alignment horizontal="center" vertical="center"/>
    </xf>
    <xf numFmtId="0" fontId="93" fillId="45" borderId="23" xfId="0" applyFont="1" applyFill="1" applyBorder="1" applyAlignment="1">
      <alignment horizontal="center" vertical="center"/>
    </xf>
    <xf numFmtId="0" fontId="93" fillId="45" borderId="157" xfId="0" applyFont="1" applyFill="1" applyBorder="1" applyAlignment="1">
      <alignment horizontal="center" vertical="center"/>
    </xf>
    <xf numFmtId="0" fontId="67" fillId="45" borderId="54" xfId="239" applyFont="1" applyFill="1" applyBorder="1" applyAlignment="1">
      <alignment horizontal="center" vertical="center" wrapText="1"/>
    </xf>
    <xf numFmtId="0" fontId="67" fillId="45" borderId="53" xfId="239" applyFont="1" applyFill="1" applyBorder="1" applyAlignment="1">
      <alignment horizontal="center" vertical="center" wrapText="1"/>
    </xf>
    <xf numFmtId="0" fontId="67" fillId="45" borderId="55" xfId="239" applyFont="1" applyFill="1" applyBorder="1" applyAlignment="1">
      <alignment horizontal="center" vertical="center" wrapText="1"/>
    </xf>
    <xf numFmtId="0" fontId="116" fillId="36" borderId="18" xfId="239" applyFont="1" applyFill="1" applyBorder="1" applyAlignment="1">
      <alignment horizontal="center" vertical="center" wrapText="1"/>
    </xf>
    <xf numFmtId="0" fontId="116" fillId="36" borderId="0" xfId="239" applyFont="1" applyFill="1" applyAlignment="1">
      <alignment horizontal="center" vertical="center" wrapText="1"/>
    </xf>
    <xf numFmtId="0" fontId="116" fillId="36" borderId="19" xfId="239" applyFont="1" applyFill="1" applyBorder="1" applyAlignment="1">
      <alignment horizontal="center" vertical="center" wrapText="1"/>
    </xf>
    <xf numFmtId="0" fontId="116" fillId="36" borderId="20" xfId="239" applyFont="1" applyFill="1" applyBorder="1" applyAlignment="1">
      <alignment horizontal="center" vertical="center" wrapText="1"/>
    </xf>
    <xf numFmtId="0" fontId="116" fillId="36" borderId="322" xfId="239" applyFont="1" applyFill="1" applyBorder="1" applyAlignment="1">
      <alignment horizontal="center" vertical="center" wrapText="1"/>
    </xf>
    <xf numFmtId="0" fontId="116" fillId="36" borderId="76" xfId="239" applyFont="1" applyFill="1" applyBorder="1" applyAlignment="1">
      <alignment horizontal="center" vertical="center" wrapText="1"/>
    </xf>
    <xf numFmtId="0" fontId="116" fillId="36" borderId="93" xfId="239" applyFont="1" applyFill="1" applyBorder="1" applyAlignment="1">
      <alignment horizontal="center" vertical="center" wrapText="1"/>
    </xf>
    <xf numFmtId="0" fontId="104" fillId="0" borderId="64" xfId="239" applyFont="1" applyBorder="1" applyAlignment="1">
      <alignment horizontal="center" wrapText="1"/>
    </xf>
    <xf numFmtId="0" fontId="104" fillId="0" borderId="49" xfId="239" applyFont="1" applyBorder="1" applyAlignment="1">
      <alignment horizontal="center" wrapText="1"/>
    </xf>
    <xf numFmtId="0" fontId="104" fillId="0" borderId="63" xfId="239" applyFont="1" applyBorder="1" applyAlignment="1">
      <alignment horizontal="center" wrapText="1"/>
    </xf>
    <xf numFmtId="168" fontId="113" fillId="0" borderId="0" xfId="0" applyNumberFormat="1" applyFont="1" applyAlignment="1">
      <alignment horizontal="left" vertical="center" wrapText="1"/>
    </xf>
    <xf numFmtId="0" fontId="91" fillId="45" borderId="54" xfId="179" applyFont="1" applyFill="1" applyBorder="1" applyAlignment="1">
      <alignment horizontal="center" vertical="center" wrapText="1"/>
    </xf>
    <xf numFmtId="0" fontId="91" fillId="45" borderId="53" xfId="179" applyFont="1" applyFill="1" applyBorder="1" applyAlignment="1">
      <alignment horizontal="center" vertical="center" wrapText="1"/>
    </xf>
    <xf numFmtId="0" fontId="91" fillId="45" borderId="55" xfId="179" applyFont="1" applyFill="1" applyBorder="1" applyAlignment="1">
      <alignment horizontal="center" vertical="center" wrapText="1"/>
    </xf>
    <xf numFmtId="0" fontId="91" fillId="0" borderId="54" xfId="179" applyFont="1" applyBorder="1" applyAlignment="1">
      <alignment horizontal="center" vertical="center"/>
    </xf>
    <xf numFmtId="0" fontId="91" fillId="0" borderId="53" xfId="179" applyFont="1" applyBorder="1" applyAlignment="1">
      <alignment horizontal="center" vertical="center"/>
    </xf>
    <xf numFmtId="0" fontId="91" fillId="0" borderId="55" xfId="179" applyFont="1" applyBorder="1" applyAlignment="1">
      <alignment horizontal="center" vertical="center"/>
    </xf>
    <xf numFmtId="0" fontId="44" fillId="0" borderId="100" xfId="0" applyFont="1" applyBorder="1" applyAlignment="1">
      <alignment horizontal="center" vertical="center"/>
    </xf>
    <xf numFmtId="0" fontId="44" fillId="0" borderId="219" xfId="0" applyFont="1" applyBorder="1" applyAlignment="1">
      <alignment horizontal="center" vertical="center"/>
    </xf>
    <xf numFmtId="0" fontId="92" fillId="0" borderId="100" xfId="0" applyFont="1" applyBorder="1" applyAlignment="1">
      <alignment horizontal="center" vertical="center"/>
    </xf>
    <xf numFmtId="0" fontId="92" fillId="0" borderId="219" xfId="0" applyFont="1" applyBorder="1" applyAlignment="1">
      <alignment horizontal="center" vertical="center"/>
    </xf>
    <xf numFmtId="0" fontId="92" fillId="0" borderId="100" xfId="0" applyFont="1" applyBorder="1" applyAlignment="1">
      <alignment horizontal="center" vertical="center" wrapText="1"/>
    </xf>
    <xf numFmtId="0" fontId="92" fillId="0" borderId="219" xfId="0" applyFont="1" applyBorder="1" applyAlignment="1">
      <alignment horizontal="center" vertical="center" wrapText="1"/>
    </xf>
    <xf numFmtId="0" fontId="92" fillId="0" borderId="54" xfId="0" applyFont="1" applyBorder="1" applyAlignment="1">
      <alignment horizontal="center"/>
    </xf>
    <xf numFmtId="0" fontId="92" fillId="0" borderId="53" xfId="0" applyFont="1" applyBorder="1" applyAlignment="1">
      <alignment horizontal="center"/>
    </xf>
    <xf numFmtId="0" fontId="92" fillId="0" borderId="55" xfId="0" applyFont="1" applyBorder="1" applyAlignment="1">
      <alignment horizontal="center"/>
    </xf>
    <xf numFmtId="0" fontId="44" fillId="47" borderId="339" xfId="280" applyFont="1" applyFill="1" applyBorder="1" applyAlignment="1">
      <alignment horizontal="center" vertical="center" wrapText="1"/>
    </xf>
    <xf numFmtId="0" fontId="44" fillId="47" borderId="14" xfId="280" applyFont="1" applyFill="1" applyBorder="1" applyAlignment="1">
      <alignment horizontal="center" vertical="center" wrapText="1"/>
    </xf>
    <xf numFmtId="0" fontId="44" fillId="47" borderId="339" xfId="0" applyFont="1" applyFill="1" applyBorder="1" applyAlignment="1">
      <alignment horizontal="center" vertical="center"/>
    </xf>
    <xf numFmtId="0" fontId="44" fillId="47" borderId="14" xfId="0" applyFont="1" applyFill="1" applyBorder="1" applyAlignment="1">
      <alignment horizontal="center" vertical="center"/>
    </xf>
    <xf numFmtId="0" fontId="66" fillId="0" borderId="299" xfId="279" applyFont="1" applyBorder="1" applyAlignment="1">
      <alignment horizontal="center"/>
    </xf>
    <xf numFmtId="0" fontId="66" fillId="0" borderId="293" xfId="279" applyFont="1" applyBorder="1" applyAlignment="1">
      <alignment horizontal="center"/>
    </xf>
    <xf numFmtId="0" fontId="66" fillId="0" borderId="298" xfId="279" applyFont="1" applyBorder="1" applyAlignment="1">
      <alignment horizontal="center"/>
    </xf>
    <xf numFmtId="0" fontId="66" fillId="0" borderId="299" xfId="279" applyFont="1" applyBorder="1" applyAlignment="1">
      <alignment horizontal="left"/>
    </xf>
    <xf numFmtId="0" fontId="66" fillId="0" borderId="293" xfId="279" applyFont="1" applyBorder="1" applyAlignment="1">
      <alignment horizontal="left"/>
    </xf>
    <xf numFmtId="0" fontId="66" fillId="0" borderId="298" xfId="279" applyFont="1" applyBorder="1" applyAlignment="1">
      <alignment horizontal="left"/>
    </xf>
    <xf numFmtId="0" fontId="96" fillId="0" borderId="248" xfId="279" applyFont="1" applyBorder="1" applyAlignment="1">
      <alignment horizontal="right"/>
    </xf>
    <xf numFmtId="0" fontId="96" fillId="0" borderId="249" xfId="279" applyFont="1" applyBorder="1" applyAlignment="1">
      <alignment horizontal="right"/>
    </xf>
    <xf numFmtId="0" fontId="96" fillId="0" borderId="331" xfId="279" applyFont="1" applyBorder="1" applyAlignment="1">
      <alignment horizontal="right"/>
    </xf>
    <xf numFmtId="0" fontId="36" fillId="0" borderId="299" xfId="279" applyBorder="1" applyAlignment="1">
      <alignment horizontal="center"/>
    </xf>
    <xf numFmtId="0" fontId="36" fillId="0" borderId="293" xfId="279" applyBorder="1" applyAlignment="1">
      <alignment horizontal="center"/>
    </xf>
    <xf numFmtId="0" fontId="36" fillId="0" borderId="277" xfId="279" applyBorder="1" applyAlignment="1">
      <alignment horizontal="center"/>
    </xf>
    <xf numFmtId="0" fontId="44" fillId="47" borderId="70" xfId="0" applyFont="1" applyFill="1" applyBorder="1" applyAlignment="1">
      <alignment horizontal="center" vertical="center"/>
    </xf>
    <xf numFmtId="0" fontId="44" fillId="47" borderId="23" xfId="0" applyFont="1" applyFill="1" applyBorder="1" applyAlignment="1">
      <alignment horizontal="center" vertical="center"/>
    </xf>
    <xf numFmtId="0" fontId="67" fillId="0" borderId="310" xfId="279" applyFont="1" applyBorder="1" applyAlignment="1">
      <alignment horizontal="right" vertical="center" wrapText="1"/>
    </xf>
    <xf numFmtId="0" fontId="67" fillId="0" borderId="311" xfId="279" applyFont="1" applyBorder="1" applyAlignment="1">
      <alignment horizontal="right" vertical="center" wrapText="1"/>
    </xf>
    <xf numFmtId="0" fontId="67" fillId="0" borderId="314" xfId="279" applyFont="1" applyBorder="1" applyAlignment="1">
      <alignment horizontal="right" vertical="center" wrapText="1"/>
    </xf>
    <xf numFmtId="0" fontId="36" fillId="0" borderId="18" xfId="0" applyFont="1" applyBorder="1" applyAlignment="1">
      <alignment horizontal="center" vertical="center"/>
    </xf>
    <xf numFmtId="0" fontId="36" fillId="0" borderId="0" xfId="0" applyFont="1" applyAlignment="1">
      <alignment horizontal="center" vertical="center"/>
    </xf>
    <xf numFmtId="0" fontId="36" fillId="0" borderId="47" xfId="0" applyFont="1" applyBorder="1" applyAlignment="1">
      <alignment horizontal="center" vertical="center"/>
    </xf>
    <xf numFmtId="0" fontId="36" fillId="0" borderId="340" xfId="0" applyFont="1" applyBorder="1" applyAlignment="1">
      <alignment horizontal="center" vertical="center"/>
    </xf>
    <xf numFmtId="0" fontId="36" fillId="0" borderId="76" xfId="0" applyFont="1" applyBorder="1" applyAlignment="1">
      <alignment horizontal="center" vertical="center"/>
    </xf>
    <xf numFmtId="0" fontId="36" fillId="0" borderId="319" xfId="0" applyFont="1" applyBorder="1" applyAlignment="1">
      <alignment horizontal="center" vertical="center"/>
    </xf>
    <xf numFmtId="0" fontId="44" fillId="47" borderId="315" xfId="279" applyFont="1" applyFill="1" applyBorder="1" applyAlignment="1">
      <alignment horizontal="left"/>
    </xf>
    <xf numFmtId="0" fontId="44" fillId="47" borderId="293" xfId="279" applyFont="1" applyFill="1" applyBorder="1" applyAlignment="1">
      <alignment horizontal="left"/>
    </xf>
    <xf numFmtId="0" fontId="44" fillId="47" borderId="277" xfId="279" applyFont="1" applyFill="1" applyBorder="1" applyAlignment="1">
      <alignment horizontal="left"/>
    </xf>
    <xf numFmtId="0" fontId="44" fillId="0" borderId="310" xfId="280" applyFont="1" applyBorder="1" applyAlignment="1">
      <alignment horizontal="right" vertical="center" wrapText="1"/>
    </xf>
    <xf numFmtId="0" fontId="44" fillId="0" borderId="311" xfId="280" applyFont="1" applyBorder="1" applyAlignment="1">
      <alignment horizontal="right" vertical="center" wrapText="1"/>
    </xf>
    <xf numFmtId="0" fontId="44" fillId="0" borderId="314" xfId="280" applyFont="1" applyBorder="1" applyAlignment="1">
      <alignment horizontal="right" vertical="center" wrapText="1"/>
    </xf>
    <xf numFmtId="0" fontId="0" fillId="0" borderId="54" xfId="0" applyBorder="1" applyAlignment="1">
      <alignment horizontal="center"/>
    </xf>
    <xf numFmtId="0" fontId="0" fillId="0" borderId="53" xfId="0" applyBorder="1" applyAlignment="1">
      <alignment horizontal="center"/>
    </xf>
    <xf numFmtId="0" fontId="0" fillId="0" borderId="55" xfId="0" applyBorder="1" applyAlignment="1">
      <alignment horizontal="center"/>
    </xf>
    <xf numFmtId="0" fontId="92" fillId="47" borderId="294" xfId="279" applyFont="1" applyFill="1" applyBorder="1" applyAlignment="1">
      <alignment horizontal="left"/>
    </xf>
    <xf numFmtId="0" fontId="92" fillId="47" borderId="305" xfId="279" applyFont="1" applyFill="1" applyBorder="1" applyAlignment="1">
      <alignment horizontal="left"/>
    </xf>
    <xf numFmtId="0" fontId="44" fillId="36" borderId="299" xfId="280" applyFont="1" applyFill="1" applyBorder="1" applyAlignment="1">
      <alignment horizontal="center" vertical="center" wrapText="1"/>
    </xf>
    <xf numFmtId="0" fontId="44" fillId="36" borderId="293" xfId="280" applyFont="1" applyFill="1" applyBorder="1" applyAlignment="1">
      <alignment horizontal="center" vertical="center" wrapText="1"/>
    </xf>
    <xf numFmtId="0" fontId="44" fillId="36" borderId="298" xfId="280" applyFont="1" applyFill="1" applyBorder="1" applyAlignment="1">
      <alignment horizontal="center" vertical="center" wrapText="1"/>
    </xf>
    <xf numFmtId="0" fontId="66" fillId="0" borderId="307" xfId="279" applyFont="1" applyBorder="1" applyAlignment="1">
      <alignment horizontal="center"/>
    </xf>
    <xf numFmtId="0" fontId="66" fillId="0" borderId="303" xfId="279" applyFont="1" applyBorder="1" applyAlignment="1">
      <alignment horizontal="center"/>
    </xf>
    <xf numFmtId="0" fontId="66" fillId="0" borderId="304" xfId="279" applyFont="1" applyBorder="1" applyAlignment="1">
      <alignment horizontal="center"/>
    </xf>
    <xf numFmtId="0" fontId="66" fillId="0" borderId="18" xfId="279" applyFont="1" applyBorder="1" applyAlignment="1">
      <alignment horizontal="center"/>
    </xf>
    <xf numFmtId="0" fontId="66" fillId="0" borderId="0" xfId="279" applyFont="1" applyAlignment="1">
      <alignment horizontal="center"/>
    </xf>
    <xf numFmtId="0" fontId="66" fillId="0" borderId="47" xfId="279" applyFont="1" applyBorder="1" applyAlignment="1">
      <alignment horizontal="center"/>
    </xf>
    <xf numFmtId="0" fontId="66" fillId="0" borderId="35" xfId="279" applyFont="1" applyBorder="1" applyAlignment="1">
      <alignment horizontal="center"/>
    </xf>
    <xf numFmtId="0" fontId="66" fillId="0" borderId="36" xfId="279" applyFont="1" applyBorder="1" applyAlignment="1">
      <alignment horizontal="center"/>
    </xf>
    <xf numFmtId="0" fontId="66" fillId="0" borderId="37" xfId="279" applyFont="1" applyBorder="1" applyAlignment="1">
      <alignment horizontal="center"/>
    </xf>
    <xf numFmtId="0" fontId="92" fillId="47" borderId="42" xfId="279" applyFont="1" applyFill="1" applyBorder="1" applyAlignment="1">
      <alignment horizontal="left"/>
    </xf>
    <xf numFmtId="0" fontId="92" fillId="47" borderId="41" xfId="279" applyFont="1" applyFill="1" applyBorder="1" applyAlignment="1">
      <alignment horizontal="left"/>
    </xf>
    <xf numFmtId="2" fontId="44" fillId="47" borderId="64" xfId="279" applyNumberFormat="1" applyFont="1" applyFill="1" applyBorder="1" applyAlignment="1">
      <alignment horizontal="left"/>
    </xf>
    <xf numFmtId="2" fontId="44" fillId="47" borderId="49" xfId="279" applyNumberFormat="1" applyFont="1" applyFill="1" applyBorder="1" applyAlignment="1">
      <alignment horizontal="left"/>
    </xf>
    <xf numFmtId="2" fontId="44" fillId="47" borderId="63" xfId="279" applyNumberFormat="1" applyFont="1" applyFill="1" applyBorder="1" applyAlignment="1">
      <alignment horizontal="left"/>
    </xf>
    <xf numFmtId="0" fontId="66" fillId="0" borderId="307" xfId="279" applyFont="1" applyBorder="1" applyAlignment="1">
      <alignment horizontal="center" vertical="center"/>
    </xf>
    <xf numFmtId="0" fontId="66" fillId="0" borderId="303" xfId="279" applyFont="1" applyBorder="1" applyAlignment="1">
      <alignment horizontal="center" vertical="center"/>
    </xf>
    <xf numFmtId="0" fontId="66" fillId="0" borderId="318" xfId="279" applyFont="1" applyBorder="1" applyAlignment="1">
      <alignment horizontal="center" vertical="center"/>
    </xf>
    <xf numFmtId="0" fontId="36" fillId="0" borderId="15" xfId="0" applyFont="1" applyBorder="1" applyAlignment="1">
      <alignment horizontal="center" vertical="center"/>
    </xf>
    <xf numFmtId="0" fontId="36" fillId="0" borderId="16" xfId="0" applyFont="1" applyBorder="1" applyAlignment="1">
      <alignment horizontal="center" vertical="center"/>
    </xf>
    <xf numFmtId="0" fontId="36" fillId="0" borderId="216" xfId="0" applyFont="1" applyBorder="1" applyAlignment="1">
      <alignment horizontal="center" vertical="center"/>
    </xf>
    <xf numFmtId="0" fontId="36" fillId="0" borderId="322" xfId="0" applyFont="1" applyBorder="1" applyAlignment="1">
      <alignment horizontal="center" vertical="center"/>
    </xf>
    <xf numFmtId="0" fontId="36" fillId="0" borderId="336" xfId="0" applyFont="1" applyBorder="1" applyAlignment="1">
      <alignment horizontal="center" vertical="center"/>
    </xf>
    <xf numFmtId="0" fontId="67" fillId="47" borderId="336" xfId="279" applyFont="1" applyFill="1" applyBorder="1" applyAlignment="1">
      <alignment horizontal="center"/>
    </xf>
    <xf numFmtId="0" fontId="91" fillId="82" borderId="54" xfId="0" applyFont="1" applyFill="1" applyBorder="1" applyAlignment="1">
      <alignment horizontal="center" vertical="center"/>
    </xf>
    <xf numFmtId="0" fontId="91" fillId="82" borderId="53" xfId="0" applyFont="1" applyFill="1" applyBorder="1" applyAlignment="1">
      <alignment horizontal="center" vertical="center"/>
    </xf>
    <xf numFmtId="0" fontId="91" fillId="82" borderId="55" xfId="0" applyFont="1" applyFill="1" applyBorder="1" applyAlignment="1">
      <alignment horizontal="center" vertical="center"/>
    </xf>
    <xf numFmtId="0" fontId="44" fillId="36" borderId="35" xfId="280" applyFont="1" applyFill="1" applyBorder="1" applyAlignment="1">
      <alignment horizontal="center" vertical="center" wrapText="1"/>
    </xf>
    <xf numFmtId="0" fontId="44" fillId="36" borderId="36" xfId="280" applyFont="1" applyFill="1" applyBorder="1" applyAlignment="1">
      <alignment horizontal="center" vertical="center" wrapText="1"/>
    </xf>
    <xf numFmtId="0" fontId="44" fillId="36" borderId="37" xfId="280" applyFont="1" applyFill="1" applyBorder="1" applyAlignment="1">
      <alignment horizontal="center" vertical="center" wrapText="1"/>
    </xf>
    <xf numFmtId="0" fontId="36" fillId="36" borderId="18" xfId="0" applyFont="1" applyFill="1" applyBorder="1" applyAlignment="1">
      <alignment horizontal="left"/>
    </xf>
    <xf numFmtId="0" fontId="36" fillId="36" borderId="0" xfId="0" applyFont="1" applyFill="1" applyAlignment="1">
      <alignment horizontal="left"/>
    </xf>
    <xf numFmtId="0" fontId="44" fillId="0" borderId="308" xfId="0" applyFont="1" applyBorder="1" applyAlignment="1">
      <alignment horizontal="right"/>
    </xf>
    <xf numFmtId="0" fontId="44" fillId="0" borderId="311" xfId="0" applyFont="1" applyBorder="1" applyAlignment="1">
      <alignment horizontal="right"/>
    </xf>
    <xf numFmtId="0" fontId="44" fillId="0" borderId="314" xfId="0" applyFont="1" applyBorder="1" applyAlignment="1">
      <alignment horizontal="right"/>
    </xf>
    <xf numFmtId="0" fontId="158" fillId="47" borderId="315" xfId="0" applyFont="1" applyFill="1" applyBorder="1" applyAlignment="1">
      <alignment horizontal="center"/>
    </xf>
    <xf numFmtId="0" fontId="158" fillId="47" borderId="293" xfId="0" applyFont="1" applyFill="1" applyBorder="1" applyAlignment="1">
      <alignment horizontal="center"/>
    </xf>
    <xf numFmtId="0" fontId="158" fillId="47" borderId="277" xfId="0" applyFont="1" applyFill="1" applyBorder="1" applyAlignment="1">
      <alignment horizontal="center"/>
    </xf>
    <xf numFmtId="0" fontId="44" fillId="0" borderId="315" xfId="280" applyFont="1" applyBorder="1" applyAlignment="1">
      <alignment horizontal="center" vertical="center" wrapText="1"/>
    </xf>
    <xf numFmtId="0" fontId="44" fillId="0" borderId="298" xfId="280" applyFont="1" applyBorder="1" applyAlignment="1">
      <alignment horizontal="center" vertical="center" wrapText="1"/>
    </xf>
    <xf numFmtId="0" fontId="67" fillId="0" borderId="310" xfId="279" applyFont="1" applyBorder="1" applyAlignment="1">
      <alignment horizontal="right"/>
    </xf>
    <xf numFmtId="0" fontId="67" fillId="0" borderId="311" xfId="279" applyFont="1" applyBorder="1" applyAlignment="1">
      <alignment horizontal="right"/>
    </xf>
    <xf numFmtId="0" fontId="67" fillId="0" borderId="314" xfId="279" applyFont="1" applyBorder="1" applyAlignment="1">
      <alignment horizontal="right"/>
    </xf>
    <xf numFmtId="0" fontId="66" fillId="0" borderId="306" xfId="279" applyFont="1" applyBorder="1" applyAlignment="1">
      <alignment horizontal="left"/>
    </xf>
    <xf numFmtId="0" fontId="44" fillId="0" borderId="291" xfId="280" applyFont="1" applyBorder="1" applyAlignment="1">
      <alignment horizontal="center" vertical="center" wrapText="1"/>
    </xf>
    <xf numFmtId="0" fontId="90" fillId="48" borderId="42" xfId="0" applyFont="1" applyFill="1" applyBorder="1" applyAlignment="1">
      <alignment horizontal="left"/>
    </xf>
    <xf numFmtId="0" fontId="90" fillId="48" borderId="41" xfId="0" applyFont="1" applyFill="1" applyBorder="1" applyAlignment="1">
      <alignment horizontal="left"/>
    </xf>
    <xf numFmtId="0" fontId="90" fillId="48" borderId="163" xfId="0" applyFont="1" applyFill="1" applyBorder="1" applyAlignment="1">
      <alignment horizontal="left"/>
    </xf>
    <xf numFmtId="0" fontId="90" fillId="48" borderId="161" xfId="0" applyFont="1" applyFill="1" applyBorder="1" applyAlignment="1">
      <alignment horizontal="left"/>
    </xf>
    <xf numFmtId="0" fontId="67" fillId="0" borderId="299" xfId="279" applyFont="1" applyBorder="1" applyAlignment="1">
      <alignment horizontal="center"/>
    </xf>
    <xf numFmtId="0" fontId="67" fillId="0" borderId="293" xfId="279" applyFont="1" applyBorder="1" applyAlignment="1">
      <alignment horizontal="center"/>
    </xf>
    <xf numFmtId="0" fontId="67" fillId="0" borderId="298" xfId="279" applyFont="1" applyBorder="1" applyAlignment="1">
      <alignment horizontal="center"/>
    </xf>
    <xf numFmtId="0" fontId="44" fillId="36" borderId="299" xfId="236" applyFont="1" applyFill="1" applyBorder="1" applyAlignment="1">
      <alignment horizontal="center" vertical="center" wrapText="1"/>
    </xf>
    <xf numFmtId="0" fontId="44" fillId="36" borderId="293" xfId="236" applyFont="1" applyFill="1" applyBorder="1" applyAlignment="1">
      <alignment horizontal="center" vertical="center" wrapText="1"/>
    </xf>
    <xf numFmtId="0" fontId="44" fillId="36" borderId="298" xfId="236" applyFont="1" applyFill="1" applyBorder="1" applyAlignment="1">
      <alignment horizontal="center" vertical="center" wrapText="1"/>
    </xf>
    <xf numFmtId="0" fontId="92" fillId="47" borderId="238" xfId="279" applyFont="1" applyFill="1" applyBorder="1" applyAlignment="1">
      <alignment horizontal="left"/>
    </xf>
    <xf numFmtId="0" fontId="92" fillId="47" borderId="236" xfId="279" applyFont="1" applyFill="1" applyBorder="1" applyAlignment="1">
      <alignment horizontal="left"/>
    </xf>
    <xf numFmtId="0" fontId="36" fillId="36" borderId="299" xfId="236" applyFont="1" applyFill="1" applyBorder="1" applyAlignment="1">
      <alignment horizontal="left" vertical="center" wrapText="1"/>
    </xf>
    <xf numFmtId="0" fontId="36" fillId="36" borderId="293" xfId="236" applyFont="1" applyFill="1" applyBorder="1" applyAlignment="1">
      <alignment horizontal="left" vertical="center" wrapText="1"/>
    </xf>
    <xf numFmtId="0" fontId="36" fillId="36" borderId="298" xfId="236" applyFont="1" applyFill="1" applyBorder="1" applyAlignment="1">
      <alignment horizontal="left" vertical="center" wrapText="1"/>
    </xf>
    <xf numFmtId="0" fontId="44" fillId="36" borderId="299" xfId="236" applyFont="1" applyFill="1" applyBorder="1" applyAlignment="1">
      <alignment horizontal="left" vertical="center" wrapText="1"/>
    </xf>
    <xf numFmtId="0" fontId="44" fillId="36" borderId="293" xfId="236" applyFont="1" applyFill="1" applyBorder="1" applyAlignment="1">
      <alignment horizontal="left" vertical="center" wrapText="1"/>
    </xf>
    <xf numFmtId="0" fontId="44" fillId="36" borderId="298" xfId="236" applyFont="1" applyFill="1" applyBorder="1" applyAlignment="1">
      <alignment horizontal="left" vertical="center" wrapText="1"/>
    </xf>
    <xf numFmtId="0" fontId="66" fillId="0" borderId="299" xfId="279" applyFont="1" applyBorder="1" applyAlignment="1">
      <alignment horizontal="center" vertical="center" wrapText="1"/>
    </xf>
    <xf numFmtId="0" fontId="66" fillId="0" borderId="293" xfId="279" applyFont="1" applyBorder="1" applyAlignment="1">
      <alignment horizontal="center" vertical="center" wrapText="1"/>
    </xf>
    <xf numFmtId="0" fontId="66" fillId="0" borderId="298" xfId="279" applyFont="1" applyBorder="1" applyAlignment="1">
      <alignment horizontal="center" vertical="center" wrapText="1"/>
    </xf>
    <xf numFmtId="0" fontId="36" fillId="0" borderId="315" xfId="280" applyFont="1" applyBorder="1" applyAlignment="1">
      <alignment horizontal="center" vertical="center" wrapText="1"/>
    </xf>
    <xf numFmtId="0" fontId="36" fillId="0" borderId="298" xfId="280" applyFont="1" applyBorder="1" applyAlignment="1">
      <alignment horizontal="center" vertical="center" wrapText="1"/>
    </xf>
    <xf numFmtId="0" fontId="91" fillId="0" borderId="15" xfId="0" applyFont="1" applyBorder="1" applyAlignment="1">
      <alignment horizontal="center" vertical="center"/>
    </xf>
    <xf numFmtId="0" fontId="91" fillId="0" borderId="16" xfId="0" applyFont="1" applyBorder="1" applyAlignment="1">
      <alignment horizontal="center" vertical="center"/>
    </xf>
    <xf numFmtId="0" fontId="91" fillId="0" borderId="17" xfId="0" applyFont="1" applyBorder="1" applyAlignment="1">
      <alignment horizontal="center" vertical="center"/>
    </xf>
    <xf numFmtId="0" fontId="91" fillId="0" borderId="19" xfId="0" applyFont="1" applyBorder="1" applyAlignment="1">
      <alignment horizontal="center" vertical="center"/>
    </xf>
    <xf numFmtId="0" fontId="91" fillId="0" borderId="18" xfId="0" applyFont="1" applyBorder="1" applyAlignment="1">
      <alignment horizontal="center" vertical="center"/>
    </xf>
    <xf numFmtId="0" fontId="91" fillId="0" borderId="216" xfId="0" applyFont="1" applyBorder="1" applyAlignment="1">
      <alignment horizontal="center" vertical="center"/>
    </xf>
    <xf numFmtId="0" fontId="91" fillId="0" borderId="322" xfId="0" applyFont="1" applyBorder="1" applyAlignment="1">
      <alignment horizontal="center" vertical="center"/>
    </xf>
    <xf numFmtId="0" fontId="91" fillId="0" borderId="316" xfId="0" applyFont="1" applyBorder="1" applyAlignment="1">
      <alignment horizontal="center" vertical="center"/>
    </xf>
    <xf numFmtId="0" fontId="91" fillId="0" borderId="54" xfId="0" applyFont="1" applyBorder="1" applyAlignment="1">
      <alignment horizontal="center" vertical="center"/>
    </xf>
    <xf numFmtId="0" fontId="91" fillId="0" borderId="53" xfId="0" applyFont="1" applyBorder="1" applyAlignment="1">
      <alignment horizontal="center" vertical="center"/>
    </xf>
    <xf numFmtId="0" fontId="92" fillId="47" borderId="40" xfId="279" applyFont="1" applyFill="1" applyBorder="1" applyAlignment="1">
      <alignment horizontal="left"/>
    </xf>
    <xf numFmtId="0" fontId="92" fillId="47" borderId="43" xfId="279" applyFont="1" applyFill="1" applyBorder="1" applyAlignment="1">
      <alignment horizontal="left"/>
    </xf>
    <xf numFmtId="3" fontId="80" fillId="45" borderId="54" xfId="236" applyNumberFormat="1" applyFont="1" applyFill="1" applyBorder="1" applyAlignment="1">
      <alignment horizontal="center" vertical="center" wrapText="1"/>
    </xf>
    <xf numFmtId="3" fontId="80" fillId="45" borderId="53" xfId="236" applyNumberFormat="1" applyFont="1" applyFill="1" applyBorder="1" applyAlignment="1">
      <alignment horizontal="center" vertical="center" wrapText="1"/>
    </xf>
    <xf numFmtId="3" fontId="80" fillId="45" borderId="55" xfId="236" applyNumberFormat="1" applyFont="1" applyFill="1" applyBorder="1" applyAlignment="1">
      <alignment horizontal="center" vertical="center" wrapText="1"/>
    </xf>
    <xf numFmtId="2" fontId="44" fillId="0" borderId="100" xfId="0" applyNumberFormat="1" applyFont="1" applyBorder="1" applyAlignment="1">
      <alignment horizontal="center" vertical="center"/>
    </xf>
    <xf numFmtId="2" fontId="44" fillId="0" borderId="219" xfId="0" applyNumberFormat="1" applyFont="1" applyBorder="1" applyAlignment="1">
      <alignment horizontal="center" vertical="center"/>
    </xf>
    <xf numFmtId="1" fontId="90" fillId="0" borderId="0" xfId="0" applyNumberFormat="1" applyFont="1" applyAlignment="1">
      <alignment horizontal="center"/>
    </xf>
    <xf numFmtId="0" fontId="44" fillId="0" borderId="100" xfId="0" applyFont="1" applyBorder="1" applyAlignment="1">
      <alignment horizontal="center" vertical="center" wrapText="1"/>
    </xf>
    <xf numFmtId="0" fontId="44" fillId="0" borderId="219" xfId="0" applyFont="1" applyBorder="1" applyAlignment="1">
      <alignment horizontal="center" vertical="center" wrapText="1"/>
    </xf>
    <xf numFmtId="0" fontId="66" fillId="0" borderId="318" xfId="279" applyFont="1" applyBorder="1" applyAlignment="1">
      <alignment horizontal="center"/>
    </xf>
    <xf numFmtId="0" fontId="0" fillId="0" borderId="65" xfId="0" applyBorder="1" applyAlignment="1">
      <alignment horizontal="center" vertical="center" wrapText="1"/>
    </xf>
    <xf numFmtId="0" fontId="0" fillId="0" borderId="39" xfId="0" applyBorder="1" applyAlignment="1">
      <alignment horizontal="center" vertical="center" wrapText="1"/>
    </xf>
    <xf numFmtId="0" fontId="66" fillId="0" borderId="310" xfId="279" applyFont="1" applyBorder="1" applyAlignment="1">
      <alignment horizontal="center"/>
    </xf>
    <xf numFmtId="0" fontId="66" fillId="0" borderId="311" xfId="279" applyFont="1" applyBorder="1" applyAlignment="1">
      <alignment horizontal="center"/>
    </xf>
    <xf numFmtId="0" fontId="66" fillId="0" borderId="309" xfId="279" applyFont="1" applyBorder="1" applyAlignment="1">
      <alignment horizontal="center"/>
    </xf>
    <xf numFmtId="0" fontId="36" fillId="0" borderId="305" xfId="280" applyFont="1" applyBorder="1" applyAlignment="1">
      <alignment horizontal="right" vertical="center" wrapText="1"/>
    </xf>
    <xf numFmtId="0" fontId="92" fillId="47" borderId="212" xfId="279" applyFont="1" applyFill="1" applyBorder="1" applyAlignment="1">
      <alignment horizontal="left"/>
    </xf>
    <xf numFmtId="0" fontId="92" fillId="47" borderId="210" xfId="279" applyFont="1" applyFill="1" applyBorder="1" applyAlignment="1">
      <alignment horizontal="left"/>
    </xf>
    <xf numFmtId="0" fontId="36" fillId="0" borderId="0" xfId="0" applyFont="1" applyAlignment="1">
      <alignment horizontal="center"/>
    </xf>
    <xf numFmtId="0" fontId="44" fillId="35" borderId="305" xfId="0" applyFont="1" applyFill="1" applyBorder="1" applyAlignment="1">
      <alignment horizontal="center"/>
    </xf>
    <xf numFmtId="49" fontId="76" fillId="36" borderId="83" xfId="169" applyNumberFormat="1" applyFont="1" applyFill="1" applyBorder="1" applyAlignment="1">
      <alignment horizontal="center"/>
    </xf>
    <xf numFmtId="49" fontId="76" fillId="36" borderId="84" xfId="169" applyNumberFormat="1" applyFont="1" applyFill="1" applyBorder="1" applyAlignment="1">
      <alignment horizontal="center"/>
    </xf>
    <xf numFmtId="49" fontId="76" fillId="36" borderId="85" xfId="169" applyNumberFormat="1" applyFont="1" applyFill="1" applyBorder="1" applyAlignment="1">
      <alignment horizontal="center"/>
    </xf>
    <xf numFmtId="49" fontId="75" fillId="36" borderId="40" xfId="169" applyNumberFormat="1" applyFont="1" applyFill="1" applyBorder="1" applyAlignment="1">
      <alignment horizontal="center" vertical="center"/>
    </xf>
    <xf numFmtId="49" fontId="75" fillId="36" borderId="49" xfId="169" applyNumberFormat="1" applyFont="1" applyFill="1" applyBorder="1" applyAlignment="1">
      <alignment horizontal="center" vertical="center"/>
    </xf>
    <xf numFmtId="49" fontId="75" fillId="36" borderId="63" xfId="169" applyNumberFormat="1" applyFont="1" applyFill="1" applyBorder="1" applyAlignment="1">
      <alignment horizontal="center" vertical="center"/>
    </xf>
    <xf numFmtId="0" fontId="75" fillId="36" borderId="73" xfId="169" applyFont="1" applyFill="1" applyBorder="1" applyAlignment="1">
      <alignment horizontal="right" vertical="center"/>
    </xf>
    <xf numFmtId="0" fontId="75" fillId="36" borderId="53" xfId="169" applyFont="1" applyFill="1" applyBorder="1" applyAlignment="1">
      <alignment horizontal="right" vertical="center"/>
    </xf>
    <xf numFmtId="0" fontId="92" fillId="36" borderId="74" xfId="169" applyFont="1" applyFill="1" applyBorder="1" applyAlignment="1">
      <alignment horizontal="right" vertical="center"/>
    </xf>
    <xf numFmtId="49" fontId="75" fillId="36" borderId="35" xfId="169" applyNumberFormat="1" applyFont="1" applyFill="1" applyBorder="1" applyAlignment="1">
      <alignment horizontal="center" vertical="center"/>
    </xf>
    <xf numFmtId="49" fontId="75" fillId="36" borderId="36" xfId="169" applyNumberFormat="1" applyFont="1" applyFill="1" applyBorder="1" applyAlignment="1">
      <alignment horizontal="center" vertical="center"/>
    </xf>
    <xf numFmtId="49" fontId="75" fillId="36" borderId="333" xfId="169" applyNumberFormat="1" applyFont="1" applyFill="1" applyBorder="1" applyAlignment="1">
      <alignment horizontal="center" vertical="center"/>
    </xf>
    <xf numFmtId="0" fontId="75" fillId="36" borderId="315" xfId="169" applyFont="1" applyFill="1" applyBorder="1" applyAlignment="1">
      <alignment horizontal="right" vertical="center"/>
    </xf>
    <xf numFmtId="0" fontId="75" fillId="36" borderId="293" xfId="169" applyFont="1" applyFill="1" applyBorder="1" applyAlignment="1">
      <alignment horizontal="right" vertical="center"/>
    </xf>
    <xf numFmtId="0" fontId="75" fillId="36" borderId="298" xfId="169" applyFont="1" applyFill="1" applyBorder="1" applyAlignment="1">
      <alignment horizontal="right" vertical="center"/>
    </xf>
    <xf numFmtId="0" fontId="75" fillId="36" borderId="80" xfId="169" applyFont="1" applyFill="1" applyBorder="1" applyAlignment="1">
      <alignment horizontal="right" vertical="center"/>
    </xf>
    <xf numFmtId="0" fontId="75" fillId="36" borderId="81" xfId="169" applyFont="1" applyFill="1" applyBorder="1" applyAlignment="1">
      <alignment horizontal="right" vertical="center"/>
    </xf>
    <xf numFmtId="0" fontId="75" fillId="36" borderId="82" xfId="169" applyFont="1" applyFill="1" applyBorder="1" applyAlignment="1">
      <alignment horizontal="right" vertical="center"/>
    </xf>
    <xf numFmtId="49" fontId="75" fillId="36" borderId="54" xfId="169" applyNumberFormat="1" applyFont="1" applyFill="1" applyBorder="1" applyAlignment="1">
      <alignment horizontal="right" vertical="center"/>
    </xf>
    <xf numFmtId="49" fontId="75" fillId="36" borderId="53" xfId="169" applyNumberFormat="1" applyFont="1" applyFill="1" applyBorder="1" applyAlignment="1">
      <alignment horizontal="right" vertical="center"/>
    </xf>
    <xf numFmtId="49" fontId="75" fillId="36" borderId="55" xfId="169" applyNumberFormat="1" applyFont="1" applyFill="1" applyBorder="1" applyAlignment="1">
      <alignment horizontal="right" vertical="center"/>
    </xf>
    <xf numFmtId="0" fontId="75" fillId="36" borderId="92" xfId="169" applyFont="1" applyFill="1" applyBorder="1" applyAlignment="1">
      <alignment horizontal="right" vertical="center"/>
    </xf>
    <xf numFmtId="0" fontId="75" fillId="36" borderId="76" xfId="169" applyFont="1" applyFill="1" applyBorder="1" applyAlignment="1">
      <alignment horizontal="right" vertical="center"/>
    </xf>
    <xf numFmtId="0" fontId="75" fillId="36" borderId="77" xfId="169" applyFont="1" applyFill="1" applyBorder="1" applyAlignment="1">
      <alignment horizontal="right" vertical="center"/>
    </xf>
    <xf numFmtId="0" fontId="93" fillId="45" borderId="15" xfId="169" applyFont="1" applyFill="1" applyBorder="1" applyAlignment="1">
      <alignment horizontal="center" vertical="center" wrapText="1"/>
    </xf>
    <xf numFmtId="0" fontId="93" fillId="45" borderId="16" xfId="169" applyFont="1" applyFill="1" applyBorder="1" applyAlignment="1">
      <alignment horizontal="center" vertical="center" wrapText="1"/>
    </xf>
    <xf numFmtId="0" fontId="93" fillId="45" borderId="17" xfId="169" applyFont="1" applyFill="1" applyBorder="1" applyAlignment="1">
      <alignment horizontal="center" vertical="center" wrapText="1"/>
    </xf>
    <xf numFmtId="0" fontId="93" fillId="45" borderId="20" xfId="169" applyFont="1" applyFill="1" applyBorder="1" applyAlignment="1">
      <alignment horizontal="center" vertical="center" wrapText="1"/>
    </xf>
    <xf numFmtId="0" fontId="93" fillId="45" borderId="76" xfId="169" applyFont="1" applyFill="1" applyBorder="1" applyAlignment="1">
      <alignment horizontal="center" vertical="center" wrapText="1"/>
    </xf>
    <xf numFmtId="0" fontId="93" fillId="45" borderId="93" xfId="169" applyFont="1" applyFill="1" applyBorder="1" applyAlignment="1">
      <alignment horizontal="center" vertical="center" wrapText="1"/>
    </xf>
    <xf numFmtId="0" fontId="106" fillId="36" borderId="54" xfId="169" applyFont="1" applyFill="1" applyBorder="1" applyAlignment="1">
      <alignment horizontal="center" vertical="center" wrapText="1"/>
    </xf>
    <xf numFmtId="0" fontId="106" fillId="36" borderId="53" xfId="169" applyFont="1" applyFill="1" applyBorder="1" applyAlignment="1">
      <alignment horizontal="center" vertical="center" wrapText="1"/>
    </xf>
    <xf numFmtId="0" fontId="106" fillId="36" borderId="55" xfId="169" applyFont="1" applyFill="1" applyBorder="1" applyAlignment="1">
      <alignment horizontal="center" vertical="center" wrapText="1"/>
    </xf>
    <xf numFmtId="49" fontId="75" fillId="45" borderId="70" xfId="169" applyNumberFormat="1" applyFont="1" applyFill="1" applyBorder="1" applyAlignment="1">
      <alignment horizontal="center" vertical="center" wrapText="1"/>
    </xf>
    <xf numFmtId="49" fontId="75" fillId="45" borderId="91" xfId="169" applyNumberFormat="1" applyFont="1" applyFill="1" applyBorder="1" applyAlignment="1">
      <alignment horizontal="center" vertical="center" wrapText="1"/>
    </xf>
    <xf numFmtId="0" fontId="75" fillId="45" borderId="23" xfId="169" applyFont="1" applyFill="1" applyBorder="1" applyAlignment="1">
      <alignment horizontal="center" vertical="center" wrapText="1"/>
    </xf>
    <xf numFmtId="0" fontId="75" fillId="45" borderId="56" xfId="169" applyFont="1" applyFill="1" applyBorder="1" applyAlignment="1">
      <alignment horizontal="center" vertical="center" wrapText="1"/>
    </xf>
    <xf numFmtId="0" fontId="67" fillId="0" borderId="24" xfId="0" applyFont="1" applyBorder="1" applyAlignment="1">
      <alignment horizontal="center" vertical="center"/>
    </xf>
    <xf numFmtId="0" fontId="67" fillId="0" borderId="12" xfId="0" applyFont="1" applyBorder="1" applyAlignment="1">
      <alignment horizontal="center" vertical="center"/>
    </xf>
    <xf numFmtId="0" fontId="67" fillId="0" borderId="13" xfId="0" applyFont="1" applyBorder="1" applyAlignment="1">
      <alignment horizontal="center" vertical="center"/>
    </xf>
    <xf numFmtId="0" fontId="66" fillId="0" borderId="24" xfId="0" applyFont="1" applyBorder="1" applyAlignment="1">
      <alignment vertical="center"/>
    </xf>
    <xf numFmtId="0" fontId="66" fillId="0" borderId="12" xfId="0" applyFont="1" applyBorder="1" applyAlignment="1">
      <alignment vertical="center"/>
    </xf>
    <xf numFmtId="0" fontId="66" fillId="0" borderId="13" xfId="0" applyFont="1" applyBorder="1" applyAlignment="1">
      <alignment vertical="center"/>
    </xf>
    <xf numFmtId="0" fontId="68" fillId="35" borderId="44" xfId="177" applyFont="1" applyFill="1" applyBorder="1" applyAlignment="1" applyProtection="1">
      <alignment horizontal="center" vertical="center" wrapText="1"/>
      <protection locked="0"/>
    </xf>
    <xf numFmtId="0" fontId="68" fillId="35" borderId="32" xfId="177" applyFont="1" applyFill="1" applyBorder="1" applyAlignment="1" applyProtection="1">
      <alignment horizontal="center" vertical="center" wrapText="1"/>
      <protection locked="0"/>
    </xf>
    <xf numFmtId="0" fontId="68" fillId="35" borderId="33" xfId="177" applyFont="1" applyFill="1" applyBorder="1" applyAlignment="1" applyProtection="1">
      <alignment horizontal="center" vertical="center" wrapText="1"/>
      <protection locked="0"/>
    </xf>
    <xf numFmtId="0" fontId="68" fillId="35" borderId="48" xfId="177" applyFont="1" applyFill="1" applyBorder="1" applyAlignment="1" applyProtection="1">
      <alignment horizontal="center" vertical="center" wrapText="1"/>
      <protection locked="0"/>
    </xf>
    <xf numFmtId="0" fontId="68" fillId="35" borderId="36" xfId="177" applyFont="1" applyFill="1" applyBorder="1" applyAlignment="1" applyProtection="1">
      <alignment horizontal="center" vertical="center" wrapText="1"/>
      <protection locked="0"/>
    </xf>
    <xf numFmtId="0" fontId="68" fillId="35" borderId="37" xfId="177" applyFont="1" applyFill="1" applyBorder="1" applyAlignment="1" applyProtection="1">
      <alignment horizontal="center" vertical="center" wrapText="1"/>
      <protection locked="0"/>
    </xf>
    <xf numFmtId="0" fontId="67" fillId="35" borderId="24" xfId="0" applyFont="1" applyFill="1" applyBorder="1" applyAlignment="1">
      <alignment horizontal="center" vertical="center"/>
    </xf>
    <xf numFmtId="0" fontId="67" fillId="35" borderId="12" xfId="0" applyFont="1" applyFill="1" applyBorder="1" applyAlignment="1">
      <alignment horizontal="center" vertical="center"/>
    </xf>
    <xf numFmtId="0" fontId="67" fillId="35" borderId="13" xfId="0" applyFont="1" applyFill="1" applyBorder="1" applyAlignment="1">
      <alignment horizontal="center" vertical="center"/>
    </xf>
    <xf numFmtId="166" fontId="67" fillId="35" borderId="24" xfId="100" applyFont="1" applyFill="1" applyBorder="1" applyAlignment="1">
      <alignment horizontal="center" vertical="center"/>
    </xf>
    <xf numFmtId="166" fontId="67" fillId="35" borderId="13" xfId="100" applyFont="1" applyFill="1" applyBorder="1" applyAlignment="1">
      <alignment horizontal="center" vertical="center"/>
    </xf>
    <xf numFmtId="0" fontId="44" fillId="35" borderId="44" xfId="0" applyFont="1" applyFill="1" applyBorder="1" applyAlignment="1" applyProtection="1">
      <alignment horizontal="center" vertical="center" wrapText="1"/>
      <protection locked="0"/>
    </xf>
    <xf numFmtId="0" fontId="44" fillId="35" borderId="32" xfId="0" applyFont="1" applyFill="1" applyBorder="1" applyAlignment="1" applyProtection="1">
      <alignment horizontal="center" vertical="center" wrapText="1"/>
      <protection locked="0"/>
    </xf>
    <xf numFmtId="0" fontId="44" fillId="35" borderId="33" xfId="0" applyFont="1" applyFill="1" applyBorder="1" applyAlignment="1" applyProtection="1">
      <alignment horizontal="center" vertical="center" wrapText="1"/>
      <protection locked="0"/>
    </xf>
    <xf numFmtId="0" fontId="66" fillId="35" borderId="44" xfId="0" applyFont="1" applyFill="1" applyBorder="1" applyAlignment="1">
      <alignment vertical="center"/>
    </xf>
    <xf numFmtId="0" fontId="66" fillId="35" borderId="32" xfId="0" applyFont="1" applyFill="1" applyBorder="1" applyAlignment="1">
      <alignment vertical="center"/>
    </xf>
    <xf numFmtId="0" fontId="66" fillId="35" borderId="33" xfId="0" applyFont="1" applyFill="1" applyBorder="1" applyAlignment="1">
      <alignment vertical="center"/>
    </xf>
    <xf numFmtId="0" fontId="44" fillId="35" borderId="46" xfId="0" applyFont="1" applyFill="1" applyBorder="1" applyAlignment="1" applyProtection="1">
      <alignment horizontal="center" vertical="center" wrapText="1"/>
      <protection locked="0"/>
    </xf>
    <xf numFmtId="0" fontId="44" fillId="35" borderId="0" xfId="0" applyFont="1" applyFill="1" applyAlignment="1" applyProtection="1">
      <alignment horizontal="center" vertical="center" wrapText="1"/>
      <protection locked="0"/>
    </xf>
    <xf numFmtId="0" fontId="44" fillId="35" borderId="47" xfId="0" applyFont="1" applyFill="1" applyBorder="1" applyAlignment="1" applyProtection="1">
      <alignment horizontal="center" vertical="center" wrapText="1"/>
      <protection locked="0"/>
    </xf>
    <xf numFmtId="0" fontId="68" fillId="35" borderId="46" xfId="0" applyFont="1" applyFill="1" applyBorder="1" applyAlignment="1" applyProtection="1">
      <alignment horizontal="center" vertical="center" wrapText="1"/>
      <protection locked="0"/>
    </xf>
    <xf numFmtId="0" fontId="68" fillId="35" borderId="0" xfId="0" applyFont="1" applyFill="1" applyAlignment="1" applyProtection="1">
      <alignment horizontal="center" vertical="center" wrapText="1"/>
      <protection locked="0"/>
    </xf>
    <xf numFmtId="0" fontId="68" fillId="35" borderId="47" xfId="0" applyFont="1" applyFill="1" applyBorder="1" applyAlignment="1" applyProtection="1">
      <alignment horizontal="center" vertical="center" wrapText="1"/>
      <protection locked="0"/>
    </xf>
    <xf numFmtId="2" fontId="44" fillId="35" borderId="46" xfId="0" applyNumberFormat="1" applyFont="1" applyFill="1" applyBorder="1" applyAlignment="1" applyProtection="1">
      <alignment horizontal="center" vertical="center" wrapText="1"/>
      <protection locked="0"/>
    </xf>
    <xf numFmtId="2" fontId="44" fillId="35" borderId="0" xfId="0" applyNumberFormat="1" applyFont="1" applyFill="1" applyAlignment="1" applyProtection="1">
      <alignment horizontal="center" vertical="center" wrapText="1"/>
      <protection locked="0"/>
    </xf>
    <xf numFmtId="2" fontId="44" fillId="35" borderId="47" xfId="0" applyNumberFormat="1" applyFont="1" applyFill="1" applyBorder="1" applyAlignment="1" applyProtection="1">
      <alignment horizontal="center" vertical="center" wrapText="1"/>
      <protection locked="0"/>
    </xf>
    <xf numFmtId="0" fontId="44" fillId="35" borderId="48" xfId="0" applyFont="1" applyFill="1" applyBorder="1" applyAlignment="1" applyProtection="1">
      <alignment horizontal="center" vertical="center" wrapText="1"/>
      <protection locked="0"/>
    </xf>
    <xf numFmtId="0" fontId="44" fillId="35" borderId="36" xfId="0" applyFont="1" applyFill="1" applyBorder="1" applyAlignment="1" applyProtection="1">
      <alignment horizontal="center" vertical="center" wrapText="1"/>
      <protection locked="0"/>
    </xf>
    <xf numFmtId="0" fontId="44" fillId="35" borderId="37" xfId="0" applyFont="1" applyFill="1" applyBorder="1" applyAlignment="1" applyProtection="1">
      <alignment horizontal="center" vertical="center" wrapText="1"/>
      <protection locked="0"/>
    </xf>
    <xf numFmtId="0" fontId="66" fillId="35" borderId="48" xfId="0" applyFont="1" applyFill="1" applyBorder="1" applyAlignment="1">
      <alignment vertical="center"/>
    </xf>
    <xf numFmtId="0" fontId="66" fillId="35" borderId="36" xfId="0" applyFont="1" applyFill="1" applyBorder="1" applyAlignment="1">
      <alignment vertical="center"/>
    </xf>
    <xf numFmtId="0" fontId="66" fillId="35" borderId="37" xfId="0" applyFont="1" applyFill="1" applyBorder="1" applyAlignment="1">
      <alignment vertical="center"/>
    </xf>
    <xf numFmtId="0" fontId="66" fillId="0" borderId="12" xfId="0" applyFont="1" applyBorder="1" applyAlignment="1">
      <alignment horizontal="center" vertical="center"/>
    </xf>
    <xf numFmtId="0" fontId="36" fillId="0" borderId="40" xfId="0" applyFont="1" applyBorder="1" applyAlignment="1">
      <alignment horizontal="center" vertical="center"/>
    </xf>
    <xf numFmtId="0" fontId="36" fillId="0" borderId="49" xfId="0" applyFont="1" applyBorder="1" applyAlignment="1">
      <alignment horizontal="center" vertical="center"/>
    </xf>
    <xf numFmtId="0" fontId="36" fillId="0" borderId="43" xfId="0" applyFont="1" applyBorder="1" applyAlignment="1">
      <alignment horizontal="center" vertical="center"/>
    </xf>
    <xf numFmtId="177" fontId="36" fillId="0" borderId="45" xfId="0" applyNumberFormat="1" applyFont="1" applyBorder="1" applyAlignment="1">
      <alignment horizontal="center" vertical="center"/>
    </xf>
    <xf numFmtId="177" fontId="36" fillId="0" borderId="50" xfId="0" applyNumberFormat="1" applyFont="1" applyBorder="1" applyAlignment="1">
      <alignment horizontal="center" vertical="center"/>
    </xf>
    <xf numFmtId="177" fontId="36" fillId="0" borderId="51" xfId="0" applyNumberFormat="1" applyFont="1" applyBorder="1" applyAlignment="1">
      <alignment horizontal="center" vertical="center"/>
    </xf>
    <xf numFmtId="0" fontId="36" fillId="0" borderId="10" xfId="0" applyFont="1" applyBorder="1" applyAlignment="1">
      <alignment horizontal="left" vertical="center"/>
    </xf>
    <xf numFmtId="0" fontId="36" fillId="0" borderId="12" xfId="0" applyFont="1" applyBorder="1" applyAlignment="1">
      <alignment horizontal="left" vertical="center"/>
    </xf>
    <xf numFmtId="0" fontId="36" fillId="0" borderId="13" xfId="0" applyFont="1" applyBorder="1" applyAlignment="1">
      <alignment horizontal="left" vertical="center"/>
    </xf>
    <xf numFmtId="0" fontId="36" fillId="0" borderId="25" xfId="0" applyFont="1" applyBorder="1" applyAlignment="1">
      <alignment horizontal="left" vertical="center"/>
    </xf>
    <xf numFmtId="0" fontId="36" fillId="0" borderId="26" xfId="0" applyFont="1" applyBorder="1" applyAlignment="1">
      <alignment horizontal="left" vertical="center"/>
    </xf>
    <xf numFmtId="0" fontId="36" fillId="0" borderId="27" xfId="0" applyFont="1" applyBorder="1" applyAlignment="1">
      <alignment horizontal="left" vertical="center"/>
    </xf>
    <xf numFmtId="0" fontId="44" fillId="0" borderId="18" xfId="0" applyFont="1" applyBorder="1" applyAlignment="1">
      <alignment horizontal="center" vertical="center"/>
    </xf>
    <xf numFmtId="0" fontId="44" fillId="0" borderId="0" xfId="0" applyFont="1" applyAlignment="1">
      <alignment horizontal="center" vertical="center"/>
    </xf>
    <xf numFmtId="0" fontId="44" fillId="0" borderId="19" xfId="0" applyFont="1" applyBorder="1" applyAlignment="1">
      <alignment horizontal="center" vertical="center"/>
    </xf>
    <xf numFmtId="0" fontId="44" fillId="0" borderId="0" xfId="0" applyFont="1" applyAlignment="1">
      <alignment horizontal="justify" vertical="center" wrapText="1"/>
    </xf>
    <xf numFmtId="0" fontId="62" fillId="0" borderId="15" xfId="0" applyFont="1" applyBorder="1" applyAlignment="1">
      <alignment horizontal="center" vertical="center"/>
    </xf>
    <xf numFmtId="0" fontId="62" fillId="0" borderId="52" xfId="0" applyFont="1" applyBorder="1" applyAlignment="1">
      <alignment horizontal="center" vertical="center"/>
    </xf>
    <xf numFmtId="177" fontId="62" fillId="0" borderId="45" xfId="0" applyNumberFormat="1" applyFont="1" applyBorder="1" applyAlignment="1">
      <alignment horizontal="center" vertical="center"/>
    </xf>
    <xf numFmtId="177" fontId="62" fillId="0" borderId="50" xfId="0" applyNumberFormat="1" applyFont="1" applyBorder="1" applyAlignment="1">
      <alignment horizontal="center" vertical="center"/>
    </xf>
    <xf numFmtId="177" fontId="62" fillId="0" borderId="51" xfId="0" applyNumberFormat="1" applyFont="1" applyBorder="1" applyAlignment="1">
      <alignment horizontal="center" vertical="center"/>
    </xf>
    <xf numFmtId="0" fontId="62" fillId="0" borderId="40" xfId="0" applyFont="1" applyBorder="1" applyAlignment="1">
      <alignment horizontal="center" vertical="center"/>
    </xf>
    <xf numFmtId="0" fontId="62" fillId="0" borderId="49" xfId="0" applyFont="1" applyBorder="1" applyAlignment="1">
      <alignment horizontal="center" vertical="center"/>
    </xf>
    <xf numFmtId="0" fontId="62" fillId="0" borderId="43" xfId="0" applyFont="1" applyBorder="1" applyAlignment="1">
      <alignment horizontal="center" vertical="center"/>
    </xf>
    <xf numFmtId="0" fontId="62" fillId="0" borderId="10" xfId="0" applyFont="1" applyBorder="1" applyAlignment="1">
      <alignment horizontal="left" vertical="center"/>
    </xf>
    <xf numFmtId="0" fontId="62" fillId="0" borderId="12" xfId="0" applyFont="1" applyBorder="1" applyAlignment="1">
      <alignment horizontal="left" vertical="center"/>
    </xf>
    <xf numFmtId="0" fontId="62" fillId="0" borderId="13" xfId="0" applyFont="1" applyBorder="1" applyAlignment="1">
      <alignment horizontal="left" vertical="center"/>
    </xf>
    <xf numFmtId="0" fontId="62" fillId="0" borderId="25" xfId="0" applyFont="1" applyBorder="1" applyAlignment="1">
      <alignment horizontal="left" vertical="center"/>
    </xf>
    <xf numFmtId="0" fontId="62" fillId="0" borderId="26" xfId="0" applyFont="1" applyBorder="1" applyAlignment="1">
      <alignment horizontal="left" vertical="center"/>
    </xf>
    <xf numFmtId="0" fontId="62" fillId="0" borderId="27" xfId="0" applyFont="1" applyBorder="1" applyAlignment="1">
      <alignment horizontal="left" vertical="center"/>
    </xf>
    <xf numFmtId="0" fontId="63" fillId="0" borderId="18" xfId="0" applyFont="1" applyBorder="1" applyAlignment="1">
      <alignment horizontal="center" vertical="center"/>
    </xf>
    <xf numFmtId="0" fontId="63" fillId="0" borderId="0" xfId="0" applyFont="1" applyAlignment="1">
      <alignment horizontal="center" vertical="center"/>
    </xf>
    <xf numFmtId="0" fontId="63" fillId="0" borderId="19" xfId="0" applyFont="1" applyBorder="1" applyAlignment="1">
      <alignment horizontal="center" vertical="center"/>
    </xf>
    <xf numFmtId="0" fontId="62" fillId="0" borderId="16" xfId="0" applyFont="1" applyBorder="1" applyAlignment="1">
      <alignment horizontal="center" vertical="center"/>
    </xf>
    <xf numFmtId="0" fontId="63" fillId="0" borderId="0" xfId="0" applyFont="1" applyAlignment="1">
      <alignment horizontal="justify" vertical="center" wrapText="1"/>
    </xf>
    <xf numFmtId="0" fontId="36" fillId="0" borderId="52" xfId="0" applyFont="1" applyBorder="1" applyAlignment="1">
      <alignment horizontal="center" vertical="center"/>
    </xf>
    <xf numFmtId="0" fontId="101" fillId="0" borderId="47" xfId="278" applyFont="1" applyBorder="1" applyAlignment="1">
      <alignment horizontal="center" vertical="center"/>
    </xf>
    <xf numFmtId="0" fontId="69" fillId="0" borderId="291" xfId="278" applyFont="1" applyBorder="1" applyAlignment="1">
      <alignment horizontal="center" vertical="center" wrapText="1"/>
    </xf>
    <xf numFmtId="0" fontId="69" fillId="0" borderId="14" xfId="278" applyFont="1" applyBorder="1" applyAlignment="1">
      <alignment horizontal="center" vertical="center" wrapText="1"/>
    </xf>
    <xf numFmtId="0" fontId="69" fillId="0" borderId="56" xfId="278" applyFont="1" applyBorder="1" applyAlignment="1">
      <alignment horizontal="center" vertical="center" wrapText="1"/>
    </xf>
    <xf numFmtId="0" fontId="101" fillId="0" borderId="305" xfId="278" applyFont="1" applyBorder="1" applyAlignment="1">
      <alignment horizontal="center" vertical="center"/>
    </xf>
    <xf numFmtId="0" fontId="150" fillId="44" borderId="54" xfId="278" applyFont="1" applyFill="1" applyBorder="1" applyAlignment="1">
      <alignment horizontal="center" vertical="center"/>
    </xf>
    <xf numFmtId="0" fontId="150" fillId="44" borderId="53" xfId="278" applyFont="1" applyFill="1" applyBorder="1" applyAlignment="1">
      <alignment horizontal="center" vertical="center"/>
    </xf>
    <xf numFmtId="0" fontId="150" fillId="44" borderId="55" xfId="278" applyFont="1" applyFill="1" applyBorder="1" applyAlignment="1">
      <alignment horizontal="center" vertical="center"/>
    </xf>
    <xf numFmtId="0" fontId="149" fillId="0" borderId="14" xfId="278" applyFont="1" applyBorder="1" applyAlignment="1">
      <alignment horizontal="center" vertical="center"/>
    </xf>
    <xf numFmtId="0" fontId="101" fillId="0" borderId="291" xfId="278" applyFont="1" applyBorder="1" applyAlignment="1">
      <alignment horizontal="center" vertical="center" wrapText="1"/>
    </xf>
    <xf numFmtId="0" fontId="101" fillId="0" borderId="56" xfId="278" applyFont="1" applyBorder="1" applyAlignment="1">
      <alignment horizontal="center" vertical="center" wrapText="1"/>
    </xf>
    <xf numFmtId="0" fontId="101" fillId="0" borderId="14" xfId="278" applyFont="1" applyBorder="1" applyAlignment="1">
      <alignment horizontal="center" vertical="center" wrapText="1"/>
    </xf>
    <xf numFmtId="0" fontId="101" fillId="0" borderId="291" xfId="278" applyFont="1" applyBorder="1" applyAlignment="1">
      <alignment horizontal="center" vertical="center"/>
    </xf>
    <xf numFmtId="0" fontId="101" fillId="0" borderId="56" xfId="278" applyFont="1" applyBorder="1" applyAlignment="1">
      <alignment horizontal="center" vertical="center"/>
    </xf>
    <xf numFmtId="0" fontId="101" fillId="0" borderId="14" xfId="278" applyFont="1" applyBorder="1" applyAlignment="1">
      <alignment horizontal="center" vertical="center"/>
    </xf>
    <xf numFmtId="0" fontId="149" fillId="0" borderId="305" xfId="278" applyFont="1" applyBorder="1" applyAlignment="1">
      <alignment horizontal="center" vertical="top"/>
    </xf>
    <xf numFmtId="0" fontId="149" fillId="0" borderId="305" xfId="278" applyFont="1" applyBorder="1" applyAlignment="1">
      <alignment horizontal="center" vertical="center"/>
    </xf>
    <xf numFmtId="0" fontId="114" fillId="45" borderId="15" xfId="177" applyFont="1" applyFill="1" applyBorder="1" applyAlignment="1" applyProtection="1">
      <alignment horizontal="center" vertical="center" wrapText="1"/>
      <protection locked="0"/>
    </xf>
    <xf numFmtId="0" fontId="114" fillId="45" borderId="16" xfId="177" applyFont="1" applyFill="1" applyBorder="1" applyAlignment="1" applyProtection="1">
      <alignment horizontal="center" vertical="center" wrapText="1"/>
      <protection locked="0"/>
    </xf>
    <xf numFmtId="0" fontId="114" fillId="45" borderId="17" xfId="177" applyFont="1" applyFill="1" applyBorder="1" applyAlignment="1" applyProtection="1">
      <alignment horizontal="center" vertical="center" wrapText="1"/>
      <protection locked="0"/>
    </xf>
    <xf numFmtId="0" fontId="114" fillId="45" borderId="20" xfId="177" applyFont="1" applyFill="1" applyBorder="1" applyAlignment="1" applyProtection="1">
      <alignment horizontal="center" vertical="center" wrapText="1"/>
      <protection locked="0"/>
    </xf>
    <xf numFmtId="0" fontId="114" fillId="45" borderId="76" xfId="177" applyFont="1" applyFill="1" applyBorder="1" applyAlignment="1" applyProtection="1">
      <alignment horizontal="center" vertical="center" wrapText="1"/>
      <protection locked="0"/>
    </xf>
    <xf numFmtId="0" fontId="114" fillId="45" borderId="93" xfId="177" applyFont="1" applyFill="1" applyBorder="1" applyAlignment="1" applyProtection="1">
      <alignment horizontal="center" vertical="center" wrapText="1"/>
      <protection locked="0"/>
    </xf>
    <xf numFmtId="0" fontId="93" fillId="0" borderId="0" xfId="0" applyFont="1" applyAlignment="1">
      <alignment vertical="center"/>
    </xf>
    <xf numFmtId="0" fontId="102" fillId="0" borderId="15" xfId="0" applyFont="1" applyBorder="1" applyAlignment="1">
      <alignment horizontal="center" vertical="center"/>
    </xf>
    <xf numFmtId="0" fontId="102" fillId="0" borderId="16" xfId="0" applyFont="1" applyBorder="1" applyAlignment="1">
      <alignment horizontal="center" vertical="center"/>
    </xf>
    <xf numFmtId="0" fontId="102" fillId="0" borderId="17" xfId="0" applyFont="1" applyBorder="1" applyAlignment="1">
      <alignment horizontal="center" vertical="center"/>
    </xf>
    <xf numFmtId="0" fontId="102" fillId="0" borderId="20" xfId="0" applyFont="1" applyBorder="1" applyAlignment="1">
      <alignment horizontal="center" vertical="center"/>
    </xf>
    <xf numFmtId="0" fontId="102" fillId="0" borderId="76" xfId="0" applyFont="1" applyBorder="1" applyAlignment="1">
      <alignment horizontal="center" vertical="center"/>
    </xf>
    <xf numFmtId="0" fontId="102" fillId="0" borderId="93" xfId="0" applyFont="1" applyBorder="1" applyAlignment="1">
      <alignment horizontal="center" vertical="center"/>
    </xf>
    <xf numFmtId="0" fontId="67" fillId="35" borderId="41" xfId="0" applyFont="1" applyFill="1" applyBorder="1" applyAlignment="1">
      <alignment horizontal="center" vertical="center"/>
    </xf>
    <xf numFmtId="0" fontId="67" fillId="35" borderId="329" xfId="0" applyFont="1" applyFill="1" applyBorder="1" applyAlignment="1">
      <alignment horizontal="center" vertical="center"/>
    </xf>
    <xf numFmtId="0" fontId="67" fillId="35" borderId="42" xfId="0" applyFont="1" applyFill="1" applyBorder="1" applyAlignment="1">
      <alignment horizontal="center" vertical="center"/>
    </xf>
    <xf numFmtId="0" fontId="67" fillId="35" borderId="328" xfId="0" applyFont="1" applyFill="1" applyBorder="1" applyAlignment="1">
      <alignment horizontal="center" vertical="center"/>
    </xf>
    <xf numFmtId="166" fontId="67" fillId="35" borderId="66" xfId="100" applyFont="1" applyFill="1" applyBorder="1" applyAlignment="1">
      <alignment horizontal="center" vertical="center"/>
    </xf>
    <xf numFmtId="166" fontId="67" fillId="35" borderId="330" xfId="100" applyFont="1" applyFill="1" applyBorder="1" applyAlignment="1">
      <alignment horizontal="center" vertical="center"/>
    </xf>
    <xf numFmtId="177" fontId="36" fillId="0" borderId="45" xfId="278" applyNumberFormat="1" applyBorder="1" applyAlignment="1">
      <alignment horizontal="center" vertical="center"/>
    </xf>
    <xf numFmtId="177" fontId="36" fillId="0" borderId="50" xfId="278" applyNumberFormat="1" applyBorder="1" applyAlignment="1">
      <alignment horizontal="center" vertical="center"/>
    </xf>
    <xf numFmtId="177" fontId="36" fillId="0" borderId="327" xfId="278" applyNumberFormat="1" applyBorder="1" applyAlignment="1">
      <alignment horizontal="center" vertical="center"/>
    </xf>
    <xf numFmtId="0" fontId="36" fillId="0" borderId="15" xfId="278" applyBorder="1" applyAlignment="1">
      <alignment horizontal="center" vertical="center"/>
    </xf>
    <xf numFmtId="0" fontId="36" fillId="0" borderId="16" xfId="278" applyBorder="1" applyAlignment="1">
      <alignment horizontal="center" vertical="center"/>
    </xf>
    <xf numFmtId="0" fontId="36" fillId="0" borderId="17" xfId="278" applyBorder="1" applyAlignment="1">
      <alignment horizontal="center" vertical="center"/>
    </xf>
    <xf numFmtId="0" fontId="36" fillId="0" borderId="18" xfId="278" applyBorder="1" applyAlignment="1">
      <alignment horizontal="center" vertical="center"/>
    </xf>
    <xf numFmtId="0" fontId="36" fillId="0" borderId="0" xfId="278" applyAlignment="1">
      <alignment horizontal="center" vertical="center"/>
    </xf>
    <xf numFmtId="0" fontId="36" fillId="0" borderId="19" xfId="278" applyBorder="1" applyAlignment="1">
      <alignment horizontal="center" vertical="center"/>
    </xf>
    <xf numFmtId="0" fontId="36" fillId="0" borderId="216" xfId="278" applyBorder="1" applyAlignment="1">
      <alignment horizontal="center" vertical="center"/>
    </xf>
    <xf numFmtId="0" fontId="36" fillId="0" borderId="322" xfId="278" applyBorder="1" applyAlignment="1">
      <alignment horizontal="center" vertical="center"/>
    </xf>
    <xf numFmtId="0" fontId="36" fillId="0" borderId="316" xfId="278" applyBorder="1" applyAlignment="1">
      <alignment horizontal="center" vertical="center"/>
    </xf>
    <xf numFmtId="0" fontId="44" fillId="0" borderId="15" xfId="278" applyFont="1" applyBorder="1" applyAlignment="1">
      <alignment horizontal="center" vertical="center"/>
    </xf>
    <xf numFmtId="0" fontId="44" fillId="0" borderId="16" xfId="278" applyFont="1" applyBorder="1" applyAlignment="1">
      <alignment horizontal="center" vertical="center"/>
    </xf>
    <xf numFmtId="0" fontId="44" fillId="0" borderId="17" xfId="278" applyFont="1" applyBorder="1" applyAlignment="1">
      <alignment horizontal="center" vertical="center"/>
    </xf>
    <xf numFmtId="0" fontId="44" fillId="0" borderId="18" xfId="278" applyFont="1" applyBorder="1" applyAlignment="1">
      <alignment horizontal="center" vertical="center"/>
    </xf>
    <xf numFmtId="0" fontId="44" fillId="0" borderId="0" xfId="278" applyFont="1" applyAlignment="1">
      <alignment horizontal="center" vertical="center"/>
    </xf>
    <xf numFmtId="0" fontId="44" fillId="0" borderId="19" xfId="278" applyFont="1" applyBorder="1" applyAlignment="1">
      <alignment horizontal="center" vertical="center"/>
    </xf>
    <xf numFmtId="0" fontId="44" fillId="0" borderId="216" xfId="278" applyFont="1" applyBorder="1" applyAlignment="1">
      <alignment horizontal="center" vertical="center"/>
    </xf>
    <xf numFmtId="0" fontId="44" fillId="0" borderId="322" xfId="278" applyFont="1" applyBorder="1" applyAlignment="1">
      <alignment horizontal="center" vertical="center"/>
    </xf>
    <xf numFmtId="0" fontId="44" fillId="0" borderId="316" xfId="278" applyFont="1" applyBorder="1" applyAlignment="1">
      <alignment horizontal="center" vertical="center"/>
    </xf>
    <xf numFmtId="0" fontId="44" fillId="0" borderId="0" xfId="278" applyFont="1" applyAlignment="1">
      <alignment horizontal="justify" vertical="center" wrapText="1"/>
    </xf>
    <xf numFmtId="0" fontId="36" fillId="0" borderId="52" xfId="278" applyBorder="1" applyAlignment="1">
      <alignment horizontal="center" vertical="center"/>
    </xf>
    <xf numFmtId="0" fontId="44" fillId="0" borderId="15"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20" xfId="0" applyFont="1" applyBorder="1" applyAlignment="1">
      <alignment horizontal="center" vertical="center"/>
    </xf>
    <xf numFmtId="0" fontId="44" fillId="0" borderId="76" xfId="0" applyFont="1" applyBorder="1" applyAlignment="1">
      <alignment horizontal="center" vertical="center"/>
    </xf>
    <xf numFmtId="0" fontId="44" fillId="0" borderId="93" xfId="0" applyFont="1" applyBorder="1" applyAlignment="1">
      <alignment horizontal="center" vertical="center"/>
    </xf>
    <xf numFmtId="0" fontId="36" fillId="0" borderId="17" xfId="0" applyFont="1" applyBorder="1" applyAlignment="1">
      <alignment horizontal="center" vertical="center"/>
    </xf>
    <xf numFmtId="0" fontId="36" fillId="0" borderId="19" xfId="0" applyFont="1" applyBorder="1" applyAlignment="1">
      <alignment horizontal="center" vertical="center"/>
    </xf>
    <xf numFmtId="0" fontId="36" fillId="0" borderId="20" xfId="0" applyFont="1" applyBorder="1" applyAlignment="1">
      <alignment horizontal="center" vertical="center"/>
    </xf>
    <xf numFmtId="0" fontId="36" fillId="0" borderId="93" xfId="0" applyFont="1" applyBorder="1" applyAlignment="1">
      <alignment horizontal="center" vertical="center"/>
    </xf>
    <xf numFmtId="177" fontId="36" fillId="0" borderId="177" xfId="278" applyNumberFormat="1" applyBorder="1" applyAlignment="1">
      <alignment horizontal="center" vertical="center"/>
    </xf>
    <xf numFmtId="0" fontId="36" fillId="0" borderId="76" xfId="278" applyBorder="1" applyAlignment="1">
      <alignment horizontal="center" vertical="center"/>
    </xf>
    <xf numFmtId="0" fontId="44" fillId="0" borderId="76" xfId="278" applyFont="1" applyBorder="1" applyAlignment="1">
      <alignment horizontal="center" vertical="center"/>
    </xf>
    <xf numFmtId="0" fontId="36" fillId="0" borderId="206" xfId="0" applyFont="1" applyBorder="1" applyAlignment="1">
      <alignment horizontal="left" vertical="center" wrapText="1"/>
    </xf>
    <xf numFmtId="0" fontId="36" fillId="0" borderId="207" xfId="0" applyFont="1" applyBorder="1" applyAlignment="1">
      <alignment horizontal="left" vertical="center" wrapText="1"/>
    </xf>
    <xf numFmtId="0" fontId="36" fillId="0" borderId="299" xfId="0" applyFont="1" applyBorder="1" applyAlignment="1">
      <alignment horizontal="left" vertical="center" wrapText="1"/>
    </xf>
    <xf numFmtId="0" fontId="36" fillId="0" borderId="293" xfId="0" applyFont="1" applyBorder="1" applyAlignment="1">
      <alignment horizontal="left" vertical="center" wrapText="1"/>
    </xf>
    <xf numFmtId="0" fontId="36" fillId="0" borderId="298" xfId="0" applyFont="1" applyBorder="1" applyAlignment="1">
      <alignment horizontal="left" vertical="center" wrapText="1"/>
    </xf>
    <xf numFmtId="0" fontId="36" fillId="0" borderId="299" xfId="0" applyFont="1" applyBorder="1" applyAlignment="1">
      <alignment horizontal="left" vertical="center"/>
    </xf>
    <xf numFmtId="0" fontId="36" fillId="0" borderId="293" xfId="0" applyFont="1" applyBorder="1" applyAlignment="1">
      <alignment horizontal="left" vertical="center"/>
    </xf>
    <xf numFmtId="0" fontId="36" fillId="0" borderId="298" xfId="0" applyFont="1" applyBorder="1" applyAlignment="1">
      <alignment horizontal="left" vertical="center"/>
    </xf>
    <xf numFmtId="0" fontId="36" fillId="0" borderId="297" xfId="0" applyFont="1" applyBorder="1" applyAlignment="1">
      <alignment horizontal="left" vertical="center"/>
    </xf>
    <xf numFmtId="0" fontId="36" fillId="0" borderId="315" xfId="0" applyFont="1" applyBorder="1" applyAlignment="1">
      <alignment horizontal="left" vertical="center"/>
    </xf>
    <xf numFmtId="0" fontId="36" fillId="0" borderId="315" xfId="0" applyFont="1" applyBorder="1" applyAlignment="1">
      <alignment horizontal="left" vertical="center" wrapText="1"/>
    </xf>
    <xf numFmtId="0" fontId="44" fillId="0" borderId="0" xfId="0" applyFont="1" applyAlignment="1">
      <alignment horizontal="left" vertical="center" wrapText="1"/>
    </xf>
    <xf numFmtId="0" fontId="76" fillId="0" borderId="153" xfId="0" applyFont="1" applyBorder="1" applyAlignment="1">
      <alignment horizontal="left" vertical="top" wrapText="1"/>
    </xf>
    <xf numFmtId="0" fontId="76" fillId="0" borderId="154" xfId="0" applyFont="1" applyBorder="1" applyAlignment="1">
      <alignment horizontal="left" vertical="top" wrapText="1"/>
    </xf>
    <xf numFmtId="0" fontId="36" fillId="0" borderId="153" xfId="0" applyFont="1" applyBorder="1" applyAlignment="1">
      <alignment horizontal="left"/>
    </xf>
    <xf numFmtId="0" fontId="36" fillId="0" borderId="154" xfId="0" applyFont="1" applyBorder="1" applyAlignment="1">
      <alignment horizontal="left"/>
    </xf>
    <xf numFmtId="169" fontId="88" fillId="0" borderId="72" xfId="244" applyFont="1" applyBorder="1" applyAlignment="1">
      <alignment horizontal="center" vertical="center"/>
    </xf>
    <xf numFmtId="169" fontId="88" fillId="0" borderId="106" xfId="244" applyFont="1" applyBorder="1" applyAlignment="1">
      <alignment horizontal="center" vertical="center"/>
    </xf>
    <xf numFmtId="169" fontId="88" fillId="0" borderId="273" xfId="244" applyFont="1" applyBorder="1" applyAlignment="1">
      <alignment horizontal="center" vertical="center"/>
    </xf>
    <xf numFmtId="169" fontId="88" fillId="0" borderId="277" xfId="244" applyFont="1" applyBorder="1" applyAlignment="1">
      <alignment horizontal="center" vertical="center"/>
    </xf>
    <xf numFmtId="0" fontId="120" fillId="45" borderId="18" xfId="272" applyFont="1" applyFill="1" applyBorder="1" applyAlignment="1">
      <alignment horizontal="center" vertical="center"/>
    </xf>
    <xf numFmtId="0" fontId="120" fillId="45" borderId="0" xfId="272" applyFont="1" applyFill="1" applyAlignment="1">
      <alignment horizontal="center" vertical="center"/>
    </xf>
    <xf numFmtId="0" fontId="87" fillId="45" borderId="67" xfId="272" applyFont="1" applyFill="1" applyBorder="1" applyAlignment="1">
      <alignment horizontal="center" vertical="center" wrapText="1"/>
    </xf>
    <xf numFmtId="0" fontId="87" fillId="45" borderId="69" xfId="272" applyFont="1" applyFill="1" applyBorder="1" applyAlignment="1">
      <alignment horizontal="center" vertical="center" wrapText="1"/>
    </xf>
    <xf numFmtId="0" fontId="87" fillId="45" borderId="54" xfId="272" applyFont="1" applyFill="1" applyBorder="1" applyAlignment="1">
      <alignment horizontal="center" vertical="center" wrapText="1"/>
    </xf>
    <xf numFmtId="0" fontId="87" fillId="45" borderId="55" xfId="272" applyFont="1" applyFill="1" applyBorder="1" applyAlignment="1">
      <alignment horizontal="center" vertical="center" wrapText="1"/>
    </xf>
    <xf numFmtId="0" fontId="110" fillId="0" borderId="134" xfId="262" applyFont="1" applyBorder="1" applyAlignment="1">
      <alignment horizontal="left"/>
    </xf>
    <xf numFmtId="0" fontId="98" fillId="0" borderId="135" xfId="262" applyFont="1" applyBorder="1" applyAlignment="1">
      <alignment wrapText="1"/>
    </xf>
    <xf numFmtId="0" fontId="98" fillId="0" borderId="136" xfId="262" applyFont="1" applyBorder="1" applyAlignment="1">
      <alignment wrapText="1"/>
    </xf>
    <xf numFmtId="0" fontId="108" fillId="0" borderId="127" xfId="262" applyFont="1" applyBorder="1" applyAlignment="1">
      <alignment horizontal="center"/>
    </xf>
    <xf numFmtId="0" fontId="98" fillId="0" borderId="128" xfId="262" applyFont="1" applyBorder="1" applyAlignment="1">
      <alignment wrapText="1"/>
    </xf>
    <xf numFmtId="0" fontId="111" fillId="0" borderId="111" xfId="262" applyFont="1" applyBorder="1" applyAlignment="1">
      <alignment horizontal="left"/>
    </xf>
    <xf numFmtId="0" fontId="111" fillId="0" borderId="128" xfId="262" applyFont="1" applyBorder="1" applyAlignment="1">
      <alignment horizontal="left"/>
    </xf>
    <xf numFmtId="0" fontId="112" fillId="0" borderId="135" xfId="262" applyFont="1" applyBorder="1" applyAlignment="1">
      <alignment horizontal="right"/>
    </xf>
    <xf numFmtId="0" fontId="112" fillId="0" borderId="128" xfId="262" applyFont="1" applyBorder="1" applyAlignment="1">
      <alignment horizontal="right"/>
    </xf>
    <xf numFmtId="0" fontId="98" fillId="0" borderId="129" xfId="262" applyFont="1" applyBorder="1" applyAlignment="1">
      <alignment wrapText="1"/>
    </xf>
    <xf numFmtId="0" fontId="111" fillId="0" borderId="134" xfId="262" applyFont="1" applyBorder="1" applyAlignment="1">
      <alignment horizontal="left"/>
    </xf>
    <xf numFmtId="0" fontId="98" fillId="0" borderId="138" xfId="262" applyFont="1" applyBorder="1" applyAlignment="1">
      <alignment wrapText="1"/>
    </xf>
    <xf numFmtId="0" fontId="112" fillId="45" borderId="54" xfId="262" applyFont="1" applyFill="1" applyBorder="1" applyAlignment="1">
      <alignment horizontal="center" vertical="center" wrapText="1"/>
    </xf>
    <xf numFmtId="0" fontId="112" fillId="45" borderId="53" xfId="262" applyFont="1" applyFill="1" applyBorder="1" applyAlignment="1">
      <alignment horizontal="center" vertical="center" wrapText="1"/>
    </xf>
    <xf numFmtId="0" fontId="112" fillId="45" borderId="55" xfId="262" applyFont="1" applyFill="1" applyBorder="1" applyAlignment="1">
      <alignment horizontal="center" vertical="center" wrapText="1"/>
    </xf>
    <xf numFmtId="0" fontId="109" fillId="0" borderId="46" xfId="262" applyFont="1" applyBorder="1" applyAlignment="1">
      <alignment horizontal="center"/>
    </xf>
    <xf numFmtId="0" fontId="98" fillId="0" borderId="0" xfId="262" applyFont="1" applyAlignment="1">
      <alignment wrapText="1"/>
    </xf>
    <xf numFmtId="0" fontId="111" fillId="0" borderId="131" xfId="262" applyFont="1" applyBorder="1" applyAlignment="1">
      <alignment horizontal="left"/>
    </xf>
    <xf numFmtId="0" fontId="98" fillId="0" borderId="132" xfId="262" applyFont="1" applyBorder="1" applyAlignment="1">
      <alignment wrapText="1"/>
    </xf>
    <xf numFmtId="0" fontId="98" fillId="0" borderId="133" xfId="262" applyFont="1" applyBorder="1" applyAlignment="1">
      <alignment wrapText="1"/>
    </xf>
    <xf numFmtId="0" fontId="112" fillId="0" borderId="54" xfId="262" applyFont="1" applyBorder="1" applyAlignment="1">
      <alignment horizontal="center" vertical="center"/>
    </xf>
    <xf numFmtId="0" fontId="112" fillId="0" borderId="53" xfId="262" applyFont="1" applyBorder="1" applyAlignment="1">
      <alignment horizontal="center" vertical="center"/>
    </xf>
    <xf numFmtId="0" fontId="112" fillId="0" borderId="55" xfId="262" applyFont="1" applyBorder="1" applyAlignment="1">
      <alignment horizontal="center" vertical="center"/>
    </xf>
    <xf numFmtId="0" fontId="90" fillId="0" borderId="0" xfId="236" applyFont="1" applyAlignment="1">
      <alignment horizontal="center" vertical="center" wrapText="1"/>
    </xf>
    <xf numFmtId="0" fontId="90" fillId="0" borderId="36" xfId="236" applyFont="1" applyBorder="1" applyAlignment="1">
      <alignment horizontal="center" vertical="center" wrapText="1"/>
    </xf>
    <xf numFmtId="0" fontId="90" fillId="0" borderId="140" xfId="236" applyFont="1" applyBorder="1" applyAlignment="1">
      <alignment horizontal="center" vertical="center" wrapText="1"/>
    </xf>
    <xf numFmtId="0" fontId="90" fillId="0" borderId="14" xfId="236" applyFont="1" applyBorder="1" applyAlignment="1">
      <alignment horizontal="center" vertical="center" wrapText="1"/>
    </xf>
    <xf numFmtId="0" fontId="90" fillId="39" borderId="123" xfId="236" applyFont="1" applyFill="1" applyBorder="1" applyAlignment="1">
      <alignment horizontal="left" wrapText="1"/>
    </xf>
    <xf numFmtId="0" fontId="90" fillId="39" borderId="253" xfId="236" applyFont="1" applyFill="1" applyBorder="1" applyAlignment="1">
      <alignment horizontal="left" wrapText="1"/>
    </xf>
    <xf numFmtId="0" fontId="90" fillId="0" borderId="123" xfId="236" applyFont="1" applyBorder="1" applyAlignment="1">
      <alignment horizontal="center" vertical="center" wrapText="1"/>
    </xf>
    <xf numFmtId="0" fontId="90" fillId="0" borderId="253" xfId="236" applyFont="1" applyBorder="1" applyAlignment="1">
      <alignment horizontal="center" vertical="center" wrapText="1"/>
    </xf>
    <xf numFmtId="0" fontId="90" fillId="0" borderId="227" xfId="236" applyFont="1" applyBorder="1" applyAlignment="1">
      <alignment horizontal="center" vertical="center" wrapText="1"/>
    </xf>
    <xf numFmtId="0" fontId="90" fillId="0" borderId="56" xfId="236" applyFont="1" applyBorder="1" applyAlignment="1">
      <alignment horizontal="center" vertical="center" wrapText="1"/>
    </xf>
    <xf numFmtId="0" fontId="90" fillId="0" borderId="122" xfId="236" applyFont="1" applyBorder="1" applyAlignment="1">
      <alignment horizontal="center" vertical="center" wrapText="1"/>
    </xf>
    <xf numFmtId="0" fontId="90" fillId="36" borderId="123" xfId="236" applyFont="1" applyFill="1" applyBorder="1" applyAlignment="1">
      <alignment horizontal="center" vertical="center" wrapText="1"/>
    </xf>
    <xf numFmtId="0" fontId="90" fillId="0" borderId="123" xfId="236" applyFont="1" applyBorder="1" applyAlignment="1">
      <alignment horizontal="center" wrapText="1"/>
    </xf>
    <xf numFmtId="0" fontId="90" fillId="0" borderId="253" xfId="236" applyFont="1" applyBorder="1" applyAlignment="1">
      <alignment horizontal="center" wrapText="1"/>
    </xf>
    <xf numFmtId="0" fontId="125" fillId="45" borderId="67" xfId="236" applyFont="1" applyFill="1" applyBorder="1" applyAlignment="1">
      <alignment horizontal="center" vertical="center" wrapText="1"/>
    </xf>
    <xf numFmtId="0" fontId="125" fillId="45" borderId="68" xfId="236" applyFont="1" applyFill="1" applyBorder="1" applyAlignment="1">
      <alignment horizontal="center" vertical="center" wrapText="1"/>
    </xf>
    <xf numFmtId="0" fontId="125" fillId="45" borderId="69" xfId="236" applyFont="1" applyFill="1" applyBorder="1" applyAlignment="1">
      <alignment horizontal="center" vertical="center" wrapText="1"/>
    </xf>
    <xf numFmtId="0" fontId="124" fillId="0" borderId="14" xfId="236" applyFont="1" applyBorder="1" applyAlignment="1">
      <alignment horizontal="center" vertical="center" wrapText="1"/>
    </xf>
    <xf numFmtId="0" fontId="90" fillId="0" borderId="121" xfId="236" applyFont="1" applyBorder="1" applyAlignment="1">
      <alignment horizontal="center" wrapText="1"/>
    </xf>
    <xf numFmtId="0" fontId="90" fillId="0" borderId="227" xfId="236" applyFont="1" applyBorder="1" applyAlignment="1">
      <alignment horizontal="center" vertical="center"/>
    </xf>
    <xf numFmtId="0" fontId="90" fillId="0" borderId="14" xfId="236" applyFont="1" applyBorder="1" applyAlignment="1">
      <alignment horizontal="center" vertical="center"/>
    </xf>
    <xf numFmtId="0" fontId="90" fillId="0" borderId="293" xfId="236" applyFont="1" applyBorder="1" applyAlignment="1">
      <alignment horizontal="center"/>
    </xf>
    <xf numFmtId="0" fontId="98" fillId="0" borderId="0" xfId="262" applyFont="1" applyAlignment="1">
      <alignment horizontal="center"/>
    </xf>
    <xf numFmtId="0" fontId="98" fillId="0" borderId="36" xfId="262" applyFont="1" applyBorder="1" applyAlignment="1">
      <alignment horizontal="center"/>
    </xf>
    <xf numFmtId="0" fontId="101" fillId="36" borderId="111" xfId="262" applyFont="1" applyFill="1" applyBorder="1" applyAlignment="1">
      <alignment horizontal="left" vertical="center" wrapText="1"/>
    </xf>
    <xf numFmtId="0" fontId="101" fillId="36" borderId="112" xfId="262" applyFont="1" applyFill="1" applyBorder="1" applyAlignment="1">
      <alignment horizontal="left" vertical="center" wrapText="1"/>
    </xf>
    <xf numFmtId="0" fontId="101" fillId="36" borderId="297" xfId="262" applyFont="1" applyFill="1" applyBorder="1" applyAlignment="1">
      <alignment horizontal="left" vertical="center" wrapText="1"/>
    </xf>
    <xf numFmtId="0" fontId="101" fillId="36" borderId="298" xfId="262" applyFont="1" applyFill="1" applyBorder="1" applyAlignment="1">
      <alignment horizontal="left" vertical="center" wrapText="1"/>
    </xf>
    <xf numFmtId="42" fontId="36" fillId="36" borderId="109" xfId="270" applyFont="1" applyFill="1" applyBorder="1" applyAlignment="1">
      <alignment horizontal="center" vertical="center"/>
    </xf>
    <xf numFmtId="42" fontId="36" fillId="36" borderId="110" xfId="270" applyFont="1" applyFill="1" applyBorder="1" applyAlignment="1">
      <alignment horizontal="center" vertical="center"/>
    </xf>
    <xf numFmtId="190" fontId="100" fillId="36" borderId="308" xfId="270" applyNumberFormat="1" applyFont="1" applyFill="1" applyBorder="1" applyAlignment="1">
      <alignment horizontal="center" wrapText="1"/>
    </xf>
    <xf numFmtId="190" fontId="100" fillId="36" borderId="314" xfId="270" applyNumberFormat="1" applyFont="1" applyFill="1" applyBorder="1" applyAlignment="1">
      <alignment horizontal="center" wrapText="1"/>
    </xf>
    <xf numFmtId="0" fontId="98" fillId="36" borderId="108" xfId="262" applyFont="1" applyFill="1" applyBorder="1" applyAlignment="1">
      <alignment horizontal="center"/>
    </xf>
    <xf numFmtId="0" fontId="98" fillId="36" borderId="14" xfId="262" applyFont="1" applyFill="1" applyBorder="1" applyAlignment="1">
      <alignment horizontal="center"/>
    </xf>
    <xf numFmtId="0" fontId="98" fillId="36" borderId="109" xfId="262" applyFont="1" applyFill="1" applyBorder="1" applyAlignment="1">
      <alignment horizontal="center"/>
    </xf>
    <xf numFmtId="42" fontId="98" fillId="36" borderId="109" xfId="262" applyNumberFormat="1" applyFont="1" applyFill="1" applyBorder="1" applyAlignment="1">
      <alignment horizontal="center"/>
    </xf>
    <xf numFmtId="0" fontId="98" fillId="36" borderId="110" xfId="262" applyFont="1" applyFill="1" applyBorder="1" applyAlignment="1">
      <alignment horizontal="center"/>
    </xf>
    <xf numFmtId="42" fontId="69" fillId="36" borderId="109" xfId="270" applyFont="1" applyFill="1" applyBorder="1" applyAlignment="1">
      <alignment horizontal="center"/>
    </xf>
    <xf numFmtId="42" fontId="69" fillId="36" borderId="110" xfId="270" applyFont="1" applyFill="1" applyBorder="1" applyAlignment="1">
      <alignment horizontal="center"/>
    </xf>
    <xf numFmtId="0" fontId="92" fillId="36" borderId="113" xfId="262" applyFont="1" applyFill="1" applyBorder="1" applyAlignment="1">
      <alignment horizontal="center"/>
    </xf>
    <xf numFmtId="0" fontId="92" fillId="36" borderId="114" xfId="262" applyFont="1" applyFill="1" applyBorder="1" applyAlignment="1">
      <alignment horizontal="center"/>
    </xf>
    <xf numFmtId="0" fontId="101" fillId="36" borderId="315" xfId="262" applyFont="1" applyFill="1" applyBorder="1" applyAlignment="1">
      <alignment horizontal="left" vertical="center" wrapText="1"/>
    </xf>
    <xf numFmtId="0" fontId="117" fillId="45" borderId="54" xfId="262" applyFont="1" applyFill="1" applyBorder="1" applyAlignment="1">
      <alignment horizontal="center" vertical="center" wrapText="1"/>
    </xf>
    <xf numFmtId="0" fontId="117" fillId="45" borderId="53" xfId="262" applyFont="1" applyFill="1" applyBorder="1" applyAlignment="1">
      <alignment horizontal="center" vertical="center" wrapText="1"/>
    </xf>
    <xf numFmtId="0" fontId="117" fillId="45" borderId="55" xfId="262" applyFont="1" applyFill="1" applyBorder="1" applyAlignment="1">
      <alignment horizontal="center" vertical="center" wrapText="1"/>
    </xf>
    <xf numFmtId="0" fontId="116" fillId="0" borderId="54" xfId="262" applyFont="1" applyBorder="1" applyAlignment="1">
      <alignment horizontal="center" vertical="center" wrapText="1"/>
    </xf>
    <xf numFmtId="0" fontId="116" fillId="0" borderId="53" xfId="262" applyFont="1" applyBorder="1" applyAlignment="1">
      <alignment horizontal="center" vertical="center" wrapText="1"/>
    </xf>
    <xf numFmtId="0" fontId="116" fillId="0" borderId="55" xfId="262" applyFont="1" applyBorder="1" applyAlignment="1">
      <alignment horizontal="center" vertical="center" wrapText="1"/>
    </xf>
    <xf numFmtId="0" fontId="92" fillId="0" borderId="108" xfId="262" applyFont="1" applyBorder="1" applyAlignment="1">
      <alignment horizontal="center"/>
    </xf>
    <xf numFmtId="0" fontId="98" fillId="0" borderId="109" xfId="262" applyFont="1" applyBorder="1" applyAlignment="1">
      <alignment horizontal="center"/>
    </xf>
    <xf numFmtId="0" fontId="98" fillId="0" borderId="110" xfId="262" applyFont="1" applyBorder="1" applyAlignment="1">
      <alignment horizontal="center"/>
    </xf>
    <xf numFmtId="0" fontId="92" fillId="36" borderId="111" xfId="262" applyFont="1" applyFill="1" applyBorder="1" applyAlignment="1">
      <alignment horizontal="center" vertical="center" wrapText="1"/>
    </xf>
    <xf numFmtId="0" fontId="92" fillId="36" borderId="115" xfId="262" applyFont="1" applyFill="1" applyBorder="1" applyAlignment="1">
      <alignment horizontal="center" vertical="center" wrapText="1"/>
    </xf>
    <xf numFmtId="0" fontId="101" fillId="36" borderId="315" xfId="262" applyFont="1" applyFill="1" applyBorder="1" applyAlignment="1">
      <alignment horizontal="center" vertical="center" wrapText="1"/>
    </xf>
    <xf numFmtId="0" fontId="101" fillId="36" borderId="298" xfId="262" applyFont="1" applyFill="1" applyBorder="1" applyAlignment="1">
      <alignment horizontal="center" vertical="center" wrapText="1"/>
    </xf>
    <xf numFmtId="0" fontId="98" fillId="36" borderId="0" xfId="262" applyFont="1" applyFill="1" applyAlignment="1">
      <alignment horizontal="center"/>
    </xf>
    <xf numFmtId="42" fontId="69" fillId="36" borderId="0" xfId="270" applyFont="1" applyFill="1" applyBorder="1" applyAlignment="1">
      <alignment horizontal="center"/>
    </xf>
    <xf numFmtId="0" fontId="92" fillId="36" borderId="0" xfId="262" applyFont="1" applyFill="1" applyAlignment="1">
      <alignment horizontal="center"/>
    </xf>
    <xf numFmtId="0" fontId="101" fillId="36" borderId="0" xfId="262" applyFont="1" applyFill="1" applyAlignment="1">
      <alignment horizontal="left" vertical="center" wrapText="1"/>
    </xf>
    <xf numFmtId="42" fontId="36" fillId="36" borderId="0" xfId="270" applyFont="1" applyFill="1" applyBorder="1" applyAlignment="1">
      <alignment horizontal="center" vertical="center"/>
    </xf>
    <xf numFmtId="0" fontId="132" fillId="0" borderId="53" xfId="262" applyFont="1" applyBorder="1" applyAlignment="1">
      <alignment horizontal="center"/>
    </xf>
    <xf numFmtId="42" fontId="98" fillId="36" borderId="0" xfId="262" applyNumberFormat="1" applyFont="1" applyFill="1" applyAlignment="1">
      <alignment horizontal="center"/>
    </xf>
    <xf numFmtId="0" fontId="92" fillId="0" borderId="0" xfId="262" applyFont="1" applyAlignment="1">
      <alignment horizontal="center"/>
    </xf>
    <xf numFmtId="0" fontId="92" fillId="36" borderId="0" xfId="262" applyFont="1" applyFill="1" applyAlignment="1">
      <alignment horizontal="center" vertical="center" wrapText="1"/>
    </xf>
    <xf numFmtId="42" fontId="36" fillId="36" borderId="297" xfId="270" applyFont="1" applyFill="1" applyBorder="1" applyAlignment="1">
      <alignment horizontal="center" vertical="center"/>
    </xf>
    <xf numFmtId="42" fontId="36" fillId="36" borderId="277" xfId="270" applyFont="1" applyFill="1" applyBorder="1" applyAlignment="1">
      <alignment horizontal="center" vertical="center"/>
    </xf>
    <xf numFmtId="0" fontId="92" fillId="36" borderId="54" xfId="1347" applyFont="1" applyFill="1" applyBorder="1" applyAlignment="1">
      <alignment horizontal="center" vertical="center" wrapText="1"/>
    </xf>
    <xf numFmtId="0" fontId="92" fillId="36" borderId="53" xfId="1347" applyFont="1" applyFill="1" applyBorder="1" applyAlignment="1">
      <alignment horizontal="center" vertical="center" wrapText="1"/>
    </xf>
    <xf numFmtId="0" fontId="92" fillId="0" borderId="305" xfId="1347" applyFont="1" applyBorder="1" applyAlignment="1">
      <alignment horizontal="center" vertical="center" wrapText="1"/>
    </xf>
    <xf numFmtId="0" fontId="92" fillId="0" borderId="0" xfId="1347" applyFont="1" applyAlignment="1">
      <alignment horizontal="center" vertical="center" wrapText="1"/>
    </xf>
    <xf numFmtId="0" fontId="92" fillId="0" borderId="36" xfId="1347" applyFont="1" applyBorder="1" applyAlignment="1">
      <alignment horizontal="center" vertical="center" wrapText="1"/>
    </xf>
    <xf numFmtId="0" fontId="153" fillId="0" borderId="15" xfId="1347" applyFont="1" applyBorder="1" applyAlignment="1">
      <alignment horizontal="left" vertical="top" wrapText="1"/>
    </xf>
    <xf numFmtId="0" fontId="153" fillId="0" borderId="16" xfId="1347" applyFont="1" applyBorder="1" applyAlignment="1">
      <alignment horizontal="left" vertical="top" wrapText="1"/>
    </xf>
    <xf numFmtId="0" fontId="153" fillId="0" borderId="17" xfId="1347" applyFont="1" applyBorder="1" applyAlignment="1">
      <alignment horizontal="left" vertical="top" wrapText="1"/>
    </xf>
    <xf numFmtId="0" fontId="153" fillId="0" borderId="18" xfId="1347" applyFont="1" applyBorder="1" applyAlignment="1">
      <alignment horizontal="left" vertical="top" wrapText="1"/>
    </xf>
    <xf numFmtId="0" fontId="153" fillId="0" borderId="0" xfId="1347" applyFont="1" applyAlignment="1">
      <alignment horizontal="left" vertical="top" wrapText="1"/>
    </xf>
    <xf numFmtId="0" fontId="153" fillId="0" borderId="19" xfId="1347" applyFont="1" applyBorder="1" applyAlignment="1">
      <alignment horizontal="left" vertical="top" wrapText="1"/>
    </xf>
    <xf numFmtId="0" fontId="153" fillId="0" borderId="216" xfId="1347" applyFont="1" applyBorder="1" applyAlignment="1">
      <alignment horizontal="left" vertical="top" wrapText="1"/>
    </xf>
    <xf numFmtId="0" fontId="153" fillId="0" borderId="76" xfId="1347" applyFont="1" applyBorder="1" applyAlignment="1">
      <alignment horizontal="left" vertical="top" wrapText="1"/>
    </xf>
    <xf numFmtId="0" fontId="153" fillId="0" borderId="93" xfId="1347" applyFont="1" applyBorder="1" applyAlignment="1">
      <alignment horizontal="left" vertical="top" wrapText="1"/>
    </xf>
    <xf numFmtId="0" fontId="92" fillId="0" borderId="299" xfId="1347" applyFont="1" applyBorder="1" applyAlignment="1">
      <alignment horizontal="right" vertical="center" wrapText="1"/>
    </xf>
    <xf numFmtId="0" fontId="92" fillId="0" borderId="293" xfId="1347" applyFont="1" applyBorder="1" applyAlignment="1">
      <alignment horizontal="right" vertical="center" wrapText="1"/>
    </xf>
    <xf numFmtId="0" fontId="92" fillId="0" borderId="298" xfId="1347" applyFont="1" applyBorder="1" applyAlignment="1">
      <alignment horizontal="right" vertical="center" wrapText="1"/>
    </xf>
    <xf numFmtId="187" fontId="92" fillId="0" borderId="299" xfId="1348" applyNumberFormat="1" applyFont="1" applyFill="1" applyBorder="1" applyAlignment="1">
      <alignment horizontal="right" vertical="center" wrapText="1"/>
    </xf>
    <xf numFmtId="187" fontId="92" fillId="0" borderId="293" xfId="1348" applyNumberFormat="1" applyFont="1" applyFill="1" applyBorder="1" applyAlignment="1">
      <alignment horizontal="right" vertical="center" wrapText="1"/>
    </xf>
    <xf numFmtId="187" fontId="92" fillId="0" borderId="298" xfId="1348" applyNumberFormat="1" applyFont="1" applyFill="1" applyBorder="1" applyAlignment="1">
      <alignment horizontal="right" vertical="center" wrapText="1"/>
    </xf>
    <xf numFmtId="187" fontId="92" fillId="0" borderId="310" xfId="1348" applyNumberFormat="1" applyFont="1" applyFill="1" applyBorder="1" applyAlignment="1">
      <alignment horizontal="right" vertical="center" wrapText="1"/>
    </xf>
    <xf numFmtId="187" fontId="92" fillId="0" borderId="311" xfId="1348" applyNumberFormat="1" applyFont="1" applyFill="1" applyBorder="1" applyAlignment="1">
      <alignment horizontal="right" vertical="center" wrapText="1"/>
    </xf>
    <xf numFmtId="187" fontId="92" fillId="0" borderId="309" xfId="1348" applyNumberFormat="1" applyFont="1" applyFill="1" applyBorder="1" applyAlignment="1">
      <alignment horizontal="right" vertical="center" wrapText="1"/>
    </xf>
    <xf numFmtId="0" fontId="92" fillId="45" borderId="41" xfId="1347" applyFont="1" applyFill="1" applyBorder="1" applyAlignment="1">
      <alignment horizontal="left" vertical="center" wrapText="1"/>
    </xf>
    <xf numFmtId="0" fontId="92" fillId="45" borderId="66" xfId="1347" applyFont="1" applyFill="1" applyBorder="1" applyAlignment="1">
      <alignment horizontal="left" vertical="center" wrapText="1"/>
    </xf>
    <xf numFmtId="4" fontId="92" fillId="36" borderId="326" xfId="1347" applyNumberFormat="1" applyFont="1" applyFill="1" applyBorder="1" applyAlignment="1">
      <alignment horizontal="center" vertical="center" wrapText="1"/>
    </xf>
    <xf numFmtId="4" fontId="92" fillId="36" borderId="321" xfId="1347" applyNumberFormat="1" applyFont="1" applyFill="1" applyBorder="1" applyAlignment="1">
      <alignment horizontal="center" vertical="center" wrapText="1"/>
    </xf>
    <xf numFmtId="4" fontId="92" fillId="36" borderId="54" xfId="1347" applyNumberFormat="1" applyFont="1" applyFill="1" applyBorder="1" applyAlignment="1">
      <alignment horizontal="center" vertical="center" wrapText="1"/>
    </xf>
    <xf numFmtId="4" fontId="92" fillId="36" borderId="53" xfId="1347" applyNumberFormat="1" applyFont="1" applyFill="1" applyBorder="1" applyAlignment="1">
      <alignment horizontal="center" vertical="center" wrapText="1"/>
    </xf>
    <xf numFmtId="0" fontId="100" fillId="45" borderId="54" xfId="1347" applyFont="1" applyFill="1" applyBorder="1" applyAlignment="1">
      <alignment horizontal="center" vertical="center" wrapText="1"/>
    </xf>
    <xf numFmtId="0" fontId="100" fillId="45" borderId="53" xfId="1347" applyFont="1" applyFill="1" applyBorder="1" applyAlignment="1">
      <alignment horizontal="center" vertical="center" wrapText="1"/>
    </xf>
    <xf numFmtId="0" fontId="100" fillId="45" borderId="55" xfId="1347" applyFont="1" applyFill="1" applyBorder="1" applyAlignment="1">
      <alignment horizontal="center" vertical="center" wrapText="1"/>
    </xf>
    <xf numFmtId="0" fontId="5" fillId="0" borderId="15" xfId="1347" applyBorder="1" applyAlignment="1">
      <alignment horizontal="center" vertical="center" wrapText="1"/>
    </xf>
    <xf numFmtId="0" fontId="5" fillId="0" borderId="16" xfId="1347" applyBorder="1" applyAlignment="1">
      <alignment horizontal="center" vertical="center" wrapText="1"/>
    </xf>
    <xf numFmtId="0" fontId="5" fillId="0" borderId="17" xfId="1347" applyBorder="1" applyAlignment="1">
      <alignment horizontal="center" vertical="center" wrapText="1"/>
    </xf>
    <xf numFmtId="0" fontId="90" fillId="0" borderId="324" xfId="1347" applyFont="1" applyBorder="1" applyAlignment="1">
      <alignment horizontal="center"/>
    </xf>
    <xf numFmtId="0" fontId="90" fillId="0" borderId="305" xfId="1347" applyFont="1" applyBorder="1" applyAlignment="1">
      <alignment horizontal="center"/>
    </xf>
    <xf numFmtId="0" fontId="5" fillId="0" borderId="305" xfId="1347" applyBorder="1" applyAlignment="1">
      <alignment horizontal="center"/>
    </xf>
    <xf numFmtId="0" fontId="5" fillId="0" borderId="296" xfId="1347" applyBorder="1" applyAlignment="1">
      <alignment horizontal="center"/>
    </xf>
    <xf numFmtId="0" fontId="134" fillId="0" borderId="54" xfId="1347" applyFont="1" applyBorder="1" applyAlignment="1">
      <alignment horizontal="center" vertical="center" wrapText="1"/>
    </xf>
    <xf numFmtId="0" fontId="134" fillId="0" borderId="53" xfId="1347" applyFont="1" applyBorder="1" applyAlignment="1">
      <alignment horizontal="center" vertical="center" wrapText="1"/>
    </xf>
    <xf numFmtId="0" fontId="134" fillId="0" borderId="55" xfId="1347" applyFont="1" applyBorder="1" applyAlignment="1">
      <alignment horizontal="center" vertical="center" wrapText="1"/>
    </xf>
    <xf numFmtId="0" fontId="90" fillId="0" borderId="324" xfId="1347" applyFont="1" applyBorder="1" applyAlignment="1">
      <alignment horizontal="center" vertical="center" wrapText="1"/>
    </xf>
    <xf numFmtId="0" fontId="90" fillId="0" borderId="305" xfId="1347" applyFont="1" applyBorder="1" applyAlignment="1">
      <alignment horizontal="center" vertical="center" wrapText="1"/>
    </xf>
    <xf numFmtId="0" fontId="90" fillId="0" borderId="326" xfId="1347" applyFont="1" applyBorder="1" applyAlignment="1">
      <alignment horizontal="center" vertical="center" wrapText="1"/>
    </xf>
    <xf numFmtId="0" fontId="90" fillId="0" borderId="321" xfId="1347" applyFont="1" applyBorder="1" applyAlignment="1">
      <alignment horizontal="center" vertical="center" wrapText="1"/>
    </xf>
    <xf numFmtId="0" fontId="5" fillId="0" borderId="305" xfId="1347" applyBorder="1" applyAlignment="1">
      <alignment horizontal="center" vertical="center" wrapText="1"/>
    </xf>
    <xf numFmtId="0" fontId="5" fillId="0" borderId="296" xfId="1347" applyBorder="1" applyAlignment="1">
      <alignment horizontal="center" vertical="center" wrapText="1"/>
    </xf>
    <xf numFmtId="0" fontId="5" fillId="0" borderId="321" xfId="1347" applyBorder="1" applyAlignment="1">
      <alignment horizontal="center" vertical="center" wrapText="1"/>
    </xf>
    <xf numFmtId="0" fontId="5" fillId="0" borderId="325" xfId="1347" applyBorder="1" applyAlignment="1">
      <alignment horizontal="center" vertical="center" wrapText="1"/>
    </xf>
    <xf numFmtId="0" fontId="92" fillId="45" borderId="64" xfId="1347" applyFont="1" applyFill="1" applyBorder="1" applyAlignment="1">
      <alignment horizontal="left" vertical="center" wrapText="1"/>
    </xf>
    <xf numFmtId="0" fontId="92" fillId="45" borderId="49" xfId="1347" applyFont="1" applyFill="1" applyBorder="1" applyAlignment="1">
      <alignment horizontal="left" vertical="center" wrapText="1"/>
    </xf>
    <xf numFmtId="0" fontId="92" fillId="45" borderId="63" xfId="1347" applyFont="1" applyFill="1" applyBorder="1" applyAlignment="1">
      <alignment horizontal="left" vertical="center" wrapText="1"/>
    </xf>
    <xf numFmtId="0" fontId="92" fillId="36" borderId="299" xfId="1347" applyFont="1" applyFill="1" applyBorder="1" applyAlignment="1">
      <alignment horizontal="center" vertical="center" wrapText="1"/>
    </xf>
    <xf numFmtId="0" fontId="92" fillId="36" borderId="298" xfId="1347" applyFont="1" applyFill="1" applyBorder="1" applyAlignment="1">
      <alignment horizontal="center" vertical="center" wrapText="1"/>
    </xf>
    <xf numFmtId="0" fontId="92" fillId="0" borderId="315" xfId="1347" applyFont="1" applyBorder="1" applyAlignment="1">
      <alignment horizontal="center" vertical="center" wrapText="1"/>
    </xf>
    <xf numFmtId="0" fontId="92" fillId="0" borderId="293" xfId="1347" applyFont="1" applyBorder="1" applyAlignment="1">
      <alignment horizontal="center" vertical="center" wrapText="1"/>
    </xf>
    <xf numFmtId="0" fontId="92" fillId="0" borderId="277" xfId="1347" applyFont="1" applyBorder="1" applyAlignment="1">
      <alignment horizontal="center" vertical="center" wrapText="1"/>
    </xf>
    <xf numFmtId="0" fontId="116" fillId="0" borderId="15" xfId="0" applyFont="1" applyBorder="1" applyAlignment="1">
      <alignment horizontal="center" vertical="center"/>
    </xf>
    <xf numFmtId="0" fontId="116" fillId="0" borderId="16" xfId="0" applyFont="1" applyBorder="1" applyAlignment="1">
      <alignment horizontal="center" vertical="center"/>
    </xf>
    <xf numFmtId="0" fontId="116" fillId="0" borderId="17" xfId="0" applyFont="1" applyBorder="1" applyAlignment="1">
      <alignment horizontal="center" vertical="center"/>
    </xf>
    <xf numFmtId="0" fontId="116" fillId="0" borderId="20" xfId="0" applyFont="1" applyBorder="1" applyAlignment="1">
      <alignment horizontal="center" vertical="center"/>
    </xf>
    <xf numFmtId="0" fontId="116" fillId="0" borderId="76" xfId="0" applyFont="1" applyBorder="1" applyAlignment="1">
      <alignment horizontal="center" vertical="center"/>
    </xf>
    <xf numFmtId="0" fontId="116" fillId="0" borderId="93" xfId="0" applyFont="1" applyBorder="1" applyAlignment="1">
      <alignment horizontal="center" vertical="center"/>
    </xf>
    <xf numFmtId="0" fontId="67" fillId="37" borderId="41" xfId="0" applyFont="1" applyFill="1" applyBorder="1" applyAlignment="1">
      <alignment horizontal="center" vertical="center"/>
    </xf>
    <xf numFmtId="0" fontId="67" fillId="37" borderId="295" xfId="0" applyFont="1" applyFill="1" applyBorder="1" applyAlignment="1">
      <alignment horizontal="center" vertical="center"/>
    </xf>
    <xf numFmtId="0" fontId="67" fillId="37" borderId="42" xfId="0" applyFont="1" applyFill="1" applyBorder="1" applyAlignment="1">
      <alignment horizontal="center" vertical="center"/>
    </xf>
    <xf numFmtId="0" fontId="67" fillId="37" borderId="294" xfId="0" applyFont="1" applyFill="1" applyBorder="1" applyAlignment="1">
      <alignment horizontal="center" vertical="center"/>
    </xf>
    <xf numFmtId="166" fontId="67" fillId="37" borderId="66" xfId="100" applyFont="1" applyFill="1" applyBorder="1" applyAlignment="1">
      <alignment horizontal="center" vertical="center"/>
    </xf>
    <xf numFmtId="166" fontId="67" fillId="37" borderId="296" xfId="100" applyFont="1" applyFill="1" applyBorder="1" applyAlignment="1">
      <alignment horizontal="center" vertical="center"/>
    </xf>
    <xf numFmtId="0" fontId="97" fillId="45" borderId="15" xfId="177" applyFont="1" applyFill="1" applyBorder="1" applyAlignment="1" applyProtection="1">
      <alignment horizontal="center" vertical="center" wrapText="1"/>
      <protection locked="0"/>
    </xf>
    <xf numFmtId="0" fontId="97" fillId="45" borderId="16" xfId="177" applyFont="1" applyFill="1" applyBorder="1" applyAlignment="1" applyProtection="1">
      <alignment horizontal="center" vertical="center" wrapText="1"/>
      <protection locked="0"/>
    </xf>
    <xf numFmtId="0" fontId="97" fillId="45" borderId="17" xfId="177" applyFont="1" applyFill="1" applyBorder="1" applyAlignment="1" applyProtection="1">
      <alignment horizontal="center" vertical="center" wrapText="1"/>
      <protection locked="0"/>
    </xf>
    <xf numFmtId="0" fontId="97" fillId="45" borderId="20" xfId="177" applyFont="1" applyFill="1" applyBorder="1" applyAlignment="1" applyProtection="1">
      <alignment horizontal="center" vertical="center" wrapText="1"/>
      <protection locked="0"/>
    </xf>
    <xf numFmtId="0" fontId="97" fillId="45" borderId="76" xfId="177" applyFont="1" applyFill="1" applyBorder="1" applyAlignment="1" applyProtection="1">
      <alignment horizontal="center" vertical="center" wrapText="1"/>
      <protection locked="0"/>
    </xf>
    <xf numFmtId="0" fontId="97" fillId="45" borderId="93" xfId="177" applyFont="1" applyFill="1" applyBorder="1" applyAlignment="1" applyProtection="1">
      <alignment horizontal="center" vertical="center" wrapText="1"/>
      <protection locked="0"/>
    </xf>
    <xf numFmtId="0" fontId="36" fillId="0" borderId="40" xfId="278" applyBorder="1" applyAlignment="1">
      <alignment horizontal="center" vertical="center"/>
    </xf>
    <xf numFmtId="0" fontId="36" fillId="0" borderId="49" xfId="278" applyBorder="1" applyAlignment="1">
      <alignment horizontal="center" vertical="center"/>
    </xf>
    <xf numFmtId="0" fontId="36" fillId="0" borderId="43" xfId="278" applyBorder="1" applyAlignment="1">
      <alignment horizontal="center" vertical="center"/>
    </xf>
    <xf numFmtId="0" fontId="98" fillId="36" borderId="226" xfId="262" applyFont="1" applyFill="1" applyBorder="1" applyAlignment="1">
      <alignment horizontal="center" vertical="center" wrapText="1"/>
    </xf>
    <xf numFmtId="0" fontId="92" fillId="0" borderId="226" xfId="262" applyFont="1" applyBorder="1" applyAlignment="1">
      <alignment horizontal="center" vertical="center" wrapText="1"/>
    </xf>
    <xf numFmtId="187" fontId="92" fillId="0" borderId="229" xfId="266" applyNumberFormat="1" applyFont="1" applyFill="1" applyBorder="1" applyAlignment="1">
      <alignment horizontal="right" vertical="center" wrapText="1"/>
    </xf>
    <xf numFmtId="187" fontId="92" fillId="0" borderId="233" xfId="266" applyNumberFormat="1" applyFont="1" applyFill="1" applyBorder="1" applyAlignment="1">
      <alignment horizontal="right" vertical="center" wrapText="1"/>
    </xf>
    <xf numFmtId="187" fontId="92" fillId="0" borderId="230" xfId="266" applyNumberFormat="1" applyFont="1" applyFill="1" applyBorder="1" applyAlignment="1">
      <alignment horizontal="right" vertical="center" wrapText="1"/>
    </xf>
    <xf numFmtId="187" fontId="92" fillId="0" borderId="220" xfId="266" applyNumberFormat="1" applyFont="1" applyFill="1" applyBorder="1" applyAlignment="1">
      <alignment horizontal="right" vertical="center" wrapText="1"/>
    </xf>
    <xf numFmtId="187" fontId="92" fillId="0" borderId="217" xfId="266" applyNumberFormat="1" applyFont="1" applyFill="1" applyBorder="1" applyAlignment="1">
      <alignment horizontal="right" vertical="center" wrapText="1"/>
    </xf>
    <xf numFmtId="187" fontId="92" fillId="0" borderId="223" xfId="266" applyNumberFormat="1" applyFont="1" applyFill="1" applyBorder="1" applyAlignment="1">
      <alignment horizontal="right" vertical="center" wrapText="1"/>
    </xf>
    <xf numFmtId="0" fontId="92" fillId="46" borderId="41" xfId="262" applyFont="1" applyFill="1" applyBorder="1" applyAlignment="1">
      <alignment horizontal="left" vertical="center" wrapText="1"/>
    </xf>
    <xf numFmtId="0" fontId="92" fillId="46" borderId="66" xfId="262" applyFont="1" applyFill="1" applyBorder="1" applyAlignment="1">
      <alignment horizontal="left" vertical="center" wrapText="1"/>
    </xf>
    <xf numFmtId="4" fontId="92" fillId="36" borderId="218" xfId="262" applyNumberFormat="1" applyFont="1" applyFill="1" applyBorder="1" applyAlignment="1">
      <alignment horizontal="center" vertical="center" wrapText="1"/>
    </xf>
    <xf numFmtId="4" fontId="92" fillId="36" borderId="222" xfId="262" applyNumberFormat="1" applyFont="1" applyFill="1" applyBorder="1" applyAlignment="1">
      <alignment horizontal="center" vertical="center" wrapText="1"/>
    </xf>
    <xf numFmtId="4" fontId="92" fillId="36" borderId="54" xfId="262" applyNumberFormat="1" applyFont="1" applyFill="1" applyBorder="1" applyAlignment="1">
      <alignment horizontal="center" vertical="center" wrapText="1"/>
    </xf>
    <xf numFmtId="4" fontId="92" fillId="36" borderId="53" xfId="262" applyNumberFormat="1" applyFont="1" applyFill="1" applyBorder="1" applyAlignment="1">
      <alignment horizontal="center" vertical="center" wrapText="1"/>
    </xf>
    <xf numFmtId="0" fontId="92" fillId="36" borderId="54" xfId="262" applyFont="1" applyFill="1" applyBorder="1" applyAlignment="1">
      <alignment horizontal="center" vertical="center" wrapText="1"/>
    </xf>
    <xf numFmtId="0" fontId="92" fillId="36" borderId="53" xfId="262" applyFont="1" applyFill="1" applyBorder="1" applyAlignment="1">
      <alignment horizontal="center" vertical="center" wrapText="1"/>
    </xf>
    <xf numFmtId="0" fontId="92" fillId="0" borderId="229" xfId="262" applyFont="1" applyBorder="1" applyAlignment="1">
      <alignment horizontal="right" vertical="center" wrapText="1"/>
    </xf>
    <xf numFmtId="0" fontId="92" fillId="0" borderId="233" xfId="262" applyFont="1" applyBorder="1" applyAlignment="1">
      <alignment horizontal="right" vertical="center" wrapText="1"/>
    </xf>
    <xf numFmtId="0" fontId="92" fillId="0" borderId="230" xfId="262" applyFont="1" applyBorder="1" applyAlignment="1">
      <alignment horizontal="right" vertical="center" wrapText="1"/>
    </xf>
    <xf numFmtId="0" fontId="100" fillId="46" borderId="54" xfId="262" applyFont="1" applyFill="1" applyBorder="1" applyAlignment="1">
      <alignment horizontal="center" vertical="center" wrapText="1"/>
    </xf>
    <xf numFmtId="0" fontId="100" fillId="46" borderId="53" xfId="262" applyFont="1" applyFill="1" applyBorder="1" applyAlignment="1">
      <alignment horizontal="center" vertical="center" wrapText="1"/>
    </xf>
    <xf numFmtId="0" fontId="100" fillId="46" borderId="55" xfId="262" applyFont="1" applyFill="1" applyBorder="1" applyAlignment="1">
      <alignment horizontal="center" vertical="center" wrapText="1"/>
    </xf>
    <xf numFmtId="0" fontId="134" fillId="0" borderId="54" xfId="262" applyFont="1" applyBorder="1" applyAlignment="1">
      <alignment horizontal="center" vertical="center" wrapText="1"/>
    </xf>
    <xf numFmtId="0" fontId="134" fillId="0" borderId="53" xfId="262" applyFont="1" applyBorder="1" applyAlignment="1">
      <alignment horizontal="center" vertical="center" wrapText="1"/>
    </xf>
    <xf numFmtId="0" fontId="134" fillId="0" borderId="55" xfId="262" applyFont="1" applyBorder="1" applyAlignment="1">
      <alignment horizontal="center" vertical="center" wrapText="1"/>
    </xf>
    <xf numFmtId="0" fontId="92" fillId="46" borderId="64" xfId="262" applyFont="1" applyFill="1" applyBorder="1" applyAlignment="1">
      <alignment horizontal="left" vertical="center" wrapText="1"/>
    </xf>
    <xf numFmtId="0" fontId="92" fillId="46" borderId="49" xfId="262" applyFont="1" applyFill="1" applyBorder="1" applyAlignment="1">
      <alignment horizontal="left" vertical="center" wrapText="1"/>
    </xf>
    <xf numFmtId="0" fontId="92" fillId="46" borderId="63" xfId="262" applyFont="1" applyFill="1" applyBorder="1" applyAlignment="1">
      <alignment horizontal="left" vertical="center" wrapText="1"/>
    </xf>
    <xf numFmtId="0" fontId="92" fillId="36" borderId="229" xfId="262" applyFont="1" applyFill="1" applyBorder="1" applyAlignment="1">
      <alignment horizontal="center" vertical="center" wrapText="1"/>
    </xf>
    <xf numFmtId="0" fontId="92" fillId="36" borderId="230" xfId="262" applyFont="1" applyFill="1" applyBorder="1" applyAlignment="1">
      <alignment horizontal="center" vertical="center" wrapText="1"/>
    </xf>
    <xf numFmtId="0" fontId="92" fillId="0" borderId="232" xfId="262" applyFont="1" applyBorder="1" applyAlignment="1">
      <alignment horizontal="center" vertical="center" wrapText="1"/>
    </xf>
    <xf numFmtId="0" fontId="92" fillId="0" borderId="233" xfId="262" applyFont="1" applyBorder="1" applyAlignment="1">
      <alignment horizontal="center" vertical="center" wrapText="1"/>
    </xf>
    <xf numFmtId="0" fontId="92" fillId="0" borderId="234" xfId="262" applyFont="1" applyBorder="1" applyAlignment="1">
      <alignment horizontal="center" vertical="center" wrapText="1"/>
    </xf>
    <xf numFmtId="0" fontId="62" fillId="0" borderId="15" xfId="169" applyFont="1" applyBorder="1" applyAlignment="1">
      <alignment horizontal="center" vertical="center"/>
    </xf>
    <xf numFmtId="0" fontId="62" fillId="0" borderId="52" xfId="169" applyFont="1" applyBorder="1" applyAlignment="1">
      <alignment horizontal="center" vertical="center"/>
    </xf>
    <xf numFmtId="177" fontId="62" fillId="0" borderId="45" xfId="169" applyNumberFormat="1" applyFont="1" applyBorder="1" applyAlignment="1">
      <alignment horizontal="center" vertical="center"/>
    </xf>
    <xf numFmtId="177" fontId="62" fillId="0" borderId="50" xfId="169" applyNumberFormat="1" applyFont="1" applyBorder="1" applyAlignment="1">
      <alignment horizontal="center" vertical="center"/>
    </xf>
    <xf numFmtId="177" fontId="62" fillId="0" borderId="51" xfId="169" applyNumberFormat="1" applyFont="1" applyBorder="1" applyAlignment="1">
      <alignment horizontal="center" vertical="center"/>
    </xf>
    <xf numFmtId="0" fontId="62" fillId="0" borderId="40" xfId="169" applyFont="1" applyBorder="1" applyAlignment="1">
      <alignment horizontal="center" vertical="center"/>
    </xf>
    <xf numFmtId="0" fontId="62" fillId="0" borderId="49" xfId="169" applyFont="1" applyBorder="1" applyAlignment="1">
      <alignment horizontal="center" vertical="center"/>
    </xf>
    <xf numFmtId="0" fontId="62" fillId="0" borderId="43" xfId="169" applyFont="1" applyBorder="1" applyAlignment="1">
      <alignment horizontal="center" vertical="center"/>
    </xf>
    <xf numFmtId="0" fontId="62" fillId="0" borderId="10" xfId="169" applyFont="1" applyBorder="1" applyAlignment="1">
      <alignment horizontal="left" vertical="center"/>
    </xf>
    <xf numFmtId="0" fontId="62" fillId="0" borderId="12" xfId="169" applyFont="1" applyBorder="1" applyAlignment="1">
      <alignment horizontal="left" vertical="center"/>
    </xf>
    <xf numFmtId="0" fontId="62" fillId="0" borderId="13" xfId="169" applyFont="1" applyBorder="1" applyAlignment="1">
      <alignment horizontal="left" vertical="center"/>
    </xf>
    <xf numFmtId="0" fontId="62" fillId="0" borderId="25" xfId="169" applyFont="1" applyBorder="1" applyAlignment="1">
      <alignment horizontal="left" vertical="center"/>
    </xf>
    <xf numFmtId="0" fontId="62" fillId="0" borderId="26" xfId="169" applyFont="1" applyBorder="1" applyAlignment="1">
      <alignment horizontal="left" vertical="center"/>
    </xf>
    <xf numFmtId="0" fontId="62" fillId="0" borderId="27" xfId="169" applyFont="1" applyBorder="1" applyAlignment="1">
      <alignment horizontal="left" vertical="center"/>
    </xf>
    <xf numFmtId="0" fontId="63" fillId="0" borderId="18" xfId="169" applyFont="1" applyBorder="1" applyAlignment="1">
      <alignment horizontal="center" vertical="center"/>
    </xf>
    <xf numFmtId="0" fontId="63" fillId="0" borderId="0" xfId="169" applyFont="1" applyAlignment="1">
      <alignment horizontal="center" vertical="center"/>
    </xf>
    <xf numFmtId="0" fontId="63" fillId="0" borderId="19" xfId="169" applyFont="1" applyBorder="1" applyAlignment="1">
      <alignment horizontal="center" vertical="center"/>
    </xf>
    <xf numFmtId="0" fontId="62" fillId="0" borderId="16" xfId="169" applyFont="1" applyBorder="1" applyAlignment="1">
      <alignment horizontal="center" vertical="center"/>
    </xf>
  </cellXfs>
  <cellStyles count="1352">
    <cellStyle name="20% - Énfasis1" xfId="528" builtinId="30" customBuiltin="1"/>
    <cellStyle name="20% - Énfasis1 2" xfId="1" xr:uid="{00000000-0005-0000-0000-000001000000}"/>
    <cellStyle name="20% - Énfasis2" xfId="532" builtinId="34" customBuiltin="1"/>
    <cellStyle name="20% - Énfasis2 2" xfId="2" xr:uid="{00000000-0005-0000-0000-000003000000}"/>
    <cellStyle name="20% - Énfasis3" xfId="536" builtinId="38" customBuiltin="1"/>
    <cellStyle name="20% - Énfasis3 2" xfId="3" xr:uid="{00000000-0005-0000-0000-000005000000}"/>
    <cellStyle name="20% - Énfasis4" xfId="540" builtinId="42" customBuiltin="1"/>
    <cellStyle name="20% - Énfasis4 2" xfId="4" xr:uid="{00000000-0005-0000-0000-000007000000}"/>
    <cellStyle name="20% - Énfasis5" xfId="544" builtinId="46" customBuiltin="1"/>
    <cellStyle name="20% - Énfasis5 2" xfId="5" xr:uid="{00000000-0005-0000-0000-000009000000}"/>
    <cellStyle name="20% - Énfasis6" xfId="548" builtinId="50" customBuiltin="1"/>
    <cellStyle name="20% - Énfasis6 2" xfId="6" xr:uid="{00000000-0005-0000-0000-00000B000000}"/>
    <cellStyle name="2-decimales" xfId="7" xr:uid="{00000000-0005-0000-0000-00000C000000}"/>
    <cellStyle name="40% - Énfasis1" xfId="529" builtinId="31" customBuiltin="1"/>
    <cellStyle name="40% - Énfasis1 2" xfId="8" xr:uid="{00000000-0005-0000-0000-00000E000000}"/>
    <cellStyle name="40% - Énfasis2" xfId="533" builtinId="35" customBuiltin="1"/>
    <cellStyle name="40% - Énfasis2 2" xfId="9" xr:uid="{00000000-0005-0000-0000-000010000000}"/>
    <cellStyle name="40% - Énfasis3" xfId="537" builtinId="39" customBuiltin="1"/>
    <cellStyle name="40% - Énfasis3 2" xfId="10" xr:uid="{00000000-0005-0000-0000-000012000000}"/>
    <cellStyle name="40% - Énfasis4" xfId="541" builtinId="43" customBuiltin="1"/>
    <cellStyle name="40% - Énfasis4 2" xfId="11" xr:uid="{00000000-0005-0000-0000-000014000000}"/>
    <cellStyle name="40% - Énfasis5" xfId="545" builtinId="47" customBuiltin="1"/>
    <cellStyle name="40% - Énfasis5 2" xfId="12" xr:uid="{00000000-0005-0000-0000-000016000000}"/>
    <cellStyle name="40% - Énfasis6" xfId="549" builtinId="51" customBuiltin="1"/>
    <cellStyle name="40% - Énfasis6 2" xfId="13" xr:uid="{00000000-0005-0000-0000-000018000000}"/>
    <cellStyle name="60% - Énfasis1" xfId="530" builtinId="32" customBuiltin="1"/>
    <cellStyle name="60% - Énfasis1 2" xfId="14" xr:uid="{00000000-0005-0000-0000-00001A000000}"/>
    <cellStyle name="60% - Énfasis2" xfId="534" builtinId="36" customBuiltin="1"/>
    <cellStyle name="60% - Énfasis2 2" xfId="15" xr:uid="{00000000-0005-0000-0000-00001C000000}"/>
    <cellStyle name="60% - Énfasis3" xfId="538" builtinId="40" customBuiltin="1"/>
    <cellStyle name="60% - Énfasis3 2" xfId="16" xr:uid="{00000000-0005-0000-0000-00001E000000}"/>
    <cellStyle name="60% - Énfasis4" xfId="542" builtinId="44" customBuiltin="1"/>
    <cellStyle name="60% - Énfasis4 2" xfId="17" xr:uid="{00000000-0005-0000-0000-000020000000}"/>
    <cellStyle name="60% - Énfasis5" xfId="546" builtinId="48" customBuiltin="1"/>
    <cellStyle name="60% - Énfasis5 2" xfId="18" xr:uid="{00000000-0005-0000-0000-000022000000}"/>
    <cellStyle name="60% - Énfasis6" xfId="550" builtinId="52" customBuiltin="1"/>
    <cellStyle name="60% - Énfasis6 2" xfId="19" xr:uid="{00000000-0005-0000-0000-000024000000}"/>
    <cellStyle name="Buena 2" xfId="20" xr:uid="{00000000-0005-0000-0000-000026000000}"/>
    <cellStyle name="Bueno" xfId="517" builtinId="26" customBuiltin="1"/>
    <cellStyle name="Cálculo" xfId="521" builtinId="22" customBuiltin="1"/>
    <cellStyle name="Cálculo 2" xfId="21" xr:uid="{00000000-0005-0000-0000-000028000000}"/>
    <cellStyle name="Cálculo 2 10" xfId="551" xr:uid="{00000000-0005-0000-0000-000029000000}"/>
    <cellStyle name="Cálculo 2 2" xfId="285" xr:uid="{00000000-0005-0000-0000-00002A000000}"/>
    <cellStyle name="Cálculo 2 2 2" xfId="934" xr:uid="{00000000-0005-0000-0000-00002B000000}"/>
    <cellStyle name="Cálculo 2 2 3" xfId="1160" xr:uid="{00000000-0005-0000-0000-00002C000000}"/>
    <cellStyle name="Cálculo 2 2 4" xfId="1289" xr:uid="{00000000-0005-0000-0000-00002D000000}"/>
    <cellStyle name="Cálculo 2 2 5" xfId="613" xr:uid="{00000000-0005-0000-0000-00002E000000}"/>
    <cellStyle name="Cálculo 2 3" xfId="377" xr:uid="{00000000-0005-0000-0000-00002F000000}"/>
    <cellStyle name="Cálculo 2 3 2" xfId="1024" xr:uid="{00000000-0005-0000-0000-000030000000}"/>
    <cellStyle name="Cálculo 2 3 3" xfId="1196" xr:uid="{00000000-0005-0000-0000-000031000000}"/>
    <cellStyle name="Cálculo 2 3 4" xfId="1265" xr:uid="{00000000-0005-0000-0000-000032000000}"/>
    <cellStyle name="Cálculo 2 3 5" xfId="703" xr:uid="{00000000-0005-0000-0000-000033000000}"/>
    <cellStyle name="Cálculo 2 4" xfId="434" xr:uid="{00000000-0005-0000-0000-000034000000}"/>
    <cellStyle name="Cálculo 2 4 2" xfId="1081" xr:uid="{00000000-0005-0000-0000-000035000000}"/>
    <cellStyle name="Cálculo 2 4 3" xfId="1250" xr:uid="{00000000-0005-0000-0000-000036000000}"/>
    <cellStyle name="Cálculo 2 4 4" xfId="1305" xr:uid="{00000000-0005-0000-0000-000037000000}"/>
    <cellStyle name="Cálculo 2 4 5" xfId="760" xr:uid="{00000000-0005-0000-0000-000038000000}"/>
    <cellStyle name="Cálculo 2 5" xfId="488" xr:uid="{00000000-0005-0000-0000-000039000000}"/>
    <cellStyle name="Cálculo 2 5 2" xfId="1132" xr:uid="{00000000-0005-0000-0000-00003A000000}"/>
    <cellStyle name="Cálculo 2 5 3" xfId="1270" xr:uid="{00000000-0005-0000-0000-00003B000000}"/>
    <cellStyle name="Cálculo 2 5 4" xfId="1318" xr:uid="{00000000-0005-0000-0000-00003C000000}"/>
    <cellStyle name="Cálculo 2 5 5" xfId="811" xr:uid="{00000000-0005-0000-0000-00003D000000}"/>
    <cellStyle name="Cálculo 2 6" xfId="492" xr:uid="{00000000-0005-0000-0000-00003E000000}"/>
    <cellStyle name="Cálculo 2 6 2" xfId="1136" xr:uid="{00000000-0005-0000-0000-00003F000000}"/>
    <cellStyle name="Cálculo 2 6 3" xfId="1274" xr:uid="{00000000-0005-0000-0000-000040000000}"/>
    <cellStyle name="Cálculo 2 6 4" xfId="1322" xr:uid="{00000000-0005-0000-0000-000041000000}"/>
    <cellStyle name="Cálculo 2 6 5" xfId="815" xr:uid="{00000000-0005-0000-0000-000042000000}"/>
    <cellStyle name="Cálculo 2 7" xfId="500" xr:uid="{00000000-0005-0000-0000-000043000000}"/>
    <cellStyle name="Cálculo 2 7 2" xfId="1143" xr:uid="{00000000-0005-0000-0000-000044000000}"/>
    <cellStyle name="Cálculo 2 7 3" xfId="1281" xr:uid="{00000000-0005-0000-0000-000045000000}"/>
    <cellStyle name="Cálculo 2 7 4" xfId="1329" xr:uid="{00000000-0005-0000-0000-000046000000}"/>
    <cellStyle name="Cálculo 2 7 5" xfId="822" xr:uid="{00000000-0005-0000-0000-000047000000}"/>
    <cellStyle name="Cálculo 2 8" xfId="835" xr:uid="{00000000-0005-0000-0000-000048000000}"/>
    <cellStyle name="Cálculo 2 9" xfId="1181" xr:uid="{00000000-0005-0000-0000-000049000000}"/>
    <cellStyle name="Celda de comprobación" xfId="523" builtinId="23" customBuiltin="1"/>
    <cellStyle name="Celda de comprobación 2" xfId="22" xr:uid="{00000000-0005-0000-0000-00004B000000}"/>
    <cellStyle name="Celda vinculada" xfId="522" builtinId="24" customBuiltin="1"/>
    <cellStyle name="Celda vinculada 2" xfId="23" xr:uid="{00000000-0005-0000-0000-00004D000000}"/>
    <cellStyle name="Comma [0] 2" xfId="289" xr:uid="{00000000-0005-0000-0000-00004E000000}"/>
    <cellStyle name="Comma [0] 2 2" xfId="938" xr:uid="{00000000-0005-0000-0000-00004F000000}"/>
    <cellStyle name="Comma [0] 2 3" xfId="617" xr:uid="{00000000-0005-0000-0000-000050000000}"/>
    <cellStyle name="Comma 10" xfId="839" xr:uid="{00000000-0005-0000-0000-000051000000}"/>
    <cellStyle name="Comma 11" xfId="1183" xr:uid="{00000000-0005-0000-0000-000052000000}"/>
    <cellStyle name="Comma 12" xfId="553" xr:uid="{00000000-0005-0000-0000-000053000000}"/>
    <cellStyle name="Comma 2" xfId="288" xr:uid="{00000000-0005-0000-0000-000054000000}"/>
    <cellStyle name="Comma 2 2" xfId="937" xr:uid="{00000000-0005-0000-0000-000055000000}"/>
    <cellStyle name="Comma 2 3" xfId="616" xr:uid="{00000000-0005-0000-0000-000056000000}"/>
    <cellStyle name="Comma 3" xfId="286" xr:uid="{00000000-0005-0000-0000-000057000000}"/>
    <cellStyle name="Comma 3 2" xfId="935" xr:uid="{00000000-0005-0000-0000-000058000000}"/>
    <cellStyle name="Comma 3 3" xfId="614" xr:uid="{00000000-0005-0000-0000-000059000000}"/>
    <cellStyle name="Comma 4" xfId="395" xr:uid="{00000000-0005-0000-0000-00005A000000}"/>
    <cellStyle name="Comma 4 2" xfId="1042" xr:uid="{00000000-0005-0000-0000-00005B000000}"/>
    <cellStyle name="Comma 4 3" xfId="721" xr:uid="{00000000-0005-0000-0000-00005C000000}"/>
    <cellStyle name="Comma 5" xfId="398" xr:uid="{00000000-0005-0000-0000-00005D000000}"/>
    <cellStyle name="Comma 5 2" xfId="1045" xr:uid="{00000000-0005-0000-0000-00005E000000}"/>
    <cellStyle name="Comma 5 3" xfId="724" xr:uid="{00000000-0005-0000-0000-00005F000000}"/>
    <cellStyle name="Comma 6" xfId="393" xr:uid="{00000000-0005-0000-0000-000060000000}"/>
    <cellStyle name="Comma 6 2" xfId="1040" xr:uid="{00000000-0005-0000-0000-000061000000}"/>
    <cellStyle name="Comma 6 3" xfId="719" xr:uid="{00000000-0005-0000-0000-000062000000}"/>
    <cellStyle name="Comma 7" xfId="397" xr:uid="{00000000-0005-0000-0000-000063000000}"/>
    <cellStyle name="Comma 7 2" xfId="1044" xr:uid="{00000000-0005-0000-0000-000064000000}"/>
    <cellStyle name="Comma 7 3" xfId="723" xr:uid="{00000000-0005-0000-0000-000065000000}"/>
    <cellStyle name="Comma 8" xfId="394" xr:uid="{00000000-0005-0000-0000-000066000000}"/>
    <cellStyle name="Comma 8 2" xfId="1041" xr:uid="{00000000-0005-0000-0000-000067000000}"/>
    <cellStyle name="Comma 8 3" xfId="720" xr:uid="{00000000-0005-0000-0000-000068000000}"/>
    <cellStyle name="Comma 9" xfId="837" xr:uid="{00000000-0005-0000-0000-000069000000}"/>
    <cellStyle name="Currency [0] 2" xfId="360" xr:uid="{00000000-0005-0000-0000-00006A000000}"/>
    <cellStyle name="Currency [0] 2 2" xfId="1008" xr:uid="{00000000-0005-0000-0000-00006B000000}"/>
    <cellStyle name="Currency [0] 2 3" xfId="687" xr:uid="{00000000-0005-0000-0000-00006C000000}"/>
    <cellStyle name="Currency [0] 3" xfId="474" xr:uid="{00000000-0005-0000-0000-00006D000000}"/>
    <cellStyle name="Currency [0] 3 2" xfId="1119" xr:uid="{00000000-0005-0000-0000-00006E000000}"/>
    <cellStyle name="Currency [0] 3 3" xfId="798" xr:uid="{00000000-0005-0000-0000-00006F000000}"/>
    <cellStyle name="Currency [0] 4" xfId="923" xr:uid="{00000000-0005-0000-0000-000070000000}"/>
    <cellStyle name="Currency [0] 5" xfId="603" xr:uid="{00000000-0005-0000-0000-000071000000}"/>
    <cellStyle name="Currency 10" xfId="833" xr:uid="{00000000-0005-0000-0000-000072000000}"/>
    <cellStyle name="Currency 11" xfId="1152" xr:uid="{00000000-0005-0000-0000-000073000000}"/>
    <cellStyle name="Currency 12" xfId="579" xr:uid="{00000000-0005-0000-0000-000074000000}"/>
    <cellStyle name="Currency 2" xfId="335" xr:uid="{00000000-0005-0000-0000-000075000000}"/>
    <cellStyle name="Currency 3" xfId="371" xr:uid="{00000000-0005-0000-0000-000076000000}"/>
    <cellStyle name="Currency 4" xfId="446" xr:uid="{00000000-0005-0000-0000-000077000000}"/>
    <cellStyle name="Currency 5" xfId="486" xr:uid="{00000000-0005-0000-0000-000078000000}"/>
    <cellStyle name="Currency 6" xfId="448" xr:uid="{00000000-0005-0000-0000-000079000000}"/>
    <cellStyle name="Currency 7" xfId="494" xr:uid="{00000000-0005-0000-0000-00007A000000}"/>
    <cellStyle name="Currency 8" xfId="502" xr:uid="{00000000-0005-0000-0000-00007B000000}"/>
    <cellStyle name="Currency 9" xfId="895" xr:uid="{00000000-0005-0000-0000-00007C000000}"/>
    <cellStyle name="Encabezado 1" xfId="513" builtinId="16" customBuiltin="1"/>
    <cellStyle name="Encabezado 4" xfId="516" builtinId="19" customBuiltin="1"/>
    <cellStyle name="Encabezado 4 2" xfId="24" xr:uid="{00000000-0005-0000-0000-00007F000000}"/>
    <cellStyle name="Énfasis 1" xfId="25" xr:uid="{00000000-0005-0000-0000-000080000000}"/>
    <cellStyle name="Énfasis 2" xfId="26" xr:uid="{00000000-0005-0000-0000-000081000000}"/>
    <cellStyle name="Énfasis 3" xfId="27" xr:uid="{00000000-0005-0000-0000-000082000000}"/>
    <cellStyle name="Énfasis1" xfId="527" builtinId="29" customBuiltin="1"/>
    <cellStyle name="Énfasis1 - 20%" xfId="28" xr:uid="{00000000-0005-0000-0000-000084000000}"/>
    <cellStyle name="Énfasis1 - 40%" xfId="29" xr:uid="{00000000-0005-0000-0000-000085000000}"/>
    <cellStyle name="Énfasis1 - 60%" xfId="30" xr:uid="{00000000-0005-0000-0000-000086000000}"/>
    <cellStyle name="Énfasis1 2" xfId="31" xr:uid="{00000000-0005-0000-0000-000087000000}"/>
    <cellStyle name="Énfasis1 3" xfId="32" xr:uid="{00000000-0005-0000-0000-000088000000}"/>
    <cellStyle name="Énfasis2" xfId="531" builtinId="33" customBuiltin="1"/>
    <cellStyle name="Énfasis2 - 20%" xfId="33" xr:uid="{00000000-0005-0000-0000-00008A000000}"/>
    <cellStyle name="Énfasis2 - 40%" xfId="34" xr:uid="{00000000-0005-0000-0000-00008B000000}"/>
    <cellStyle name="Énfasis2 - 60%" xfId="35" xr:uid="{00000000-0005-0000-0000-00008C000000}"/>
    <cellStyle name="Énfasis2 2" xfId="36" xr:uid="{00000000-0005-0000-0000-00008D000000}"/>
    <cellStyle name="Énfasis2 3" xfId="37" xr:uid="{00000000-0005-0000-0000-00008E000000}"/>
    <cellStyle name="Énfasis3" xfId="535" builtinId="37" customBuiltin="1"/>
    <cellStyle name="Énfasis3 - 20%" xfId="38" xr:uid="{00000000-0005-0000-0000-000090000000}"/>
    <cellStyle name="Énfasis3 - 40%" xfId="39" xr:uid="{00000000-0005-0000-0000-000091000000}"/>
    <cellStyle name="Énfasis3 - 60%" xfId="40" xr:uid="{00000000-0005-0000-0000-000092000000}"/>
    <cellStyle name="Énfasis3 2" xfId="41" xr:uid="{00000000-0005-0000-0000-000093000000}"/>
    <cellStyle name="Énfasis3 3" xfId="42" xr:uid="{00000000-0005-0000-0000-000094000000}"/>
    <cellStyle name="Énfasis4" xfId="539" builtinId="41" customBuiltin="1"/>
    <cellStyle name="Énfasis4 - 20%" xfId="43" xr:uid="{00000000-0005-0000-0000-000096000000}"/>
    <cellStyle name="Énfasis4 - 40%" xfId="44" xr:uid="{00000000-0005-0000-0000-000097000000}"/>
    <cellStyle name="Énfasis4 - 60%" xfId="45" xr:uid="{00000000-0005-0000-0000-000098000000}"/>
    <cellStyle name="Énfasis4 2" xfId="46" xr:uid="{00000000-0005-0000-0000-000099000000}"/>
    <cellStyle name="Énfasis4 3" xfId="47" xr:uid="{00000000-0005-0000-0000-00009A000000}"/>
    <cellStyle name="Énfasis5" xfId="543" builtinId="45" customBuiltin="1"/>
    <cellStyle name="Énfasis5 - 20%" xfId="48" xr:uid="{00000000-0005-0000-0000-00009C000000}"/>
    <cellStyle name="Énfasis5 - 40%" xfId="49" xr:uid="{00000000-0005-0000-0000-00009D000000}"/>
    <cellStyle name="Énfasis5 - 60%" xfId="50" xr:uid="{00000000-0005-0000-0000-00009E000000}"/>
    <cellStyle name="Énfasis5 2" xfId="51" xr:uid="{00000000-0005-0000-0000-00009F000000}"/>
    <cellStyle name="Énfasis5 3" xfId="52" xr:uid="{00000000-0005-0000-0000-0000A0000000}"/>
    <cellStyle name="Énfasis6" xfId="547" builtinId="49" customBuiltin="1"/>
    <cellStyle name="Énfasis6 - 20%" xfId="53" xr:uid="{00000000-0005-0000-0000-0000A2000000}"/>
    <cellStyle name="Énfasis6 - 40%" xfId="54" xr:uid="{00000000-0005-0000-0000-0000A3000000}"/>
    <cellStyle name="Énfasis6 - 60%" xfId="55" xr:uid="{00000000-0005-0000-0000-0000A4000000}"/>
    <cellStyle name="Énfasis6 2" xfId="56" xr:uid="{00000000-0005-0000-0000-0000A5000000}"/>
    <cellStyle name="Énfasis6 3" xfId="57" xr:uid="{00000000-0005-0000-0000-0000A6000000}"/>
    <cellStyle name="ENTERO" xfId="58" xr:uid="{00000000-0005-0000-0000-0000A7000000}"/>
    <cellStyle name="Entrada" xfId="520" builtinId="20" customBuiltin="1"/>
    <cellStyle name="Entrada 2" xfId="59" xr:uid="{00000000-0005-0000-0000-0000A9000000}"/>
    <cellStyle name="Entrada 2 10" xfId="552" xr:uid="{00000000-0005-0000-0000-0000AA000000}"/>
    <cellStyle name="Entrada 2 2" xfId="287" xr:uid="{00000000-0005-0000-0000-0000AB000000}"/>
    <cellStyle name="Entrada 2 2 2" xfId="936" xr:uid="{00000000-0005-0000-0000-0000AC000000}"/>
    <cellStyle name="Entrada 2 2 3" xfId="1162" xr:uid="{00000000-0005-0000-0000-0000AD000000}"/>
    <cellStyle name="Entrada 2 2 4" xfId="840" xr:uid="{00000000-0005-0000-0000-0000AE000000}"/>
    <cellStyle name="Entrada 2 2 5" xfId="615" xr:uid="{00000000-0005-0000-0000-0000AF000000}"/>
    <cellStyle name="Entrada 2 3" xfId="391" xr:uid="{00000000-0005-0000-0000-0000B0000000}"/>
    <cellStyle name="Entrada 2 3 2" xfId="1038" xr:uid="{00000000-0005-0000-0000-0000B1000000}"/>
    <cellStyle name="Entrada 2 3 3" xfId="1210" xr:uid="{00000000-0005-0000-0000-0000B2000000}"/>
    <cellStyle name="Entrada 2 3 4" xfId="857" xr:uid="{00000000-0005-0000-0000-0000B3000000}"/>
    <cellStyle name="Entrada 2 3 5" xfId="717" xr:uid="{00000000-0005-0000-0000-0000B4000000}"/>
    <cellStyle name="Entrada 2 4" xfId="415" xr:uid="{00000000-0005-0000-0000-0000B5000000}"/>
    <cellStyle name="Entrada 2 4 2" xfId="1062" xr:uid="{00000000-0005-0000-0000-0000B6000000}"/>
    <cellStyle name="Entrada 2 4 3" xfId="1234" xr:uid="{00000000-0005-0000-0000-0000B7000000}"/>
    <cellStyle name="Entrada 2 4 4" xfId="900" xr:uid="{00000000-0005-0000-0000-0000B8000000}"/>
    <cellStyle name="Entrada 2 4 5" xfId="741" xr:uid="{00000000-0005-0000-0000-0000B9000000}"/>
    <cellStyle name="Entrada 2 5" xfId="388" xr:uid="{00000000-0005-0000-0000-0000BA000000}"/>
    <cellStyle name="Entrada 2 5 2" xfId="1035" xr:uid="{00000000-0005-0000-0000-0000BB000000}"/>
    <cellStyle name="Entrada 2 5 3" xfId="1207" xr:uid="{00000000-0005-0000-0000-0000BC000000}"/>
    <cellStyle name="Entrada 2 5 4" xfId="838" xr:uid="{00000000-0005-0000-0000-0000BD000000}"/>
    <cellStyle name="Entrada 2 5 5" xfId="714" xr:uid="{00000000-0005-0000-0000-0000BE000000}"/>
    <cellStyle name="Entrada 2 6" xfId="400" xr:uid="{00000000-0005-0000-0000-0000BF000000}"/>
    <cellStyle name="Entrada 2 6 2" xfId="1047" xr:uid="{00000000-0005-0000-0000-0000C0000000}"/>
    <cellStyle name="Entrada 2 6 3" xfId="1219" xr:uid="{00000000-0005-0000-0000-0000C1000000}"/>
    <cellStyle name="Entrada 2 6 4" xfId="1295" xr:uid="{00000000-0005-0000-0000-0000C2000000}"/>
    <cellStyle name="Entrada 2 6 5" xfId="726" xr:uid="{00000000-0005-0000-0000-0000C3000000}"/>
    <cellStyle name="Entrada 2 7" xfId="392" xr:uid="{00000000-0005-0000-0000-0000C4000000}"/>
    <cellStyle name="Entrada 2 7 2" xfId="1039" xr:uid="{00000000-0005-0000-0000-0000C5000000}"/>
    <cellStyle name="Entrada 2 7 3" xfId="1211" xr:uid="{00000000-0005-0000-0000-0000C6000000}"/>
    <cellStyle name="Entrada 2 7 4" xfId="858" xr:uid="{00000000-0005-0000-0000-0000C7000000}"/>
    <cellStyle name="Entrada 2 7 5" xfId="718" xr:uid="{00000000-0005-0000-0000-0000C8000000}"/>
    <cellStyle name="Entrada 2 8" xfId="836" xr:uid="{00000000-0005-0000-0000-0000C9000000}"/>
    <cellStyle name="Entrada 2 9" xfId="832" xr:uid="{00000000-0005-0000-0000-0000CA000000}"/>
    <cellStyle name="Euro" xfId="60" xr:uid="{00000000-0005-0000-0000-0000CB000000}"/>
    <cellStyle name="Euro 10" xfId="61" xr:uid="{00000000-0005-0000-0000-0000CC000000}"/>
    <cellStyle name="Euro 11" xfId="62" xr:uid="{00000000-0005-0000-0000-0000CD000000}"/>
    <cellStyle name="Euro 12" xfId="63" xr:uid="{00000000-0005-0000-0000-0000CE000000}"/>
    <cellStyle name="Euro 13" xfId="64" xr:uid="{00000000-0005-0000-0000-0000CF000000}"/>
    <cellStyle name="Euro 14" xfId="65" xr:uid="{00000000-0005-0000-0000-0000D0000000}"/>
    <cellStyle name="Euro 15" xfId="66" xr:uid="{00000000-0005-0000-0000-0000D1000000}"/>
    <cellStyle name="Euro 2" xfId="67" xr:uid="{00000000-0005-0000-0000-0000D2000000}"/>
    <cellStyle name="Euro 2 2" xfId="68" xr:uid="{00000000-0005-0000-0000-0000D3000000}"/>
    <cellStyle name="Euro 2 3" xfId="69" xr:uid="{00000000-0005-0000-0000-0000D4000000}"/>
    <cellStyle name="Euro 2 4" xfId="70" xr:uid="{00000000-0005-0000-0000-0000D5000000}"/>
    <cellStyle name="Euro 2 5" xfId="71" xr:uid="{00000000-0005-0000-0000-0000D6000000}"/>
    <cellStyle name="Euro 2 6" xfId="72" xr:uid="{00000000-0005-0000-0000-0000D7000000}"/>
    <cellStyle name="Euro 2 7" xfId="73" xr:uid="{00000000-0005-0000-0000-0000D8000000}"/>
    <cellStyle name="Euro 2 8" xfId="74" xr:uid="{00000000-0005-0000-0000-0000D9000000}"/>
    <cellStyle name="Euro 3" xfId="75" xr:uid="{00000000-0005-0000-0000-0000DA000000}"/>
    <cellStyle name="Euro 4" xfId="76" xr:uid="{00000000-0005-0000-0000-0000DB000000}"/>
    <cellStyle name="Euro 5" xfId="77" xr:uid="{00000000-0005-0000-0000-0000DC000000}"/>
    <cellStyle name="Euro 6" xfId="78" xr:uid="{00000000-0005-0000-0000-0000DD000000}"/>
    <cellStyle name="Euro 7" xfId="79" xr:uid="{00000000-0005-0000-0000-0000DE000000}"/>
    <cellStyle name="Euro 8" xfId="80" xr:uid="{00000000-0005-0000-0000-0000DF000000}"/>
    <cellStyle name="Euro 9" xfId="81" xr:uid="{00000000-0005-0000-0000-0000E0000000}"/>
    <cellStyle name="Euro_1(1). PROPUESTA ECONOMICA TAMINANGO" xfId="82" xr:uid="{00000000-0005-0000-0000-0000E1000000}"/>
    <cellStyle name="F2" xfId="83" xr:uid="{00000000-0005-0000-0000-0000E2000000}"/>
    <cellStyle name="F2 2" xfId="84" xr:uid="{00000000-0005-0000-0000-0000E3000000}"/>
    <cellStyle name="F3" xfId="85" xr:uid="{00000000-0005-0000-0000-0000E4000000}"/>
    <cellStyle name="F3 2" xfId="86" xr:uid="{00000000-0005-0000-0000-0000E5000000}"/>
    <cellStyle name="F4" xfId="87" xr:uid="{00000000-0005-0000-0000-0000E6000000}"/>
    <cellStyle name="F4 2" xfId="88" xr:uid="{00000000-0005-0000-0000-0000E7000000}"/>
    <cellStyle name="F5" xfId="89" xr:uid="{00000000-0005-0000-0000-0000E8000000}"/>
    <cellStyle name="F5 2" xfId="90" xr:uid="{00000000-0005-0000-0000-0000E9000000}"/>
    <cellStyle name="F6" xfId="91" xr:uid="{00000000-0005-0000-0000-0000EA000000}"/>
    <cellStyle name="F6 2" xfId="92" xr:uid="{00000000-0005-0000-0000-0000EB000000}"/>
    <cellStyle name="F7" xfId="93" xr:uid="{00000000-0005-0000-0000-0000EC000000}"/>
    <cellStyle name="F7 2" xfId="94" xr:uid="{00000000-0005-0000-0000-0000ED000000}"/>
    <cellStyle name="F8" xfId="95" xr:uid="{00000000-0005-0000-0000-0000EE000000}"/>
    <cellStyle name="F8 2" xfId="96" xr:uid="{00000000-0005-0000-0000-0000EF000000}"/>
    <cellStyle name="GRADOSMINSEG" xfId="97" xr:uid="{00000000-0005-0000-0000-0000F0000000}"/>
    <cellStyle name="Hipervínculo" xfId="230" builtinId="8"/>
    <cellStyle name="Hipervínculo 2" xfId="98" xr:uid="{00000000-0005-0000-0000-0000F2000000}"/>
    <cellStyle name="Incorrecto" xfId="518" builtinId="27" customBuiltin="1"/>
    <cellStyle name="Incorrecto 2" xfId="99" xr:uid="{00000000-0005-0000-0000-0000F4000000}"/>
    <cellStyle name="Millares" xfId="100" builtinId="3"/>
    <cellStyle name="Millares [0]" xfId="101" builtinId="6"/>
    <cellStyle name="Millares [0] 2" xfId="102" xr:uid="{00000000-0005-0000-0000-0000F7000000}"/>
    <cellStyle name="Millares [0] 2 2" xfId="103" xr:uid="{00000000-0005-0000-0000-0000F8000000}"/>
    <cellStyle name="Millares [0] 2 2 2" xfId="104" xr:uid="{00000000-0005-0000-0000-0000F9000000}"/>
    <cellStyle name="Millares [0] 2 2 3" xfId="291" xr:uid="{00000000-0005-0000-0000-0000FA000000}"/>
    <cellStyle name="Millares [0] 2 2 3 2" xfId="940" xr:uid="{00000000-0005-0000-0000-0000FB000000}"/>
    <cellStyle name="Millares [0] 2 2 3 3" xfId="619" xr:uid="{00000000-0005-0000-0000-0000FC000000}"/>
    <cellStyle name="Millares [0] 2 3" xfId="105" xr:uid="{00000000-0005-0000-0000-0000FD000000}"/>
    <cellStyle name="Millares [0] 2 3 2" xfId="292" xr:uid="{00000000-0005-0000-0000-0000FE000000}"/>
    <cellStyle name="Millares [0] 2 3 2 2" xfId="941" xr:uid="{00000000-0005-0000-0000-0000FF000000}"/>
    <cellStyle name="Millares [0] 2 3 2 3" xfId="620" xr:uid="{00000000-0005-0000-0000-000000010000}"/>
    <cellStyle name="Millares [0] 2 4" xfId="106" xr:uid="{00000000-0005-0000-0000-000001010000}"/>
    <cellStyle name="Millares [0] 2 4 2" xfId="293" xr:uid="{00000000-0005-0000-0000-000002010000}"/>
    <cellStyle name="Millares [0] 2 4 2 2" xfId="942" xr:uid="{00000000-0005-0000-0000-000003010000}"/>
    <cellStyle name="Millares [0] 2 4 2 3" xfId="621" xr:uid="{00000000-0005-0000-0000-000004010000}"/>
    <cellStyle name="Millares [0] 2 5" xfId="107" xr:uid="{00000000-0005-0000-0000-000005010000}"/>
    <cellStyle name="Millares [0] 2 5 2" xfId="294" xr:uid="{00000000-0005-0000-0000-000006010000}"/>
    <cellStyle name="Millares [0] 2 5 2 2" xfId="943" xr:uid="{00000000-0005-0000-0000-000007010000}"/>
    <cellStyle name="Millares [0] 2 5 2 3" xfId="622" xr:uid="{00000000-0005-0000-0000-000008010000}"/>
    <cellStyle name="Millares [0] 2 6" xfId="108" xr:uid="{00000000-0005-0000-0000-000009010000}"/>
    <cellStyle name="Millares [0] 2 6 2" xfId="295" xr:uid="{00000000-0005-0000-0000-00000A010000}"/>
    <cellStyle name="Millares [0] 2 6 2 2" xfId="944" xr:uid="{00000000-0005-0000-0000-00000B010000}"/>
    <cellStyle name="Millares [0] 2 6 2 3" xfId="623" xr:uid="{00000000-0005-0000-0000-00000C010000}"/>
    <cellStyle name="Millares [0] 2 7" xfId="109" xr:uid="{00000000-0005-0000-0000-00000D010000}"/>
    <cellStyle name="Millares [0] 2 7 2" xfId="296" xr:uid="{00000000-0005-0000-0000-00000E010000}"/>
    <cellStyle name="Millares [0] 2 7 2 2" xfId="945" xr:uid="{00000000-0005-0000-0000-00000F010000}"/>
    <cellStyle name="Millares [0] 2 7 2 3" xfId="624" xr:uid="{00000000-0005-0000-0000-000010010000}"/>
    <cellStyle name="Millares [0] 2 8" xfId="290" xr:uid="{00000000-0005-0000-0000-000011010000}"/>
    <cellStyle name="Millares [0] 2 8 2" xfId="939" xr:uid="{00000000-0005-0000-0000-000012010000}"/>
    <cellStyle name="Millares [0] 2 8 3" xfId="618" xr:uid="{00000000-0005-0000-0000-000013010000}"/>
    <cellStyle name="Millares [0] 3" xfId="110" xr:uid="{00000000-0005-0000-0000-000014010000}"/>
    <cellStyle name="Millares [0] 3 2" xfId="111" xr:uid="{00000000-0005-0000-0000-000015010000}"/>
    <cellStyle name="Millares [0] 3 2 2" xfId="298" xr:uid="{00000000-0005-0000-0000-000016010000}"/>
    <cellStyle name="Millares [0] 3 2 2 2" xfId="947" xr:uid="{00000000-0005-0000-0000-000017010000}"/>
    <cellStyle name="Millares [0] 3 2 2 3" xfId="626" xr:uid="{00000000-0005-0000-0000-000018010000}"/>
    <cellStyle name="Millares [0] 3 3" xfId="297" xr:uid="{00000000-0005-0000-0000-000019010000}"/>
    <cellStyle name="Millares [0] 3 3 2" xfId="946" xr:uid="{00000000-0005-0000-0000-00001A010000}"/>
    <cellStyle name="Millares [0] 3 3 3" xfId="625" xr:uid="{00000000-0005-0000-0000-00001B010000}"/>
    <cellStyle name="Millares [0] 4" xfId="112" xr:uid="{00000000-0005-0000-0000-00001C010000}"/>
    <cellStyle name="Millares [0] 4 2" xfId="113" xr:uid="{00000000-0005-0000-0000-00001D010000}"/>
    <cellStyle name="Millares [0] 4 2 2" xfId="300" xr:uid="{00000000-0005-0000-0000-00001E010000}"/>
    <cellStyle name="Millares [0] 4 2 2 2" xfId="949" xr:uid="{00000000-0005-0000-0000-00001F010000}"/>
    <cellStyle name="Millares [0] 4 2 2 3" xfId="628" xr:uid="{00000000-0005-0000-0000-000020010000}"/>
    <cellStyle name="Millares [0] 4 3" xfId="299" xr:uid="{00000000-0005-0000-0000-000021010000}"/>
    <cellStyle name="Millares [0] 4 3 2" xfId="948" xr:uid="{00000000-0005-0000-0000-000022010000}"/>
    <cellStyle name="Millares [0] 4 3 3" xfId="627" xr:uid="{00000000-0005-0000-0000-000023010000}"/>
    <cellStyle name="Millares [0] 5" xfId="114" xr:uid="{00000000-0005-0000-0000-000024010000}"/>
    <cellStyle name="Millares [0] 5 2" xfId="115" xr:uid="{00000000-0005-0000-0000-000025010000}"/>
    <cellStyle name="Millares [0] 5 2 2" xfId="302" xr:uid="{00000000-0005-0000-0000-000026010000}"/>
    <cellStyle name="Millares [0] 5 2 2 2" xfId="951" xr:uid="{00000000-0005-0000-0000-000027010000}"/>
    <cellStyle name="Millares [0] 5 2 2 3" xfId="630" xr:uid="{00000000-0005-0000-0000-000028010000}"/>
    <cellStyle name="Millares [0] 5 3" xfId="301" xr:uid="{00000000-0005-0000-0000-000029010000}"/>
    <cellStyle name="Millares [0] 5 3 2" xfId="950" xr:uid="{00000000-0005-0000-0000-00002A010000}"/>
    <cellStyle name="Millares [0] 5 3 3" xfId="629" xr:uid="{00000000-0005-0000-0000-00002B010000}"/>
    <cellStyle name="Millares 10" xfId="249" xr:uid="{00000000-0005-0000-0000-00002C010000}"/>
    <cellStyle name="Millares 10 2" xfId="258" xr:uid="{00000000-0005-0000-0000-00002D010000}"/>
    <cellStyle name="Millares 10 2 2" xfId="348" xr:uid="{00000000-0005-0000-0000-00002E010000}"/>
    <cellStyle name="Millares 10 2 2 2" xfId="996" xr:uid="{00000000-0005-0000-0000-00002F010000}"/>
    <cellStyle name="Millares 10 2 2 3" xfId="675" xr:uid="{00000000-0005-0000-0000-000030010000}"/>
    <cellStyle name="Millares 10 2 3" xfId="462" xr:uid="{00000000-0005-0000-0000-000031010000}"/>
    <cellStyle name="Millares 10 2 3 2" xfId="1107" xr:uid="{00000000-0005-0000-0000-000032010000}"/>
    <cellStyle name="Millares 10 2 3 3" xfId="786" xr:uid="{00000000-0005-0000-0000-000033010000}"/>
    <cellStyle name="Millares 10 2 4" xfId="910" xr:uid="{00000000-0005-0000-0000-000034010000}"/>
    <cellStyle name="Millares 10 2 5" xfId="591" xr:uid="{00000000-0005-0000-0000-000035010000}"/>
    <cellStyle name="Millares 10 3" xfId="266" xr:uid="{00000000-0005-0000-0000-000036010000}"/>
    <cellStyle name="Millares 10 3 2" xfId="356" xr:uid="{00000000-0005-0000-0000-000037010000}"/>
    <cellStyle name="Millares 10 3 2 2" xfId="1004" xr:uid="{00000000-0005-0000-0000-000038010000}"/>
    <cellStyle name="Millares 10 3 2 3" xfId="683" xr:uid="{00000000-0005-0000-0000-000039010000}"/>
    <cellStyle name="Millares 10 3 3" xfId="470" xr:uid="{00000000-0005-0000-0000-00003A010000}"/>
    <cellStyle name="Millares 10 3 3 2" xfId="1115" xr:uid="{00000000-0005-0000-0000-00003B010000}"/>
    <cellStyle name="Millares 10 3 3 3" xfId="794" xr:uid="{00000000-0005-0000-0000-00003C010000}"/>
    <cellStyle name="Millares 10 3 4" xfId="918" xr:uid="{00000000-0005-0000-0000-00003D010000}"/>
    <cellStyle name="Millares 10 3 5" xfId="599" xr:uid="{00000000-0005-0000-0000-00003E010000}"/>
    <cellStyle name="Millares 10 3 6" xfId="1341" xr:uid="{00000000-0005-0000-0000-00003F010000}"/>
    <cellStyle name="Millares 10 3 6 2" xfId="1348" xr:uid="{00000000-0005-0000-0000-000040010000}"/>
    <cellStyle name="Millares 10 4" xfId="341" xr:uid="{00000000-0005-0000-0000-000041010000}"/>
    <cellStyle name="Millares 10 4 2" xfId="989" xr:uid="{00000000-0005-0000-0000-000042010000}"/>
    <cellStyle name="Millares 10 4 3" xfId="668" xr:uid="{00000000-0005-0000-0000-000043010000}"/>
    <cellStyle name="Millares 10 5" xfId="455" xr:uid="{00000000-0005-0000-0000-000044010000}"/>
    <cellStyle name="Millares 10 5 2" xfId="1100" xr:uid="{00000000-0005-0000-0000-000045010000}"/>
    <cellStyle name="Millares 10 5 3" xfId="779" xr:uid="{00000000-0005-0000-0000-000046010000}"/>
    <cellStyle name="Millares 10 6" xfId="904" xr:uid="{00000000-0005-0000-0000-000047010000}"/>
    <cellStyle name="Millares 10 7" xfId="585" xr:uid="{00000000-0005-0000-0000-000048010000}"/>
    <cellStyle name="Millares 11" xfId="265" xr:uid="{00000000-0005-0000-0000-000049010000}"/>
    <cellStyle name="Millares 11 2" xfId="355" xr:uid="{00000000-0005-0000-0000-00004A010000}"/>
    <cellStyle name="Millares 11 2 2" xfId="1003" xr:uid="{00000000-0005-0000-0000-00004B010000}"/>
    <cellStyle name="Millares 11 2 3" xfId="682" xr:uid="{00000000-0005-0000-0000-00004C010000}"/>
    <cellStyle name="Millares 11 3" xfId="469" xr:uid="{00000000-0005-0000-0000-00004D010000}"/>
    <cellStyle name="Millares 11 3 2" xfId="1114" xr:uid="{00000000-0005-0000-0000-00004E010000}"/>
    <cellStyle name="Millares 11 3 3" xfId="793" xr:uid="{00000000-0005-0000-0000-00004F010000}"/>
    <cellStyle name="Millares 11 4" xfId="917" xr:uid="{00000000-0005-0000-0000-000050010000}"/>
    <cellStyle name="Millares 11 5" xfId="598" xr:uid="{00000000-0005-0000-0000-000051010000}"/>
    <cellStyle name="Millares 2" xfId="116" xr:uid="{00000000-0005-0000-0000-000052010000}"/>
    <cellStyle name="Millares 2 2" xfId="117" xr:uid="{00000000-0005-0000-0000-000053010000}"/>
    <cellStyle name="Millares 2 2 2" xfId="254" xr:uid="{00000000-0005-0000-0000-000054010000}"/>
    <cellStyle name="Millares 2 3" xfId="118" xr:uid="{00000000-0005-0000-0000-000055010000}"/>
    <cellStyle name="Millares 2 4" xfId="119" xr:uid="{00000000-0005-0000-0000-000056010000}"/>
    <cellStyle name="Millares 2 5" xfId="120" xr:uid="{00000000-0005-0000-0000-000057010000}"/>
    <cellStyle name="Millares 2 6" xfId="121" xr:uid="{00000000-0005-0000-0000-000058010000}"/>
    <cellStyle name="Millares 2 7" xfId="122" xr:uid="{00000000-0005-0000-0000-000059010000}"/>
    <cellStyle name="Millares 2 8" xfId="123" xr:uid="{00000000-0005-0000-0000-00005A010000}"/>
    <cellStyle name="Millares 2 9" xfId="124" xr:uid="{00000000-0005-0000-0000-00005B010000}"/>
    <cellStyle name="Millares 2 9 2" xfId="303" xr:uid="{00000000-0005-0000-0000-00005C010000}"/>
    <cellStyle name="Millares 2 9 2 2" xfId="952" xr:uid="{00000000-0005-0000-0000-00005D010000}"/>
    <cellStyle name="Millares 2 9 2 3" xfId="631" xr:uid="{00000000-0005-0000-0000-00005E010000}"/>
    <cellStyle name="Millares 2_A. Priorizacion La Cruz incluye adicional" xfId="125" xr:uid="{00000000-0005-0000-0000-00005F010000}"/>
    <cellStyle name="Millares 3" xfId="126" xr:uid="{00000000-0005-0000-0000-000060010000}"/>
    <cellStyle name="Millares 3 2" xfId="127" xr:uid="{00000000-0005-0000-0000-000061010000}"/>
    <cellStyle name="Millares 3 2 2" xfId="253" xr:uid="{00000000-0005-0000-0000-000062010000}"/>
    <cellStyle name="Millares 3 2 2 2" xfId="345" xr:uid="{00000000-0005-0000-0000-000063010000}"/>
    <cellStyle name="Millares 3 2 2 2 2" xfId="993" xr:uid="{00000000-0005-0000-0000-000064010000}"/>
    <cellStyle name="Millares 3 2 2 2 3" xfId="672" xr:uid="{00000000-0005-0000-0000-000065010000}"/>
    <cellStyle name="Millares 3 3" xfId="304" xr:uid="{00000000-0005-0000-0000-000066010000}"/>
    <cellStyle name="Millares 3 3 2" xfId="276" xr:uid="{00000000-0005-0000-0000-000067010000}"/>
    <cellStyle name="Millares 3 3 2 2" xfId="365" xr:uid="{00000000-0005-0000-0000-000068010000}"/>
    <cellStyle name="Millares 3 3 2 2 2" xfId="1013" xr:uid="{00000000-0005-0000-0000-000069010000}"/>
    <cellStyle name="Millares 3 3 2 2 3" xfId="692" xr:uid="{00000000-0005-0000-0000-00006A010000}"/>
    <cellStyle name="Millares 3 3 2 3" xfId="479" xr:uid="{00000000-0005-0000-0000-00006B010000}"/>
    <cellStyle name="Millares 3 3 2 3 2" xfId="1124" xr:uid="{00000000-0005-0000-0000-00006C010000}"/>
    <cellStyle name="Millares 3 3 2 3 3" xfId="803" xr:uid="{00000000-0005-0000-0000-00006D010000}"/>
    <cellStyle name="Millares 3 3 2 4" xfId="928" xr:uid="{00000000-0005-0000-0000-00006E010000}"/>
    <cellStyle name="Millares 3 3 2 5" xfId="608" xr:uid="{00000000-0005-0000-0000-00006F010000}"/>
    <cellStyle name="Millares 3 3 3" xfId="953" xr:uid="{00000000-0005-0000-0000-000070010000}"/>
    <cellStyle name="Millares 3 3 4" xfId="632" xr:uid="{00000000-0005-0000-0000-000071010000}"/>
    <cellStyle name="Millares 4" xfId="128" xr:uid="{00000000-0005-0000-0000-000072010000}"/>
    <cellStyle name="Millares 4 2" xfId="129" xr:uid="{00000000-0005-0000-0000-000073010000}"/>
    <cellStyle name="Millares 4 2 2" xfId="246" xr:uid="{00000000-0005-0000-0000-000074010000}"/>
    <cellStyle name="Millares 4 2 2 2" xfId="338" xr:uid="{00000000-0005-0000-0000-000075010000}"/>
    <cellStyle name="Millares 4 2 2 2 2" xfId="986" xr:uid="{00000000-0005-0000-0000-000076010000}"/>
    <cellStyle name="Millares 4 2 2 2 3" xfId="665" xr:uid="{00000000-0005-0000-0000-000077010000}"/>
    <cellStyle name="Millares 4 2 2 3" xfId="452" xr:uid="{00000000-0005-0000-0000-000078010000}"/>
    <cellStyle name="Millares 4 2 2 3 2" xfId="1097" xr:uid="{00000000-0005-0000-0000-000079010000}"/>
    <cellStyle name="Millares 4 2 2 3 3" xfId="776" xr:uid="{00000000-0005-0000-0000-00007A010000}"/>
    <cellStyle name="Millares 4 2 2 4" xfId="901" xr:uid="{00000000-0005-0000-0000-00007B010000}"/>
    <cellStyle name="Millares 4 2 2 5" xfId="582" xr:uid="{00000000-0005-0000-0000-00007C010000}"/>
    <cellStyle name="Millares 4 2 3" xfId="305" xr:uid="{00000000-0005-0000-0000-00007D010000}"/>
    <cellStyle name="Millares 4 2 3 2" xfId="954" xr:uid="{00000000-0005-0000-0000-00007E010000}"/>
    <cellStyle name="Millares 4 2 3 3" xfId="633" xr:uid="{00000000-0005-0000-0000-00007F010000}"/>
    <cellStyle name="Millares 5" xfId="130" xr:uid="{00000000-0005-0000-0000-000080010000}"/>
    <cellStyle name="Millares 5 2" xfId="131" xr:uid="{00000000-0005-0000-0000-000081010000}"/>
    <cellStyle name="Millares 5 2 2" xfId="307" xr:uid="{00000000-0005-0000-0000-000082010000}"/>
    <cellStyle name="Millares 5 2 2 2" xfId="956" xr:uid="{00000000-0005-0000-0000-000083010000}"/>
    <cellStyle name="Millares 5 2 2 3" xfId="635" xr:uid="{00000000-0005-0000-0000-000084010000}"/>
    <cellStyle name="Millares 5 3" xfId="306" xr:uid="{00000000-0005-0000-0000-000085010000}"/>
    <cellStyle name="Millares 5 3 2" xfId="955" xr:uid="{00000000-0005-0000-0000-000086010000}"/>
    <cellStyle name="Millares 5 3 3" xfId="634" xr:uid="{00000000-0005-0000-0000-000087010000}"/>
    <cellStyle name="Millares 6" xfId="132" xr:uid="{00000000-0005-0000-0000-000088010000}"/>
    <cellStyle name="Millares 6 2" xfId="133" xr:uid="{00000000-0005-0000-0000-000089010000}"/>
    <cellStyle name="Millares 6 2 2" xfId="309" xr:uid="{00000000-0005-0000-0000-00008A010000}"/>
    <cellStyle name="Millares 6 2 2 2" xfId="958" xr:uid="{00000000-0005-0000-0000-00008B010000}"/>
    <cellStyle name="Millares 6 2 2 3" xfId="637" xr:uid="{00000000-0005-0000-0000-00008C010000}"/>
    <cellStyle name="Millares 6 3" xfId="308" xr:uid="{00000000-0005-0000-0000-00008D010000}"/>
    <cellStyle name="Millares 6 3 2" xfId="957" xr:uid="{00000000-0005-0000-0000-00008E010000}"/>
    <cellStyle name="Millares 6 3 3" xfId="636" xr:uid="{00000000-0005-0000-0000-00008F010000}"/>
    <cellStyle name="Millares 7" xfId="134" xr:uid="{00000000-0005-0000-0000-000090010000}"/>
    <cellStyle name="Millares 8" xfId="135" xr:uid="{00000000-0005-0000-0000-000091010000}"/>
    <cellStyle name="Millares 8 2 2" xfId="511" xr:uid="{00000000-0005-0000-0000-000092010000}"/>
    <cellStyle name="Millares 8 2 2 2" xfId="1151" xr:uid="{00000000-0005-0000-0000-000093010000}"/>
    <cellStyle name="Millares 8 2 2 3" xfId="830" xr:uid="{00000000-0005-0000-0000-000094010000}"/>
    <cellStyle name="Millares 9" xfId="257" xr:uid="{00000000-0005-0000-0000-000095010000}"/>
    <cellStyle name="Millares 9 2" xfId="347" xr:uid="{00000000-0005-0000-0000-000096010000}"/>
    <cellStyle name="Millares 9 2 2" xfId="995" xr:uid="{00000000-0005-0000-0000-000097010000}"/>
    <cellStyle name="Millares 9 2 3" xfId="674" xr:uid="{00000000-0005-0000-0000-000098010000}"/>
    <cellStyle name="Millares 9 3" xfId="461" xr:uid="{00000000-0005-0000-0000-000099010000}"/>
    <cellStyle name="Millares 9 3 2" xfId="1106" xr:uid="{00000000-0005-0000-0000-00009A010000}"/>
    <cellStyle name="Millares 9 3 3" xfId="785" xr:uid="{00000000-0005-0000-0000-00009B010000}"/>
    <cellStyle name="Millares 9 4" xfId="909" xr:uid="{00000000-0005-0000-0000-00009C010000}"/>
    <cellStyle name="Millares 9 5" xfId="590" xr:uid="{00000000-0005-0000-0000-00009D010000}"/>
    <cellStyle name="Moneda" xfId="238" builtinId="4"/>
    <cellStyle name="Moneda [0]" xfId="271" builtinId="7"/>
    <cellStyle name="Moneda [0] 2" xfId="250" xr:uid="{00000000-0005-0000-0000-0000A0010000}"/>
    <cellStyle name="Moneda [0] 2 2" xfId="270" xr:uid="{00000000-0005-0000-0000-0000A1010000}"/>
    <cellStyle name="Moneda [0] 2 2 2" xfId="359" xr:uid="{00000000-0005-0000-0000-0000A2010000}"/>
    <cellStyle name="Moneda [0] 2 2 2 2" xfId="1007" xr:uid="{00000000-0005-0000-0000-0000A3010000}"/>
    <cellStyle name="Moneda [0] 2 2 2 3" xfId="686" xr:uid="{00000000-0005-0000-0000-0000A4010000}"/>
    <cellStyle name="Moneda [0] 2 2 3" xfId="473" xr:uid="{00000000-0005-0000-0000-0000A5010000}"/>
    <cellStyle name="Moneda [0] 2 2 3 2" xfId="1118" xr:uid="{00000000-0005-0000-0000-0000A6010000}"/>
    <cellStyle name="Moneda [0] 2 2 3 3" xfId="797" xr:uid="{00000000-0005-0000-0000-0000A7010000}"/>
    <cellStyle name="Moneda [0] 2 2 4" xfId="922" xr:uid="{00000000-0005-0000-0000-0000A8010000}"/>
    <cellStyle name="Moneda [0] 2 2 5" xfId="602" xr:uid="{00000000-0005-0000-0000-0000A9010000}"/>
    <cellStyle name="Moneda [0] 2 3" xfId="342" xr:uid="{00000000-0005-0000-0000-0000AA010000}"/>
    <cellStyle name="Moneda [0] 2 3 2" xfId="990" xr:uid="{00000000-0005-0000-0000-0000AB010000}"/>
    <cellStyle name="Moneda [0] 2 3 3" xfId="669" xr:uid="{00000000-0005-0000-0000-0000AC010000}"/>
    <cellStyle name="Moneda [0] 2 4" xfId="456" xr:uid="{00000000-0005-0000-0000-0000AD010000}"/>
    <cellStyle name="Moneda [0] 2 4 2" xfId="1101" xr:uid="{00000000-0005-0000-0000-0000AE010000}"/>
    <cellStyle name="Moneda [0] 2 4 3" xfId="780" xr:uid="{00000000-0005-0000-0000-0000AF010000}"/>
    <cellStyle name="Moneda [0] 2 5" xfId="905" xr:uid="{00000000-0005-0000-0000-0000B0010000}"/>
    <cellStyle name="Moneda [0] 2 6" xfId="586" xr:uid="{00000000-0005-0000-0000-0000B1010000}"/>
    <cellStyle name="Moneda [0] 3" xfId="260" xr:uid="{00000000-0005-0000-0000-0000B2010000}"/>
    <cellStyle name="Moneda [0] 3 2" xfId="350" xr:uid="{00000000-0005-0000-0000-0000B3010000}"/>
    <cellStyle name="Moneda [0] 3 2 2" xfId="998" xr:uid="{00000000-0005-0000-0000-0000B4010000}"/>
    <cellStyle name="Moneda [0] 3 2 3" xfId="677" xr:uid="{00000000-0005-0000-0000-0000B5010000}"/>
    <cellStyle name="Moneda [0] 3 3" xfId="464" xr:uid="{00000000-0005-0000-0000-0000B6010000}"/>
    <cellStyle name="Moneda [0] 3 3 2" xfId="1109" xr:uid="{00000000-0005-0000-0000-0000B7010000}"/>
    <cellStyle name="Moneda [0] 3 3 3" xfId="788" xr:uid="{00000000-0005-0000-0000-0000B8010000}"/>
    <cellStyle name="Moneda [0] 3 4" xfId="912" xr:uid="{00000000-0005-0000-0000-0000B9010000}"/>
    <cellStyle name="Moneda [0] 3 5" xfId="593" xr:uid="{00000000-0005-0000-0000-0000BA010000}"/>
    <cellStyle name="Moneda [0] 4" xfId="263" xr:uid="{00000000-0005-0000-0000-0000BB010000}"/>
    <cellStyle name="Moneda [0] 4 2" xfId="353" xr:uid="{00000000-0005-0000-0000-0000BC010000}"/>
    <cellStyle name="Moneda [0] 4 2 2" xfId="1001" xr:uid="{00000000-0005-0000-0000-0000BD010000}"/>
    <cellStyle name="Moneda [0] 4 2 3" xfId="680" xr:uid="{00000000-0005-0000-0000-0000BE010000}"/>
    <cellStyle name="Moneda [0] 4 3" xfId="467" xr:uid="{00000000-0005-0000-0000-0000BF010000}"/>
    <cellStyle name="Moneda [0] 4 3 2" xfId="1112" xr:uid="{00000000-0005-0000-0000-0000C0010000}"/>
    <cellStyle name="Moneda [0] 4 3 3" xfId="791" xr:uid="{00000000-0005-0000-0000-0000C1010000}"/>
    <cellStyle name="Moneda [0] 4 4" xfId="915" xr:uid="{00000000-0005-0000-0000-0000C2010000}"/>
    <cellStyle name="Moneda [0] 4 5" xfId="596" xr:uid="{00000000-0005-0000-0000-0000C3010000}"/>
    <cellStyle name="Moneda [0] 4 6" xfId="1342" xr:uid="{00000000-0005-0000-0000-0000C4010000}"/>
    <cellStyle name="Moneda [0] 4 6 2" xfId="1349" xr:uid="{00000000-0005-0000-0000-0000C5010000}"/>
    <cellStyle name="Moneda [0] 5" xfId="273" xr:uid="{00000000-0005-0000-0000-0000C6010000}"/>
    <cellStyle name="Moneda [0] 5 2" xfId="362" xr:uid="{00000000-0005-0000-0000-0000C7010000}"/>
    <cellStyle name="Moneda [0] 5 2 2" xfId="1010" xr:uid="{00000000-0005-0000-0000-0000C8010000}"/>
    <cellStyle name="Moneda [0] 5 2 3" xfId="689" xr:uid="{00000000-0005-0000-0000-0000C9010000}"/>
    <cellStyle name="Moneda [0] 5 3" xfId="476" xr:uid="{00000000-0005-0000-0000-0000CA010000}"/>
    <cellStyle name="Moneda [0] 5 3 2" xfId="1121" xr:uid="{00000000-0005-0000-0000-0000CB010000}"/>
    <cellStyle name="Moneda [0] 5 3 3" xfId="800" xr:uid="{00000000-0005-0000-0000-0000CC010000}"/>
    <cellStyle name="Moneda [0] 5 4" xfId="925" xr:uid="{00000000-0005-0000-0000-0000CD010000}"/>
    <cellStyle name="Moneda [0] 5 5" xfId="605" xr:uid="{00000000-0005-0000-0000-0000CE010000}"/>
    <cellStyle name="Moneda [2]" xfId="136" xr:uid="{00000000-0005-0000-0000-0000CF010000}"/>
    <cellStyle name="Moneda 10" xfId="255" xr:uid="{00000000-0005-0000-0000-0000D0010000}"/>
    <cellStyle name="Moneda 11" xfId="264" xr:uid="{00000000-0005-0000-0000-0000D1010000}"/>
    <cellStyle name="Moneda 11 2" xfId="354" xr:uid="{00000000-0005-0000-0000-0000D2010000}"/>
    <cellStyle name="Moneda 11 2 2" xfId="1002" xr:uid="{00000000-0005-0000-0000-0000D3010000}"/>
    <cellStyle name="Moneda 11 2 3" xfId="681" xr:uid="{00000000-0005-0000-0000-0000D4010000}"/>
    <cellStyle name="Moneda 11 3" xfId="468" xr:uid="{00000000-0005-0000-0000-0000D5010000}"/>
    <cellStyle name="Moneda 11 3 2" xfId="1113" xr:uid="{00000000-0005-0000-0000-0000D6010000}"/>
    <cellStyle name="Moneda 11 3 3" xfId="792" xr:uid="{00000000-0005-0000-0000-0000D7010000}"/>
    <cellStyle name="Moneda 11 4" xfId="916" xr:uid="{00000000-0005-0000-0000-0000D8010000}"/>
    <cellStyle name="Moneda 11 5" xfId="597" xr:uid="{00000000-0005-0000-0000-0000D9010000}"/>
    <cellStyle name="Moneda 12" xfId="274" xr:uid="{00000000-0005-0000-0000-0000DA010000}"/>
    <cellStyle name="Moneda 12 2" xfId="363" xr:uid="{00000000-0005-0000-0000-0000DB010000}"/>
    <cellStyle name="Moneda 12 2 2" xfId="1011" xr:uid="{00000000-0005-0000-0000-0000DC010000}"/>
    <cellStyle name="Moneda 12 2 3" xfId="690" xr:uid="{00000000-0005-0000-0000-0000DD010000}"/>
    <cellStyle name="Moneda 12 3" xfId="477" xr:uid="{00000000-0005-0000-0000-0000DE010000}"/>
    <cellStyle name="Moneda 12 3 2" xfId="1122" xr:uid="{00000000-0005-0000-0000-0000DF010000}"/>
    <cellStyle name="Moneda 12 3 3" xfId="801" xr:uid="{00000000-0005-0000-0000-0000E0010000}"/>
    <cellStyle name="Moneda 12 4" xfId="926" xr:uid="{00000000-0005-0000-0000-0000E1010000}"/>
    <cellStyle name="Moneda 12 5" xfId="606" xr:uid="{00000000-0005-0000-0000-0000E2010000}"/>
    <cellStyle name="Moneda 13" xfId="509" xr:uid="{00000000-0005-0000-0000-0000E3010000}"/>
    <cellStyle name="Moneda 14" xfId="1346" xr:uid="{00000000-0005-0000-0000-0000E4010000}"/>
    <cellStyle name="Moneda 2" xfId="137" xr:uid="{00000000-0005-0000-0000-0000E5010000}"/>
    <cellStyle name="Moneda 2 10" xfId="138" xr:uid="{00000000-0005-0000-0000-0000E6010000}"/>
    <cellStyle name="Moneda 2 10 2" xfId="244" xr:uid="{00000000-0005-0000-0000-0000E7010000}"/>
    <cellStyle name="Moneda 2 11" xfId="247" xr:uid="{00000000-0005-0000-0000-0000E8010000}"/>
    <cellStyle name="Moneda 2 11 2" xfId="339" xr:uid="{00000000-0005-0000-0000-0000E9010000}"/>
    <cellStyle name="Moneda 2 11 2 2" xfId="987" xr:uid="{00000000-0005-0000-0000-0000EA010000}"/>
    <cellStyle name="Moneda 2 11 2 3" xfId="666" xr:uid="{00000000-0005-0000-0000-0000EB010000}"/>
    <cellStyle name="Moneda 2 11 3" xfId="453" xr:uid="{00000000-0005-0000-0000-0000EC010000}"/>
    <cellStyle name="Moneda 2 11 3 2" xfId="1098" xr:uid="{00000000-0005-0000-0000-0000ED010000}"/>
    <cellStyle name="Moneda 2 11 3 3" xfId="777" xr:uid="{00000000-0005-0000-0000-0000EE010000}"/>
    <cellStyle name="Moneda 2 11 4" xfId="902" xr:uid="{00000000-0005-0000-0000-0000EF010000}"/>
    <cellStyle name="Moneda 2 11 5" xfId="583" xr:uid="{00000000-0005-0000-0000-0000F0010000}"/>
    <cellStyle name="Moneda 2 12" xfId="259" xr:uid="{00000000-0005-0000-0000-0000F1010000}"/>
    <cellStyle name="Moneda 2 12 2" xfId="349" xr:uid="{00000000-0005-0000-0000-0000F2010000}"/>
    <cellStyle name="Moneda 2 12 2 2" xfId="997" xr:uid="{00000000-0005-0000-0000-0000F3010000}"/>
    <cellStyle name="Moneda 2 12 2 3" xfId="676" xr:uid="{00000000-0005-0000-0000-0000F4010000}"/>
    <cellStyle name="Moneda 2 12 3" xfId="463" xr:uid="{00000000-0005-0000-0000-0000F5010000}"/>
    <cellStyle name="Moneda 2 12 3 2" xfId="1108" xr:uid="{00000000-0005-0000-0000-0000F6010000}"/>
    <cellStyle name="Moneda 2 12 3 3" xfId="787" xr:uid="{00000000-0005-0000-0000-0000F7010000}"/>
    <cellStyle name="Moneda 2 12 4" xfId="911" xr:uid="{00000000-0005-0000-0000-0000F8010000}"/>
    <cellStyle name="Moneda 2 12 5" xfId="592" xr:uid="{00000000-0005-0000-0000-0000F9010000}"/>
    <cellStyle name="Moneda 2 13" xfId="267" xr:uid="{00000000-0005-0000-0000-0000FA010000}"/>
    <cellStyle name="Moneda 2 13 2" xfId="357" xr:uid="{00000000-0005-0000-0000-0000FB010000}"/>
    <cellStyle name="Moneda 2 13 2 2" xfId="1005" xr:uid="{00000000-0005-0000-0000-0000FC010000}"/>
    <cellStyle name="Moneda 2 13 2 3" xfId="684" xr:uid="{00000000-0005-0000-0000-0000FD010000}"/>
    <cellStyle name="Moneda 2 13 3" xfId="471" xr:uid="{00000000-0005-0000-0000-0000FE010000}"/>
    <cellStyle name="Moneda 2 13 3 2" xfId="1116" xr:uid="{00000000-0005-0000-0000-0000FF010000}"/>
    <cellStyle name="Moneda 2 13 3 3" xfId="795" xr:uid="{00000000-0005-0000-0000-000000020000}"/>
    <cellStyle name="Moneda 2 13 4" xfId="919" xr:uid="{00000000-0005-0000-0000-000001020000}"/>
    <cellStyle name="Moneda 2 13 5" xfId="600" xr:uid="{00000000-0005-0000-0000-000002020000}"/>
    <cellStyle name="Moneda 2 2" xfId="139" xr:uid="{00000000-0005-0000-0000-000003020000}"/>
    <cellStyle name="Moneda 2 2 2" xfId="140" xr:uid="{00000000-0005-0000-0000-000004020000}"/>
    <cellStyle name="Moneda 2 2 3" xfId="141" xr:uid="{00000000-0005-0000-0000-000005020000}"/>
    <cellStyle name="Moneda 2 2 4" xfId="142" xr:uid="{00000000-0005-0000-0000-000006020000}"/>
    <cellStyle name="Moneda 2 2 5" xfId="143" xr:uid="{00000000-0005-0000-0000-000007020000}"/>
    <cellStyle name="Moneda 2 2 6" xfId="144" xr:uid="{00000000-0005-0000-0000-000008020000}"/>
    <cellStyle name="Moneda 2 2 7" xfId="145" xr:uid="{00000000-0005-0000-0000-000009020000}"/>
    <cellStyle name="Moneda 2 2 8" xfId="146" xr:uid="{00000000-0005-0000-0000-00000A020000}"/>
    <cellStyle name="Moneda 2 2 9" xfId="237" xr:uid="{00000000-0005-0000-0000-00000B020000}"/>
    <cellStyle name="Moneda 2 2_2(1). EJEMPLO PROPUESTA ECONOMICA ARBOLEDA PIR 2009" xfId="147" xr:uid="{00000000-0005-0000-0000-00000C020000}"/>
    <cellStyle name="Moneda 2 3" xfId="148" xr:uid="{00000000-0005-0000-0000-00000D020000}"/>
    <cellStyle name="Moneda 2 4" xfId="149" xr:uid="{00000000-0005-0000-0000-00000E020000}"/>
    <cellStyle name="Moneda 2 5" xfId="150" xr:uid="{00000000-0005-0000-0000-00000F020000}"/>
    <cellStyle name="Moneda 2 6" xfId="151" xr:uid="{00000000-0005-0000-0000-000010020000}"/>
    <cellStyle name="Moneda 2 7" xfId="152" xr:uid="{00000000-0005-0000-0000-000011020000}"/>
    <cellStyle name="Moneda 2 8" xfId="153" xr:uid="{00000000-0005-0000-0000-000012020000}"/>
    <cellStyle name="Moneda 2 9" xfId="154" xr:uid="{00000000-0005-0000-0000-000013020000}"/>
    <cellStyle name="Moneda 2_2(1). PROGRAMACIONCON INVERSION TAMINANGO" xfId="155" xr:uid="{00000000-0005-0000-0000-000014020000}"/>
    <cellStyle name="Moneda 3" xfId="156" xr:uid="{00000000-0005-0000-0000-000015020000}"/>
    <cellStyle name="Moneda 3 2" xfId="157" xr:uid="{00000000-0005-0000-0000-000016020000}"/>
    <cellStyle name="Moneda 3 3" xfId="158" xr:uid="{00000000-0005-0000-0000-000017020000}"/>
    <cellStyle name="Moneda 3 4" xfId="159" xr:uid="{00000000-0005-0000-0000-000018020000}"/>
    <cellStyle name="Moneda 3 5" xfId="160" xr:uid="{00000000-0005-0000-0000-000019020000}"/>
    <cellStyle name="Moneda 3 6" xfId="161" xr:uid="{00000000-0005-0000-0000-00001A020000}"/>
    <cellStyle name="Moneda 3 7" xfId="162" xr:uid="{00000000-0005-0000-0000-00001B020000}"/>
    <cellStyle name="Moneda 3 8" xfId="163" xr:uid="{00000000-0005-0000-0000-00001C020000}"/>
    <cellStyle name="Moneda 3 8 2" xfId="310" xr:uid="{00000000-0005-0000-0000-00001D020000}"/>
    <cellStyle name="Moneda 3 8 2 2" xfId="959" xr:uid="{00000000-0005-0000-0000-00001E020000}"/>
    <cellStyle name="Moneda 3 8 2 3" xfId="638" xr:uid="{00000000-0005-0000-0000-00001F020000}"/>
    <cellStyle name="Moneda 3 8 3" xfId="416" xr:uid="{00000000-0005-0000-0000-000020020000}"/>
    <cellStyle name="Moneda 3 8 3 2" xfId="1063" xr:uid="{00000000-0005-0000-0000-000021020000}"/>
    <cellStyle name="Moneda 3 8 3 3" xfId="742" xr:uid="{00000000-0005-0000-0000-000022020000}"/>
    <cellStyle name="Moneda 3 8 4" xfId="854" xr:uid="{00000000-0005-0000-0000-000023020000}"/>
    <cellStyle name="Moneda 3 8 5" xfId="554" xr:uid="{00000000-0005-0000-0000-000024020000}"/>
    <cellStyle name="Moneda 4" xfId="164" xr:uid="{00000000-0005-0000-0000-000025020000}"/>
    <cellStyle name="Moneda 4 2" xfId="165" xr:uid="{00000000-0005-0000-0000-000026020000}"/>
    <cellStyle name="Moneda 5" xfId="166" xr:uid="{00000000-0005-0000-0000-000027020000}"/>
    <cellStyle name="Moneda 6" xfId="232" xr:uid="{00000000-0005-0000-0000-000028020000}"/>
    <cellStyle name="Moneda 6 2" xfId="330" xr:uid="{00000000-0005-0000-0000-000029020000}"/>
    <cellStyle name="Moneda 6 2 2" xfId="979" xr:uid="{00000000-0005-0000-0000-00002A020000}"/>
    <cellStyle name="Moneda 6 2 3" xfId="658" xr:uid="{00000000-0005-0000-0000-00002B020000}"/>
    <cellStyle name="Moneda 6 3" xfId="441" xr:uid="{00000000-0005-0000-0000-00002C020000}"/>
    <cellStyle name="Moneda 6 3 2" xfId="1088" xr:uid="{00000000-0005-0000-0000-00002D020000}"/>
    <cellStyle name="Moneda 6 3 3" xfId="767" xr:uid="{00000000-0005-0000-0000-00002E020000}"/>
    <cellStyle name="Moneda 6 4" xfId="889" xr:uid="{00000000-0005-0000-0000-00002F020000}"/>
    <cellStyle name="Moneda 6 5" xfId="574" xr:uid="{00000000-0005-0000-0000-000030020000}"/>
    <cellStyle name="Moneda 7" xfId="234" xr:uid="{00000000-0005-0000-0000-000031020000}"/>
    <cellStyle name="Moneda 7 2" xfId="332" xr:uid="{00000000-0005-0000-0000-000032020000}"/>
    <cellStyle name="Moneda 7 2 2" xfId="981" xr:uid="{00000000-0005-0000-0000-000033020000}"/>
    <cellStyle name="Moneda 7 2 3" xfId="660" xr:uid="{00000000-0005-0000-0000-000034020000}"/>
    <cellStyle name="Moneda 7 3" xfId="443" xr:uid="{00000000-0005-0000-0000-000035020000}"/>
    <cellStyle name="Moneda 7 3 2" xfId="1090" xr:uid="{00000000-0005-0000-0000-000036020000}"/>
    <cellStyle name="Moneda 7 3 3" xfId="769" xr:uid="{00000000-0005-0000-0000-000037020000}"/>
    <cellStyle name="Moneda 7 4" xfId="891" xr:uid="{00000000-0005-0000-0000-000038020000}"/>
    <cellStyle name="Moneda 7 5" xfId="576" xr:uid="{00000000-0005-0000-0000-000039020000}"/>
    <cellStyle name="Moneda 8" xfId="251" xr:uid="{00000000-0005-0000-0000-00003A020000}"/>
    <cellStyle name="Moneda 8 2" xfId="343" xr:uid="{00000000-0005-0000-0000-00003B020000}"/>
    <cellStyle name="Moneda 8 2 2" xfId="991" xr:uid="{00000000-0005-0000-0000-00003C020000}"/>
    <cellStyle name="Moneda 8 2 3" xfId="670" xr:uid="{00000000-0005-0000-0000-00003D020000}"/>
    <cellStyle name="Moneda 8 3" xfId="457" xr:uid="{00000000-0005-0000-0000-00003E020000}"/>
    <cellStyle name="Moneda 8 3 2" xfId="1102" xr:uid="{00000000-0005-0000-0000-00003F020000}"/>
    <cellStyle name="Moneda 8 3 3" xfId="781" xr:uid="{00000000-0005-0000-0000-000040020000}"/>
    <cellStyle name="Moneda 8 4" xfId="906" xr:uid="{00000000-0005-0000-0000-000041020000}"/>
    <cellStyle name="Moneda 8 5" xfId="587" xr:uid="{00000000-0005-0000-0000-000042020000}"/>
    <cellStyle name="Moneda 9" xfId="261" xr:uid="{00000000-0005-0000-0000-000043020000}"/>
    <cellStyle name="Moneda 9 2" xfId="351" xr:uid="{00000000-0005-0000-0000-000044020000}"/>
    <cellStyle name="Moneda 9 2 2" xfId="999" xr:uid="{00000000-0005-0000-0000-000045020000}"/>
    <cellStyle name="Moneda 9 2 3" xfId="678" xr:uid="{00000000-0005-0000-0000-000046020000}"/>
    <cellStyle name="Moneda 9 3" xfId="465" xr:uid="{00000000-0005-0000-0000-000047020000}"/>
    <cellStyle name="Moneda 9 3 2" xfId="1110" xr:uid="{00000000-0005-0000-0000-000048020000}"/>
    <cellStyle name="Moneda 9 3 3" xfId="789" xr:uid="{00000000-0005-0000-0000-000049020000}"/>
    <cellStyle name="Moneda 9 4" xfId="913" xr:uid="{00000000-0005-0000-0000-00004A020000}"/>
    <cellStyle name="Moneda 9 5" xfId="594" xr:uid="{00000000-0005-0000-0000-00004B020000}"/>
    <cellStyle name="Neutral" xfId="519" builtinId="28" customBuiltin="1"/>
    <cellStyle name="Neutral 2" xfId="167" xr:uid="{00000000-0005-0000-0000-00004D020000}"/>
    <cellStyle name="Normal" xfId="0" builtinId="0"/>
    <cellStyle name="Normal 10" xfId="236" xr:uid="{00000000-0005-0000-0000-00004F020000}"/>
    <cellStyle name="Normal 10 2" xfId="280" xr:uid="{00000000-0005-0000-0000-000050020000}"/>
    <cellStyle name="Normal 10 2 2" xfId="284" xr:uid="{00000000-0005-0000-0000-000051020000}"/>
    <cellStyle name="Normal 10 2 2 2" xfId="369" xr:uid="{00000000-0005-0000-0000-000052020000}"/>
    <cellStyle name="Normal 10 2 2 2 2" xfId="1017" xr:uid="{00000000-0005-0000-0000-000053020000}"/>
    <cellStyle name="Normal 10 2 2 2 3" xfId="696" xr:uid="{00000000-0005-0000-0000-000054020000}"/>
    <cellStyle name="Normal 10 2 2 3" xfId="483" xr:uid="{00000000-0005-0000-0000-000055020000}"/>
    <cellStyle name="Normal 10 2 2 3 2" xfId="1128" xr:uid="{00000000-0005-0000-0000-000056020000}"/>
    <cellStyle name="Normal 10 2 2 3 3" xfId="807" xr:uid="{00000000-0005-0000-0000-000057020000}"/>
    <cellStyle name="Normal 10 2 2 4" xfId="933" xr:uid="{00000000-0005-0000-0000-000058020000}"/>
    <cellStyle name="Normal 10 2 2 5" xfId="612" xr:uid="{00000000-0005-0000-0000-000059020000}"/>
    <cellStyle name="Normal 10 2 3" xfId="366" xr:uid="{00000000-0005-0000-0000-00005A020000}"/>
    <cellStyle name="Normal 10 2 3 2" xfId="1014" xr:uid="{00000000-0005-0000-0000-00005B020000}"/>
    <cellStyle name="Normal 10 2 3 3" xfId="693" xr:uid="{00000000-0005-0000-0000-00005C020000}"/>
    <cellStyle name="Normal 10 2 4" xfId="480" xr:uid="{00000000-0005-0000-0000-00005D020000}"/>
    <cellStyle name="Normal 10 2 4 2" xfId="1125" xr:uid="{00000000-0005-0000-0000-00005E020000}"/>
    <cellStyle name="Normal 10 2 4 3" xfId="804" xr:uid="{00000000-0005-0000-0000-00005F020000}"/>
    <cellStyle name="Normal 10 2 5" xfId="929" xr:uid="{00000000-0005-0000-0000-000060020000}"/>
    <cellStyle name="Normal 10 2 6" xfId="609" xr:uid="{00000000-0005-0000-0000-000061020000}"/>
    <cellStyle name="Normal 10 3" xfId="334" xr:uid="{00000000-0005-0000-0000-000062020000}"/>
    <cellStyle name="Normal 10 3 2" xfId="983" xr:uid="{00000000-0005-0000-0000-000063020000}"/>
    <cellStyle name="Normal 10 3 3" xfId="662" xr:uid="{00000000-0005-0000-0000-000064020000}"/>
    <cellStyle name="Normal 10 4" xfId="445" xr:uid="{00000000-0005-0000-0000-000065020000}"/>
    <cellStyle name="Normal 10 4 2" xfId="1092" xr:uid="{00000000-0005-0000-0000-000066020000}"/>
    <cellStyle name="Normal 10 4 3" xfId="771" xr:uid="{00000000-0005-0000-0000-000067020000}"/>
    <cellStyle name="Normal 10 5" xfId="893" xr:uid="{00000000-0005-0000-0000-000068020000}"/>
    <cellStyle name="Normal 10 6" xfId="578" xr:uid="{00000000-0005-0000-0000-000069020000}"/>
    <cellStyle name="Normal 11" xfId="239" xr:uid="{00000000-0005-0000-0000-00006A020000}"/>
    <cellStyle name="Normal 11 10" xfId="1343" xr:uid="{00000000-0005-0000-0000-00006B020000}"/>
    <cellStyle name="Normal 11 10 2" xfId="1350" xr:uid="{00000000-0005-0000-0000-00006C020000}"/>
    <cellStyle name="Normal 11 2" xfId="336" xr:uid="{00000000-0005-0000-0000-00006D020000}"/>
    <cellStyle name="Normal 11 2 2" xfId="984" xr:uid="{00000000-0005-0000-0000-00006E020000}"/>
    <cellStyle name="Normal 11 2 3" xfId="663" xr:uid="{00000000-0005-0000-0000-00006F020000}"/>
    <cellStyle name="Normal 11 3" xfId="447" xr:uid="{00000000-0005-0000-0000-000070020000}"/>
    <cellStyle name="Normal 11 3 2" xfId="1093" xr:uid="{00000000-0005-0000-0000-000071020000}"/>
    <cellStyle name="Normal 11 3 3" xfId="772" xr:uid="{00000000-0005-0000-0000-000072020000}"/>
    <cellStyle name="Normal 11 4" xfId="896" xr:uid="{00000000-0005-0000-0000-000073020000}"/>
    <cellStyle name="Normal 11 5" xfId="580" xr:uid="{00000000-0005-0000-0000-000074020000}"/>
    <cellStyle name="Normal 11 6" xfId="1336" xr:uid="{00000000-0005-0000-0000-000075020000}"/>
    <cellStyle name="Normal 11 6 2" xfId="1344" xr:uid="{00000000-0005-0000-0000-000076020000}"/>
    <cellStyle name="Normal 11 7" xfId="1337" xr:uid="{00000000-0005-0000-0000-000077020000}"/>
    <cellStyle name="Normal 11 8" xfId="1338" xr:uid="{00000000-0005-0000-0000-000078020000}"/>
    <cellStyle name="Normal 11 9" xfId="1339" xr:uid="{00000000-0005-0000-0000-000079020000}"/>
    <cellStyle name="Normal 12" xfId="248" xr:uid="{00000000-0005-0000-0000-00007A020000}"/>
    <cellStyle name="Normal 12 2" xfId="340" xr:uid="{00000000-0005-0000-0000-00007B020000}"/>
    <cellStyle name="Normal 12 2 2" xfId="988" xr:uid="{00000000-0005-0000-0000-00007C020000}"/>
    <cellStyle name="Normal 12 2 3" xfId="667" xr:uid="{00000000-0005-0000-0000-00007D020000}"/>
    <cellStyle name="Normal 12 3" xfId="282" xr:uid="{00000000-0005-0000-0000-00007E020000}"/>
    <cellStyle name="Normal 12 3 2" xfId="368" xr:uid="{00000000-0005-0000-0000-00007F020000}"/>
    <cellStyle name="Normal 12 3 2 2" xfId="1016" xr:uid="{00000000-0005-0000-0000-000080020000}"/>
    <cellStyle name="Normal 12 3 2 3" xfId="695" xr:uid="{00000000-0005-0000-0000-000081020000}"/>
    <cellStyle name="Normal 12 3 3" xfId="482" xr:uid="{00000000-0005-0000-0000-000082020000}"/>
    <cellStyle name="Normal 12 3 3 2" xfId="1127" xr:uid="{00000000-0005-0000-0000-000083020000}"/>
    <cellStyle name="Normal 12 3 3 3" xfId="806" xr:uid="{00000000-0005-0000-0000-000084020000}"/>
    <cellStyle name="Normal 12 3 4" xfId="931" xr:uid="{00000000-0005-0000-0000-000085020000}"/>
    <cellStyle name="Normal 12 3 5" xfId="611" xr:uid="{00000000-0005-0000-0000-000086020000}"/>
    <cellStyle name="Normal 12 4" xfId="281" xr:uid="{00000000-0005-0000-0000-000087020000}"/>
    <cellStyle name="Normal 12 4 2" xfId="367" xr:uid="{00000000-0005-0000-0000-000088020000}"/>
    <cellStyle name="Normal 12 4 2 2" xfId="1015" xr:uid="{00000000-0005-0000-0000-000089020000}"/>
    <cellStyle name="Normal 12 4 2 3" xfId="694" xr:uid="{00000000-0005-0000-0000-00008A020000}"/>
    <cellStyle name="Normal 12 4 3" xfId="481" xr:uid="{00000000-0005-0000-0000-00008B020000}"/>
    <cellStyle name="Normal 12 4 3 2" xfId="1126" xr:uid="{00000000-0005-0000-0000-00008C020000}"/>
    <cellStyle name="Normal 12 4 3 3" xfId="805" xr:uid="{00000000-0005-0000-0000-00008D020000}"/>
    <cellStyle name="Normal 12 4 4" xfId="930" xr:uid="{00000000-0005-0000-0000-00008E020000}"/>
    <cellStyle name="Normal 12 4 5" xfId="610" xr:uid="{00000000-0005-0000-0000-00008F020000}"/>
    <cellStyle name="Normal 12 5" xfId="454" xr:uid="{00000000-0005-0000-0000-000090020000}"/>
    <cellStyle name="Normal 12 5 2" xfId="1099" xr:uid="{00000000-0005-0000-0000-000091020000}"/>
    <cellStyle name="Normal 12 5 3" xfId="778" xr:uid="{00000000-0005-0000-0000-000092020000}"/>
    <cellStyle name="Normal 12 6" xfId="903" xr:uid="{00000000-0005-0000-0000-000093020000}"/>
    <cellStyle name="Normal 12 7" xfId="584" xr:uid="{00000000-0005-0000-0000-000094020000}"/>
    <cellStyle name="Normal 13" xfId="252" xr:uid="{00000000-0005-0000-0000-000095020000}"/>
    <cellStyle name="Normal 13 2" xfId="344" xr:uid="{00000000-0005-0000-0000-000096020000}"/>
    <cellStyle name="Normal 13 2 2" xfId="992" xr:uid="{00000000-0005-0000-0000-000097020000}"/>
    <cellStyle name="Normal 13 2 3" xfId="671" xr:uid="{00000000-0005-0000-0000-000098020000}"/>
    <cellStyle name="Normal 13 3" xfId="458" xr:uid="{00000000-0005-0000-0000-000099020000}"/>
    <cellStyle name="Normal 13 3 2" xfId="1103" xr:uid="{00000000-0005-0000-0000-00009A020000}"/>
    <cellStyle name="Normal 13 3 3" xfId="782" xr:uid="{00000000-0005-0000-0000-00009B020000}"/>
    <cellStyle name="Normal 13 4" xfId="907" xr:uid="{00000000-0005-0000-0000-00009C020000}"/>
    <cellStyle name="Normal 13 5" xfId="588" xr:uid="{00000000-0005-0000-0000-00009D020000}"/>
    <cellStyle name="Normal 14" xfId="262" xr:uid="{00000000-0005-0000-0000-00009E020000}"/>
    <cellStyle name="Normal 14 2" xfId="352" xr:uid="{00000000-0005-0000-0000-00009F020000}"/>
    <cellStyle name="Normal 14 2 2" xfId="1000" xr:uid="{00000000-0005-0000-0000-0000A0020000}"/>
    <cellStyle name="Normal 14 2 3" xfId="679" xr:uid="{00000000-0005-0000-0000-0000A1020000}"/>
    <cellStyle name="Normal 14 3" xfId="466" xr:uid="{00000000-0005-0000-0000-0000A2020000}"/>
    <cellStyle name="Normal 14 3 2" xfId="1111" xr:uid="{00000000-0005-0000-0000-0000A3020000}"/>
    <cellStyle name="Normal 14 3 3" xfId="790" xr:uid="{00000000-0005-0000-0000-0000A4020000}"/>
    <cellStyle name="Normal 14 4" xfId="914" xr:uid="{00000000-0005-0000-0000-0000A5020000}"/>
    <cellStyle name="Normal 14 5" xfId="595" xr:uid="{00000000-0005-0000-0000-0000A6020000}"/>
    <cellStyle name="Normal 14 6" xfId="1340" xr:uid="{00000000-0005-0000-0000-0000A7020000}"/>
    <cellStyle name="Normal 14 6 2" xfId="1347" xr:uid="{00000000-0005-0000-0000-0000A8020000}"/>
    <cellStyle name="Normal 15" xfId="272" xr:uid="{00000000-0005-0000-0000-0000A9020000}"/>
    <cellStyle name="Normal 15 2" xfId="361" xr:uid="{00000000-0005-0000-0000-0000AA020000}"/>
    <cellStyle name="Normal 15 2 2" xfId="1009" xr:uid="{00000000-0005-0000-0000-0000AB020000}"/>
    <cellStyle name="Normal 15 2 3" xfId="688" xr:uid="{00000000-0005-0000-0000-0000AC020000}"/>
    <cellStyle name="Normal 15 3" xfId="475" xr:uid="{00000000-0005-0000-0000-0000AD020000}"/>
    <cellStyle name="Normal 15 3 2" xfId="1120" xr:uid="{00000000-0005-0000-0000-0000AE020000}"/>
    <cellStyle name="Normal 15 3 3" xfId="799" xr:uid="{00000000-0005-0000-0000-0000AF020000}"/>
    <cellStyle name="Normal 15 4" xfId="924" xr:uid="{00000000-0005-0000-0000-0000B0020000}"/>
    <cellStyle name="Normal 15 5" xfId="604" xr:uid="{00000000-0005-0000-0000-0000B1020000}"/>
    <cellStyle name="Normal 16" xfId="1155" xr:uid="{00000000-0005-0000-0000-0000B2020000}"/>
    <cellStyle name="Normal 17" xfId="1345" xr:uid="{00000000-0005-0000-0000-0000B3020000}"/>
    <cellStyle name="Normal 2" xfId="168" xr:uid="{00000000-0005-0000-0000-0000B4020000}"/>
    <cellStyle name="Normal 2 11 2" xfId="278" xr:uid="{00000000-0005-0000-0000-0000B5020000}"/>
    <cellStyle name="Normal 2 2" xfId="169" xr:uid="{00000000-0005-0000-0000-0000B6020000}"/>
    <cellStyle name="Normal 2 2 2" xfId="170" xr:uid="{00000000-0005-0000-0000-0000B7020000}"/>
    <cellStyle name="Normal 2 2 2 2" xfId="508" xr:uid="{00000000-0005-0000-0000-0000B8020000}"/>
    <cellStyle name="Normal 2 3" xfId="171" xr:uid="{00000000-0005-0000-0000-0000B9020000}"/>
    <cellStyle name="Normal 2 4" xfId="172" xr:uid="{00000000-0005-0000-0000-0000BA020000}"/>
    <cellStyle name="Normal 2 5" xfId="173" xr:uid="{00000000-0005-0000-0000-0000BB020000}"/>
    <cellStyle name="Normal 2 6" xfId="174" xr:uid="{00000000-0005-0000-0000-0000BC020000}"/>
    <cellStyle name="Normal 2 7" xfId="175" xr:uid="{00000000-0005-0000-0000-0000BD020000}"/>
    <cellStyle name="Normal 2_1(1). PROPUESTA ECONOMICA TAMINANGO" xfId="176" xr:uid="{00000000-0005-0000-0000-0000BE020000}"/>
    <cellStyle name="Normal 2_15 16 17 18. PRESUPUESTO INSTITUCION EDUCATIVA LA COCHA" xfId="177" xr:uid="{00000000-0005-0000-0000-0000BF020000}"/>
    <cellStyle name="Normal 21" xfId="279" xr:uid="{00000000-0005-0000-0000-0000C0020000}"/>
    <cellStyle name="Normal 3" xfId="178" xr:uid="{00000000-0005-0000-0000-0000C1020000}"/>
    <cellStyle name="Normal 3 2" xfId="179" xr:uid="{00000000-0005-0000-0000-0000C2020000}"/>
    <cellStyle name="Normal 3 2 2" xfId="1351" xr:uid="{00000000-0005-0000-0000-0000C3020000}"/>
    <cellStyle name="Normal 4" xfId="180" xr:uid="{00000000-0005-0000-0000-0000C4020000}"/>
    <cellStyle name="Normal 4 10" xfId="181" xr:uid="{00000000-0005-0000-0000-0000C5020000}"/>
    <cellStyle name="Normal 4 11" xfId="182" xr:uid="{00000000-0005-0000-0000-0000C6020000}"/>
    <cellStyle name="Normal 4 12" xfId="183" xr:uid="{00000000-0005-0000-0000-0000C7020000}"/>
    <cellStyle name="Normal 4 13" xfId="184" xr:uid="{00000000-0005-0000-0000-0000C8020000}"/>
    <cellStyle name="Normal 4 14" xfId="311" xr:uid="{00000000-0005-0000-0000-0000C9020000}"/>
    <cellStyle name="Normal 4 14 2" xfId="960" xr:uid="{00000000-0005-0000-0000-0000CA020000}"/>
    <cellStyle name="Normal 4 14 3" xfId="639" xr:uid="{00000000-0005-0000-0000-0000CB020000}"/>
    <cellStyle name="Normal 4 15" xfId="418" xr:uid="{00000000-0005-0000-0000-0000CC020000}"/>
    <cellStyle name="Normal 4 15 2" xfId="1065" xr:uid="{00000000-0005-0000-0000-0000CD020000}"/>
    <cellStyle name="Normal 4 15 3" xfId="744" xr:uid="{00000000-0005-0000-0000-0000CE020000}"/>
    <cellStyle name="Normal 4 16" xfId="855" xr:uid="{00000000-0005-0000-0000-0000CF020000}"/>
    <cellStyle name="Normal 4 17" xfId="555" xr:uid="{00000000-0005-0000-0000-0000D0020000}"/>
    <cellStyle name="Normal 4 2" xfId="185" xr:uid="{00000000-0005-0000-0000-0000D1020000}"/>
    <cellStyle name="Normal 4 2 2 2" xfId="510" xr:uid="{00000000-0005-0000-0000-0000D2020000}"/>
    <cellStyle name="Normal 4 2 2 2 2" xfId="1150" xr:uid="{00000000-0005-0000-0000-0000D3020000}"/>
    <cellStyle name="Normal 4 2 2 2 3" xfId="829" xr:uid="{00000000-0005-0000-0000-0000D4020000}"/>
    <cellStyle name="Normal 4 3" xfId="186" xr:uid="{00000000-0005-0000-0000-0000D5020000}"/>
    <cellStyle name="Normal 4 4" xfId="187" xr:uid="{00000000-0005-0000-0000-0000D6020000}"/>
    <cellStyle name="Normal 4 5" xfId="188" xr:uid="{00000000-0005-0000-0000-0000D7020000}"/>
    <cellStyle name="Normal 4 6" xfId="189" xr:uid="{00000000-0005-0000-0000-0000D8020000}"/>
    <cellStyle name="Normal 4 7" xfId="190" xr:uid="{00000000-0005-0000-0000-0000D9020000}"/>
    <cellStyle name="Normal 4 8" xfId="191" xr:uid="{00000000-0005-0000-0000-0000DA020000}"/>
    <cellStyle name="Normal 4 9" xfId="192" xr:uid="{00000000-0005-0000-0000-0000DB020000}"/>
    <cellStyle name="Normal 5" xfId="193" xr:uid="{00000000-0005-0000-0000-0000DC020000}"/>
    <cellStyle name="Normal 5 2" xfId="240" xr:uid="{00000000-0005-0000-0000-0000DD020000}"/>
    <cellStyle name="Normal 5 3" xfId="312" xr:uid="{00000000-0005-0000-0000-0000DE020000}"/>
    <cellStyle name="Normal 5 3 2" xfId="961" xr:uid="{00000000-0005-0000-0000-0000DF020000}"/>
    <cellStyle name="Normal 5 3 3" xfId="640" xr:uid="{00000000-0005-0000-0000-0000E0020000}"/>
    <cellStyle name="Normal 5 4" xfId="421" xr:uid="{00000000-0005-0000-0000-0000E1020000}"/>
    <cellStyle name="Normal 5 4 2" xfId="1068" xr:uid="{00000000-0005-0000-0000-0000E2020000}"/>
    <cellStyle name="Normal 5 4 3" xfId="747" xr:uid="{00000000-0005-0000-0000-0000E3020000}"/>
    <cellStyle name="Normal 5 5" xfId="859" xr:uid="{00000000-0005-0000-0000-0000E4020000}"/>
    <cellStyle name="Normal 5 6" xfId="556" xr:uid="{00000000-0005-0000-0000-0000E5020000}"/>
    <cellStyle name="Normal 5 9" xfId="241" xr:uid="{00000000-0005-0000-0000-0000E6020000}"/>
    <cellStyle name="Normal 6" xfId="194" xr:uid="{00000000-0005-0000-0000-0000E7020000}"/>
    <cellStyle name="Normal 7" xfId="231" xr:uid="{00000000-0005-0000-0000-0000E8020000}"/>
    <cellStyle name="Normal 7 2" xfId="329" xr:uid="{00000000-0005-0000-0000-0000E9020000}"/>
    <cellStyle name="Normal 7 2 2" xfId="978" xr:uid="{00000000-0005-0000-0000-0000EA020000}"/>
    <cellStyle name="Normal 7 2 3" xfId="657" xr:uid="{00000000-0005-0000-0000-0000EB020000}"/>
    <cellStyle name="Normal 7 3" xfId="440" xr:uid="{00000000-0005-0000-0000-0000EC020000}"/>
    <cellStyle name="Normal 7 3 2" xfId="1087" xr:uid="{00000000-0005-0000-0000-0000ED020000}"/>
    <cellStyle name="Normal 7 3 3" xfId="766" xr:uid="{00000000-0005-0000-0000-0000EE020000}"/>
    <cellStyle name="Normal 7 4" xfId="888" xr:uid="{00000000-0005-0000-0000-0000EF020000}"/>
    <cellStyle name="Normal 7 5" xfId="573" xr:uid="{00000000-0005-0000-0000-0000F0020000}"/>
    <cellStyle name="Normal 8" xfId="233" xr:uid="{00000000-0005-0000-0000-0000F1020000}"/>
    <cellStyle name="Normal 8 2" xfId="331" xr:uid="{00000000-0005-0000-0000-0000F2020000}"/>
    <cellStyle name="Normal 8 2 2" xfId="980" xr:uid="{00000000-0005-0000-0000-0000F3020000}"/>
    <cellStyle name="Normal 8 2 3" xfId="659" xr:uid="{00000000-0005-0000-0000-0000F4020000}"/>
    <cellStyle name="Normal 8 3" xfId="442" xr:uid="{00000000-0005-0000-0000-0000F5020000}"/>
    <cellStyle name="Normal 8 3 2" xfId="1089" xr:uid="{00000000-0005-0000-0000-0000F6020000}"/>
    <cellStyle name="Normal 8 3 3" xfId="768" xr:uid="{00000000-0005-0000-0000-0000F7020000}"/>
    <cellStyle name="Normal 8 4" xfId="890" xr:uid="{00000000-0005-0000-0000-0000F8020000}"/>
    <cellStyle name="Normal 8 5" xfId="575" xr:uid="{00000000-0005-0000-0000-0000F9020000}"/>
    <cellStyle name="Normal 9" xfId="235" xr:uid="{00000000-0005-0000-0000-0000FA020000}"/>
    <cellStyle name="Normal 9 2" xfId="333" xr:uid="{00000000-0005-0000-0000-0000FB020000}"/>
    <cellStyle name="Normal 9 2 2" xfId="982" xr:uid="{00000000-0005-0000-0000-0000FC020000}"/>
    <cellStyle name="Normal 9 2 3" xfId="661" xr:uid="{00000000-0005-0000-0000-0000FD020000}"/>
    <cellStyle name="Normal 9 3" xfId="444" xr:uid="{00000000-0005-0000-0000-0000FE020000}"/>
    <cellStyle name="Normal 9 3 2" xfId="1091" xr:uid="{00000000-0005-0000-0000-0000FF020000}"/>
    <cellStyle name="Normal 9 3 3" xfId="770" xr:uid="{00000000-0005-0000-0000-000000030000}"/>
    <cellStyle name="Normal 9 4" xfId="892" xr:uid="{00000000-0005-0000-0000-000001030000}"/>
    <cellStyle name="Normal 9 5" xfId="577" xr:uid="{00000000-0005-0000-0000-000002030000}"/>
    <cellStyle name="Normal_APU ADICIONALES" xfId="268" xr:uid="{00000000-0005-0000-0000-000003030000}"/>
    <cellStyle name="Notas 2 2" xfId="195" xr:uid="{00000000-0005-0000-0000-000004030000}"/>
    <cellStyle name="Notas 2 2 10" xfId="557" xr:uid="{00000000-0005-0000-0000-000005030000}"/>
    <cellStyle name="Notas 2 2 2" xfId="313" xr:uid="{00000000-0005-0000-0000-000006030000}"/>
    <cellStyle name="Notas 2 2 2 2" xfId="962" xr:uid="{00000000-0005-0000-0000-000007030000}"/>
    <cellStyle name="Notas 2 2 2 3" xfId="1165" xr:uid="{00000000-0005-0000-0000-000008030000}"/>
    <cellStyle name="Notas 2 2 2 4" xfId="841" xr:uid="{00000000-0005-0000-0000-000009030000}"/>
    <cellStyle name="Notas 2 2 2 5" xfId="641" xr:uid="{00000000-0005-0000-0000-00000A030000}"/>
    <cellStyle name="Notas 2 2 3" xfId="422" xr:uid="{00000000-0005-0000-0000-00000B030000}"/>
    <cellStyle name="Notas 2 2 3 2" xfId="1069" xr:uid="{00000000-0005-0000-0000-00000C030000}"/>
    <cellStyle name="Notas 2 2 3 3" xfId="1238" xr:uid="{00000000-0005-0000-0000-00000D030000}"/>
    <cellStyle name="Notas 2 2 3 4" xfId="1303" xr:uid="{00000000-0005-0000-0000-00000E030000}"/>
    <cellStyle name="Notas 2 2 3 5" xfId="748" xr:uid="{00000000-0005-0000-0000-00000F030000}"/>
    <cellStyle name="Notas 2 2 4" xfId="384" xr:uid="{00000000-0005-0000-0000-000010030000}"/>
    <cellStyle name="Notas 2 2 4 2" xfId="1031" xr:uid="{00000000-0005-0000-0000-000011030000}"/>
    <cellStyle name="Notas 2 2 4 3" xfId="1203" xr:uid="{00000000-0005-0000-0000-000012030000}"/>
    <cellStyle name="Notas 2 2 4 4" xfId="1214" xr:uid="{00000000-0005-0000-0000-000013030000}"/>
    <cellStyle name="Notas 2 2 4 5" xfId="710" xr:uid="{00000000-0005-0000-0000-000014030000}"/>
    <cellStyle name="Notas 2 2 5" xfId="403" xr:uid="{00000000-0005-0000-0000-000015030000}"/>
    <cellStyle name="Notas 2 2 5 2" xfId="1050" xr:uid="{00000000-0005-0000-0000-000016030000}"/>
    <cellStyle name="Notas 2 2 5 3" xfId="1222" xr:uid="{00000000-0005-0000-0000-000017030000}"/>
    <cellStyle name="Notas 2 2 5 4" xfId="860" xr:uid="{00000000-0005-0000-0000-000018030000}"/>
    <cellStyle name="Notas 2 2 5 5" xfId="729" xr:uid="{00000000-0005-0000-0000-000019030000}"/>
    <cellStyle name="Notas 2 2 6" xfId="496" xr:uid="{00000000-0005-0000-0000-00001A030000}"/>
    <cellStyle name="Notas 2 2 6 2" xfId="1139" xr:uid="{00000000-0005-0000-0000-00001B030000}"/>
    <cellStyle name="Notas 2 2 6 3" xfId="1277" xr:uid="{00000000-0005-0000-0000-00001C030000}"/>
    <cellStyle name="Notas 2 2 6 4" xfId="1325" xr:uid="{00000000-0005-0000-0000-00001D030000}"/>
    <cellStyle name="Notas 2 2 6 5" xfId="818" xr:uid="{00000000-0005-0000-0000-00001E030000}"/>
    <cellStyle name="Notas 2 2 7" xfId="504" xr:uid="{00000000-0005-0000-0000-00001F030000}"/>
    <cellStyle name="Notas 2 2 7 2" xfId="1146" xr:uid="{00000000-0005-0000-0000-000020030000}"/>
    <cellStyle name="Notas 2 2 7 3" xfId="1285" xr:uid="{00000000-0005-0000-0000-000021030000}"/>
    <cellStyle name="Notas 2 2 7 4" xfId="1332" xr:uid="{00000000-0005-0000-0000-000022030000}"/>
    <cellStyle name="Notas 2 2 7 5" xfId="825" xr:uid="{00000000-0005-0000-0000-000023030000}"/>
    <cellStyle name="Notas 2 2 8" xfId="861" xr:uid="{00000000-0005-0000-0000-000024030000}"/>
    <cellStyle name="Notas 2 2 9" xfId="1157" xr:uid="{00000000-0005-0000-0000-000025030000}"/>
    <cellStyle name="Notas 2 3" xfId="196" xr:uid="{00000000-0005-0000-0000-000026030000}"/>
    <cellStyle name="Notas 2 3 10" xfId="558" xr:uid="{00000000-0005-0000-0000-000027030000}"/>
    <cellStyle name="Notas 2 3 2" xfId="314" xr:uid="{00000000-0005-0000-0000-000028030000}"/>
    <cellStyle name="Notas 2 3 2 2" xfId="963" xr:uid="{00000000-0005-0000-0000-000029030000}"/>
    <cellStyle name="Notas 2 3 2 3" xfId="1166" xr:uid="{00000000-0005-0000-0000-00002A030000}"/>
    <cellStyle name="Notas 2 3 2 4" xfId="899" xr:uid="{00000000-0005-0000-0000-00002B030000}"/>
    <cellStyle name="Notas 2 3 2 5" xfId="642" xr:uid="{00000000-0005-0000-0000-00002C030000}"/>
    <cellStyle name="Notas 2 3 3" xfId="423" xr:uid="{00000000-0005-0000-0000-00002D030000}"/>
    <cellStyle name="Notas 2 3 3 2" xfId="1070" xr:uid="{00000000-0005-0000-0000-00002E030000}"/>
    <cellStyle name="Notas 2 3 3 3" xfId="1239" xr:uid="{00000000-0005-0000-0000-00002F030000}"/>
    <cellStyle name="Notas 2 3 3 4" xfId="1301" xr:uid="{00000000-0005-0000-0000-000030030000}"/>
    <cellStyle name="Notas 2 3 3 5" xfId="749" xr:uid="{00000000-0005-0000-0000-000031030000}"/>
    <cellStyle name="Notas 2 3 4" xfId="383" xr:uid="{00000000-0005-0000-0000-000032030000}"/>
    <cellStyle name="Notas 2 3 4 2" xfId="1030" xr:uid="{00000000-0005-0000-0000-000033030000}"/>
    <cellStyle name="Notas 2 3 4 3" xfId="1202" xr:uid="{00000000-0005-0000-0000-000034030000}"/>
    <cellStyle name="Notas 2 3 4 4" xfId="1217" xr:uid="{00000000-0005-0000-0000-000035030000}"/>
    <cellStyle name="Notas 2 3 4 5" xfId="709" xr:uid="{00000000-0005-0000-0000-000036030000}"/>
    <cellStyle name="Notas 2 3 5" xfId="404" xr:uid="{00000000-0005-0000-0000-000037030000}"/>
    <cellStyle name="Notas 2 3 5 2" xfId="1051" xr:uid="{00000000-0005-0000-0000-000038030000}"/>
    <cellStyle name="Notas 2 3 5 3" xfId="1223" xr:uid="{00000000-0005-0000-0000-000039030000}"/>
    <cellStyle name="Notas 2 3 5 4" xfId="920" xr:uid="{00000000-0005-0000-0000-00003A030000}"/>
    <cellStyle name="Notas 2 3 5 5" xfId="730" xr:uid="{00000000-0005-0000-0000-00003B030000}"/>
    <cellStyle name="Notas 2 3 6" xfId="499" xr:uid="{00000000-0005-0000-0000-00003C030000}"/>
    <cellStyle name="Notas 2 3 6 2" xfId="1142" xr:uid="{00000000-0005-0000-0000-00003D030000}"/>
    <cellStyle name="Notas 2 3 6 3" xfId="1280" xr:uid="{00000000-0005-0000-0000-00003E030000}"/>
    <cellStyle name="Notas 2 3 6 4" xfId="1328" xr:uid="{00000000-0005-0000-0000-00003F030000}"/>
    <cellStyle name="Notas 2 3 6 5" xfId="821" xr:uid="{00000000-0005-0000-0000-000040030000}"/>
    <cellStyle name="Notas 2 3 7" xfId="507" xr:uid="{00000000-0005-0000-0000-000041030000}"/>
    <cellStyle name="Notas 2 3 7 2" xfId="1149" xr:uid="{00000000-0005-0000-0000-000042030000}"/>
    <cellStyle name="Notas 2 3 7 3" xfId="1288" xr:uid="{00000000-0005-0000-0000-000043030000}"/>
    <cellStyle name="Notas 2 3 7 4" xfId="1335" xr:uid="{00000000-0005-0000-0000-000044030000}"/>
    <cellStyle name="Notas 2 3 7 5" xfId="828" xr:uid="{00000000-0005-0000-0000-000045030000}"/>
    <cellStyle name="Notas 2 3 8" xfId="862" xr:uid="{00000000-0005-0000-0000-000046030000}"/>
    <cellStyle name="Notas 2 3 9" xfId="1263" xr:uid="{00000000-0005-0000-0000-000047030000}"/>
    <cellStyle name="Notas 2 4" xfId="197" xr:uid="{00000000-0005-0000-0000-000048030000}"/>
    <cellStyle name="Notas 2 4 10" xfId="559" xr:uid="{00000000-0005-0000-0000-000049030000}"/>
    <cellStyle name="Notas 2 4 2" xfId="315" xr:uid="{00000000-0005-0000-0000-00004A030000}"/>
    <cellStyle name="Notas 2 4 2 2" xfId="964" xr:uid="{00000000-0005-0000-0000-00004B030000}"/>
    <cellStyle name="Notas 2 4 2 3" xfId="1167" xr:uid="{00000000-0005-0000-0000-00004C030000}"/>
    <cellStyle name="Notas 2 4 2 4" xfId="842" xr:uid="{00000000-0005-0000-0000-00004D030000}"/>
    <cellStyle name="Notas 2 4 2 5" xfId="643" xr:uid="{00000000-0005-0000-0000-00004E030000}"/>
    <cellStyle name="Notas 2 4 3" xfId="424" xr:uid="{00000000-0005-0000-0000-00004F030000}"/>
    <cellStyle name="Notas 2 4 3 2" xfId="1071" xr:uid="{00000000-0005-0000-0000-000050030000}"/>
    <cellStyle name="Notas 2 4 3 3" xfId="1240" xr:uid="{00000000-0005-0000-0000-000051030000}"/>
    <cellStyle name="Notas 2 4 3 4" xfId="1297" xr:uid="{00000000-0005-0000-0000-000052030000}"/>
    <cellStyle name="Notas 2 4 3 5" xfId="750" xr:uid="{00000000-0005-0000-0000-000053030000}"/>
    <cellStyle name="Notas 2 4 4" xfId="382" xr:uid="{00000000-0005-0000-0000-000054030000}"/>
    <cellStyle name="Notas 2 4 4 2" xfId="1029" xr:uid="{00000000-0005-0000-0000-000055030000}"/>
    <cellStyle name="Notas 2 4 4 3" xfId="1201" xr:uid="{00000000-0005-0000-0000-000056030000}"/>
    <cellStyle name="Notas 2 4 4 4" xfId="1212" xr:uid="{00000000-0005-0000-0000-000057030000}"/>
    <cellStyle name="Notas 2 4 4 5" xfId="708" xr:uid="{00000000-0005-0000-0000-000058030000}"/>
    <cellStyle name="Notas 2 4 5" xfId="405" xr:uid="{00000000-0005-0000-0000-000059030000}"/>
    <cellStyle name="Notas 2 4 5 2" xfId="1052" xr:uid="{00000000-0005-0000-0000-00005A030000}"/>
    <cellStyle name="Notas 2 4 5 3" xfId="1224" xr:uid="{00000000-0005-0000-0000-00005B030000}"/>
    <cellStyle name="Notas 2 4 5 4" xfId="1153" xr:uid="{00000000-0005-0000-0000-00005C030000}"/>
    <cellStyle name="Notas 2 4 5 5" xfId="731" xr:uid="{00000000-0005-0000-0000-00005D030000}"/>
    <cellStyle name="Notas 2 4 6" xfId="487" xr:uid="{00000000-0005-0000-0000-00005E030000}"/>
    <cellStyle name="Notas 2 4 6 2" xfId="1131" xr:uid="{00000000-0005-0000-0000-00005F030000}"/>
    <cellStyle name="Notas 2 4 6 3" xfId="1269" xr:uid="{00000000-0005-0000-0000-000060030000}"/>
    <cellStyle name="Notas 2 4 6 4" xfId="1317" xr:uid="{00000000-0005-0000-0000-000061030000}"/>
    <cellStyle name="Notas 2 4 6 5" xfId="810" xr:uid="{00000000-0005-0000-0000-000062030000}"/>
    <cellStyle name="Notas 2 4 7" xfId="449" xr:uid="{00000000-0005-0000-0000-000063030000}"/>
    <cellStyle name="Notas 2 4 7 2" xfId="1094" xr:uid="{00000000-0005-0000-0000-000064030000}"/>
    <cellStyle name="Notas 2 4 7 3" xfId="1257" xr:uid="{00000000-0005-0000-0000-000065030000}"/>
    <cellStyle name="Notas 2 4 7 4" xfId="1312" xr:uid="{00000000-0005-0000-0000-000066030000}"/>
    <cellStyle name="Notas 2 4 7 5" xfId="773" xr:uid="{00000000-0005-0000-0000-000067030000}"/>
    <cellStyle name="Notas 2 4 8" xfId="863" xr:uid="{00000000-0005-0000-0000-000068030000}"/>
    <cellStyle name="Notas 2 4 9" xfId="1186" xr:uid="{00000000-0005-0000-0000-000069030000}"/>
    <cellStyle name="Notas 2 5" xfId="198" xr:uid="{00000000-0005-0000-0000-00006A030000}"/>
    <cellStyle name="Notas 2 5 10" xfId="560" xr:uid="{00000000-0005-0000-0000-00006B030000}"/>
    <cellStyle name="Notas 2 5 2" xfId="316" xr:uid="{00000000-0005-0000-0000-00006C030000}"/>
    <cellStyle name="Notas 2 5 2 2" xfId="965" xr:uid="{00000000-0005-0000-0000-00006D030000}"/>
    <cellStyle name="Notas 2 5 2 3" xfId="1168" xr:uid="{00000000-0005-0000-0000-00006E030000}"/>
    <cellStyle name="Notas 2 5 2 4" xfId="843" xr:uid="{00000000-0005-0000-0000-00006F030000}"/>
    <cellStyle name="Notas 2 5 2 5" xfId="644" xr:uid="{00000000-0005-0000-0000-000070030000}"/>
    <cellStyle name="Notas 2 5 3" xfId="425" xr:uid="{00000000-0005-0000-0000-000071030000}"/>
    <cellStyle name="Notas 2 5 3 2" xfId="1072" xr:uid="{00000000-0005-0000-0000-000072030000}"/>
    <cellStyle name="Notas 2 5 3 3" xfId="1241" xr:uid="{00000000-0005-0000-0000-000073030000}"/>
    <cellStyle name="Notas 2 5 3 4" xfId="1293" xr:uid="{00000000-0005-0000-0000-000074030000}"/>
    <cellStyle name="Notas 2 5 3 5" xfId="751" xr:uid="{00000000-0005-0000-0000-000075030000}"/>
    <cellStyle name="Notas 2 5 4" xfId="381" xr:uid="{00000000-0005-0000-0000-000076030000}"/>
    <cellStyle name="Notas 2 5 4 2" xfId="1028" xr:uid="{00000000-0005-0000-0000-000077030000}"/>
    <cellStyle name="Notas 2 5 4 3" xfId="1200" xr:uid="{00000000-0005-0000-0000-000078030000}"/>
    <cellStyle name="Notas 2 5 4 4" xfId="1216" xr:uid="{00000000-0005-0000-0000-000079030000}"/>
    <cellStyle name="Notas 2 5 4 5" xfId="707" xr:uid="{00000000-0005-0000-0000-00007A030000}"/>
    <cellStyle name="Notas 2 5 5" xfId="406" xr:uid="{00000000-0005-0000-0000-00007B030000}"/>
    <cellStyle name="Notas 2 5 5 2" xfId="1053" xr:uid="{00000000-0005-0000-0000-00007C030000}"/>
    <cellStyle name="Notas 2 5 5 3" xfId="1225" xr:uid="{00000000-0005-0000-0000-00007D030000}"/>
    <cellStyle name="Notas 2 5 5 4" xfId="873" xr:uid="{00000000-0005-0000-0000-00007E030000}"/>
    <cellStyle name="Notas 2 5 5 5" xfId="732" xr:uid="{00000000-0005-0000-0000-00007F030000}"/>
    <cellStyle name="Notas 2 5 6" xfId="489" xr:uid="{00000000-0005-0000-0000-000080030000}"/>
    <cellStyle name="Notas 2 5 6 2" xfId="1133" xr:uid="{00000000-0005-0000-0000-000081030000}"/>
    <cellStyle name="Notas 2 5 6 3" xfId="1271" xr:uid="{00000000-0005-0000-0000-000082030000}"/>
    <cellStyle name="Notas 2 5 6 4" xfId="1319" xr:uid="{00000000-0005-0000-0000-000083030000}"/>
    <cellStyle name="Notas 2 5 6 5" xfId="812" xr:uid="{00000000-0005-0000-0000-000084030000}"/>
    <cellStyle name="Notas 2 5 7" xfId="451" xr:uid="{00000000-0005-0000-0000-000085030000}"/>
    <cellStyle name="Notas 2 5 7 2" xfId="1096" xr:uid="{00000000-0005-0000-0000-000086030000}"/>
    <cellStyle name="Notas 2 5 7 3" xfId="1258" xr:uid="{00000000-0005-0000-0000-000087030000}"/>
    <cellStyle name="Notas 2 5 7 4" xfId="1313" xr:uid="{00000000-0005-0000-0000-000088030000}"/>
    <cellStyle name="Notas 2 5 7 5" xfId="775" xr:uid="{00000000-0005-0000-0000-000089030000}"/>
    <cellStyle name="Notas 2 5 8" xfId="864" xr:uid="{00000000-0005-0000-0000-00008A030000}"/>
    <cellStyle name="Notas 2 5 9" xfId="1154" xr:uid="{00000000-0005-0000-0000-00008B030000}"/>
    <cellStyle name="Notas 2 6" xfId="199" xr:uid="{00000000-0005-0000-0000-00008C030000}"/>
    <cellStyle name="Notas 2 6 10" xfId="561" xr:uid="{00000000-0005-0000-0000-00008D030000}"/>
    <cellStyle name="Notas 2 6 2" xfId="317" xr:uid="{00000000-0005-0000-0000-00008E030000}"/>
    <cellStyle name="Notas 2 6 2 2" xfId="966" xr:uid="{00000000-0005-0000-0000-00008F030000}"/>
    <cellStyle name="Notas 2 6 2 3" xfId="1169" xr:uid="{00000000-0005-0000-0000-000090030000}"/>
    <cellStyle name="Notas 2 6 2 4" xfId="844" xr:uid="{00000000-0005-0000-0000-000091030000}"/>
    <cellStyle name="Notas 2 6 2 5" xfId="645" xr:uid="{00000000-0005-0000-0000-000092030000}"/>
    <cellStyle name="Notas 2 6 3" xfId="426" xr:uid="{00000000-0005-0000-0000-000093030000}"/>
    <cellStyle name="Notas 2 6 3 2" xfId="1073" xr:uid="{00000000-0005-0000-0000-000094030000}"/>
    <cellStyle name="Notas 2 6 3 3" xfId="1242" xr:uid="{00000000-0005-0000-0000-000095030000}"/>
    <cellStyle name="Notas 2 6 3 4" xfId="878" xr:uid="{00000000-0005-0000-0000-000096030000}"/>
    <cellStyle name="Notas 2 6 3 5" xfId="752" xr:uid="{00000000-0005-0000-0000-000097030000}"/>
    <cellStyle name="Notas 2 6 4" xfId="380" xr:uid="{00000000-0005-0000-0000-000098030000}"/>
    <cellStyle name="Notas 2 6 4 2" xfId="1027" xr:uid="{00000000-0005-0000-0000-000099030000}"/>
    <cellStyle name="Notas 2 6 4 3" xfId="1199" xr:uid="{00000000-0005-0000-0000-00009A030000}"/>
    <cellStyle name="Notas 2 6 4 4" xfId="1213" xr:uid="{00000000-0005-0000-0000-00009B030000}"/>
    <cellStyle name="Notas 2 6 4 5" xfId="706" xr:uid="{00000000-0005-0000-0000-00009C030000}"/>
    <cellStyle name="Notas 2 6 5" xfId="407" xr:uid="{00000000-0005-0000-0000-00009D030000}"/>
    <cellStyle name="Notas 2 6 5 2" xfId="1054" xr:uid="{00000000-0005-0000-0000-00009E030000}"/>
    <cellStyle name="Notas 2 6 5 3" xfId="1226" xr:uid="{00000000-0005-0000-0000-00009F030000}"/>
    <cellStyle name="Notas 2 6 5 4" xfId="874" xr:uid="{00000000-0005-0000-0000-0000A0030000}"/>
    <cellStyle name="Notas 2 6 5 5" xfId="733" xr:uid="{00000000-0005-0000-0000-0000A1030000}"/>
    <cellStyle name="Notas 2 6 6" xfId="498" xr:uid="{00000000-0005-0000-0000-0000A2030000}"/>
    <cellStyle name="Notas 2 6 6 2" xfId="1141" xr:uid="{00000000-0005-0000-0000-0000A3030000}"/>
    <cellStyle name="Notas 2 6 6 3" xfId="1279" xr:uid="{00000000-0005-0000-0000-0000A4030000}"/>
    <cellStyle name="Notas 2 6 6 4" xfId="1327" xr:uid="{00000000-0005-0000-0000-0000A5030000}"/>
    <cellStyle name="Notas 2 6 6 5" xfId="820" xr:uid="{00000000-0005-0000-0000-0000A6030000}"/>
    <cellStyle name="Notas 2 6 7" xfId="506" xr:uid="{00000000-0005-0000-0000-0000A7030000}"/>
    <cellStyle name="Notas 2 6 7 2" xfId="1148" xr:uid="{00000000-0005-0000-0000-0000A8030000}"/>
    <cellStyle name="Notas 2 6 7 3" xfId="1287" xr:uid="{00000000-0005-0000-0000-0000A9030000}"/>
    <cellStyle name="Notas 2 6 7 4" xfId="1334" xr:uid="{00000000-0005-0000-0000-0000AA030000}"/>
    <cellStyle name="Notas 2 6 7 5" xfId="827" xr:uid="{00000000-0005-0000-0000-0000AB030000}"/>
    <cellStyle name="Notas 2 6 8" xfId="865" xr:uid="{00000000-0005-0000-0000-0000AC030000}"/>
    <cellStyle name="Notas 2 6 9" xfId="1260" xr:uid="{00000000-0005-0000-0000-0000AD030000}"/>
    <cellStyle name="Notas 2 7" xfId="200" xr:uid="{00000000-0005-0000-0000-0000AE030000}"/>
    <cellStyle name="Notas 2 7 10" xfId="562" xr:uid="{00000000-0005-0000-0000-0000AF030000}"/>
    <cellStyle name="Notas 2 7 2" xfId="318" xr:uid="{00000000-0005-0000-0000-0000B0030000}"/>
    <cellStyle name="Notas 2 7 2 2" xfId="967" xr:uid="{00000000-0005-0000-0000-0000B1030000}"/>
    <cellStyle name="Notas 2 7 2 3" xfId="1170" xr:uid="{00000000-0005-0000-0000-0000B2030000}"/>
    <cellStyle name="Notas 2 7 2 4" xfId="845" xr:uid="{00000000-0005-0000-0000-0000B3030000}"/>
    <cellStyle name="Notas 2 7 2 5" xfId="646" xr:uid="{00000000-0005-0000-0000-0000B4030000}"/>
    <cellStyle name="Notas 2 7 3" xfId="427" xr:uid="{00000000-0005-0000-0000-0000B5030000}"/>
    <cellStyle name="Notas 2 7 3 2" xfId="1074" xr:uid="{00000000-0005-0000-0000-0000B6030000}"/>
    <cellStyle name="Notas 2 7 3 3" xfId="1243" xr:uid="{00000000-0005-0000-0000-0000B7030000}"/>
    <cellStyle name="Notas 2 7 3 4" xfId="879" xr:uid="{00000000-0005-0000-0000-0000B8030000}"/>
    <cellStyle name="Notas 2 7 3 5" xfId="753" xr:uid="{00000000-0005-0000-0000-0000B9030000}"/>
    <cellStyle name="Notas 2 7 4" xfId="396" xr:uid="{00000000-0005-0000-0000-0000BA030000}"/>
    <cellStyle name="Notas 2 7 4 2" xfId="1043" xr:uid="{00000000-0005-0000-0000-0000BB030000}"/>
    <cellStyle name="Notas 2 7 4 3" xfId="1215" xr:uid="{00000000-0005-0000-0000-0000BC030000}"/>
    <cellStyle name="Notas 2 7 4 4" xfId="1307" xr:uid="{00000000-0005-0000-0000-0000BD030000}"/>
    <cellStyle name="Notas 2 7 4 5" xfId="722" xr:uid="{00000000-0005-0000-0000-0000BE030000}"/>
    <cellStyle name="Notas 2 7 5" xfId="408" xr:uid="{00000000-0005-0000-0000-0000BF030000}"/>
    <cellStyle name="Notas 2 7 5 2" xfId="1055" xr:uid="{00000000-0005-0000-0000-0000C0030000}"/>
    <cellStyle name="Notas 2 7 5 3" xfId="1227" xr:uid="{00000000-0005-0000-0000-0000C1030000}"/>
    <cellStyle name="Notas 2 7 5 4" xfId="1310" xr:uid="{00000000-0005-0000-0000-0000C2030000}"/>
    <cellStyle name="Notas 2 7 5 5" xfId="734" xr:uid="{00000000-0005-0000-0000-0000C3030000}"/>
    <cellStyle name="Notas 2 7 6" xfId="497" xr:uid="{00000000-0005-0000-0000-0000C4030000}"/>
    <cellStyle name="Notas 2 7 6 2" xfId="1140" xr:uid="{00000000-0005-0000-0000-0000C5030000}"/>
    <cellStyle name="Notas 2 7 6 3" xfId="1278" xr:uid="{00000000-0005-0000-0000-0000C6030000}"/>
    <cellStyle name="Notas 2 7 6 4" xfId="1326" xr:uid="{00000000-0005-0000-0000-0000C7030000}"/>
    <cellStyle name="Notas 2 7 6 5" xfId="819" xr:uid="{00000000-0005-0000-0000-0000C8030000}"/>
    <cellStyle name="Notas 2 7 7" xfId="505" xr:uid="{00000000-0005-0000-0000-0000C9030000}"/>
    <cellStyle name="Notas 2 7 7 2" xfId="1147" xr:uid="{00000000-0005-0000-0000-0000CA030000}"/>
    <cellStyle name="Notas 2 7 7 3" xfId="1286" xr:uid="{00000000-0005-0000-0000-0000CB030000}"/>
    <cellStyle name="Notas 2 7 7 4" xfId="1333" xr:uid="{00000000-0005-0000-0000-0000CC030000}"/>
    <cellStyle name="Notas 2 7 7 5" xfId="826" xr:uid="{00000000-0005-0000-0000-0000CD030000}"/>
    <cellStyle name="Notas 2 7 8" xfId="866" xr:uid="{00000000-0005-0000-0000-0000CE030000}"/>
    <cellStyle name="Notas 2 7 9" xfId="1182" xr:uid="{00000000-0005-0000-0000-0000CF030000}"/>
    <cellStyle name="Notas 3" xfId="201" xr:uid="{00000000-0005-0000-0000-0000D0030000}"/>
    <cellStyle name="Notas 3 10" xfId="563" xr:uid="{00000000-0005-0000-0000-0000D1030000}"/>
    <cellStyle name="Notas 3 2" xfId="319" xr:uid="{00000000-0005-0000-0000-0000D2030000}"/>
    <cellStyle name="Notas 3 2 2" xfId="968" xr:uid="{00000000-0005-0000-0000-0000D3030000}"/>
    <cellStyle name="Notas 3 2 3" xfId="1171" xr:uid="{00000000-0005-0000-0000-0000D4030000}"/>
    <cellStyle name="Notas 3 2 4" xfId="846" xr:uid="{00000000-0005-0000-0000-0000D5030000}"/>
    <cellStyle name="Notas 3 2 5" xfId="647" xr:uid="{00000000-0005-0000-0000-0000D6030000}"/>
    <cellStyle name="Notas 3 3" xfId="428" xr:uid="{00000000-0005-0000-0000-0000D7030000}"/>
    <cellStyle name="Notas 3 3 2" xfId="1075" xr:uid="{00000000-0005-0000-0000-0000D8030000}"/>
    <cellStyle name="Notas 3 3 3" xfId="1244" xr:uid="{00000000-0005-0000-0000-0000D9030000}"/>
    <cellStyle name="Notas 3 3 4" xfId="880" xr:uid="{00000000-0005-0000-0000-0000DA030000}"/>
    <cellStyle name="Notas 3 3 5" xfId="754" xr:uid="{00000000-0005-0000-0000-0000DB030000}"/>
    <cellStyle name="Notas 3 4" xfId="379" xr:uid="{00000000-0005-0000-0000-0000DC030000}"/>
    <cellStyle name="Notas 3 4 2" xfId="1026" xr:uid="{00000000-0005-0000-0000-0000DD030000}"/>
    <cellStyle name="Notas 3 4 3" xfId="1198" xr:uid="{00000000-0005-0000-0000-0000DE030000}"/>
    <cellStyle name="Notas 3 4 4" xfId="1159" xr:uid="{00000000-0005-0000-0000-0000DF030000}"/>
    <cellStyle name="Notas 3 4 5" xfId="705" xr:uid="{00000000-0005-0000-0000-0000E0030000}"/>
    <cellStyle name="Notas 3 5" xfId="409" xr:uid="{00000000-0005-0000-0000-0000E1030000}"/>
    <cellStyle name="Notas 3 5 2" xfId="1056" xr:uid="{00000000-0005-0000-0000-0000E2030000}"/>
    <cellStyle name="Notas 3 5 3" xfId="1228" xr:uid="{00000000-0005-0000-0000-0000E3030000}"/>
    <cellStyle name="Notas 3 5 4" xfId="1306" xr:uid="{00000000-0005-0000-0000-0000E4030000}"/>
    <cellStyle name="Notas 3 5 5" xfId="735" xr:uid="{00000000-0005-0000-0000-0000E5030000}"/>
    <cellStyle name="Notas 3 6" xfId="490" xr:uid="{00000000-0005-0000-0000-0000E6030000}"/>
    <cellStyle name="Notas 3 6 2" xfId="1134" xr:uid="{00000000-0005-0000-0000-0000E7030000}"/>
    <cellStyle name="Notas 3 6 3" xfId="1272" xr:uid="{00000000-0005-0000-0000-0000E8030000}"/>
    <cellStyle name="Notas 3 6 4" xfId="1320" xr:uid="{00000000-0005-0000-0000-0000E9030000}"/>
    <cellStyle name="Notas 3 6 5" xfId="813" xr:uid="{00000000-0005-0000-0000-0000EA030000}"/>
    <cellStyle name="Notas 3 7" xfId="436" xr:uid="{00000000-0005-0000-0000-0000EB030000}"/>
    <cellStyle name="Notas 3 7 2" xfId="1083" xr:uid="{00000000-0005-0000-0000-0000EC030000}"/>
    <cellStyle name="Notas 3 7 3" xfId="1251" xr:uid="{00000000-0005-0000-0000-0000ED030000}"/>
    <cellStyle name="Notas 3 7 4" xfId="1300" xr:uid="{00000000-0005-0000-0000-0000EE030000}"/>
    <cellStyle name="Notas 3 7 5" xfId="762" xr:uid="{00000000-0005-0000-0000-0000EF030000}"/>
    <cellStyle name="Notas 3 8" xfId="867" xr:uid="{00000000-0005-0000-0000-0000F0030000}"/>
    <cellStyle name="Notas 3 9" xfId="1264" xr:uid="{00000000-0005-0000-0000-0000F1030000}"/>
    <cellStyle name="Notas 4" xfId="202" xr:uid="{00000000-0005-0000-0000-0000F2030000}"/>
    <cellStyle name="Notas 4 10" xfId="564" xr:uid="{00000000-0005-0000-0000-0000F3030000}"/>
    <cellStyle name="Notas 4 2" xfId="320" xr:uid="{00000000-0005-0000-0000-0000F4030000}"/>
    <cellStyle name="Notas 4 2 2" xfId="969" xr:uid="{00000000-0005-0000-0000-0000F5030000}"/>
    <cellStyle name="Notas 4 2 3" xfId="1172" xr:uid="{00000000-0005-0000-0000-0000F6030000}"/>
    <cellStyle name="Notas 4 2 4" xfId="847" xr:uid="{00000000-0005-0000-0000-0000F7030000}"/>
    <cellStyle name="Notas 4 2 5" xfId="648" xr:uid="{00000000-0005-0000-0000-0000F8030000}"/>
    <cellStyle name="Notas 4 3" xfId="429" xr:uid="{00000000-0005-0000-0000-0000F9030000}"/>
    <cellStyle name="Notas 4 3 2" xfId="1076" xr:uid="{00000000-0005-0000-0000-0000FA030000}"/>
    <cellStyle name="Notas 4 3 3" xfId="1245" xr:uid="{00000000-0005-0000-0000-0000FB030000}"/>
    <cellStyle name="Notas 4 3 4" xfId="881" xr:uid="{00000000-0005-0000-0000-0000FC030000}"/>
    <cellStyle name="Notas 4 3 5" xfId="755" xr:uid="{00000000-0005-0000-0000-0000FD030000}"/>
    <cellStyle name="Notas 4 4" xfId="378" xr:uid="{00000000-0005-0000-0000-0000FE030000}"/>
    <cellStyle name="Notas 4 4 2" xfId="1025" xr:uid="{00000000-0005-0000-0000-0000FF030000}"/>
    <cellStyle name="Notas 4 4 3" xfId="1197" xr:uid="{00000000-0005-0000-0000-000000040000}"/>
    <cellStyle name="Notas 4 4 4" xfId="1188" xr:uid="{00000000-0005-0000-0000-000001040000}"/>
    <cellStyle name="Notas 4 4 5" xfId="704" xr:uid="{00000000-0005-0000-0000-000002040000}"/>
    <cellStyle name="Notas 4 5" xfId="410" xr:uid="{00000000-0005-0000-0000-000003040000}"/>
    <cellStyle name="Notas 4 5 2" xfId="1057" xr:uid="{00000000-0005-0000-0000-000004040000}"/>
    <cellStyle name="Notas 4 5 3" xfId="1229" xr:uid="{00000000-0005-0000-0000-000005040000}"/>
    <cellStyle name="Notas 4 5 4" xfId="1304" xr:uid="{00000000-0005-0000-0000-000006040000}"/>
    <cellStyle name="Notas 4 5 5" xfId="736" xr:uid="{00000000-0005-0000-0000-000007040000}"/>
    <cellStyle name="Notas 4 6" xfId="491" xr:uid="{00000000-0005-0000-0000-000008040000}"/>
    <cellStyle name="Notas 4 6 2" xfId="1135" xr:uid="{00000000-0005-0000-0000-000009040000}"/>
    <cellStyle name="Notas 4 6 3" xfId="1273" xr:uid="{00000000-0005-0000-0000-00000A040000}"/>
    <cellStyle name="Notas 4 6 4" xfId="1321" xr:uid="{00000000-0005-0000-0000-00000B040000}"/>
    <cellStyle name="Notas 4 6 5" xfId="814" xr:uid="{00000000-0005-0000-0000-00000C040000}"/>
    <cellStyle name="Notas 4 7" xfId="438" xr:uid="{00000000-0005-0000-0000-00000D040000}"/>
    <cellStyle name="Notas 4 7 2" xfId="1085" xr:uid="{00000000-0005-0000-0000-00000E040000}"/>
    <cellStyle name="Notas 4 7 3" xfId="1253" xr:uid="{00000000-0005-0000-0000-00000F040000}"/>
    <cellStyle name="Notas 4 7 4" xfId="1292" xr:uid="{00000000-0005-0000-0000-000010040000}"/>
    <cellStyle name="Notas 4 7 5" xfId="764" xr:uid="{00000000-0005-0000-0000-000011040000}"/>
    <cellStyle name="Notas 4 8" xfId="868" xr:uid="{00000000-0005-0000-0000-000012040000}"/>
    <cellStyle name="Notas 4 9" xfId="1187" xr:uid="{00000000-0005-0000-0000-000013040000}"/>
    <cellStyle name="Notas 5" xfId="203" xr:uid="{00000000-0005-0000-0000-000014040000}"/>
    <cellStyle name="Notas 5 10" xfId="565" xr:uid="{00000000-0005-0000-0000-000015040000}"/>
    <cellStyle name="Notas 5 2" xfId="321" xr:uid="{00000000-0005-0000-0000-000016040000}"/>
    <cellStyle name="Notas 5 2 2" xfId="970" xr:uid="{00000000-0005-0000-0000-000017040000}"/>
    <cellStyle name="Notas 5 2 3" xfId="1173" xr:uid="{00000000-0005-0000-0000-000018040000}"/>
    <cellStyle name="Notas 5 2 4" xfId="848" xr:uid="{00000000-0005-0000-0000-000019040000}"/>
    <cellStyle name="Notas 5 2 5" xfId="649" xr:uid="{00000000-0005-0000-0000-00001A040000}"/>
    <cellStyle name="Notas 5 3" xfId="430" xr:uid="{00000000-0005-0000-0000-00001B040000}"/>
    <cellStyle name="Notas 5 3 2" xfId="1077" xr:uid="{00000000-0005-0000-0000-00001C040000}"/>
    <cellStyle name="Notas 5 3 3" xfId="1246" xr:uid="{00000000-0005-0000-0000-00001D040000}"/>
    <cellStyle name="Notas 5 3 4" xfId="882" xr:uid="{00000000-0005-0000-0000-00001E040000}"/>
    <cellStyle name="Notas 5 3 5" xfId="756" xr:uid="{00000000-0005-0000-0000-00001F040000}"/>
    <cellStyle name="Notas 5 4" xfId="376" xr:uid="{00000000-0005-0000-0000-000020040000}"/>
    <cellStyle name="Notas 5 4 2" xfId="1023" xr:uid="{00000000-0005-0000-0000-000021040000}"/>
    <cellStyle name="Notas 5 4 3" xfId="1195" xr:uid="{00000000-0005-0000-0000-000022040000}"/>
    <cellStyle name="Notas 5 4 4" xfId="1180" xr:uid="{00000000-0005-0000-0000-000023040000}"/>
    <cellStyle name="Notas 5 4 5" xfId="702" xr:uid="{00000000-0005-0000-0000-000024040000}"/>
    <cellStyle name="Notas 5 5" xfId="411" xr:uid="{00000000-0005-0000-0000-000025040000}"/>
    <cellStyle name="Notas 5 5 2" xfId="1058" xr:uid="{00000000-0005-0000-0000-000026040000}"/>
    <cellStyle name="Notas 5 5 3" xfId="1230" xr:uid="{00000000-0005-0000-0000-000027040000}"/>
    <cellStyle name="Notas 5 5 4" xfId="1302" xr:uid="{00000000-0005-0000-0000-000028040000}"/>
    <cellStyle name="Notas 5 5 5" xfId="737" xr:uid="{00000000-0005-0000-0000-000029040000}"/>
    <cellStyle name="Notas 5 6" xfId="493" xr:uid="{00000000-0005-0000-0000-00002A040000}"/>
    <cellStyle name="Notas 5 6 2" xfId="1137" xr:uid="{00000000-0005-0000-0000-00002B040000}"/>
    <cellStyle name="Notas 5 6 3" xfId="1275" xr:uid="{00000000-0005-0000-0000-00002C040000}"/>
    <cellStyle name="Notas 5 6 4" xfId="1323" xr:uid="{00000000-0005-0000-0000-00002D040000}"/>
    <cellStyle name="Notas 5 6 5" xfId="816" xr:uid="{00000000-0005-0000-0000-00002E040000}"/>
    <cellStyle name="Notas 5 7" xfId="501" xr:uid="{00000000-0005-0000-0000-00002F040000}"/>
    <cellStyle name="Notas 5 7 2" xfId="1144" xr:uid="{00000000-0005-0000-0000-000030040000}"/>
    <cellStyle name="Notas 5 7 3" xfId="1282" xr:uid="{00000000-0005-0000-0000-000031040000}"/>
    <cellStyle name="Notas 5 7 4" xfId="1330" xr:uid="{00000000-0005-0000-0000-000032040000}"/>
    <cellStyle name="Notas 5 7 5" xfId="823" xr:uid="{00000000-0005-0000-0000-000033040000}"/>
    <cellStyle name="Notas 5 8" xfId="869" xr:uid="{00000000-0005-0000-0000-000034040000}"/>
    <cellStyle name="Notas 5 9" xfId="1158" xr:uid="{00000000-0005-0000-0000-000035040000}"/>
    <cellStyle name="Notas 6" xfId="204" xr:uid="{00000000-0005-0000-0000-000036040000}"/>
    <cellStyle name="Notas 6 10" xfId="566" xr:uid="{00000000-0005-0000-0000-000037040000}"/>
    <cellStyle name="Notas 6 2" xfId="322" xr:uid="{00000000-0005-0000-0000-000038040000}"/>
    <cellStyle name="Notas 6 2 2" xfId="971" xr:uid="{00000000-0005-0000-0000-000039040000}"/>
    <cellStyle name="Notas 6 2 3" xfId="1174" xr:uid="{00000000-0005-0000-0000-00003A040000}"/>
    <cellStyle name="Notas 6 2 4" xfId="849" xr:uid="{00000000-0005-0000-0000-00003B040000}"/>
    <cellStyle name="Notas 6 2 5" xfId="650" xr:uid="{00000000-0005-0000-0000-00003C040000}"/>
    <cellStyle name="Notas 6 3" xfId="431" xr:uid="{00000000-0005-0000-0000-00003D040000}"/>
    <cellStyle name="Notas 6 3 2" xfId="1078" xr:uid="{00000000-0005-0000-0000-00003E040000}"/>
    <cellStyle name="Notas 6 3 3" xfId="1247" xr:uid="{00000000-0005-0000-0000-00003F040000}"/>
    <cellStyle name="Notas 6 3 4" xfId="883" xr:uid="{00000000-0005-0000-0000-000040040000}"/>
    <cellStyle name="Notas 6 3 5" xfId="757" xr:uid="{00000000-0005-0000-0000-000041040000}"/>
    <cellStyle name="Notas 6 4" xfId="375" xr:uid="{00000000-0005-0000-0000-000042040000}"/>
    <cellStyle name="Notas 6 4 2" xfId="1022" xr:uid="{00000000-0005-0000-0000-000043040000}"/>
    <cellStyle name="Notas 6 4 3" xfId="1194" xr:uid="{00000000-0005-0000-0000-000044040000}"/>
    <cellStyle name="Notas 6 4 4" xfId="1190" xr:uid="{00000000-0005-0000-0000-000045040000}"/>
    <cellStyle name="Notas 6 4 5" xfId="701" xr:uid="{00000000-0005-0000-0000-000046040000}"/>
    <cellStyle name="Notas 6 5" xfId="412" xr:uid="{00000000-0005-0000-0000-000047040000}"/>
    <cellStyle name="Notas 6 5 2" xfId="1059" xr:uid="{00000000-0005-0000-0000-000048040000}"/>
    <cellStyle name="Notas 6 5 3" xfId="1231" xr:uid="{00000000-0005-0000-0000-000049040000}"/>
    <cellStyle name="Notas 6 5 4" xfId="1298" xr:uid="{00000000-0005-0000-0000-00004A040000}"/>
    <cellStyle name="Notas 6 5 5" xfId="738" xr:uid="{00000000-0005-0000-0000-00004B040000}"/>
    <cellStyle name="Notas 6 6" xfId="390" xr:uid="{00000000-0005-0000-0000-00004C040000}"/>
    <cellStyle name="Notas 6 6 2" xfId="1037" xr:uid="{00000000-0005-0000-0000-00004D040000}"/>
    <cellStyle name="Notas 6 6 3" xfId="1209" xr:uid="{00000000-0005-0000-0000-00004E040000}"/>
    <cellStyle name="Notas 6 6 4" xfId="856" xr:uid="{00000000-0005-0000-0000-00004F040000}"/>
    <cellStyle name="Notas 6 6 5" xfId="716" xr:uid="{00000000-0005-0000-0000-000050040000}"/>
    <cellStyle name="Notas 6 7" xfId="399" xr:uid="{00000000-0005-0000-0000-000051040000}"/>
    <cellStyle name="Notas 6 7 2" xfId="1046" xr:uid="{00000000-0005-0000-0000-000052040000}"/>
    <cellStyle name="Notas 6 7 3" xfId="1218" xr:uid="{00000000-0005-0000-0000-000053040000}"/>
    <cellStyle name="Notas 6 7 4" xfId="1299" xr:uid="{00000000-0005-0000-0000-000054040000}"/>
    <cellStyle name="Notas 6 7 5" xfId="725" xr:uid="{00000000-0005-0000-0000-000055040000}"/>
    <cellStyle name="Notas 6 8" xfId="870" xr:uid="{00000000-0005-0000-0000-000056040000}"/>
    <cellStyle name="Notas 6 9" xfId="831" xr:uid="{00000000-0005-0000-0000-000057040000}"/>
    <cellStyle name="Notas 7" xfId="205" xr:uid="{00000000-0005-0000-0000-000058040000}"/>
    <cellStyle name="Notas 7 10" xfId="567" xr:uid="{00000000-0005-0000-0000-000059040000}"/>
    <cellStyle name="Notas 7 2" xfId="323" xr:uid="{00000000-0005-0000-0000-00005A040000}"/>
    <cellStyle name="Notas 7 2 2" xfId="972" xr:uid="{00000000-0005-0000-0000-00005B040000}"/>
    <cellStyle name="Notas 7 2 3" xfId="1175" xr:uid="{00000000-0005-0000-0000-00005C040000}"/>
    <cellStyle name="Notas 7 2 4" xfId="894" xr:uid="{00000000-0005-0000-0000-00005D040000}"/>
    <cellStyle name="Notas 7 2 5" xfId="651" xr:uid="{00000000-0005-0000-0000-00005E040000}"/>
    <cellStyle name="Notas 7 3" xfId="432" xr:uid="{00000000-0005-0000-0000-00005F040000}"/>
    <cellStyle name="Notas 7 3 2" xfId="1079" xr:uid="{00000000-0005-0000-0000-000060040000}"/>
    <cellStyle name="Notas 7 3 3" xfId="1248" xr:uid="{00000000-0005-0000-0000-000061040000}"/>
    <cellStyle name="Notas 7 3 4" xfId="884" xr:uid="{00000000-0005-0000-0000-000062040000}"/>
    <cellStyle name="Notas 7 3 5" xfId="758" xr:uid="{00000000-0005-0000-0000-000063040000}"/>
    <cellStyle name="Notas 7 4" xfId="374" xr:uid="{00000000-0005-0000-0000-000064040000}"/>
    <cellStyle name="Notas 7 4 2" xfId="1021" xr:uid="{00000000-0005-0000-0000-000065040000}"/>
    <cellStyle name="Notas 7 4 3" xfId="1193" xr:uid="{00000000-0005-0000-0000-000066040000}"/>
    <cellStyle name="Notas 7 4 4" xfId="1255" xr:uid="{00000000-0005-0000-0000-000067040000}"/>
    <cellStyle name="Notas 7 4 5" xfId="700" xr:uid="{00000000-0005-0000-0000-000068040000}"/>
    <cellStyle name="Notas 7 5" xfId="413" xr:uid="{00000000-0005-0000-0000-000069040000}"/>
    <cellStyle name="Notas 7 5 2" xfId="1060" xr:uid="{00000000-0005-0000-0000-00006A040000}"/>
    <cellStyle name="Notas 7 5 3" xfId="1232" xr:uid="{00000000-0005-0000-0000-00006B040000}"/>
    <cellStyle name="Notas 7 5 4" xfId="1294" xr:uid="{00000000-0005-0000-0000-00006C040000}"/>
    <cellStyle name="Notas 7 5 5" xfId="739" xr:uid="{00000000-0005-0000-0000-00006D040000}"/>
    <cellStyle name="Notas 7 6" xfId="495" xr:uid="{00000000-0005-0000-0000-00006E040000}"/>
    <cellStyle name="Notas 7 6 2" xfId="1138" xr:uid="{00000000-0005-0000-0000-00006F040000}"/>
    <cellStyle name="Notas 7 6 3" xfId="1276" xr:uid="{00000000-0005-0000-0000-000070040000}"/>
    <cellStyle name="Notas 7 6 4" xfId="1324" xr:uid="{00000000-0005-0000-0000-000071040000}"/>
    <cellStyle name="Notas 7 6 5" xfId="817" xr:uid="{00000000-0005-0000-0000-000072040000}"/>
    <cellStyle name="Notas 7 7" xfId="503" xr:uid="{00000000-0005-0000-0000-000073040000}"/>
    <cellStyle name="Notas 7 7 2" xfId="1145" xr:uid="{00000000-0005-0000-0000-000074040000}"/>
    <cellStyle name="Notas 7 7 3" xfId="1284" xr:uid="{00000000-0005-0000-0000-000075040000}"/>
    <cellStyle name="Notas 7 7 4" xfId="1331" xr:uid="{00000000-0005-0000-0000-000076040000}"/>
    <cellStyle name="Notas 7 7 5" xfId="824" xr:uid="{00000000-0005-0000-0000-000077040000}"/>
    <cellStyle name="Notas 7 8" xfId="871" xr:uid="{00000000-0005-0000-0000-000078040000}"/>
    <cellStyle name="Notas 7 9" xfId="1262" xr:uid="{00000000-0005-0000-0000-000079040000}"/>
    <cellStyle name="Notas 8" xfId="206" xr:uid="{00000000-0005-0000-0000-00007A040000}"/>
    <cellStyle name="Notas 8 10" xfId="568" xr:uid="{00000000-0005-0000-0000-00007B040000}"/>
    <cellStyle name="Notas 8 2" xfId="324" xr:uid="{00000000-0005-0000-0000-00007C040000}"/>
    <cellStyle name="Notas 8 2 2" xfId="973" xr:uid="{00000000-0005-0000-0000-00007D040000}"/>
    <cellStyle name="Notas 8 2 3" xfId="1176" xr:uid="{00000000-0005-0000-0000-00007E040000}"/>
    <cellStyle name="Notas 8 2 4" xfId="850" xr:uid="{00000000-0005-0000-0000-00007F040000}"/>
    <cellStyle name="Notas 8 2 5" xfId="652" xr:uid="{00000000-0005-0000-0000-000080040000}"/>
    <cellStyle name="Notas 8 3" xfId="433" xr:uid="{00000000-0005-0000-0000-000081040000}"/>
    <cellStyle name="Notas 8 3 2" xfId="1080" xr:uid="{00000000-0005-0000-0000-000082040000}"/>
    <cellStyle name="Notas 8 3 3" xfId="1249" xr:uid="{00000000-0005-0000-0000-000083040000}"/>
    <cellStyle name="Notas 8 3 4" xfId="1308" xr:uid="{00000000-0005-0000-0000-000084040000}"/>
    <cellStyle name="Notas 8 3 5" xfId="759" xr:uid="{00000000-0005-0000-0000-000085040000}"/>
    <cellStyle name="Notas 8 4" xfId="373" xr:uid="{00000000-0005-0000-0000-000086040000}"/>
    <cellStyle name="Notas 8 4 2" xfId="1020" xr:uid="{00000000-0005-0000-0000-000087040000}"/>
    <cellStyle name="Notas 8 4 3" xfId="1192" xr:uid="{00000000-0005-0000-0000-000088040000}"/>
    <cellStyle name="Notas 8 4 4" xfId="1268" xr:uid="{00000000-0005-0000-0000-000089040000}"/>
    <cellStyle name="Notas 8 4 5" xfId="699" xr:uid="{00000000-0005-0000-0000-00008A040000}"/>
    <cellStyle name="Notas 8 5" xfId="414" xr:uid="{00000000-0005-0000-0000-00008B040000}"/>
    <cellStyle name="Notas 8 5 2" xfId="1061" xr:uid="{00000000-0005-0000-0000-00008C040000}"/>
    <cellStyle name="Notas 8 5 3" xfId="1233" xr:uid="{00000000-0005-0000-0000-00008D040000}"/>
    <cellStyle name="Notas 8 5 4" xfId="932" xr:uid="{00000000-0005-0000-0000-00008E040000}"/>
    <cellStyle name="Notas 8 5 5" xfId="740" xr:uid="{00000000-0005-0000-0000-00008F040000}"/>
    <cellStyle name="Notas 8 6" xfId="389" xr:uid="{00000000-0005-0000-0000-000090040000}"/>
    <cellStyle name="Notas 8 6 2" xfId="1036" xr:uid="{00000000-0005-0000-0000-000091040000}"/>
    <cellStyle name="Notas 8 6 3" xfId="1208" xr:uid="{00000000-0005-0000-0000-000092040000}"/>
    <cellStyle name="Notas 8 6 4" xfId="1290" xr:uid="{00000000-0005-0000-0000-000093040000}"/>
    <cellStyle name="Notas 8 6 5" xfId="715" xr:uid="{00000000-0005-0000-0000-000094040000}"/>
    <cellStyle name="Notas 8 7" xfId="459" xr:uid="{00000000-0005-0000-0000-000095040000}"/>
    <cellStyle name="Notas 8 7 2" xfId="1104" xr:uid="{00000000-0005-0000-0000-000096040000}"/>
    <cellStyle name="Notas 8 7 3" xfId="1261" xr:uid="{00000000-0005-0000-0000-000097040000}"/>
    <cellStyle name="Notas 8 7 4" xfId="1314" xr:uid="{00000000-0005-0000-0000-000098040000}"/>
    <cellStyle name="Notas 8 7 5" xfId="783" xr:uid="{00000000-0005-0000-0000-000099040000}"/>
    <cellStyle name="Notas 8 8" xfId="872" xr:uid="{00000000-0005-0000-0000-00009A040000}"/>
    <cellStyle name="Notas 8 9" xfId="1185" xr:uid="{00000000-0005-0000-0000-00009B040000}"/>
    <cellStyle name="Note 2" xfId="1156" xr:uid="{00000000-0005-0000-0000-00009C040000}"/>
    <cellStyle name="Porcentaje" xfId="207" builtinId="5"/>
    <cellStyle name="Porcentaje 2" xfId="208" xr:uid="{00000000-0005-0000-0000-00009E040000}"/>
    <cellStyle name="Porcentaje 2 2" xfId="283" xr:uid="{00000000-0005-0000-0000-00009F040000}"/>
    <cellStyle name="Porcentaje 3" xfId="209" xr:uid="{00000000-0005-0000-0000-0000A0040000}"/>
    <cellStyle name="Porcentaje 3 2" xfId="245" xr:uid="{00000000-0005-0000-0000-0000A1040000}"/>
    <cellStyle name="Porcentaje 3 3" xfId="325" xr:uid="{00000000-0005-0000-0000-0000A2040000}"/>
    <cellStyle name="Porcentaje 3 3 2" xfId="974" xr:uid="{00000000-0005-0000-0000-0000A3040000}"/>
    <cellStyle name="Porcentaje 3 3 3" xfId="653" xr:uid="{00000000-0005-0000-0000-0000A4040000}"/>
    <cellStyle name="Porcentaje 3 4" xfId="435" xr:uid="{00000000-0005-0000-0000-0000A5040000}"/>
    <cellStyle name="Porcentaje 3 4 2" xfId="1082" xr:uid="{00000000-0005-0000-0000-0000A6040000}"/>
    <cellStyle name="Porcentaje 3 4 3" xfId="761" xr:uid="{00000000-0005-0000-0000-0000A7040000}"/>
    <cellStyle name="Porcentaje 3 5" xfId="875" xr:uid="{00000000-0005-0000-0000-0000A8040000}"/>
    <cellStyle name="Porcentaje 3 6" xfId="569" xr:uid="{00000000-0005-0000-0000-0000A9040000}"/>
    <cellStyle name="Porcentaje 4" xfId="242" xr:uid="{00000000-0005-0000-0000-0000AA040000}"/>
    <cellStyle name="Porcentaje 4 2" xfId="243" xr:uid="{00000000-0005-0000-0000-0000AB040000}"/>
    <cellStyle name="Porcentaje 4 3" xfId="337" xr:uid="{00000000-0005-0000-0000-0000AC040000}"/>
    <cellStyle name="Porcentaje 4 3 2" xfId="985" xr:uid="{00000000-0005-0000-0000-0000AD040000}"/>
    <cellStyle name="Porcentaje 4 3 3" xfId="664" xr:uid="{00000000-0005-0000-0000-0000AE040000}"/>
    <cellStyle name="Porcentaje 4 4" xfId="450" xr:uid="{00000000-0005-0000-0000-0000AF040000}"/>
    <cellStyle name="Porcentaje 4 4 2" xfId="1095" xr:uid="{00000000-0005-0000-0000-0000B0040000}"/>
    <cellStyle name="Porcentaje 4 4 3" xfId="774" xr:uid="{00000000-0005-0000-0000-0000B1040000}"/>
    <cellStyle name="Porcentaje 4 5" xfId="898" xr:uid="{00000000-0005-0000-0000-0000B2040000}"/>
    <cellStyle name="Porcentaje 4 6" xfId="581" xr:uid="{00000000-0005-0000-0000-0000B3040000}"/>
    <cellStyle name="Porcentaje 5" xfId="256" xr:uid="{00000000-0005-0000-0000-0000B4040000}"/>
    <cellStyle name="Porcentaje 5 2" xfId="346" xr:uid="{00000000-0005-0000-0000-0000B5040000}"/>
    <cellStyle name="Porcentaje 5 2 2" xfId="994" xr:uid="{00000000-0005-0000-0000-0000B6040000}"/>
    <cellStyle name="Porcentaje 5 2 3" xfId="673" xr:uid="{00000000-0005-0000-0000-0000B7040000}"/>
    <cellStyle name="Porcentaje 5 3" xfId="460" xr:uid="{00000000-0005-0000-0000-0000B8040000}"/>
    <cellStyle name="Porcentaje 5 3 2" xfId="1105" xr:uid="{00000000-0005-0000-0000-0000B9040000}"/>
    <cellStyle name="Porcentaje 5 3 3" xfId="784" xr:uid="{00000000-0005-0000-0000-0000BA040000}"/>
    <cellStyle name="Porcentaje 5 4" xfId="908" xr:uid="{00000000-0005-0000-0000-0000BB040000}"/>
    <cellStyle name="Porcentaje 5 5" xfId="589" xr:uid="{00000000-0005-0000-0000-0000BC040000}"/>
    <cellStyle name="Porcentaje 6" xfId="269" xr:uid="{00000000-0005-0000-0000-0000BD040000}"/>
    <cellStyle name="Porcentaje 6 2" xfId="358" xr:uid="{00000000-0005-0000-0000-0000BE040000}"/>
    <cellStyle name="Porcentaje 6 2 2" xfId="1006" xr:uid="{00000000-0005-0000-0000-0000BF040000}"/>
    <cellStyle name="Porcentaje 6 2 3" xfId="685" xr:uid="{00000000-0005-0000-0000-0000C0040000}"/>
    <cellStyle name="Porcentaje 6 3" xfId="472" xr:uid="{00000000-0005-0000-0000-0000C1040000}"/>
    <cellStyle name="Porcentaje 6 3 2" xfId="1117" xr:uid="{00000000-0005-0000-0000-0000C2040000}"/>
    <cellStyle name="Porcentaje 6 3 3" xfId="796" xr:uid="{00000000-0005-0000-0000-0000C3040000}"/>
    <cellStyle name="Porcentaje 6 4" xfId="921" xr:uid="{00000000-0005-0000-0000-0000C4040000}"/>
    <cellStyle name="Porcentaje 6 5" xfId="601" xr:uid="{00000000-0005-0000-0000-0000C5040000}"/>
    <cellStyle name="Porcentaje 7" xfId="275" xr:uid="{00000000-0005-0000-0000-0000C6040000}"/>
    <cellStyle name="Porcentaje 7 2" xfId="364" xr:uid="{00000000-0005-0000-0000-0000C7040000}"/>
    <cellStyle name="Porcentaje 7 2 2" xfId="1012" xr:uid="{00000000-0005-0000-0000-0000C8040000}"/>
    <cellStyle name="Porcentaje 7 2 3" xfId="691" xr:uid="{00000000-0005-0000-0000-0000C9040000}"/>
    <cellStyle name="Porcentaje 7 3" xfId="478" xr:uid="{00000000-0005-0000-0000-0000CA040000}"/>
    <cellStyle name="Porcentaje 7 3 2" xfId="1123" xr:uid="{00000000-0005-0000-0000-0000CB040000}"/>
    <cellStyle name="Porcentaje 7 3 3" xfId="802" xr:uid="{00000000-0005-0000-0000-0000CC040000}"/>
    <cellStyle name="Porcentaje 7 4" xfId="927" xr:uid="{00000000-0005-0000-0000-0000CD040000}"/>
    <cellStyle name="Porcentaje 7 5" xfId="607" xr:uid="{00000000-0005-0000-0000-0000CE040000}"/>
    <cellStyle name="Porcentual 2" xfId="210" xr:uid="{00000000-0005-0000-0000-0000CF040000}"/>
    <cellStyle name="Porcentual 2 2" xfId="211" xr:uid="{00000000-0005-0000-0000-0000D0040000}"/>
    <cellStyle name="Porcentual 2 2 2" xfId="212" xr:uid="{00000000-0005-0000-0000-0000D1040000}"/>
    <cellStyle name="Porcentual 2 3" xfId="213" xr:uid="{00000000-0005-0000-0000-0000D2040000}"/>
    <cellStyle name="Porcentual 3" xfId="214" xr:uid="{00000000-0005-0000-0000-0000D3040000}"/>
    <cellStyle name="Porcentual 3 2" xfId="215" xr:uid="{00000000-0005-0000-0000-0000D4040000}"/>
    <cellStyle name="Porcentual 4" xfId="216" xr:uid="{00000000-0005-0000-0000-0000D5040000}"/>
    <cellStyle name="Porcentual 4 2" xfId="217" xr:uid="{00000000-0005-0000-0000-0000D6040000}"/>
    <cellStyle name="Porcentual 5" xfId="218" xr:uid="{00000000-0005-0000-0000-0000D7040000}"/>
    <cellStyle name="Porcentual 5 2" xfId="219" xr:uid="{00000000-0005-0000-0000-0000D8040000}"/>
    <cellStyle name="Salida" xfId="277" builtinId="21" customBuiltin="1"/>
    <cellStyle name="Salida 2" xfId="220" xr:uid="{00000000-0005-0000-0000-0000DA040000}"/>
    <cellStyle name="Salida 2 10" xfId="570" xr:uid="{00000000-0005-0000-0000-0000DB040000}"/>
    <cellStyle name="Salida 2 2" xfId="326" xr:uid="{00000000-0005-0000-0000-0000DC040000}"/>
    <cellStyle name="Salida 2 2 2" xfId="975" xr:uid="{00000000-0005-0000-0000-0000DD040000}"/>
    <cellStyle name="Salida 2 2 3" xfId="1177" xr:uid="{00000000-0005-0000-0000-0000DE040000}"/>
    <cellStyle name="Salida 2 2 4" xfId="851" xr:uid="{00000000-0005-0000-0000-0000DF040000}"/>
    <cellStyle name="Salida 2 2 5" xfId="654" xr:uid="{00000000-0005-0000-0000-0000E0040000}"/>
    <cellStyle name="Salida 2 3" xfId="437" xr:uid="{00000000-0005-0000-0000-0000E1040000}"/>
    <cellStyle name="Salida 2 3 2" xfId="1084" xr:uid="{00000000-0005-0000-0000-0000E2040000}"/>
    <cellStyle name="Salida 2 3 3" xfId="1252" xr:uid="{00000000-0005-0000-0000-0000E3040000}"/>
    <cellStyle name="Salida 2 3 4" xfId="1296" xr:uid="{00000000-0005-0000-0000-0000E4040000}"/>
    <cellStyle name="Salida 2 3 5" xfId="763" xr:uid="{00000000-0005-0000-0000-0000E5040000}"/>
    <cellStyle name="Salida 2 4" xfId="372" xr:uid="{00000000-0005-0000-0000-0000E6040000}"/>
    <cellStyle name="Salida 2 4 2" xfId="1019" xr:uid="{00000000-0005-0000-0000-0000E7040000}"/>
    <cellStyle name="Salida 2 4 3" xfId="1191" xr:uid="{00000000-0005-0000-0000-0000E8040000}"/>
    <cellStyle name="Salida 2 4 4" xfId="1256" xr:uid="{00000000-0005-0000-0000-0000E9040000}"/>
    <cellStyle name="Salida 2 4 5" xfId="698" xr:uid="{00000000-0005-0000-0000-0000EA040000}"/>
    <cellStyle name="Salida 2 5" xfId="417" xr:uid="{00000000-0005-0000-0000-0000EB040000}"/>
    <cellStyle name="Salida 2 5 2" xfId="1064" xr:uid="{00000000-0005-0000-0000-0000EC040000}"/>
    <cellStyle name="Salida 2 5 3" xfId="1235" xr:uid="{00000000-0005-0000-0000-0000ED040000}"/>
    <cellStyle name="Salida 2 5 4" xfId="876" xr:uid="{00000000-0005-0000-0000-0000EE040000}"/>
    <cellStyle name="Salida 2 5 5" xfId="743" xr:uid="{00000000-0005-0000-0000-0000EF040000}"/>
    <cellStyle name="Salida 2 6" xfId="387" xr:uid="{00000000-0005-0000-0000-0000F0040000}"/>
    <cellStyle name="Salida 2 6 2" xfId="1034" xr:uid="{00000000-0005-0000-0000-0000F1040000}"/>
    <cellStyle name="Salida 2 6 3" xfId="1206" xr:uid="{00000000-0005-0000-0000-0000F2040000}"/>
    <cellStyle name="Salida 2 6 4" xfId="1164" xr:uid="{00000000-0005-0000-0000-0000F3040000}"/>
    <cellStyle name="Salida 2 6 5" xfId="713" xr:uid="{00000000-0005-0000-0000-0000F4040000}"/>
    <cellStyle name="Salida 2 7" xfId="401" xr:uid="{00000000-0005-0000-0000-0000F5040000}"/>
    <cellStyle name="Salida 2 7 2" xfId="1048" xr:uid="{00000000-0005-0000-0000-0000F6040000}"/>
    <cellStyle name="Salida 2 7 3" xfId="1220" xr:uid="{00000000-0005-0000-0000-0000F7040000}"/>
    <cellStyle name="Salida 2 7 4" xfId="1291" xr:uid="{00000000-0005-0000-0000-0000F8040000}"/>
    <cellStyle name="Salida 2 7 5" xfId="727" xr:uid="{00000000-0005-0000-0000-0000F9040000}"/>
    <cellStyle name="Salida 2 8" xfId="885" xr:uid="{00000000-0005-0000-0000-0000FA040000}"/>
    <cellStyle name="Salida 2 9" xfId="1259" xr:uid="{00000000-0005-0000-0000-0000FB040000}"/>
    <cellStyle name="Texto de advertencia" xfId="524" builtinId="11" customBuiltin="1"/>
    <cellStyle name="Texto de advertencia 2" xfId="221" xr:uid="{00000000-0005-0000-0000-0000FD040000}"/>
    <cellStyle name="Texto explicativo" xfId="525" builtinId="53" customBuiltin="1"/>
    <cellStyle name="Texto explicativo 2" xfId="222" xr:uid="{00000000-0005-0000-0000-0000FF040000}"/>
    <cellStyle name="TITULO" xfId="223" xr:uid="{00000000-0005-0000-0000-000000050000}"/>
    <cellStyle name="Título" xfId="512" builtinId="15" customBuiltin="1"/>
    <cellStyle name="Título 1 2" xfId="224" xr:uid="{00000000-0005-0000-0000-000002050000}"/>
    <cellStyle name="Título 2" xfId="514" builtinId="17" customBuiltin="1"/>
    <cellStyle name="Título 2 2" xfId="225" xr:uid="{00000000-0005-0000-0000-000004050000}"/>
    <cellStyle name="Título 3" xfId="515" builtinId="18" customBuiltin="1"/>
    <cellStyle name="Título 3 2" xfId="226" xr:uid="{00000000-0005-0000-0000-000006050000}"/>
    <cellStyle name="Título 3 2 2" xfId="327" xr:uid="{00000000-0005-0000-0000-000007050000}"/>
    <cellStyle name="Título 3 2 2 2" xfId="976" xr:uid="{00000000-0005-0000-0000-000008050000}"/>
    <cellStyle name="Título 3 2 2 3" xfId="1178" xr:uid="{00000000-0005-0000-0000-000009050000}"/>
    <cellStyle name="Título 3 2 2 4" xfId="852" xr:uid="{00000000-0005-0000-0000-00000A050000}"/>
    <cellStyle name="Título 3 2 2 5" xfId="655" xr:uid="{00000000-0005-0000-0000-00000B050000}"/>
    <cellStyle name="Título 3 2 3" xfId="370" xr:uid="{00000000-0005-0000-0000-00000C050000}"/>
    <cellStyle name="Título 3 2 3 2" xfId="1018" xr:uid="{00000000-0005-0000-0000-00000D050000}"/>
    <cellStyle name="Título 3 2 3 3" xfId="1189" xr:uid="{00000000-0005-0000-0000-00000E050000}"/>
    <cellStyle name="Título 3 2 3 4" xfId="1283" xr:uid="{00000000-0005-0000-0000-00000F050000}"/>
    <cellStyle name="Título 3 2 3 5" xfId="697" xr:uid="{00000000-0005-0000-0000-000010050000}"/>
    <cellStyle name="Título 3 2 4" xfId="484" xr:uid="{00000000-0005-0000-0000-000011050000}"/>
    <cellStyle name="Título 3 2 4 2" xfId="1129" xr:uid="{00000000-0005-0000-0000-000012050000}"/>
    <cellStyle name="Título 3 2 4 3" xfId="1266" xr:uid="{00000000-0005-0000-0000-000013050000}"/>
    <cellStyle name="Título 3 2 4 4" xfId="1315" xr:uid="{00000000-0005-0000-0000-000014050000}"/>
    <cellStyle name="Título 3 2 4 5" xfId="808" xr:uid="{00000000-0005-0000-0000-000015050000}"/>
    <cellStyle name="Título 3 2 5" xfId="419" xr:uid="{00000000-0005-0000-0000-000016050000}"/>
    <cellStyle name="Título 3 2 5 2" xfId="1066" xr:uid="{00000000-0005-0000-0000-000017050000}"/>
    <cellStyle name="Título 3 2 5 3" xfId="1236" xr:uid="{00000000-0005-0000-0000-000018050000}"/>
    <cellStyle name="Título 3 2 5 4" xfId="877" xr:uid="{00000000-0005-0000-0000-000019050000}"/>
    <cellStyle name="Título 3 2 5 5" xfId="745" xr:uid="{00000000-0005-0000-0000-00001A050000}"/>
    <cellStyle name="Título 3 2 6" xfId="386" xr:uid="{00000000-0005-0000-0000-00001B050000}"/>
    <cellStyle name="Título 3 2 6 2" xfId="1033" xr:uid="{00000000-0005-0000-0000-00001C050000}"/>
    <cellStyle name="Título 3 2 6 3" xfId="1205" xr:uid="{00000000-0005-0000-0000-00001D050000}"/>
    <cellStyle name="Título 3 2 6 4" xfId="1163" xr:uid="{00000000-0005-0000-0000-00001E050000}"/>
    <cellStyle name="Título 3 2 6 5" xfId="712" xr:uid="{00000000-0005-0000-0000-00001F050000}"/>
    <cellStyle name="Título 3 2 7" xfId="886" xr:uid="{00000000-0005-0000-0000-000020050000}"/>
    <cellStyle name="Título 3 2 8" xfId="834" xr:uid="{00000000-0005-0000-0000-000021050000}"/>
    <cellStyle name="Título 3 2 9" xfId="571" xr:uid="{00000000-0005-0000-0000-000022050000}"/>
    <cellStyle name="Título 4" xfId="227" xr:uid="{00000000-0005-0000-0000-000023050000}"/>
    <cellStyle name="Título de hoja" xfId="228" xr:uid="{00000000-0005-0000-0000-000024050000}"/>
    <cellStyle name="Total" xfId="526" builtinId="25" customBuiltin="1"/>
    <cellStyle name="Total 2" xfId="229" xr:uid="{00000000-0005-0000-0000-000026050000}"/>
    <cellStyle name="Total 2 10" xfId="572" xr:uid="{00000000-0005-0000-0000-000027050000}"/>
    <cellStyle name="Total 2 2" xfId="328" xr:uid="{00000000-0005-0000-0000-000028050000}"/>
    <cellStyle name="Total 2 2 2" xfId="977" xr:uid="{00000000-0005-0000-0000-000029050000}"/>
    <cellStyle name="Total 2 2 3" xfId="1179" xr:uid="{00000000-0005-0000-0000-00002A050000}"/>
    <cellStyle name="Total 2 2 4" xfId="853" xr:uid="{00000000-0005-0000-0000-00002B050000}"/>
    <cellStyle name="Total 2 2 5" xfId="656" xr:uid="{00000000-0005-0000-0000-00002C050000}"/>
    <cellStyle name="Total 2 3" xfId="439" xr:uid="{00000000-0005-0000-0000-00002D050000}"/>
    <cellStyle name="Total 2 3 2" xfId="1086" xr:uid="{00000000-0005-0000-0000-00002E050000}"/>
    <cellStyle name="Total 2 3 3" xfId="1254" xr:uid="{00000000-0005-0000-0000-00002F050000}"/>
    <cellStyle name="Total 2 3 4" xfId="1311" xr:uid="{00000000-0005-0000-0000-000030050000}"/>
    <cellStyle name="Total 2 3 5" xfId="765" xr:uid="{00000000-0005-0000-0000-000031050000}"/>
    <cellStyle name="Total 2 4" xfId="485" xr:uid="{00000000-0005-0000-0000-000032050000}"/>
    <cellStyle name="Total 2 4 2" xfId="1130" xr:uid="{00000000-0005-0000-0000-000033050000}"/>
    <cellStyle name="Total 2 4 3" xfId="1267" xr:uid="{00000000-0005-0000-0000-000034050000}"/>
    <cellStyle name="Total 2 4 4" xfId="1316" xr:uid="{00000000-0005-0000-0000-000035050000}"/>
    <cellStyle name="Total 2 4 5" xfId="809" xr:uid="{00000000-0005-0000-0000-000036050000}"/>
    <cellStyle name="Total 2 5" xfId="420" xr:uid="{00000000-0005-0000-0000-000037050000}"/>
    <cellStyle name="Total 2 5 2" xfId="1067" xr:uid="{00000000-0005-0000-0000-000038050000}"/>
    <cellStyle name="Total 2 5 3" xfId="1237" xr:uid="{00000000-0005-0000-0000-000039050000}"/>
    <cellStyle name="Total 2 5 4" xfId="1309" xr:uid="{00000000-0005-0000-0000-00003A050000}"/>
    <cellStyle name="Total 2 5 5" xfId="746" xr:uid="{00000000-0005-0000-0000-00003B050000}"/>
    <cellStyle name="Total 2 6" xfId="385" xr:uid="{00000000-0005-0000-0000-00003C050000}"/>
    <cellStyle name="Total 2 6 2" xfId="1032" xr:uid="{00000000-0005-0000-0000-00003D050000}"/>
    <cellStyle name="Total 2 6 3" xfId="1204" xr:uid="{00000000-0005-0000-0000-00003E050000}"/>
    <cellStyle name="Total 2 6 4" xfId="1161" xr:uid="{00000000-0005-0000-0000-00003F050000}"/>
    <cellStyle name="Total 2 6 5" xfId="711" xr:uid="{00000000-0005-0000-0000-000040050000}"/>
    <cellStyle name="Total 2 7" xfId="402" xr:uid="{00000000-0005-0000-0000-000041050000}"/>
    <cellStyle name="Total 2 7 2" xfId="1049" xr:uid="{00000000-0005-0000-0000-000042050000}"/>
    <cellStyle name="Total 2 7 3" xfId="1221" xr:uid="{00000000-0005-0000-0000-000043050000}"/>
    <cellStyle name="Total 2 7 4" xfId="897" xr:uid="{00000000-0005-0000-0000-000044050000}"/>
    <cellStyle name="Total 2 7 5" xfId="728" xr:uid="{00000000-0005-0000-0000-000045050000}"/>
    <cellStyle name="Total 2 8" xfId="887" xr:uid="{00000000-0005-0000-0000-000046050000}"/>
    <cellStyle name="Total 2 9" xfId="1184" xr:uid="{00000000-0005-0000-0000-000047050000}"/>
  </cellStyles>
  <dxfs count="10">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ill>
        <patternFill>
          <fgColor auto="1"/>
          <bgColor rgb="FF00B050"/>
        </patternFill>
      </fill>
    </dxf>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ont>
        <condense val="0"/>
        <extend val="0"/>
        <color indexed="12"/>
      </font>
    </dxf>
    <dxf>
      <font>
        <condense val="0"/>
        <extend val="0"/>
        <color indexed="12"/>
      </font>
    </dxf>
    <dxf>
      <fill>
        <patternFill>
          <bgColor theme="3" tint="0.799981688894314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84.xml"/><Relationship Id="rId21" Type="http://schemas.openxmlformats.org/officeDocument/2006/relationships/worksheet" Target="worksheets/sheet21.xml"/><Relationship Id="rId42" Type="http://schemas.openxmlformats.org/officeDocument/2006/relationships/externalLink" Target="externalLinks/externalLink9.xml"/><Relationship Id="rId47" Type="http://schemas.openxmlformats.org/officeDocument/2006/relationships/externalLink" Target="externalLinks/externalLink14.xml"/><Relationship Id="rId63" Type="http://schemas.openxmlformats.org/officeDocument/2006/relationships/externalLink" Target="externalLinks/externalLink30.xml"/><Relationship Id="rId68" Type="http://schemas.openxmlformats.org/officeDocument/2006/relationships/externalLink" Target="externalLinks/externalLink35.xml"/><Relationship Id="rId84" Type="http://schemas.openxmlformats.org/officeDocument/2006/relationships/externalLink" Target="externalLinks/externalLink51.xml"/><Relationship Id="rId89" Type="http://schemas.openxmlformats.org/officeDocument/2006/relationships/externalLink" Target="externalLinks/externalLink56.xml"/><Relationship Id="rId112" Type="http://schemas.openxmlformats.org/officeDocument/2006/relationships/externalLink" Target="externalLinks/externalLink79.xml"/><Relationship Id="rId16" Type="http://schemas.openxmlformats.org/officeDocument/2006/relationships/worksheet" Target="worksheets/sheet16.xml"/><Relationship Id="rId107" Type="http://schemas.openxmlformats.org/officeDocument/2006/relationships/externalLink" Target="externalLinks/externalLink74.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externalLink" Target="externalLinks/externalLink4.xml"/><Relationship Id="rId53" Type="http://schemas.openxmlformats.org/officeDocument/2006/relationships/externalLink" Target="externalLinks/externalLink20.xml"/><Relationship Id="rId58" Type="http://schemas.openxmlformats.org/officeDocument/2006/relationships/externalLink" Target="externalLinks/externalLink25.xml"/><Relationship Id="rId74" Type="http://schemas.openxmlformats.org/officeDocument/2006/relationships/externalLink" Target="externalLinks/externalLink41.xml"/><Relationship Id="rId79" Type="http://schemas.openxmlformats.org/officeDocument/2006/relationships/externalLink" Target="externalLinks/externalLink46.xml"/><Relationship Id="rId102" Type="http://schemas.openxmlformats.org/officeDocument/2006/relationships/externalLink" Target="externalLinks/externalLink69.xml"/><Relationship Id="rId5" Type="http://schemas.openxmlformats.org/officeDocument/2006/relationships/worksheet" Target="worksheets/sheet5.xml"/><Relationship Id="rId90" Type="http://schemas.openxmlformats.org/officeDocument/2006/relationships/externalLink" Target="externalLinks/externalLink57.xml"/><Relationship Id="rId95" Type="http://schemas.openxmlformats.org/officeDocument/2006/relationships/externalLink" Target="externalLinks/externalLink6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64" Type="http://schemas.openxmlformats.org/officeDocument/2006/relationships/externalLink" Target="externalLinks/externalLink31.xml"/><Relationship Id="rId69" Type="http://schemas.openxmlformats.org/officeDocument/2006/relationships/externalLink" Target="externalLinks/externalLink36.xml"/><Relationship Id="rId113" Type="http://schemas.openxmlformats.org/officeDocument/2006/relationships/externalLink" Target="externalLinks/externalLink80.xml"/><Relationship Id="rId118" Type="http://schemas.openxmlformats.org/officeDocument/2006/relationships/externalLink" Target="externalLinks/externalLink85.xml"/><Relationship Id="rId80" Type="http://schemas.openxmlformats.org/officeDocument/2006/relationships/externalLink" Target="externalLinks/externalLink47.xml"/><Relationship Id="rId85" Type="http://schemas.openxmlformats.org/officeDocument/2006/relationships/externalLink" Target="externalLinks/externalLink52.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5.xml"/><Relationship Id="rId59" Type="http://schemas.openxmlformats.org/officeDocument/2006/relationships/externalLink" Target="externalLinks/externalLink26.xml"/><Relationship Id="rId103" Type="http://schemas.openxmlformats.org/officeDocument/2006/relationships/externalLink" Target="externalLinks/externalLink70.xml"/><Relationship Id="rId108" Type="http://schemas.openxmlformats.org/officeDocument/2006/relationships/externalLink" Target="externalLinks/externalLink75.xml"/><Relationship Id="rId54" Type="http://schemas.openxmlformats.org/officeDocument/2006/relationships/externalLink" Target="externalLinks/externalLink21.xml"/><Relationship Id="rId70" Type="http://schemas.openxmlformats.org/officeDocument/2006/relationships/externalLink" Target="externalLinks/externalLink37.xml"/><Relationship Id="rId75" Type="http://schemas.openxmlformats.org/officeDocument/2006/relationships/externalLink" Target="externalLinks/externalLink42.xml"/><Relationship Id="rId91" Type="http://schemas.openxmlformats.org/officeDocument/2006/relationships/externalLink" Target="externalLinks/externalLink58.xml"/><Relationship Id="rId96" Type="http://schemas.openxmlformats.org/officeDocument/2006/relationships/externalLink" Target="externalLinks/externalLink6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6.xml"/><Relationship Id="rId114" Type="http://schemas.openxmlformats.org/officeDocument/2006/relationships/externalLink" Target="externalLinks/externalLink81.xml"/><Relationship Id="rId119" Type="http://schemas.openxmlformats.org/officeDocument/2006/relationships/theme" Target="theme/theme1.xml"/><Relationship Id="rId44" Type="http://schemas.openxmlformats.org/officeDocument/2006/relationships/externalLink" Target="externalLinks/externalLink11.xml"/><Relationship Id="rId60" Type="http://schemas.openxmlformats.org/officeDocument/2006/relationships/externalLink" Target="externalLinks/externalLink27.xml"/><Relationship Id="rId65" Type="http://schemas.openxmlformats.org/officeDocument/2006/relationships/externalLink" Target="externalLinks/externalLink32.xml"/><Relationship Id="rId81" Type="http://schemas.openxmlformats.org/officeDocument/2006/relationships/externalLink" Target="externalLinks/externalLink48.xml"/><Relationship Id="rId86" Type="http://schemas.openxmlformats.org/officeDocument/2006/relationships/externalLink" Target="externalLinks/externalLink5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6.xml"/><Relationship Id="rId109" Type="http://schemas.openxmlformats.org/officeDocument/2006/relationships/externalLink" Target="externalLinks/externalLink76.xml"/><Relationship Id="rId34" Type="http://schemas.openxmlformats.org/officeDocument/2006/relationships/externalLink" Target="externalLinks/externalLink1.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 Id="rId76" Type="http://schemas.openxmlformats.org/officeDocument/2006/relationships/externalLink" Target="externalLinks/externalLink43.xml"/><Relationship Id="rId97" Type="http://schemas.openxmlformats.org/officeDocument/2006/relationships/externalLink" Target="externalLinks/externalLink64.xml"/><Relationship Id="rId104" Type="http://schemas.openxmlformats.org/officeDocument/2006/relationships/externalLink" Target="externalLinks/externalLink71.xml"/><Relationship Id="rId120"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38.xml"/><Relationship Id="rId92" Type="http://schemas.openxmlformats.org/officeDocument/2006/relationships/externalLink" Target="externalLinks/externalLink5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66" Type="http://schemas.openxmlformats.org/officeDocument/2006/relationships/externalLink" Target="externalLinks/externalLink33.xml"/><Relationship Id="rId87" Type="http://schemas.openxmlformats.org/officeDocument/2006/relationships/externalLink" Target="externalLinks/externalLink54.xml"/><Relationship Id="rId110" Type="http://schemas.openxmlformats.org/officeDocument/2006/relationships/externalLink" Target="externalLinks/externalLink77.xml"/><Relationship Id="rId115" Type="http://schemas.openxmlformats.org/officeDocument/2006/relationships/externalLink" Target="externalLinks/externalLink82.xml"/><Relationship Id="rId61" Type="http://schemas.openxmlformats.org/officeDocument/2006/relationships/externalLink" Target="externalLinks/externalLink28.xml"/><Relationship Id="rId82" Type="http://schemas.openxmlformats.org/officeDocument/2006/relationships/externalLink" Target="externalLinks/externalLink49.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externalLink" Target="externalLinks/externalLink2.xml"/><Relationship Id="rId56" Type="http://schemas.openxmlformats.org/officeDocument/2006/relationships/externalLink" Target="externalLinks/externalLink23.xml"/><Relationship Id="rId77" Type="http://schemas.openxmlformats.org/officeDocument/2006/relationships/externalLink" Target="externalLinks/externalLink44.xml"/><Relationship Id="rId100" Type="http://schemas.openxmlformats.org/officeDocument/2006/relationships/externalLink" Target="externalLinks/externalLink67.xml"/><Relationship Id="rId105" Type="http://schemas.openxmlformats.org/officeDocument/2006/relationships/externalLink" Target="externalLinks/externalLink72.xml"/><Relationship Id="rId8" Type="http://schemas.openxmlformats.org/officeDocument/2006/relationships/worksheet" Target="worksheets/sheet8.xml"/><Relationship Id="rId51" Type="http://schemas.openxmlformats.org/officeDocument/2006/relationships/externalLink" Target="externalLinks/externalLink18.xml"/><Relationship Id="rId72" Type="http://schemas.openxmlformats.org/officeDocument/2006/relationships/externalLink" Target="externalLinks/externalLink39.xml"/><Relationship Id="rId93" Type="http://schemas.openxmlformats.org/officeDocument/2006/relationships/externalLink" Target="externalLinks/externalLink60.xml"/><Relationship Id="rId98" Type="http://schemas.openxmlformats.org/officeDocument/2006/relationships/externalLink" Target="externalLinks/externalLink6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3.xml"/><Relationship Id="rId67" Type="http://schemas.openxmlformats.org/officeDocument/2006/relationships/externalLink" Target="externalLinks/externalLink34.xml"/><Relationship Id="rId116" Type="http://schemas.openxmlformats.org/officeDocument/2006/relationships/externalLink" Target="externalLinks/externalLink83.xml"/><Relationship Id="rId20" Type="http://schemas.openxmlformats.org/officeDocument/2006/relationships/worksheet" Target="worksheets/sheet20.xml"/><Relationship Id="rId41" Type="http://schemas.openxmlformats.org/officeDocument/2006/relationships/externalLink" Target="externalLinks/externalLink8.xml"/><Relationship Id="rId62" Type="http://schemas.openxmlformats.org/officeDocument/2006/relationships/externalLink" Target="externalLinks/externalLink29.xml"/><Relationship Id="rId83" Type="http://schemas.openxmlformats.org/officeDocument/2006/relationships/externalLink" Target="externalLinks/externalLink50.xml"/><Relationship Id="rId88" Type="http://schemas.openxmlformats.org/officeDocument/2006/relationships/externalLink" Target="externalLinks/externalLink55.xml"/><Relationship Id="rId111" Type="http://schemas.openxmlformats.org/officeDocument/2006/relationships/externalLink" Target="externalLinks/externalLink78.xml"/><Relationship Id="rId15" Type="http://schemas.openxmlformats.org/officeDocument/2006/relationships/worksheet" Target="worksheets/sheet15.xml"/><Relationship Id="rId36" Type="http://schemas.openxmlformats.org/officeDocument/2006/relationships/externalLink" Target="externalLinks/externalLink3.xml"/><Relationship Id="rId57" Type="http://schemas.openxmlformats.org/officeDocument/2006/relationships/externalLink" Target="externalLinks/externalLink24.xml"/><Relationship Id="rId106" Type="http://schemas.openxmlformats.org/officeDocument/2006/relationships/externalLink" Target="externalLinks/externalLink7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9.xml"/><Relationship Id="rId73" Type="http://schemas.openxmlformats.org/officeDocument/2006/relationships/externalLink" Target="externalLinks/externalLink40.xml"/><Relationship Id="rId78" Type="http://schemas.openxmlformats.org/officeDocument/2006/relationships/externalLink" Target="externalLinks/externalLink45.xml"/><Relationship Id="rId94" Type="http://schemas.openxmlformats.org/officeDocument/2006/relationships/externalLink" Target="externalLinks/externalLink61.xml"/><Relationship Id="rId99" Type="http://schemas.openxmlformats.org/officeDocument/2006/relationships/externalLink" Target="externalLinks/externalLink66.xml"/><Relationship Id="rId101" Type="http://schemas.openxmlformats.org/officeDocument/2006/relationships/externalLink" Target="externalLinks/externalLink68.xml"/><Relationship Id="rId1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7</xdr:col>
      <xdr:colOff>412750</xdr:colOff>
      <xdr:row>1</xdr:row>
      <xdr:rowOff>47625</xdr:rowOff>
    </xdr:from>
    <xdr:to>
      <xdr:col>7</xdr:col>
      <xdr:colOff>1397000</xdr:colOff>
      <xdr:row>2</xdr:row>
      <xdr:rowOff>587375</xdr:rowOff>
    </xdr:to>
    <xdr:pic>
      <xdr:nvPicPr>
        <xdr:cNvPr id="3" name="Imagen 2" descr="250px-Colombia_COA_New">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5750" y="269875"/>
          <a:ext cx="984250" cy="1111250"/>
        </a:xfrm>
        <a:prstGeom prst="rect">
          <a:avLst/>
        </a:prstGeom>
        <a:noFill/>
        <a:ln>
          <a:noFill/>
        </a:ln>
      </xdr:spPr>
    </xdr:pic>
    <xdr:clientData/>
  </xdr:twoCellAnchor>
  <xdr:twoCellAnchor editAs="oneCell">
    <xdr:from>
      <xdr:col>1</xdr:col>
      <xdr:colOff>64214</xdr:colOff>
      <xdr:row>1</xdr:row>
      <xdr:rowOff>74916</xdr:rowOff>
    </xdr:from>
    <xdr:to>
      <xdr:col>2</xdr:col>
      <xdr:colOff>470899</xdr:colOff>
      <xdr:row>2</xdr:row>
      <xdr:rowOff>813371</xdr:rowOff>
    </xdr:to>
    <xdr:pic>
      <xdr:nvPicPr>
        <xdr:cNvPr id="5" name="Imagen 4">
          <a:extLst>
            <a:ext uri="{FF2B5EF4-FFF2-40B4-BE49-F238E27FC236}">
              <a16:creationId xmlns:a16="http://schemas.microsoft.com/office/drawing/2014/main" id="{D0896216-DC8D-482B-9F43-9ECD76863A7A}"/>
            </a:ext>
          </a:extLst>
        </xdr:cNvPr>
        <xdr:cNvPicPr/>
      </xdr:nvPicPr>
      <xdr:blipFill>
        <a:blip xmlns:r="http://schemas.openxmlformats.org/officeDocument/2006/relationships" r:embed="rId2"/>
        <a:stretch>
          <a:fillRect/>
        </a:stretch>
      </xdr:blipFill>
      <xdr:spPr>
        <a:xfrm>
          <a:off x="395984" y="299663"/>
          <a:ext cx="1016713" cy="13056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0</xdr:colOff>
      <xdr:row>136</xdr:row>
      <xdr:rowOff>0</xdr:rowOff>
    </xdr:from>
    <xdr:to>
      <xdr:col>22</xdr:col>
      <xdr:colOff>312964</xdr:colOff>
      <xdr:row>145</xdr:row>
      <xdr:rowOff>106068</xdr:rowOff>
    </xdr:to>
    <xdr:sp macro="" textlink="">
      <xdr:nvSpPr>
        <xdr:cNvPr id="3073" name="AutoShape 1">
          <a:extLst>
            <a:ext uri="{FF2B5EF4-FFF2-40B4-BE49-F238E27FC236}">
              <a16:creationId xmlns:a16="http://schemas.microsoft.com/office/drawing/2014/main" id="{41D66BB8-39A5-43F9-9407-98B2EF35FABA}"/>
            </a:ext>
          </a:extLst>
        </xdr:cNvPr>
        <xdr:cNvSpPr>
          <a:spLocks noChangeAspect="1" noChangeArrowheads="1"/>
        </xdr:cNvSpPr>
      </xdr:nvSpPr>
      <xdr:spPr bwMode="auto">
        <a:xfrm>
          <a:off x="20070536" y="24111857"/>
          <a:ext cx="1836964" cy="183696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0</xdr:colOff>
      <xdr:row>136</xdr:row>
      <xdr:rowOff>0</xdr:rowOff>
    </xdr:from>
    <xdr:to>
      <xdr:col>22</xdr:col>
      <xdr:colOff>304800</xdr:colOff>
      <xdr:row>137</xdr:row>
      <xdr:rowOff>136712</xdr:rowOff>
    </xdr:to>
    <xdr:sp macro="" textlink="">
      <xdr:nvSpPr>
        <xdr:cNvPr id="3" name="AutoShape 1">
          <a:extLst>
            <a:ext uri="{FF2B5EF4-FFF2-40B4-BE49-F238E27FC236}">
              <a16:creationId xmlns:a16="http://schemas.microsoft.com/office/drawing/2014/main" id="{CDA08332-5157-46A0-851B-76B11D06B752}"/>
            </a:ext>
          </a:extLst>
        </xdr:cNvPr>
        <xdr:cNvSpPr>
          <a:spLocks noChangeAspect="1" noChangeArrowheads="1"/>
        </xdr:cNvSpPr>
      </xdr:nvSpPr>
      <xdr:spPr bwMode="auto">
        <a:xfrm>
          <a:off x="21593175" y="3167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0</xdr:colOff>
      <xdr:row>136</xdr:row>
      <xdr:rowOff>0</xdr:rowOff>
    </xdr:from>
    <xdr:to>
      <xdr:col>22</xdr:col>
      <xdr:colOff>304800</xdr:colOff>
      <xdr:row>137</xdr:row>
      <xdr:rowOff>136712</xdr:rowOff>
    </xdr:to>
    <xdr:sp macro="" textlink="">
      <xdr:nvSpPr>
        <xdr:cNvPr id="3074" name="AutoShape 2">
          <a:extLst>
            <a:ext uri="{FF2B5EF4-FFF2-40B4-BE49-F238E27FC236}">
              <a16:creationId xmlns:a16="http://schemas.microsoft.com/office/drawing/2014/main" id="{23829401-DAFA-442E-8FD7-A24EDA98853A}"/>
            </a:ext>
          </a:extLst>
        </xdr:cNvPr>
        <xdr:cNvSpPr>
          <a:spLocks noChangeAspect="1" noChangeArrowheads="1"/>
        </xdr:cNvSpPr>
      </xdr:nvSpPr>
      <xdr:spPr bwMode="auto">
        <a:xfrm>
          <a:off x="21593175" y="3071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15</xdr:col>
      <xdr:colOff>98216</xdr:colOff>
      <xdr:row>111</xdr:row>
      <xdr:rowOff>145676</xdr:rowOff>
    </xdr:from>
    <xdr:to>
      <xdr:col>17</xdr:col>
      <xdr:colOff>3148852</xdr:colOff>
      <xdr:row>129</xdr:row>
      <xdr:rowOff>112059</xdr:rowOff>
    </xdr:to>
    <xdr:pic>
      <xdr:nvPicPr>
        <xdr:cNvPr id="5" name="Imagen 4">
          <a:extLst>
            <a:ext uri="{FF2B5EF4-FFF2-40B4-BE49-F238E27FC236}">
              <a16:creationId xmlns:a16="http://schemas.microsoft.com/office/drawing/2014/main" id="{84FC40DD-907D-4F4A-BDED-6CD969E58A0B}"/>
            </a:ext>
          </a:extLst>
        </xdr:cNvPr>
        <xdr:cNvPicPr>
          <a:picLocks noChangeAspect="1"/>
        </xdr:cNvPicPr>
      </xdr:nvPicPr>
      <xdr:blipFill>
        <a:blip xmlns:r="http://schemas.openxmlformats.org/officeDocument/2006/relationships" r:embed="rId1"/>
        <a:stretch>
          <a:fillRect/>
        </a:stretch>
      </xdr:blipFill>
      <xdr:spPr>
        <a:xfrm>
          <a:off x="16021775" y="19699941"/>
          <a:ext cx="5426283" cy="3765177"/>
        </a:xfrm>
        <a:prstGeom prst="rect">
          <a:avLst/>
        </a:prstGeom>
      </xdr:spPr>
    </xdr:pic>
    <xdr:clientData/>
  </xdr:twoCellAnchor>
  <xdr:twoCellAnchor editAs="oneCell">
    <xdr:from>
      <xdr:col>1</xdr:col>
      <xdr:colOff>145677</xdr:colOff>
      <xdr:row>60</xdr:row>
      <xdr:rowOff>112059</xdr:rowOff>
    </xdr:from>
    <xdr:to>
      <xdr:col>7</xdr:col>
      <xdr:colOff>1011486</xdr:colOff>
      <xdr:row>69</xdr:row>
      <xdr:rowOff>42288</xdr:rowOff>
    </xdr:to>
    <xdr:pic>
      <xdr:nvPicPr>
        <xdr:cNvPr id="2" name="Imagen 1">
          <a:extLst>
            <a:ext uri="{FF2B5EF4-FFF2-40B4-BE49-F238E27FC236}">
              <a16:creationId xmlns:a16="http://schemas.microsoft.com/office/drawing/2014/main" id="{2F7265FE-3318-43AF-815E-BA85DFE4F5C6}"/>
            </a:ext>
          </a:extLst>
        </xdr:cNvPr>
        <xdr:cNvPicPr>
          <a:picLocks noChangeAspect="1"/>
        </xdr:cNvPicPr>
      </xdr:nvPicPr>
      <xdr:blipFill>
        <a:blip xmlns:r="http://schemas.openxmlformats.org/officeDocument/2006/relationships" r:embed="rId2"/>
        <a:stretch>
          <a:fillRect/>
        </a:stretch>
      </xdr:blipFill>
      <xdr:spPr>
        <a:xfrm>
          <a:off x="369795" y="12124765"/>
          <a:ext cx="7723809" cy="1342170"/>
        </a:xfrm>
        <a:prstGeom prst="rect">
          <a:avLst/>
        </a:prstGeom>
      </xdr:spPr>
    </xdr:pic>
    <xdr:clientData/>
  </xdr:twoCellAnchor>
  <xdr:twoCellAnchor>
    <xdr:from>
      <xdr:col>8</xdr:col>
      <xdr:colOff>224117</xdr:colOff>
      <xdr:row>62</xdr:row>
      <xdr:rowOff>33617</xdr:rowOff>
    </xdr:from>
    <xdr:to>
      <xdr:col>9</xdr:col>
      <xdr:colOff>526677</xdr:colOff>
      <xdr:row>66</xdr:row>
      <xdr:rowOff>123265</xdr:rowOff>
    </xdr:to>
    <xdr:sp macro="" textlink="">
      <xdr:nvSpPr>
        <xdr:cNvPr id="4" name="Triángulo rectángulo 3">
          <a:extLst>
            <a:ext uri="{FF2B5EF4-FFF2-40B4-BE49-F238E27FC236}">
              <a16:creationId xmlns:a16="http://schemas.microsoft.com/office/drawing/2014/main" id="{110E2EF5-A329-4856-961D-BC078D912FD2}"/>
            </a:ext>
          </a:extLst>
        </xdr:cNvPr>
        <xdr:cNvSpPr/>
      </xdr:nvSpPr>
      <xdr:spPr bwMode="auto">
        <a:xfrm>
          <a:off x="8449235" y="12360088"/>
          <a:ext cx="1199030" cy="717177"/>
        </a:xfrm>
        <a:prstGeom prst="rtTriangl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1019734</xdr:colOff>
      <xdr:row>63</xdr:row>
      <xdr:rowOff>100853</xdr:rowOff>
    </xdr:from>
    <xdr:to>
      <xdr:col>8</xdr:col>
      <xdr:colOff>212911</xdr:colOff>
      <xdr:row>65</xdr:row>
      <xdr:rowOff>100853</xdr:rowOff>
    </xdr:to>
    <xdr:sp macro="" textlink="">
      <xdr:nvSpPr>
        <xdr:cNvPr id="6" name="CuadroTexto 5">
          <a:extLst>
            <a:ext uri="{FF2B5EF4-FFF2-40B4-BE49-F238E27FC236}">
              <a16:creationId xmlns:a16="http://schemas.microsoft.com/office/drawing/2014/main" id="{652C1DDA-2B5D-4DC9-BD5D-480ACA6031EE}"/>
            </a:ext>
          </a:extLst>
        </xdr:cNvPr>
        <xdr:cNvSpPr txBox="1"/>
      </xdr:nvSpPr>
      <xdr:spPr>
        <a:xfrm>
          <a:off x="8101852" y="12584206"/>
          <a:ext cx="336177" cy="3137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b="1"/>
            <a:t>1</a:t>
          </a:r>
        </a:p>
      </xdr:txBody>
    </xdr:sp>
    <xdr:clientData/>
  </xdr:twoCellAnchor>
  <xdr:twoCellAnchor>
    <xdr:from>
      <xdr:col>8</xdr:col>
      <xdr:colOff>571500</xdr:colOff>
      <xdr:row>67</xdr:row>
      <xdr:rowOff>11206</xdr:rowOff>
    </xdr:from>
    <xdr:to>
      <xdr:col>9</xdr:col>
      <xdr:colOff>11207</xdr:colOff>
      <xdr:row>69</xdr:row>
      <xdr:rowOff>11206</xdr:rowOff>
    </xdr:to>
    <xdr:sp macro="" textlink="">
      <xdr:nvSpPr>
        <xdr:cNvPr id="10" name="CuadroTexto 9">
          <a:extLst>
            <a:ext uri="{FF2B5EF4-FFF2-40B4-BE49-F238E27FC236}">
              <a16:creationId xmlns:a16="http://schemas.microsoft.com/office/drawing/2014/main" id="{FD8C7B9B-770A-4B80-B752-B751F68EA589}"/>
            </a:ext>
          </a:extLst>
        </xdr:cNvPr>
        <xdr:cNvSpPr txBox="1"/>
      </xdr:nvSpPr>
      <xdr:spPr>
        <a:xfrm>
          <a:off x="8796618" y="13122088"/>
          <a:ext cx="336177" cy="3137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b="1"/>
            <a:t>2</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723900</xdr:colOff>
      <xdr:row>51</xdr:row>
      <xdr:rowOff>47625</xdr:rowOff>
    </xdr:from>
    <xdr:to>
      <xdr:col>2</xdr:col>
      <xdr:colOff>714098</xdr:colOff>
      <xdr:row>58</xdr:row>
      <xdr:rowOff>47475</xdr:rowOff>
    </xdr:to>
    <xdr:pic>
      <xdr:nvPicPr>
        <xdr:cNvPr id="2" name="1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723900" y="8791575"/>
          <a:ext cx="2219048" cy="12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44824</xdr:colOff>
      <xdr:row>56</xdr:row>
      <xdr:rowOff>78442</xdr:rowOff>
    </xdr:from>
    <xdr:to>
      <xdr:col>1</xdr:col>
      <xdr:colOff>2019519</xdr:colOff>
      <xdr:row>60</xdr:row>
      <xdr:rowOff>136247</xdr:rowOff>
    </xdr:to>
    <xdr:pic>
      <xdr:nvPicPr>
        <xdr:cNvPr id="2" name="Imagen 1">
          <a:extLst>
            <a:ext uri="{FF2B5EF4-FFF2-40B4-BE49-F238E27FC236}">
              <a16:creationId xmlns:a16="http://schemas.microsoft.com/office/drawing/2014/main" id="{8D320972-307C-466E-A105-1539F6BD6C8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049" y="10193992"/>
          <a:ext cx="1974695" cy="70550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323850</xdr:colOff>
      <xdr:row>3</xdr:row>
      <xdr:rowOff>104775</xdr:rowOff>
    </xdr:from>
    <xdr:to>
      <xdr:col>14</xdr:col>
      <xdr:colOff>314325</xdr:colOff>
      <xdr:row>12</xdr:row>
      <xdr:rowOff>423901</xdr:rowOff>
    </xdr:to>
    <xdr:pic>
      <xdr:nvPicPr>
        <xdr:cNvPr id="2" name="Imagen 1">
          <a:extLst>
            <a:ext uri="{FF2B5EF4-FFF2-40B4-BE49-F238E27FC236}">
              <a16:creationId xmlns:a16="http://schemas.microsoft.com/office/drawing/2014/main" id="{1E9B7363-0F54-46E8-B8C2-51E7F0646FD2}"/>
            </a:ext>
          </a:extLst>
        </xdr:cNvPr>
        <xdr:cNvPicPr>
          <a:picLocks noChangeAspect="1"/>
        </xdr:cNvPicPr>
      </xdr:nvPicPr>
      <xdr:blipFill>
        <a:blip xmlns:r="http://schemas.openxmlformats.org/officeDocument/2006/relationships" r:embed="rId1"/>
        <a:stretch>
          <a:fillRect/>
        </a:stretch>
      </xdr:blipFill>
      <xdr:spPr>
        <a:xfrm>
          <a:off x="13576024" y="1416188"/>
          <a:ext cx="4035149" cy="299717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95250</xdr:colOff>
      <xdr:row>64</xdr:row>
      <xdr:rowOff>47625</xdr:rowOff>
    </xdr:from>
    <xdr:to>
      <xdr:col>1</xdr:col>
      <xdr:colOff>2069945</xdr:colOff>
      <xdr:row>68</xdr:row>
      <xdr:rowOff>2710</xdr:rowOff>
    </xdr:to>
    <xdr:pic>
      <xdr:nvPicPr>
        <xdr:cNvPr id="3" name="Imagen 2">
          <a:extLst>
            <a:ext uri="{FF2B5EF4-FFF2-40B4-BE49-F238E27FC236}">
              <a16:creationId xmlns:a16="http://schemas.microsoft.com/office/drawing/2014/main" id="{C283BC56-FDE2-4A9A-9FBE-D9D5FBFDC0C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2125" y="14763750"/>
          <a:ext cx="1974695" cy="68533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190500</xdr:colOff>
      <xdr:row>37</xdr:row>
      <xdr:rowOff>68229</xdr:rowOff>
    </xdr:from>
    <xdr:to>
      <xdr:col>2</xdr:col>
      <xdr:colOff>1232647</xdr:colOff>
      <xdr:row>40</xdr:row>
      <xdr:rowOff>179741</xdr:rowOff>
    </xdr:to>
    <xdr:pic>
      <xdr:nvPicPr>
        <xdr:cNvPr id="2" name="Imagen 1">
          <a:extLst>
            <a:ext uri="{FF2B5EF4-FFF2-40B4-BE49-F238E27FC236}">
              <a16:creationId xmlns:a16="http://schemas.microsoft.com/office/drawing/2014/main" id="{E93179B8-2FFC-4AED-8AA8-10E762DF96E5}"/>
            </a:ext>
          </a:extLst>
        </xdr:cNvPr>
        <xdr:cNvPicPr>
          <a:picLocks noChangeAspect="1"/>
        </xdr:cNvPicPr>
      </xdr:nvPicPr>
      <xdr:blipFill>
        <a:blip xmlns:r="http://schemas.openxmlformats.org/officeDocument/2006/relationships" r:embed="rId1"/>
        <a:stretch>
          <a:fillRect/>
        </a:stretch>
      </xdr:blipFill>
      <xdr:spPr>
        <a:xfrm>
          <a:off x="571500" y="9750111"/>
          <a:ext cx="1456765" cy="69421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D:/CCMEDPPLALM/GTECNICA/mvilla/SILO%2015000/WINDOWS/TEMP/CBoyaca/CUADRILLA%20DIUR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C:/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D:/SERVER/Carpeta%20Compartida/Documents%20and%20Settings/qbex1/Escritorio/San%20Bernardo%20del%20Viento/Proyecto%20AJUSTADO/San%20Bernardo/PRES%20SANBERNA/PRESUPUESTO%20ALC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C:/D:/_DOCUM/ACTAS/2002/Miraflores-cra1/_PRESUPU/Bachu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Desktop\Proyectos\8.%20Guachucal\PRESUPUESTO%20GUACHUCAL.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OSCAR%20SILGADO\ASOREC\MUNICIPIOS\MARIA%20LA%20BAJA\2015\PARQUE\PROPUESTA%20PMI\PRUEBA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Desktop\Gualmat&#225;n\PRESUPUESTO%20GUALMATAN%20V.2.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C:/D:/Giovanny/c/Copia%20Calidad/Mis%20documentos/Area%20Tecnica/Licitaciones/Epm/Actualizacion%20Guayabal/WINDOWS/TEMP/RELACI~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lex/Propuesta%20Efren/DOCUME~1/user/LOCALS~1/Temp/Temporary%20Directory%201%20for%20PRESUPUESTO%20Y%20UNITARIOS.zip/PRESUPUESTO%20Y%20UNITARI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publica\Mis%20documentos\Licitaciones\BOCCI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Leo/Dropbox/Propuestas%202015/Alcald&#237;a%20de%20Valledupar/CDI/F/INGENIERA%20CIVIL/OBRAS/META/CN569-2010%20ACAPULCO1/AVANCE%20DE%20OBRA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C:/D:/Licitaciones1/c/Trabajos%20La%20Espanola%20-%20Calarca/Grupo%20Arturo/Arturo%20A.%20Gonzalez%20R.%20Espanola%20-%20Calarca/BARBOSA/ACTASBAR.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C:/D:/Calidad/iso/Documents%20and%20Settings/Latinco%20S.A/Mis%20documentos/ARCHIVOS%20OSCAR/invias/corredores%20viales/PARTICIPAMOS/PRIMERA%20RONDA/analisis%20de%20precios%20unitarios%20-%20PLANTILLA.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RINCON~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C:/C:/D:/_Archivo%202009/Obras/2.%20CAMARA%20BOX/_PRESUPU/Bachu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C:/C:/F:/Users/MERI&#209;O/Documents/PARTICULAR/Users/ABSAESP03/Documents/MERI&#209;O/EDESA/PRESUPUESTO-V7.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250;ngaro\c-gerencia\ESSA_ESP\Gua_HPaj\Calc_Lin.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C:/D:/Euleoca/temp/Mis%20documentos/Con%200605%2002/actas/acta%20noviembre02/388/Actas/HACE/Mis%20documentos/INF.BIMENSUAL/INFORME%20BIMENSUAL%20JUL-AGO-20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C:/C:/A:/Documents%20and%20Settings/Administrador/Mis%20documentos/Downloads/DISPROYECTOS/OIM-GUAPI/SAN%20ANTONIO%20DE%20GUAJUI/14%20PRESUPUESTO/PPTO_QUIROGA_23-10-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C:/D:/Escritorio/amv%202011/EST.V&#205;A%20CRITERIO%20TECNIC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C:/D:/CCMEDPPLALM/GTECNICA/mvilla/SILO%2015000/users/AndreasK/MyProjects/Estimating%20Environment/Standard%20V1.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SOREC-PC\Users\Listadoprecios20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Listadoprecios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C:/D:/Carlos/disproyectos/Users/Familiar/Documents/Libro%2012%20JUQN.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C:/D:/Escritorio/amv%202011/AMV%202011/PHRE/09%20INF_TRIMESTRAL%20_FINAL%20-%202011/INFORME%209_AMV_MAR-201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Users\ACER\Downloads\Users\jhonatanmauricio\Downloads\F:\VILLA%20TAKOA\Presupuesto\APUS%20VILLA%20TAKO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Q-3\Users\Users\jhonatanmauricio\Downloads\F:\VILLA%20TAKOA\Presupuesto\APUS%20VILLA%20TAKO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Scaner\Users\jhonatanmauricio\Downloads\F:\VILLA%20TAKOA\Presupuesto\APUS%20VILLA%20TAKO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Users\jhonatanmauricio\Downloads\F:\VILLA%20TAKOA\Presupuesto\APUS%20VILLA%20TAKO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Leo/Dropbox/Propuestas%202015/Alcald&#237;a%20de%20Valledupar/CDI/Users/Leo/Dropbox/Propuestas%202015/Alcald&#237;a%20de%20Valledupar/CDI/Hoja4"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C:/D:/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C:/D:/Escritorio/amv%202011/Documents%20and%20Settings/Equipo_2/Escritorio/Necesidades%20de%20las%20V&#237;as%202010/Definitivos/Necesidades%20%20Lorica%20-%20Cove&#241;as%20(9004)%20Marzo%202010.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osenit2\oscar%20mauricio\Users\GAS%20NATURAL\Tarifas\2006\200603\Tarifas2006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ACER\Downloads\Users\jmperez\Documents\TECNICA\DEPORTE%20Y%20RECREACION\02%20ESTANDARIZADO%20POLIDEPORTIVO\05%20HOJA%20CALCULO%20ESTANDARIZADO\PRESUPUESTO%20DEL%20POLIDEPORTIVO%20COMPLETO.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RQ-3\Users\Users\jmperez\Documents\TECNICA\DEPORTE%20Y%20RECREACION\02%20ESTANDARIZADO%20POLIDEPORTIVO\05%20HOJA%20CALCULO%20ESTANDARIZADO\PRESUPUESTO%20DEL%20POLIDEPORTIVO%20COMPLETO.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Scaner\Users\jmperez\Documents\TECNICA\DEPORTE%20Y%20RECREACION\02%20ESTANDARIZADO%20POLIDEPORTIVO\05%20HOJA%20CALCULO%20ESTANDARIZADO\PRESUPUESTO%20DEL%20POLIDEPORTIVO%20COMPLETO.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ROCESOS%20DE%20LICITACIONES%20PUBLICAS/LICITACIONES%202013/LICITACION%20%20003-2013/CONTRATO.FOX/DATOS/Control/Varios/achm/Presup%20Varios/EjemplosII.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666A6A2E\H.E.%20OBRA%20PASTO.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Pavimento%20La%20Jagu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vitas/Documents/CNSC/Efrain%20Cucunuba/aulas%20pivijay/Presp%20pivijay%20fonade%20(92%25).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C:/C:/D:/_Archivo%202009/Obras/4.%20ANDENES%20CUJACAL/ACTAS%20ANDENES%20CUJAC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C:/D:/Euleoca/temp/Mis%20documentos/Con%200605%2002/actas/acta%20noviembre02/My%20Documents/LICITACIONES%20INVIAS/SCV-059-Base-CAF-El%20Secreto-Aguacla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C:/C:/D:/_Archivo%202008/Obras/Anganoy%20-%20Cra%2036B/Actas/Anganoy%20-%20act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C:/C:/F:/Documents%20and%20Settings/MARCO%20AURELIO%20NU&#209;EZ/Mis%20documentos/ACUEDUCTO%20REGIONAL%20LA%20L&#205;NEA/PLAN%20DE%20INVERSION/Presupuesto/Soplaviento/PRESUPUESTO%20ALCANTARILLADO%20SOPLAVIEN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C:/D:/PACO/Doc.%20ASPIRE/ADMONVIAL%20H-V-05/PRESUPUESTOS/sector%20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8476E9F\ASTREA%20PARA%20ENTREGA%20CAFETEROS%201502201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osenit3\Modelo%20de%20tarifas%20de%20transporte%20de%20Gas\Consultoria%20Energetica\DATOS\PROYECCION%20PRECIOS%20FUEL%20OIL%20Y%20GAS%20NATURAL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C:/C:/A:/2-ESTUDIOS/E9/2001/P-ALCANTARILLAD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C:/C:/D:/Mis%20documentos/OBRAS/BANADIA/INFORMES/BANADIACD/1erINFORM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C:/D:/Servidor/c/Mis%20documentos/presupuest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C:/D:/Yolanda/compartida/PRES_MUNDO%20BOLIVARIANO_LINAv-2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C:/D:/A_produccion/1991_ituvia/Tecnica/Cotizaciones/2003/28987%20CEMENTOS%20ANDINO%20SILO%20II/Ex-0176-0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C:/C:/D:/Mis%20documentos/ADMON00/COSTOS/ESTRUCTURA%20DE%20COSTOS%20G&amp;J%20ING%20ASOCIADOS%20LTD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C:/D:/Euleoca/temp/Mis%20documentos/Con%200605%2002/actas/acta%20noviembre02/Mauricio/Bases-Contrataci&#243;n/Bases%202002/Chusac&#225;-Soacha-Bosa/SCV-CD-007-02-Talud-Occidental/Form-SCV-CD-007-02-Talud-Occident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C:/D:/A_produccion/1991_ituvia/Tecnica/Cotizaciones/APU%20PREFABRICADOS/Precios%20Materia%20Prima%20ceno%20y%20%20FERRASA%20a%20Marzo%2013%20200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Cuadro%20cantidades%20re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C:/D:/Escritorio/amv%202011/INFORMES%20ESPECIFICOS/ANALISIS%20DE%20APU/APU%202012/AMV%20GRUPO2-05/presupuestos/ajuste%20presupuestos/$%20PR20%20al%20PR2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C:/C:/D:/SIMULACI&#211;NEDIFICIO.ok.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C:/C:/D:/_OBRAS%20FIP/Nuevos-Riegos/Caicedo-C4-5-k16-17-rieg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F:\Documents%20and%20Settings\leonidas.uzcategui\My%20Documents\MECOR\OFERTAS%20MECOR%20COLOMBIA\VALE%20COAL\ING%20BASICA%20SISTEMA%20DE%20TRITURACION%201500%20TNH\ESTIMADO%20DE%20COSTOS\ESTIMADO-VALE%20TRITURACION%201500%20TONS.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B5BE6DF\REPOSICION%20DE%20PLACAS%20EN%20CONCRETO%20HIDRAULICO%20PREMEZCLADO%20MR%20=%204.2%20Mpa%20-MEZCLA%20DENSA%20EN%20CALIENTE%20TIPO%20MDC%20-%202%20vr0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básicos"/>
      <sheetName val="MEMORIAS"/>
      <sheetName val="días habiles 2015"/>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ESPACIO PÚBLICO"/>
      <sheetName val="ANALISIS"/>
      <sheetName val="SEÑALIZACIÓN"/>
      <sheetName val="PRES GRAL IMPLEMENTAC PMA"/>
    </sheetNames>
    <sheetDataSet>
      <sheetData sheetId="0" refreshError="1">
        <row r="41">
          <cell r="G41">
            <v>4237.2145748987859</v>
          </cell>
        </row>
        <row r="84">
          <cell r="G84">
            <v>2014.9969560947102</v>
          </cell>
        </row>
        <row r="126">
          <cell r="G126">
            <v>5289.8461538461543</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675">
          <cell r="G675">
            <v>151612.09230769231</v>
          </cell>
        </row>
        <row r="1096">
          <cell r="G1096">
            <v>21105.504000000001</v>
          </cell>
        </row>
        <row r="1181">
          <cell r="G1181">
            <v>46225.535999999993</v>
          </cell>
        </row>
        <row r="1267">
          <cell r="G1267">
            <v>135095.68799999999</v>
          </cell>
        </row>
        <row r="1310">
          <cell r="G1310">
            <v>161972.076</v>
          </cell>
        </row>
        <row r="2662">
          <cell r="G2662">
            <v>26742.699399999998</v>
          </cell>
        </row>
        <row r="3251">
          <cell r="G3251">
            <v>105077.34719999999</v>
          </cell>
        </row>
        <row r="3411">
          <cell r="G3411">
            <v>81120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EQUIPOS"/>
      <sheetName val="MANO DE OBRA"/>
      <sheetName val="TRANSPORTE"/>
      <sheetName val="_aCCIDENTES_DE_1995___1996_xl_2"/>
      <sheetName val="Res-Accide-10"/>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Giovanni\administracion vial\"/>
      <sheetName val="\MONTO AGOTABLE 2010\a  aaInfor"/>
      <sheetName val="aCCIDENTES_DE_1995_-_199633"/>
      <sheetName val="aCCIDENTES_DE_1995_-_1996_xls10"/>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Mini HP Enero 2015\Proyectos i"/>
      <sheetName val="\C\Users\avargase\AppData\Local"/>
      <sheetName val="\Volumes\USB PIOLIN\Escritorio\"/>
      <sheetName val="Lista obra"/>
      <sheetName val="\Users\Administrador\Desktop\AM"/>
      <sheetName val="\\Sistemas_serv1\xx\Documents a"/>
      <sheetName val="_aCCIDENTES_DE_1995___1996_xl_8"/>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PR 1"/>
      <sheetName val="\Nuevos APU Córdoba\a  aaInform"/>
      <sheetName val="\E\Nuevos APU Córdoba\a  aaInfo"/>
      <sheetName val="\Users\JoseGabriel\Documents\M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SEGUIM Y REPROG MES 1 (2)"/>
      <sheetName val="#REF"/>
      <sheetName val="_aCCIDENTES_DE_1995___1996_xl_9"/>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_aCCIDENTES_DE_1995___1996_x_16"/>
      <sheetName val="_aCCIDENTES_DE_1995___1996_x_15"/>
      <sheetName val="_aCCIDENTES_DE_1995___1996_x_10"/>
      <sheetName val="_aCCIDENTES_DE_1995___1996_x_11"/>
      <sheetName val="_aCCIDENTES_DE_1995___1996_x_12"/>
      <sheetName val="_aCCIDENTES_DE_1995___1996_x_13"/>
      <sheetName val="_aCCIDENTES_DE_1995___1996_x_14"/>
      <sheetName val="ESTADO VÍA-CRIT.TECNICO"/>
      <sheetName val="\E\a  aaInformación GRUPO 4\A M"/>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ANT OBRA"/>
      <sheetName val="\Users\ANDRES FELIPE MUÑOZ\Down"/>
      <sheetName val=" ACTA FINAL + MODIFICATORIA "/>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CIDENTES%2520DE%25201995%252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ESTADO_VÍA-CRIT_TECNICO"/>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REQUISITOS INF INTERVENTORÍA"/>
      <sheetName val="\Users\rosalym\Desktop\BALANCE "/>
      <sheetName val="INST"/>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gp05"/>
      <sheetName val="GP06"/>
      <sheetName val="modf "/>
      <sheetName val="1,2 MC"/>
      <sheetName val="3,1 MC"/>
      <sheetName val="3,2 MC"/>
      <sheetName val="4,2 MC"/>
      <sheetName val="DIRECTAS AMO I"/>
      <sheetName val="DIRECTAS AMO II"/>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RECIOS"/>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refreshError="1"/>
      <sheetData sheetId="82"/>
      <sheetData sheetId="83"/>
      <sheetData sheetId="84"/>
      <sheetData sheetId="85"/>
      <sheetData sheetId="86"/>
      <sheetData sheetId="87"/>
      <sheetData sheetId="88"/>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sheetData sheetId="304"/>
      <sheetData sheetId="305" refreshError="1"/>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sheetData sheetId="323" refreshError="1"/>
      <sheetData sheetId="324"/>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refreshError="1"/>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refreshError="1"/>
      <sheetData sheetId="496"/>
      <sheetData sheetId="497"/>
      <sheetData sheetId="498" refreshError="1"/>
      <sheetData sheetId="499"/>
      <sheetData sheetId="500"/>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sheetData sheetId="700"/>
      <sheetData sheetId="701"/>
      <sheetData sheetId="702"/>
      <sheetData sheetId="703"/>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refreshError="1"/>
      <sheetData sheetId="733"/>
      <sheetData sheetId="734" refreshError="1"/>
      <sheetData sheetId="735"/>
      <sheetData sheetId="736" refreshError="1"/>
      <sheetData sheetId="737" refreshError="1"/>
      <sheetData sheetId="738"/>
      <sheetData sheetId="739"/>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refreshError="1"/>
      <sheetData sheetId="859"/>
      <sheetData sheetId="860" refreshError="1"/>
      <sheetData sheetId="861" refreshError="1"/>
      <sheetData sheetId="862"/>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sheetData sheetId="108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refreshError="1"/>
      <sheetData sheetId="2031" refreshError="1"/>
      <sheetData sheetId="2032"/>
      <sheetData sheetId="2033"/>
      <sheetData sheetId="2034"/>
      <sheetData sheetId="2035"/>
      <sheetData sheetId="2036"/>
      <sheetData sheetId="2037" refreshError="1"/>
      <sheetData sheetId="2038" refreshError="1"/>
      <sheetData sheetId="2039" refreshError="1"/>
      <sheetData sheetId="2040"/>
      <sheetData sheetId="2041"/>
      <sheetData sheetId="2042"/>
      <sheetData sheetId="2043"/>
      <sheetData sheetId="2044"/>
      <sheetData sheetId="2045"/>
      <sheetData sheetId="2046"/>
      <sheetData sheetId="2047"/>
      <sheetData sheetId="2048"/>
      <sheetData sheetId="2049"/>
      <sheetData sheetId="2050"/>
      <sheetData sheetId="2051" refreshError="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Aula_Completa"/>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s>
    <sheetDataSet>
      <sheetData sheetId="0">
        <row r="18">
          <cell r="C18">
            <v>737717</v>
          </cell>
        </row>
      </sheetData>
      <sheetData sheetId="1">
        <row r="10">
          <cell r="F10">
            <v>15000</v>
          </cell>
        </row>
      </sheetData>
      <sheetData sheetId="2"/>
      <sheetData sheetId="3">
        <row r="12">
          <cell r="H12">
            <v>12500</v>
          </cell>
        </row>
      </sheetData>
      <sheetData sheetId="4">
        <row r="8">
          <cell r="F8">
            <v>1500</v>
          </cell>
        </row>
      </sheetData>
      <sheetData sheetId="5">
        <row r="12">
          <cell r="J12">
            <v>22</v>
          </cell>
        </row>
      </sheetData>
      <sheetData sheetId="6">
        <row r="7">
          <cell r="F7">
            <v>50</v>
          </cell>
        </row>
      </sheetData>
      <sheetData sheetId="7"/>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s>
    <sheetDataSet>
      <sheetData sheetId="0">
        <row r="3">
          <cell r="A3">
            <v>0</v>
          </cell>
          <cell r="B3">
            <v>1.1000000000000001</v>
          </cell>
        </row>
        <row r="4">
          <cell r="A4">
            <v>0</v>
          </cell>
          <cell r="B4">
            <v>1.2</v>
          </cell>
        </row>
        <row r="5">
          <cell r="A5">
            <v>0</v>
          </cell>
          <cell r="B5">
            <v>1.3</v>
          </cell>
        </row>
        <row r="6">
          <cell r="A6">
            <v>0</v>
          </cell>
          <cell r="B6">
            <v>1.4</v>
          </cell>
        </row>
        <row r="7">
          <cell r="A7">
            <v>0</v>
          </cell>
          <cell r="B7">
            <v>1.5</v>
          </cell>
        </row>
        <row r="8">
          <cell r="A8">
            <v>0</v>
          </cell>
          <cell r="B8">
            <v>1.6</v>
          </cell>
        </row>
        <row r="9">
          <cell r="A9">
            <v>0</v>
          </cell>
          <cell r="B9">
            <v>2.1</v>
          </cell>
        </row>
        <row r="10">
          <cell r="A10">
            <v>0</v>
          </cell>
          <cell r="B10">
            <v>2.2000000000000002</v>
          </cell>
        </row>
        <row r="11">
          <cell r="A11">
            <v>0</v>
          </cell>
          <cell r="B11">
            <v>2.2999999999999998</v>
          </cell>
        </row>
        <row r="12">
          <cell r="A12">
            <v>0</v>
          </cell>
          <cell r="B12">
            <v>2.4</v>
          </cell>
        </row>
        <row r="13">
          <cell r="A13">
            <v>0</v>
          </cell>
          <cell r="B13">
            <v>2.5</v>
          </cell>
        </row>
        <row r="14">
          <cell r="A14">
            <v>0</v>
          </cell>
          <cell r="B14">
            <v>2.6</v>
          </cell>
        </row>
        <row r="15">
          <cell r="A15">
            <v>0</v>
          </cell>
          <cell r="B15">
            <v>2.7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PRIMERA ETAPA DE LA CONSTRUCCION DEL PARQUE ELAINE MARTINEZ PACHECO DEL MUNICIPIO DE MARIA LA BAJA</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INDICMICROEMP"/>
      <sheetName val="\a  aaInformación GRUPO 4\A MIn"/>
      <sheetName val="#¡REF"/>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 val="precios-básicos2002"/>
      <sheetName val="gp05"/>
      <sheetName val="GP06"/>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refreshError="1"/>
      <sheetData sheetId="59"/>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sheetData sheetId="242" refreshError="1"/>
      <sheetData sheetId="243" refreshError="1"/>
      <sheetData sheetId="244" refreshError="1"/>
      <sheetData sheetId="245"/>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refreshError="1"/>
      <sheetData sheetId="505"/>
      <sheetData sheetId="506"/>
      <sheetData sheetId="507"/>
      <sheetData sheetId="508"/>
      <sheetData sheetId="509"/>
      <sheetData sheetId="510"/>
      <sheetData sheetId="511"/>
      <sheetData sheetId="512"/>
      <sheetData sheetId="513"/>
      <sheetData sheetId="514"/>
      <sheetData sheetId="515"/>
      <sheetData sheetId="51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PRESUPUESTO GUALMATAN V.2.1"/>
      <sheetName val="Listado"/>
      <sheetName val="des_rps"/>
    </sheetNames>
    <sheetDataSet>
      <sheetData sheetId="0">
        <row r="19">
          <cell r="C19">
            <v>737717</v>
          </cell>
        </row>
        <row r="32">
          <cell r="C32">
            <v>0.71637504155839349</v>
          </cell>
        </row>
      </sheetData>
      <sheetData sheetId="1">
        <row r="10">
          <cell r="F10">
            <v>12000</v>
          </cell>
        </row>
        <row r="13">
          <cell r="F13">
            <v>8100</v>
          </cell>
        </row>
      </sheetData>
      <sheetData sheetId="2"/>
      <sheetData sheetId="3">
        <row r="12">
          <cell r="H12">
            <v>19800</v>
          </cell>
        </row>
        <row r="21">
          <cell r="H21">
            <v>45600</v>
          </cell>
        </row>
        <row r="30">
          <cell r="H30">
            <v>31300</v>
          </cell>
        </row>
        <row r="39">
          <cell r="H39">
            <v>48500</v>
          </cell>
        </row>
        <row r="48">
          <cell r="H48">
            <v>139700</v>
          </cell>
        </row>
        <row r="57">
          <cell r="H57">
            <v>42500</v>
          </cell>
        </row>
        <row r="66">
          <cell r="H66">
            <v>59700</v>
          </cell>
        </row>
      </sheetData>
      <sheetData sheetId="4">
        <row r="8">
          <cell r="F8">
            <v>1100</v>
          </cell>
        </row>
        <row r="9">
          <cell r="F9">
            <v>1100</v>
          </cell>
        </row>
        <row r="13">
          <cell r="F13">
            <v>1</v>
          </cell>
        </row>
      </sheetData>
      <sheetData sheetId="5">
        <row r="12">
          <cell r="J12">
            <v>40.9</v>
          </cell>
          <cell r="K12">
            <v>39.5</v>
          </cell>
          <cell r="L12">
            <v>10</v>
          </cell>
        </row>
      </sheetData>
      <sheetData sheetId="6">
        <row r="7">
          <cell r="F7">
            <v>40</v>
          </cell>
        </row>
        <row r="19">
          <cell r="F19">
            <v>26000</v>
          </cell>
        </row>
        <row r="27">
          <cell r="F27">
            <v>660</v>
          </cell>
        </row>
        <row r="37">
          <cell r="F37">
            <v>19500</v>
          </cell>
        </row>
        <row r="73">
          <cell r="F73">
            <v>52000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Materiales"/>
      <sheetName val="Cuadrillas"/>
      <sheetName val="Concretos y morteros"/>
      <sheetName val="Equipo"/>
      <sheetName val="Datos iniciales "/>
      <sheetName val="Transporte"/>
      <sheetName val="aCCIDENTES DE 1995 - 1996"/>
      <sheetName val="Informacion"/>
      <sheetName val="a%20%20aaInformaci%C3%B3n"/>
      <sheetName val="BASES"/>
      <sheetName val="CDItem"/>
      <sheetName val="CONT_ADI"/>
      <sheetName val="[a  aaInformación]__cceficien_2"/>
      <sheetName val="[a  aaInformación]__cceficien_3"/>
      <sheetName val="[a  aaInformación]__cceficien_6"/>
      <sheetName val="[a  aaInformación]__cceficien_4"/>
      <sheetName val="[a  aaInformación]__cceficien_5"/>
      <sheetName val="[a  aaInformación]__cceficien_7"/>
      <sheetName val="\MANTENIMIENTO RUTA 1001_MARZO "/>
      <sheetName val="\I\MANTENIMIENTO RUTA 1001_MARZ"/>
      <sheetName val="\F\MANTENIMIENTO RUTA 1001_MARZ"/>
      <sheetName val="[a  aaInformación][a  aaInforma"/>
      <sheetName val="lisprecios"/>
      <sheetName val="PERSONAL"/>
      <sheetName val="PRESTACIONES SOCIALES"/>
      <sheetName val="Formulario N° 4"/>
      <sheetName val="Presupuesto"/>
      <sheetName val="ANEXO IX"/>
      <sheetName val="APUs"/>
      <sheetName val="INSUMOS"/>
      <sheetName val="PptoGral"/>
      <sheetName val="a__aaInformación"/>
      <sheetName val="a__aaInformación1"/>
      <sheetName val="a__aaInformación2"/>
      <sheetName val="otros"/>
      <sheetName val="\\SERVIDOR\Public2\MANTENIMIENT"/>
      <sheetName val="[a  aaInformación]__cceficien_8"/>
      <sheetName val="[a  aaInformación]//cceficiente"/>
      <sheetName val="[a  aaInformación]__cceficien_9"/>
      <sheetName val="Datos"/>
      <sheetName val="Jornal"/>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INDICMICROEMP"/>
      <sheetName val="INDICE"/>
      <sheetName val="[a  aaInformación]__cceficie_16"/>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__cceficie_15"/>
      <sheetName val="[a  aaInformación]__cceficie_10"/>
      <sheetName val="[a  aaInformación]__cceficie_11"/>
      <sheetName val="[a  aaInformación]__cceficie_12"/>
      <sheetName val="[a  aaInformación]__cceficie_13"/>
      <sheetName val="[a  aaInformación]__cceficie_14"/>
      <sheetName val="M.O."/>
      <sheetName val="PANEL"/>
      <sheetName val="Res-Accide-10"/>
      <sheetName val="precios-básicos2002"/>
      <sheetName val="_MANTENIMIENTO RUTA 1001_MARZO "/>
      <sheetName val="_I_MANTENIMIENTO RUTA 1001_MARZ"/>
      <sheetName val="_F_MANTENIMIENTO RUTA 1001_MARZ"/>
      <sheetName val="HER"/>
      <sheetName val="MAT"/>
      <sheetName val="PER"/>
      <sheetName val="TRANS"/>
      <sheetName val="__SERVIDOR_Public2_MANTENIMIENT"/>
      <sheetName val="_a  aaInformación__a  aaInforma"/>
      <sheetName val="_Users_USUARIO_Downloads_MANTEN"/>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TEM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a  aaInformación]__192_168__16"/>
      <sheetName val="[a  aaInformación]__192_168__15"/>
      <sheetName val="[a  aaInformación]__192_168__17"/>
      <sheetName val="[a  aaInformación]__192_168__18"/>
      <sheetName val="INFORME SEMANAL"/>
      <sheetName val="AVANCE SEMANAL"/>
      <sheetName val="CLIMA mes"/>
      <sheetName val="REG FOTO"/>
      <sheetName val="SISOMA"/>
      <sheetName val="\Users\LENOVO\Downloads\Users\A"/>
      <sheetName val="M_O_"/>
      <sheetName val="PLAN DE INVERSION ANTICIPO"/>
      <sheetName val="inv mensual"/>
      <sheetName val="borrador flujo inv"/>
      <sheetName val="social-ambiental"/>
      <sheetName val="AU"/>
      <sheetName val="Hoja 1 "/>
      <sheetName val="//d.docs.live.net/MANTENIMIENTO"/>
      <sheetName val="Paramtrias"/>
      <sheetName val="Info-Portaf"/>
      <sheetName val="EMPRESA"/>
      <sheetName val="ESTADO RED"/>
      <sheetName val="CARRETERAS"/>
      <sheetName val="GENERALIDADES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refreshError="1"/>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 val="PREACTA"/>
      <sheetName val="L. MAT."/>
      <sheetName val="P.S."/>
      <sheetName val="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ESTADO RED"/>
      <sheetName val="CDItem"/>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SUMOS"/>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otros"/>
      <sheetName val="ANEXO 7"/>
      <sheetName val="Macro1"/>
      <sheetName val="VARIABLES"/>
      <sheetName val="Análisis de precios"/>
      <sheetName val="EMPRESA"/>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CONTROL"/>
      <sheetName val="INDICMICROEMP"/>
      <sheetName val="MC SF GAVIONES"/>
      <sheetName val="ARBOL DE PROBLEMAS final"/>
      <sheetName val="IDENTIFICACION DEL PROBLEMA fin"/>
      <sheetName val="OBJETIVOS FINALES"/>
      <sheetName val="ESTRUCTURA DE PROYECTO"/>
      <sheetName val="OBJETIVOS ESPECIFICOS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sheetData sheetId="98"/>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sheetData sheetId="244"/>
      <sheetData sheetId="245"/>
      <sheetData sheetId="246"/>
      <sheetData sheetId="24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s-Accide-10"/>
      <sheetName val="Hoja1"/>
      <sheetName val="AMC"/>
      <sheetName val="Basico"/>
      <sheetName val="Iva"/>
      <sheetName val="Total"/>
      <sheetName val="amc_acta"/>
      <sheetName val="amc_bas"/>
      <sheetName val="amc_iva"/>
      <sheetName val="amc_total"/>
      <sheetName val="amc_anticip"/>
      <sheetName val="aCCIDENTES DE 1995 - 1996.xls"/>
      <sheetName val="Seguim-16"/>
      <sheetName val="Informe"/>
      <sheetName val="items"/>
      <sheetName val="ACTA DE MODIFICACION  (2)"/>
      <sheetName val="CONT_ADI"/>
      <sheetName val="aCCIDENTES%20DE%201995%20-%2019"/>
      <sheetName val="#¡REF"/>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DATOS"/>
      <sheetName val="AC2-AG96"/>
      <sheetName val="ANEXO 7"/>
      <sheetName val="PREACTA"/>
      <sheetName val="analisis de precios unitarios -"/>
      <sheetName val="PROPUESTA PRESENTADA"/>
      <sheetName val="O.Civil A. Base Zona A2S4"/>
      <sheetName val="RESUMEN ACTIVIDADES"/>
      <sheetName val="APU (22)"/>
      <sheetName val="General"/>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INV"/>
      <sheetName val="Formulario N_ 4"/>
    </sheetNames>
    <sheetDataSet>
      <sheetData sheetId="0" refreshError="1"/>
      <sheetData sheetId="1" refreshError="1">
        <row r="2">
          <cell r="D2">
            <v>17269.396666666667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 val="VIGBOLILLOS29"/>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row r="2">
          <cell r="A2" t="str">
            <v>Compresor (Inc. Martillos, Operarios, Combustible)</v>
          </cell>
        </row>
      </sheetData>
      <sheetData sheetId="1">
        <row r="2">
          <cell r="A2" t="str">
            <v>1.1</v>
          </cell>
        </row>
      </sheetData>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I8" t="str">
            <v>Acero</v>
          </cell>
          <cell r="J8">
            <v>0</v>
          </cell>
          <cell r="K8">
            <v>0</v>
          </cell>
          <cell r="L8">
            <v>32668</v>
          </cell>
        </row>
        <row r="9">
          <cell r="A9" t="str">
            <v>Bisagra Común de 3"</v>
          </cell>
          <cell r="B9" t="str">
            <v>IMF</v>
          </cell>
          <cell r="C9" t="str">
            <v>UN</v>
          </cell>
          <cell r="D9">
            <v>1</v>
          </cell>
          <cell r="E9">
            <v>0.1</v>
          </cell>
          <cell r="F9">
            <v>3000</v>
          </cell>
          <cell r="G9">
            <v>480</v>
          </cell>
          <cell r="H9">
            <v>3480</v>
          </cell>
          <cell r="I9" t="str">
            <v>Armado</v>
          </cell>
          <cell r="J9">
            <v>0</v>
          </cell>
          <cell r="K9">
            <v>40299</v>
          </cell>
          <cell r="L9">
            <v>112597</v>
          </cell>
        </row>
        <row r="10">
          <cell r="A10" t="str">
            <v>Bolsacreto con cemento-arena relación 1:8</v>
          </cell>
          <cell r="B10" t="str">
            <v>IEG</v>
          </cell>
          <cell r="C10" t="str">
            <v>ML</v>
          </cell>
          <cell r="D10">
            <v>0</v>
          </cell>
          <cell r="E10">
            <v>1800</v>
          </cell>
          <cell r="F10">
            <v>10776</v>
          </cell>
          <cell r="G10">
            <v>1724</v>
          </cell>
          <cell r="H10">
            <v>12500</v>
          </cell>
          <cell r="I10" t="str">
            <v>Ayudante</v>
          </cell>
          <cell r="J10">
            <v>0</v>
          </cell>
          <cell r="K10">
            <v>0</v>
          </cell>
          <cell r="L10">
            <v>32668</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cell r="L11">
            <v>112597</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I13" t="str">
            <v>Neopreno</v>
          </cell>
          <cell r="J13">
            <v>0</v>
          </cell>
          <cell r="K13">
            <v>0</v>
          </cell>
          <cell r="L13">
            <v>65337</v>
          </cell>
        </row>
        <row r="14">
          <cell r="A14" t="str">
            <v>Cable 5/8 6x19 O26 Alma de Acero</v>
          </cell>
          <cell r="B14" t="str">
            <v>IEM</v>
          </cell>
          <cell r="C14" t="str">
            <v>ML</v>
          </cell>
          <cell r="D14">
            <v>1</v>
          </cell>
          <cell r="E14">
            <v>0</v>
          </cell>
          <cell r="F14">
            <v>6500</v>
          </cell>
          <cell r="G14">
            <v>1040</v>
          </cell>
          <cell r="H14">
            <v>7540</v>
          </cell>
          <cell r="I14" t="str">
            <v>Oficial</v>
          </cell>
          <cell r="J14">
            <v>0</v>
          </cell>
          <cell r="K14">
            <v>0</v>
          </cell>
          <cell r="L14">
            <v>47260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cell r="L15">
            <v>130673</v>
          </cell>
        </row>
        <row r="16">
          <cell r="A16" t="str">
            <v>Cemento Portland Tipo 1</v>
          </cell>
          <cell r="B16" t="str">
            <v>ICM</v>
          </cell>
          <cell r="C16" t="str">
            <v>KG</v>
          </cell>
          <cell r="D16">
            <v>1</v>
          </cell>
          <cell r="E16">
            <v>1</v>
          </cell>
          <cell r="F16">
            <v>500</v>
          </cell>
          <cell r="G16">
            <v>80</v>
          </cell>
          <cell r="H16">
            <v>580</v>
          </cell>
          <cell r="I16" t="str">
            <v>Soldadura</v>
          </cell>
          <cell r="J16">
            <v>0</v>
          </cell>
          <cell r="K16">
            <v>40299</v>
          </cell>
          <cell r="L16">
            <v>122793</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cell r="L17">
            <v>157178</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cell r="L18">
            <v>192525</v>
          </cell>
        </row>
        <row r="19">
          <cell r="A19" t="str">
            <v>Cruz 20" x 16" Extremo Brida</v>
          </cell>
          <cell r="B19" t="str">
            <v>IAC</v>
          </cell>
          <cell r="C19" t="str">
            <v>UN</v>
          </cell>
          <cell r="D19">
            <v>1</v>
          </cell>
          <cell r="E19">
            <v>0</v>
          </cell>
          <cell r="F19">
            <v>5440000</v>
          </cell>
          <cell r="G19">
            <v>870400</v>
          </cell>
          <cell r="H19">
            <v>6310400</v>
          </cell>
          <cell r="I19" t="str">
            <v>Válvulas</v>
          </cell>
          <cell r="J19">
            <v>0</v>
          </cell>
          <cell r="K19">
            <v>0</v>
          </cell>
          <cell r="L19">
            <v>145265</v>
          </cell>
        </row>
        <row r="20">
          <cell r="A20" t="str">
            <v>Cubierta Ondulada en Fibrocemento #6</v>
          </cell>
          <cell r="B20" t="str">
            <v>IAR</v>
          </cell>
          <cell r="C20" t="str">
            <v>UN</v>
          </cell>
          <cell r="D20" t="str">
            <v>1,69 M2</v>
          </cell>
          <cell r="E20">
            <v>25.92</v>
          </cell>
          <cell r="F20">
            <v>53314</v>
          </cell>
          <cell r="G20">
            <v>8530</v>
          </cell>
          <cell r="H20">
            <v>61844</v>
          </cell>
          <cell r="I20" t="str">
            <v>Varios</v>
          </cell>
          <cell r="J20">
            <v>0</v>
          </cell>
          <cell r="K20">
            <v>40299</v>
          </cell>
          <cell r="L20">
            <v>112597</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2">
          <cell r="A2" t="str">
            <v>Compresor (Inc. Martillos, Operarios, Combustible)</v>
          </cell>
        </row>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cell r="K8">
            <v>1</v>
          </cell>
          <cell r="L8">
            <v>32668</v>
          </cell>
        </row>
        <row r="9">
          <cell r="A9" t="str">
            <v>Mezcladora de Concreto de 1 Bulto</v>
          </cell>
          <cell r="B9" t="str">
            <v>MCM01</v>
          </cell>
          <cell r="C9" t="str">
            <v>Hora</v>
          </cell>
          <cell r="D9" t="str">
            <v>40 bultos/HR</v>
          </cell>
          <cell r="E9">
            <v>250</v>
          </cell>
          <cell r="F9">
            <v>7500</v>
          </cell>
          <cell r="G9">
            <v>1200</v>
          </cell>
          <cell r="H9">
            <v>8700</v>
          </cell>
          <cell r="I9" t="str">
            <v>Armado</v>
          </cell>
          <cell r="J9">
            <v>1</v>
          </cell>
          <cell r="K9">
            <v>2</v>
          </cell>
          <cell r="L9">
            <v>112597</v>
          </cell>
        </row>
        <row r="10">
          <cell r="A10" t="str">
            <v>Motobomba de 4" (Incluye Accesorios y Combustible)</v>
          </cell>
          <cell r="B10" t="str">
            <v>MEM01</v>
          </cell>
          <cell r="C10" t="str">
            <v>Hora</v>
          </cell>
          <cell r="E10">
            <v>100</v>
          </cell>
          <cell r="F10">
            <v>20000</v>
          </cell>
          <cell r="G10">
            <v>3200</v>
          </cell>
          <cell r="H10">
            <v>23200</v>
          </cell>
          <cell r="I10" t="str">
            <v>Ayudante</v>
          </cell>
          <cell r="J10">
            <v>0</v>
          </cell>
          <cell r="K10">
            <v>1</v>
          </cell>
          <cell r="L10">
            <v>32668</v>
          </cell>
        </row>
        <row r="11">
          <cell r="A11" t="str">
            <v>Motosoldadora 250 Amp</v>
          </cell>
          <cell r="B11" t="str">
            <v>MEM01</v>
          </cell>
          <cell r="C11" t="str">
            <v>Hora</v>
          </cell>
          <cell r="E11">
            <v>235</v>
          </cell>
          <cell r="F11">
            <v>18750</v>
          </cell>
          <cell r="G11">
            <v>3000</v>
          </cell>
          <cell r="H11">
            <v>21750</v>
          </cell>
          <cell r="I11" t="str">
            <v>Lincoln</v>
          </cell>
          <cell r="J11" t="str">
            <v>Ranger 250</v>
          </cell>
          <cell r="K11">
            <v>2</v>
          </cell>
          <cell r="L11">
            <v>112597</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cell r="K12">
            <v>2</v>
          </cell>
          <cell r="L12">
            <v>65337</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cell r="K13">
            <v>2</v>
          </cell>
          <cell r="L13">
            <v>65337</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cell r="J14">
            <v>1</v>
          </cell>
          <cell r="K14">
            <v>0</v>
          </cell>
          <cell r="L14">
            <v>47260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cell r="I15" t="str">
            <v>Rellenos</v>
          </cell>
          <cell r="J15">
            <v>0</v>
          </cell>
          <cell r="K15">
            <v>4</v>
          </cell>
          <cell r="L15">
            <v>130673</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cell r="K16">
            <v>1</v>
          </cell>
          <cell r="L16">
            <v>122793</v>
          </cell>
        </row>
        <row r="17">
          <cell r="A17" t="str">
            <v>Vibrador Eléctrico monofásico</v>
          </cell>
          <cell r="B17" t="str">
            <v>MEM06</v>
          </cell>
          <cell r="C17" t="str">
            <v>Hora</v>
          </cell>
          <cell r="E17">
            <v>30</v>
          </cell>
          <cell r="F17">
            <v>50000</v>
          </cell>
          <cell r="G17">
            <v>8000</v>
          </cell>
          <cell r="H17">
            <v>58000</v>
          </cell>
          <cell r="I17" t="str">
            <v>Topografía</v>
          </cell>
          <cell r="J17">
            <v>1</v>
          </cell>
          <cell r="K17">
            <v>2</v>
          </cell>
          <cell r="L17">
            <v>157178</v>
          </cell>
        </row>
        <row r="18">
          <cell r="A18" t="str">
            <v>Vibrocompactadora - Rana</v>
          </cell>
          <cell r="B18" t="str">
            <v>MEM06</v>
          </cell>
          <cell r="C18" t="str">
            <v>Hora</v>
          </cell>
          <cell r="E18">
            <v>100</v>
          </cell>
          <cell r="F18">
            <v>10000</v>
          </cell>
          <cell r="G18">
            <v>1600</v>
          </cell>
          <cell r="H18">
            <v>11600</v>
          </cell>
          <cell r="I18" t="str">
            <v>Tubería</v>
          </cell>
          <cell r="J18">
            <v>2</v>
          </cell>
          <cell r="K18">
            <v>3</v>
          </cell>
          <cell r="L18">
            <v>192525</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Acero de refuerzo PDR 60</v>
          </cell>
        </row>
      </sheetData>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il work"/>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HOJA BASE"/>
      <sheetName val="COSTOS OFICINA"/>
      <sheetName val="COSTOS CAMPAMENTO"/>
      <sheetName val="Puntajes"/>
      <sheetName val="TOTCAPIT"/>
      <sheetName val="JORNABAS"/>
      <sheetName val="MATERIALES"/>
      <sheetName val="TOTCUADEQ"/>
      <sheetName val="TOTCUADMO"/>
      <sheetName val="Anexo No. 5"/>
      <sheetName val="Datos"/>
      <sheetName val="ESTADO VÍA-CRIT.TECNICO"/>
      <sheetName val="5094-2003"/>
      <sheetName val="FINANCIERA"/>
      <sheetName val="PREACTA"/>
      <sheetName val="Index"/>
      <sheetName val="NPV Summary"/>
      <sheetName val="Equip Data"/>
      <sheetName val="Royalties"/>
      <sheetName val="Title"/>
      <sheetName val="Anal"/>
      <sheetName val="FACTORE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ivil work"/>
      <sheetName val="PRESUPUESTO "/>
      <sheetName val="Cuadrillas"/>
      <sheetName val="Equ"/>
      <sheetName val="Trans"/>
      <sheetName val="Mat"/>
      <sheetName val="Salarios"/>
      <sheetName val="PPTO"/>
      <sheetName val="F. Prest"/>
      <sheetName val="BASE"/>
      <sheetName val="Capitulos"/>
      <sheetName val="Maqui Equip"/>
      <sheetName val="calidad"/>
      <sheetName val="\\Pc1\E\AMV-3005-2005\ADMON GR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 val="Cuadro"/>
      <sheetName val="Mobra"/>
      <sheetName val="PERSONAL"/>
      <sheetName val="ITEMS"/>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310 B  (2)"/>
      <sheetName val="UNITARIO AULAS"/>
      <sheetName val="1_Preliminares"/>
      <sheetName val="Insumos"/>
      <sheetName val="M.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Listadoprecios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Indicadores de Ciencia"/>
      <sheetName val="Indicadores de Empleo"/>
      <sheetName val="Indicadores Gestión"/>
      <sheetName val="Indicadores de Impacto"/>
      <sheetName val="PR-04"/>
      <sheetName val="Indicadores de Producto"/>
      <sheetName val="Sector"/>
      <sheetName val="Un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sheetData sheetId="2">
        <row r="2">
          <cell r="B2">
            <v>0</v>
          </cell>
        </row>
      </sheetData>
      <sheetData sheetId="3">
        <row r="2">
          <cell r="B2">
            <v>0</v>
          </cell>
        </row>
      </sheetData>
      <sheetData sheetId="4"/>
      <sheetData sheetId="5"/>
      <sheetData sheetId="6"/>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 AdoVh"/>
    </sheetNames>
    <sheetDataSet>
      <sheetData sheetId="0" refreshError="1"/>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Presup Av 1o de mayo con 73a "/>
      <sheetName val="materiales"/>
      <sheetName val="otros"/>
      <sheetName val="Insumos"/>
      <sheetName val="APU"/>
      <sheetName val="BASE"/>
      <sheetName val="basicos"/>
      <sheetName val="Res-Accide-10"/>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COSTOS OFICINA"/>
      <sheetName val="COSTOS CAMPAMENTO"/>
      <sheetName val="Res-Accide-10"/>
      <sheetName val="Hoja1"/>
      <sheetName val="Equipo"/>
      <sheetName val="materiales"/>
      <sheetName val="otros"/>
      <sheetName val="Insum"/>
      <sheetName val="Presupuesto remoción de derrumb"/>
      <sheetName val="Presup Av 1o de mayo con 73a "/>
      <sheetName val="Tablas"/>
      <sheetName val="Análisis_de_precios"/>
      <sheetName val="Remo__derr_"/>
      <sheetName val="Limp__mec__Alcant_"/>
      <sheetName val="320.1"/>
      <sheetName val="330.2"/>
      <sheetName val="700.1"/>
    </sheetNames>
    <sheetDataSet>
      <sheetData sheetId="0">
        <row r="52">
          <cell r="H52">
            <v>46548</v>
          </cell>
        </row>
      </sheetData>
      <sheetData sheetId="1"/>
      <sheetData sheetId="2"/>
      <sheetData sheetId="3">
        <row r="52">
          <cell r="H52">
            <v>46548</v>
          </cell>
        </row>
      </sheetData>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arámetros"/>
      <sheetName val="CálculoTarifasMR"/>
      <sheetName val="CostosMR"/>
      <sheetName val="CálculoTarifasMNR"/>
      <sheetName val="Tarifas"/>
      <sheetName val="Aplicación Tarifas GN"/>
      <sheetName val="Aplicación Tarifas GLP"/>
      <sheetName val="Gas200603"/>
      <sheetName val="CostosGas200603"/>
      <sheetName val="Cuenta típica MR"/>
      <sheetName val="Datos cuenta tipica"/>
      <sheetName val="comparacion energéticos residen"/>
      <sheetName val="Precios energeticos no resid"/>
      <sheetName val="Selección"/>
      <sheetName val="Análisis de precios"/>
      <sheetName val="COSTOS OFICINA"/>
      <sheetName val="COSTOS CAMPAMENTO"/>
    </sheetNames>
    <sheetDataSet>
      <sheetData sheetId="0" refreshError="1"/>
      <sheetData sheetId="1" refreshError="1"/>
      <sheetData sheetId="2" refreshError="1">
        <row r="1">
          <cell r="M1">
            <v>3.5314669999999999E-2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días habiles 2015"/>
    </sheetNames>
    <sheetDataSet>
      <sheetData sheetId="0" refreshError="1"/>
      <sheetData sheetId="1" refreshError="1"/>
      <sheetData sheetId="2" refreshError="1"/>
      <sheetData sheetId="3" refreshError="1"/>
      <sheetData sheetId="4" refreshError="1"/>
      <sheetData sheetId="5" refreshError="1"/>
      <sheetData sheetId="6">
        <row r="1">
          <cell r="B1" t="str">
            <v>Motor 480Volt</v>
          </cell>
          <cell r="E1" t="str">
            <v>Fluid Coupling</v>
          </cell>
        </row>
        <row r="2">
          <cell r="B2">
            <v>25</v>
          </cell>
          <cell r="C2">
            <v>937</v>
          </cell>
          <cell r="E2">
            <v>25</v>
          </cell>
          <cell r="F2">
            <v>0</v>
          </cell>
        </row>
        <row r="3">
          <cell r="B3">
            <v>30</v>
          </cell>
          <cell r="C3">
            <v>1113</v>
          </cell>
          <cell r="E3">
            <v>30</v>
          </cell>
          <cell r="F3">
            <v>0</v>
          </cell>
        </row>
        <row r="4">
          <cell r="B4">
            <v>40</v>
          </cell>
          <cell r="C4">
            <v>1296</v>
          </cell>
          <cell r="E4">
            <v>40</v>
          </cell>
          <cell r="F4">
            <v>0</v>
          </cell>
        </row>
        <row r="5">
          <cell r="B5">
            <v>75</v>
          </cell>
          <cell r="C5">
            <v>2952</v>
          </cell>
          <cell r="E5">
            <v>75</v>
          </cell>
          <cell r="F5">
            <v>3522</v>
          </cell>
        </row>
        <row r="6">
          <cell r="B6">
            <v>125</v>
          </cell>
          <cell r="C6">
            <v>4209</v>
          </cell>
          <cell r="E6">
            <v>125</v>
          </cell>
          <cell r="F6">
            <v>3522</v>
          </cell>
        </row>
        <row r="7">
          <cell r="B7">
            <v>150</v>
          </cell>
          <cell r="C7">
            <v>5789</v>
          </cell>
          <cell r="E7">
            <v>150</v>
          </cell>
          <cell r="F7">
            <v>3962</v>
          </cell>
        </row>
        <row r="8">
          <cell r="B8">
            <v>200</v>
          </cell>
          <cell r="C8">
            <v>6939</v>
          </cell>
          <cell r="E8">
            <v>200</v>
          </cell>
          <cell r="F8">
            <v>3962</v>
          </cell>
        </row>
        <row r="11">
          <cell r="B11" t="str">
            <v>Reducer</v>
          </cell>
        </row>
        <row r="12">
          <cell r="B12">
            <v>25</v>
          </cell>
          <cell r="C12">
            <v>9226</v>
          </cell>
        </row>
        <row r="13">
          <cell r="B13">
            <v>30</v>
          </cell>
          <cell r="C13">
            <v>9226</v>
          </cell>
        </row>
        <row r="14">
          <cell r="B14">
            <v>40</v>
          </cell>
          <cell r="C14">
            <v>20206</v>
          </cell>
        </row>
        <row r="15">
          <cell r="B15">
            <v>75</v>
          </cell>
          <cell r="C15">
            <v>20232</v>
          </cell>
        </row>
        <row r="16">
          <cell r="B16">
            <v>125</v>
          </cell>
          <cell r="C16">
            <v>20232</v>
          </cell>
        </row>
        <row r="17">
          <cell r="B17">
            <v>150</v>
          </cell>
          <cell r="C17">
            <v>20232</v>
          </cell>
        </row>
        <row r="18">
          <cell r="B18">
            <v>200</v>
          </cell>
          <cell r="C18">
            <v>31656</v>
          </cell>
        </row>
        <row r="31">
          <cell r="B31" t="str">
            <v>Pull Cords</v>
          </cell>
          <cell r="H31" t="str">
            <v>Troughing</v>
          </cell>
          <cell r="L31" t="str">
            <v>Return</v>
          </cell>
        </row>
        <row r="32">
          <cell r="B32">
            <v>100</v>
          </cell>
          <cell r="C32">
            <v>752</v>
          </cell>
          <cell r="H32">
            <v>100</v>
          </cell>
          <cell r="I32">
            <v>1406.25</v>
          </cell>
          <cell r="L32">
            <v>100</v>
          </cell>
          <cell r="M32">
            <v>225</v>
          </cell>
        </row>
        <row r="33">
          <cell r="B33">
            <v>200</v>
          </cell>
          <cell r="C33">
            <v>1128</v>
          </cell>
          <cell r="H33">
            <v>200</v>
          </cell>
          <cell r="I33">
            <v>2812.5</v>
          </cell>
          <cell r="L33">
            <v>200</v>
          </cell>
          <cell r="M33">
            <v>450</v>
          </cell>
        </row>
        <row r="34">
          <cell r="B34">
            <v>300</v>
          </cell>
          <cell r="C34">
            <v>1504</v>
          </cell>
          <cell r="H34">
            <v>300</v>
          </cell>
          <cell r="I34">
            <v>4218.75</v>
          </cell>
          <cell r="L34">
            <v>300</v>
          </cell>
          <cell r="M34">
            <v>675</v>
          </cell>
        </row>
        <row r="35">
          <cell r="B35">
            <v>400</v>
          </cell>
          <cell r="C35">
            <v>1880</v>
          </cell>
          <cell r="H35">
            <v>400</v>
          </cell>
          <cell r="I35">
            <v>5625</v>
          </cell>
          <cell r="L35">
            <v>400</v>
          </cell>
          <cell r="M35">
            <v>900</v>
          </cell>
        </row>
        <row r="36">
          <cell r="B36">
            <v>500</v>
          </cell>
          <cell r="C36">
            <v>2256</v>
          </cell>
          <cell r="H36">
            <v>500</v>
          </cell>
          <cell r="I36">
            <v>7031.25</v>
          </cell>
          <cell r="L36">
            <v>500</v>
          </cell>
          <cell r="M36">
            <v>1125</v>
          </cell>
        </row>
        <row r="37">
          <cell r="B37">
            <v>600</v>
          </cell>
          <cell r="C37">
            <v>2632</v>
          </cell>
          <cell r="H37">
            <v>600</v>
          </cell>
          <cell r="I37">
            <v>8437.5</v>
          </cell>
          <cell r="L37">
            <v>600</v>
          </cell>
          <cell r="M37">
            <v>1350</v>
          </cell>
        </row>
        <row r="38">
          <cell r="B38">
            <v>700</v>
          </cell>
          <cell r="C38">
            <v>3008</v>
          </cell>
          <cell r="H38">
            <v>700</v>
          </cell>
          <cell r="I38">
            <v>9843.75</v>
          </cell>
          <cell r="L38">
            <v>700</v>
          </cell>
          <cell r="M38">
            <v>1575</v>
          </cell>
        </row>
        <row r="39">
          <cell r="B39">
            <v>800</v>
          </cell>
          <cell r="C39">
            <v>3384</v>
          </cell>
          <cell r="H39">
            <v>800</v>
          </cell>
          <cell r="I39">
            <v>11250</v>
          </cell>
          <cell r="L39">
            <v>800</v>
          </cell>
          <cell r="M39">
            <v>1800</v>
          </cell>
        </row>
        <row r="40">
          <cell r="B40">
            <v>900</v>
          </cell>
          <cell r="C40">
            <v>3760</v>
          </cell>
          <cell r="H40">
            <v>900</v>
          </cell>
          <cell r="I40">
            <v>12656.25</v>
          </cell>
          <cell r="L40">
            <v>900</v>
          </cell>
          <cell r="M40">
            <v>2025</v>
          </cell>
        </row>
        <row r="41">
          <cell r="B41">
            <v>1000</v>
          </cell>
          <cell r="C41">
            <v>4136</v>
          </cell>
          <cell r="H41">
            <v>1000</v>
          </cell>
          <cell r="I41">
            <v>14062.5</v>
          </cell>
          <cell r="L41">
            <v>1000</v>
          </cell>
          <cell r="M41">
            <v>2250</v>
          </cell>
        </row>
        <row r="42">
          <cell r="B42">
            <v>1100</v>
          </cell>
          <cell r="C42">
            <v>4512</v>
          </cell>
          <cell r="H42">
            <v>1100</v>
          </cell>
          <cell r="I42">
            <v>15468.75</v>
          </cell>
          <cell r="L42">
            <v>1100</v>
          </cell>
          <cell r="M42">
            <v>2475</v>
          </cell>
        </row>
        <row r="43">
          <cell r="B43">
            <v>1200</v>
          </cell>
          <cell r="C43">
            <v>4888</v>
          </cell>
          <cell r="H43">
            <v>1200</v>
          </cell>
          <cell r="I43">
            <v>16875</v>
          </cell>
          <cell r="L43">
            <v>1200</v>
          </cell>
          <cell r="M43">
            <v>2700</v>
          </cell>
        </row>
        <row r="44">
          <cell r="B44">
            <v>1300</v>
          </cell>
          <cell r="C44">
            <v>5264</v>
          </cell>
          <cell r="H44">
            <v>1300</v>
          </cell>
          <cell r="I44">
            <v>18281.25</v>
          </cell>
          <cell r="L44">
            <v>1300</v>
          </cell>
          <cell r="M44">
            <v>2925</v>
          </cell>
        </row>
        <row r="45">
          <cell r="B45">
            <v>1400</v>
          </cell>
          <cell r="C45">
            <v>5640</v>
          </cell>
          <cell r="H45">
            <v>1400</v>
          </cell>
          <cell r="I45">
            <v>19687.5</v>
          </cell>
          <cell r="L45">
            <v>1400</v>
          </cell>
          <cell r="M45">
            <v>3150</v>
          </cell>
        </row>
        <row r="46">
          <cell r="B46">
            <v>1500</v>
          </cell>
          <cell r="C46">
            <v>6016</v>
          </cell>
          <cell r="H46">
            <v>1500</v>
          </cell>
          <cell r="I46">
            <v>21093.75</v>
          </cell>
          <cell r="L46">
            <v>1500</v>
          </cell>
          <cell r="M46">
            <v>3375</v>
          </cell>
        </row>
        <row r="47">
          <cell r="B47">
            <v>1600</v>
          </cell>
          <cell r="C47">
            <v>6392</v>
          </cell>
          <cell r="H47">
            <v>1600</v>
          </cell>
          <cell r="I47">
            <v>22500</v>
          </cell>
          <cell r="L47">
            <v>1600</v>
          </cell>
          <cell r="M47">
            <v>3600</v>
          </cell>
        </row>
        <row r="48">
          <cell r="B48">
            <v>1700</v>
          </cell>
          <cell r="C48">
            <v>6768</v>
          </cell>
          <cell r="H48">
            <v>1700</v>
          </cell>
          <cell r="I48">
            <v>23906.25</v>
          </cell>
          <cell r="L48">
            <v>1700</v>
          </cell>
          <cell r="M48">
            <v>3825</v>
          </cell>
        </row>
        <row r="49">
          <cell r="B49">
            <v>1800</v>
          </cell>
          <cell r="C49">
            <v>7144</v>
          </cell>
          <cell r="H49">
            <v>1800</v>
          </cell>
          <cell r="I49">
            <v>25312.5</v>
          </cell>
          <cell r="L49">
            <v>1800</v>
          </cell>
          <cell r="M49">
            <v>4050</v>
          </cell>
        </row>
        <row r="50">
          <cell r="B50">
            <v>1900</v>
          </cell>
          <cell r="C50">
            <v>7520</v>
          </cell>
          <cell r="H50">
            <v>1900</v>
          </cell>
          <cell r="I50">
            <v>26718.75</v>
          </cell>
          <cell r="L50">
            <v>1900</v>
          </cell>
          <cell r="M50">
            <v>4275</v>
          </cell>
        </row>
        <row r="51">
          <cell r="B51">
            <v>2000</v>
          </cell>
          <cell r="C51">
            <v>7896</v>
          </cell>
          <cell r="H51">
            <v>2000</v>
          </cell>
          <cell r="I51">
            <v>28125</v>
          </cell>
          <cell r="L51">
            <v>2000</v>
          </cell>
          <cell r="M51">
            <v>4500</v>
          </cell>
        </row>
        <row r="52">
          <cell r="B52">
            <v>2100</v>
          </cell>
          <cell r="C52">
            <v>8272</v>
          </cell>
          <cell r="H52">
            <v>2100</v>
          </cell>
          <cell r="I52">
            <v>29531.25</v>
          </cell>
          <cell r="L52">
            <v>2100</v>
          </cell>
          <cell r="M52">
            <v>4725</v>
          </cell>
        </row>
        <row r="53">
          <cell r="B53">
            <v>2200</v>
          </cell>
          <cell r="C53">
            <v>8648</v>
          </cell>
          <cell r="H53">
            <v>2200</v>
          </cell>
          <cell r="I53">
            <v>30937.5</v>
          </cell>
          <cell r="L53">
            <v>2200</v>
          </cell>
          <cell r="M53">
            <v>4950</v>
          </cell>
        </row>
        <row r="54">
          <cell r="B54">
            <v>2300</v>
          </cell>
          <cell r="C54">
            <v>9024</v>
          </cell>
          <cell r="H54">
            <v>2300</v>
          </cell>
          <cell r="I54">
            <v>32343.75</v>
          </cell>
          <cell r="L54">
            <v>2300</v>
          </cell>
          <cell r="M54">
            <v>5175</v>
          </cell>
        </row>
        <row r="55">
          <cell r="B55">
            <v>2400</v>
          </cell>
          <cell r="C55">
            <v>9400</v>
          </cell>
          <cell r="H55">
            <v>2400</v>
          </cell>
          <cell r="I55">
            <v>33750</v>
          </cell>
          <cell r="L55">
            <v>2400</v>
          </cell>
          <cell r="M55">
            <v>5400</v>
          </cell>
        </row>
        <row r="56">
          <cell r="B56">
            <v>2500</v>
          </cell>
          <cell r="C56">
            <v>9776</v>
          </cell>
          <cell r="H56">
            <v>2500</v>
          </cell>
          <cell r="I56">
            <v>35156.25</v>
          </cell>
          <cell r="L56">
            <v>2500</v>
          </cell>
          <cell r="M56">
            <v>5625</v>
          </cell>
        </row>
        <row r="57">
          <cell r="B57">
            <v>2600</v>
          </cell>
          <cell r="C57">
            <v>10152</v>
          </cell>
          <cell r="H57">
            <v>2600</v>
          </cell>
          <cell r="I57">
            <v>36562.5</v>
          </cell>
          <cell r="L57">
            <v>2600</v>
          </cell>
          <cell r="M57">
            <v>5850</v>
          </cell>
        </row>
        <row r="58">
          <cell r="B58">
            <v>2700</v>
          </cell>
          <cell r="C58">
            <v>10528</v>
          </cell>
          <cell r="H58">
            <v>2700</v>
          </cell>
          <cell r="I58">
            <v>37968.75</v>
          </cell>
          <cell r="L58">
            <v>2700</v>
          </cell>
          <cell r="M58">
            <v>6075</v>
          </cell>
        </row>
        <row r="59">
          <cell r="B59">
            <v>2800</v>
          </cell>
          <cell r="C59">
            <v>10904</v>
          </cell>
          <cell r="H59">
            <v>2800</v>
          </cell>
          <cell r="I59">
            <v>39375</v>
          </cell>
          <cell r="L59">
            <v>2800</v>
          </cell>
          <cell r="M59">
            <v>6300</v>
          </cell>
        </row>
        <row r="60">
          <cell r="B60">
            <v>2900</v>
          </cell>
          <cell r="C60">
            <v>11280</v>
          </cell>
          <cell r="H60">
            <v>2900</v>
          </cell>
          <cell r="I60">
            <v>40781.25</v>
          </cell>
          <cell r="L60">
            <v>2900</v>
          </cell>
          <cell r="M60">
            <v>6525</v>
          </cell>
        </row>
        <row r="61">
          <cell r="B61">
            <v>3000</v>
          </cell>
          <cell r="C61">
            <v>11656</v>
          </cell>
          <cell r="H61">
            <v>3000</v>
          </cell>
          <cell r="I61">
            <v>42187.5</v>
          </cell>
          <cell r="L61">
            <v>3000</v>
          </cell>
          <cell r="M61">
            <v>6750</v>
          </cell>
        </row>
        <row r="62">
          <cell r="B62">
            <v>3100</v>
          </cell>
          <cell r="C62">
            <v>12032</v>
          </cell>
          <cell r="H62">
            <v>3100</v>
          </cell>
          <cell r="I62">
            <v>43593.75</v>
          </cell>
          <cell r="L62">
            <v>3100</v>
          </cell>
          <cell r="M62">
            <v>6975</v>
          </cell>
        </row>
        <row r="63">
          <cell r="B63">
            <v>3200</v>
          </cell>
          <cell r="C63">
            <v>12408</v>
          </cell>
          <cell r="H63">
            <v>3200</v>
          </cell>
          <cell r="I63">
            <v>45000</v>
          </cell>
          <cell r="L63">
            <v>3200</v>
          </cell>
          <cell r="M63">
            <v>7200</v>
          </cell>
        </row>
        <row r="64">
          <cell r="B64">
            <v>3300</v>
          </cell>
          <cell r="C64">
            <v>12784</v>
          </cell>
          <cell r="H64">
            <v>3300</v>
          </cell>
          <cell r="I64">
            <v>46406.25</v>
          </cell>
          <cell r="L64">
            <v>3300</v>
          </cell>
          <cell r="M64">
            <v>7425</v>
          </cell>
        </row>
        <row r="65">
          <cell r="B65">
            <v>3400</v>
          </cell>
          <cell r="C65">
            <v>13160</v>
          </cell>
          <cell r="H65">
            <v>3400</v>
          </cell>
          <cell r="I65">
            <v>47812.5</v>
          </cell>
          <cell r="L65">
            <v>3400</v>
          </cell>
          <cell r="M65">
            <v>7650</v>
          </cell>
        </row>
        <row r="66">
          <cell r="B66">
            <v>3500</v>
          </cell>
          <cell r="C66">
            <v>13536</v>
          </cell>
          <cell r="H66">
            <v>3500</v>
          </cell>
          <cell r="I66">
            <v>49218.75</v>
          </cell>
          <cell r="L66">
            <v>3500</v>
          </cell>
          <cell r="M66">
            <v>7875</v>
          </cell>
        </row>
        <row r="67">
          <cell r="B67">
            <v>3600</v>
          </cell>
          <cell r="C67">
            <v>13912</v>
          </cell>
          <cell r="H67">
            <v>3600</v>
          </cell>
          <cell r="I67">
            <v>50625</v>
          </cell>
          <cell r="L67">
            <v>3600</v>
          </cell>
          <cell r="M67">
            <v>8100</v>
          </cell>
        </row>
        <row r="68">
          <cell r="B68">
            <v>3700</v>
          </cell>
          <cell r="C68">
            <v>14288</v>
          </cell>
          <cell r="H68">
            <v>3700</v>
          </cell>
          <cell r="I68">
            <v>52031.25</v>
          </cell>
          <cell r="L68">
            <v>3700</v>
          </cell>
          <cell r="M68">
            <v>8325</v>
          </cell>
        </row>
        <row r="69">
          <cell r="B69">
            <v>3800</v>
          </cell>
          <cell r="C69">
            <v>14664</v>
          </cell>
          <cell r="H69">
            <v>3800</v>
          </cell>
          <cell r="I69">
            <v>53437.5</v>
          </cell>
          <cell r="L69">
            <v>3800</v>
          </cell>
          <cell r="M69">
            <v>8550</v>
          </cell>
        </row>
        <row r="70">
          <cell r="B70">
            <v>3900</v>
          </cell>
          <cell r="C70">
            <v>15040</v>
          </cell>
          <cell r="H70">
            <v>3900</v>
          </cell>
          <cell r="I70">
            <v>54843.75</v>
          </cell>
          <cell r="L70">
            <v>3900</v>
          </cell>
          <cell r="M70">
            <v>8775</v>
          </cell>
        </row>
        <row r="71">
          <cell r="B71">
            <v>4000</v>
          </cell>
          <cell r="C71">
            <v>15416</v>
          </cell>
          <cell r="H71">
            <v>4000</v>
          </cell>
          <cell r="I71">
            <v>56250</v>
          </cell>
          <cell r="L71">
            <v>4000</v>
          </cell>
          <cell r="M71">
            <v>9000</v>
          </cell>
        </row>
        <row r="72">
          <cell r="B72">
            <v>4100</v>
          </cell>
          <cell r="C72">
            <v>15792</v>
          </cell>
          <cell r="H72">
            <v>4100</v>
          </cell>
          <cell r="I72">
            <v>57656.25</v>
          </cell>
          <cell r="L72">
            <v>4100</v>
          </cell>
          <cell r="M72">
            <v>9225</v>
          </cell>
        </row>
        <row r="73">
          <cell r="B73">
            <v>4200</v>
          </cell>
          <cell r="C73">
            <v>16168</v>
          </cell>
          <cell r="H73">
            <v>4200</v>
          </cell>
          <cell r="I73">
            <v>59062.5</v>
          </cell>
          <cell r="L73">
            <v>4200</v>
          </cell>
          <cell r="M73">
            <v>9450</v>
          </cell>
        </row>
        <row r="74">
          <cell r="B74">
            <v>4300</v>
          </cell>
          <cell r="C74">
            <v>16544</v>
          </cell>
          <cell r="H74">
            <v>4300</v>
          </cell>
          <cell r="I74">
            <v>60468.75</v>
          </cell>
          <cell r="L74">
            <v>4300</v>
          </cell>
          <cell r="M74">
            <v>9675</v>
          </cell>
        </row>
        <row r="75">
          <cell r="B75">
            <v>4400</v>
          </cell>
          <cell r="C75">
            <v>16920</v>
          </cell>
          <cell r="H75">
            <v>4400</v>
          </cell>
          <cell r="I75">
            <v>61875</v>
          </cell>
          <cell r="L75">
            <v>4400</v>
          </cell>
          <cell r="M75">
            <v>9900</v>
          </cell>
        </row>
        <row r="76">
          <cell r="B76">
            <v>4500</v>
          </cell>
          <cell r="C76">
            <v>17296</v>
          </cell>
          <cell r="H76">
            <v>4500</v>
          </cell>
          <cell r="I76">
            <v>63281.25</v>
          </cell>
          <cell r="L76">
            <v>4500</v>
          </cell>
          <cell r="M76">
            <v>10125</v>
          </cell>
        </row>
        <row r="77">
          <cell r="B77">
            <v>4600</v>
          </cell>
          <cell r="C77">
            <v>17672</v>
          </cell>
          <cell r="H77">
            <v>4600</v>
          </cell>
          <cell r="I77">
            <v>64687.5</v>
          </cell>
          <cell r="L77">
            <v>4600</v>
          </cell>
          <cell r="M77">
            <v>10350</v>
          </cell>
        </row>
        <row r="78">
          <cell r="B78">
            <v>4700</v>
          </cell>
          <cell r="C78">
            <v>18048</v>
          </cell>
          <cell r="H78">
            <v>4700</v>
          </cell>
          <cell r="I78">
            <v>66093.75</v>
          </cell>
          <cell r="L78">
            <v>4700</v>
          </cell>
          <cell r="M78">
            <v>10575</v>
          </cell>
        </row>
        <row r="79">
          <cell r="B79">
            <v>4800</v>
          </cell>
          <cell r="C79">
            <v>18424</v>
          </cell>
          <cell r="H79">
            <v>4800</v>
          </cell>
          <cell r="I79">
            <v>67500</v>
          </cell>
          <cell r="L79">
            <v>4800</v>
          </cell>
          <cell r="M79">
            <v>10800</v>
          </cell>
        </row>
        <row r="80">
          <cell r="B80">
            <v>4900</v>
          </cell>
          <cell r="C80">
            <v>18800</v>
          </cell>
          <cell r="H80">
            <v>4900</v>
          </cell>
          <cell r="I80">
            <v>68906.25</v>
          </cell>
          <cell r="L80">
            <v>4900</v>
          </cell>
          <cell r="M80">
            <v>11025</v>
          </cell>
        </row>
        <row r="81">
          <cell r="B81">
            <v>5000</v>
          </cell>
          <cell r="C81">
            <v>19176</v>
          </cell>
          <cell r="H81">
            <v>5000</v>
          </cell>
          <cell r="I81">
            <v>70312.5</v>
          </cell>
          <cell r="L81">
            <v>5000</v>
          </cell>
          <cell r="M81">
            <v>11250</v>
          </cell>
        </row>
        <row r="82">
          <cell r="B82">
            <v>5100</v>
          </cell>
          <cell r="C82">
            <v>19552</v>
          </cell>
          <cell r="H82">
            <v>5100</v>
          </cell>
          <cell r="I82">
            <v>71718.75</v>
          </cell>
          <cell r="L82">
            <v>5100</v>
          </cell>
          <cell r="M82">
            <v>11475</v>
          </cell>
        </row>
        <row r="83">
          <cell r="B83">
            <v>5200</v>
          </cell>
          <cell r="C83">
            <v>19928</v>
          </cell>
          <cell r="H83">
            <v>5200</v>
          </cell>
          <cell r="I83">
            <v>73125</v>
          </cell>
          <cell r="L83">
            <v>5200</v>
          </cell>
          <cell r="M83">
            <v>11700</v>
          </cell>
        </row>
        <row r="84">
          <cell r="B84">
            <v>5300</v>
          </cell>
          <cell r="C84">
            <v>20304</v>
          </cell>
          <cell r="H84">
            <v>5300</v>
          </cell>
          <cell r="I84">
            <v>74531.25</v>
          </cell>
          <cell r="L84">
            <v>5300</v>
          </cell>
          <cell r="M84">
            <v>11925</v>
          </cell>
        </row>
        <row r="85">
          <cell r="B85">
            <v>5400</v>
          </cell>
          <cell r="C85">
            <v>20680</v>
          </cell>
          <cell r="H85">
            <v>5400</v>
          </cell>
          <cell r="I85">
            <v>75937.5</v>
          </cell>
          <cell r="L85">
            <v>5400</v>
          </cell>
          <cell r="M85">
            <v>12150</v>
          </cell>
        </row>
        <row r="86">
          <cell r="B86">
            <v>5500</v>
          </cell>
          <cell r="C86">
            <v>21056</v>
          </cell>
          <cell r="H86">
            <v>5500</v>
          </cell>
          <cell r="I86">
            <v>77343.75</v>
          </cell>
          <cell r="L86">
            <v>5500</v>
          </cell>
          <cell r="M86">
            <v>12375</v>
          </cell>
        </row>
        <row r="87">
          <cell r="B87">
            <v>5600</v>
          </cell>
          <cell r="C87">
            <v>21432</v>
          </cell>
          <cell r="H87">
            <v>5600</v>
          </cell>
          <cell r="I87">
            <v>78750</v>
          </cell>
          <cell r="L87">
            <v>5600</v>
          </cell>
          <cell r="M87">
            <v>12600</v>
          </cell>
        </row>
        <row r="88">
          <cell r="B88">
            <v>5700</v>
          </cell>
          <cell r="C88">
            <v>21808</v>
          </cell>
          <cell r="H88">
            <v>5700</v>
          </cell>
          <cell r="I88">
            <v>80156.25</v>
          </cell>
          <cell r="L88">
            <v>5700</v>
          </cell>
          <cell r="M88">
            <v>12825</v>
          </cell>
        </row>
        <row r="89">
          <cell r="B89">
            <v>5800</v>
          </cell>
          <cell r="C89">
            <v>22184</v>
          </cell>
          <cell r="H89">
            <v>5800</v>
          </cell>
          <cell r="I89">
            <v>81562.5</v>
          </cell>
          <cell r="L89">
            <v>5800</v>
          </cell>
          <cell r="M89">
            <v>13050</v>
          </cell>
        </row>
        <row r="90">
          <cell r="B90">
            <v>5900</v>
          </cell>
          <cell r="C90">
            <v>22560</v>
          </cell>
          <cell r="H90">
            <v>5900</v>
          </cell>
          <cell r="I90">
            <v>82968.75</v>
          </cell>
          <cell r="L90">
            <v>5900</v>
          </cell>
          <cell r="M90">
            <v>13275</v>
          </cell>
        </row>
        <row r="91">
          <cell r="B91">
            <v>6000</v>
          </cell>
          <cell r="C91">
            <v>22936</v>
          </cell>
          <cell r="H91">
            <v>6000</v>
          </cell>
          <cell r="I91">
            <v>84375</v>
          </cell>
          <cell r="L91">
            <v>6000</v>
          </cell>
          <cell r="M91">
            <v>13500</v>
          </cell>
        </row>
        <row r="92">
          <cell r="B92">
            <v>6100</v>
          </cell>
          <cell r="C92">
            <v>23312</v>
          </cell>
          <cell r="H92">
            <v>6100</v>
          </cell>
          <cell r="I92">
            <v>85781.25</v>
          </cell>
          <cell r="L92">
            <v>6100</v>
          </cell>
          <cell r="M92">
            <v>13725</v>
          </cell>
        </row>
        <row r="93">
          <cell r="B93">
            <v>6200</v>
          </cell>
          <cell r="C93">
            <v>23688</v>
          </cell>
          <cell r="H93">
            <v>6200</v>
          </cell>
          <cell r="I93">
            <v>87187.5</v>
          </cell>
          <cell r="L93">
            <v>6200</v>
          </cell>
          <cell r="M93">
            <v>13950</v>
          </cell>
        </row>
        <row r="94">
          <cell r="B94">
            <v>6300</v>
          </cell>
          <cell r="C94">
            <v>24064</v>
          </cell>
          <cell r="H94">
            <v>6300</v>
          </cell>
          <cell r="I94">
            <v>88593.75</v>
          </cell>
          <cell r="L94">
            <v>6300</v>
          </cell>
          <cell r="M94">
            <v>14175</v>
          </cell>
        </row>
        <row r="95">
          <cell r="B95">
            <v>6400</v>
          </cell>
          <cell r="C95">
            <v>24440</v>
          </cell>
          <cell r="H95">
            <v>6400</v>
          </cell>
          <cell r="I95">
            <v>90000</v>
          </cell>
          <cell r="L95">
            <v>6400</v>
          </cell>
          <cell r="M95">
            <v>14400</v>
          </cell>
        </row>
        <row r="96">
          <cell r="B96">
            <v>6500</v>
          </cell>
          <cell r="C96">
            <v>24816</v>
          </cell>
          <cell r="H96">
            <v>6500</v>
          </cell>
          <cell r="I96">
            <v>91406.25</v>
          </cell>
          <cell r="L96">
            <v>6500</v>
          </cell>
          <cell r="M96">
            <v>14625</v>
          </cell>
        </row>
        <row r="97">
          <cell r="B97">
            <v>6600</v>
          </cell>
          <cell r="C97">
            <v>25192</v>
          </cell>
          <cell r="H97">
            <v>6600</v>
          </cell>
          <cell r="I97">
            <v>92812.5</v>
          </cell>
          <cell r="L97">
            <v>6600</v>
          </cell>
          <cell r="M97">
            <v>14850</v>
          </cell>
        </row>
        <row r="98">
          <cell r="B98">
            <v>6700</v>
          </cell>
          <cell r="C98">
            <v>25568</v>
          </cell>
          <cell r="H98">
            <v>6700</v>
          </cell>
          <cell r="I98">
            <v>94218.75</v>
          </cell>
          <cell r="L98">
            <v>6700</v>
          </cell>
          <cell r="M98">
            <v>15075</v>
          </cell>
        </row>
        <row r="99">
          <cell r="B99">
            <v>6800</v>
          </cell>
          <cell r="C99">
            <v>25944</v>
          </cell>
          <cell r="H99">
            <v>6800</v>
          </cell>
          <cell r="I99">
            <v>95625</v>
          </cell>
          <cell r="L99">
            <v>6800</v>
          </cell>
          <cell r="M99">
            <v>15300</v>
          </cell>
        </row>
        <row r="100">
          <cell r="B100">
            <v>6900</v>
          </cell>
          <cell r="C100">
            <v>26320</v>
          </cell>
          <cell r="H100">
            <v>6900</v>
          </cell>
          <cell r="I100">
            <v>97031.25</v>
          </cell>
          <cell r="L100">
            <v>6900</v>
          </cell>
          <cell r="M100">
            <v>15525</v>
          </cell>
        </row>
        <row r="101">
          <cell r="B101">
            <v>7000</v>
          </cell>
          <cell r="C101">
            <v>26696</v>
          </cell>
          <cell r="H101">
            <v>7000</v>
          </cell>
          <cell r="I101">
            <v>98437.5</v>
          </cell>
          <cell r="L101">
            <v>7000</v>
          </cell>
          <cell r="M101">
            <v>15750</v>
          </cell>
        </row>
        <row r="102">
          <cell r="B102">
            <v>7100</v>
          </cell>
          <cell r="C102">
            <v>27072</v>
          </cell>
          <cell r="H102">
            <v>7100</v>
          </cell>
          <cell r="I102">
            <v>99843.75</v>
          </cell>
          <cell r="L102">
            <v>7100</v>
          </cell>
          <cell r="M102">
            <v>15975</v>
          </cell>
        </row>
        <row r="103">
          <cell r="B103">
            <v>7200</v>
          </cell>
          <cell r="C103">
            <v>27448</v>
          </cell>
          <cell r="H103">
            <v>7200</v>
          </cell>
          <cell r="I103">
            <v>101250</v>
          </cell>
          <cell r="L103">
            <v>7200</v>
          </cell>
          <cell r="M103">
            <v>16200</v>
          </cell>
        </row>
        <row r="104">
          <cell r="B104">
            <v>7300</v>
          </cell>
          <cell r="C104">
            <v>27824</v>
          </cell>
          <cell r="H104">
            <v>7300</v>
          </cell>
          <cell r="I104">
            <v>102656.25</v>
          </cell>
          <cell r="L104">
            <v>7300</v>
          </cell>
          <cell r="M104">
            <v>16425</v>
          </cell>
        </row>
        <row r="105">
          <cell r="B105">
            <v>7400</v>
          </cell>
          <cell r="C105">
            <v>28200</v>
          </cell>
          <cell r="H105">
            <v>7400</v>
          </cell>
          <cell r="I105">
            <v>104062.5</v>
          </cell>
          <cell r="L105">
            <v>7400</v>
          </cell>
          <cell r="M105">
            <v>16650</v>
          </cell>
        </row>
        <row r="106">
          <cell r="B106">
            <v>7500</v>
          </cell>
          <cell r="C106">
            <v>28576</v>
          </cell>
          <cell r="H106">
            <v>7500</v>
          </cell>
          <cell r="I106">
            <v>105468.75</v>
          </cell>
          <cell r="L106">
            <v>7500</v>
          </cell>
          <cell r="M106">
            <v>16875</v>
          </cell>
        </row>
        <row r="107">
          <cell r="B107">
            <v>7600</v>
          </cell>
          <cell r="C107">
            <v>28952</v>
          </cell>
          <cell r="H107">
            <v>7600</v>
          </cell>
          <cell r="I107">
            <v>106875</v>
          </cell>
          <cell r="L107">
            <v>7600</v>
          </cell>
          <cell r="M107">
            <v>17100</v>
          </cell>
        </row>
        <row r="108">
          <cell r="B108">
            <v>7700</v>
          </cell>
          <cell r="C108">
            <v>29328</v>
          </cell>
          <cell r="H108">
            <v>7700</v>
          </cell>
          <cell r="I108">
            <v>108281.25</v>
          </cell>
          <cell r="L108">
            <v>7700</v>
          </cell>
          <cell r="M108">
            <v>17325</v>
          </cell>
        </row>
        <row r="109">
          <cell r="B109">
            <v>7800</v>
          </cell>
          <cell r="C109">
            <v>29704</v>
          </cell>
          <cell r="H109">
            <v>7800</v>
          </cell>
          <cell r="I109">
            <v>109687.5</v>
          </cell>
          <cell r="L109">
            <v>7800</v>
          </cell>
          <cell r="M109">
            <v>17550</v>
          </cell>
        </row>
        <row r="110">
          <cell r="B110">
            <v>7900</v>
          </cell>
          <cell r="C110">
            <v>30080</v>
          </cell>
          <cell r="H110">
            <v>7900</v>
          </cell>
          <cell r="I110">
            <v>111093.75</v>
          </cell>
          <cell r="L110">
            <v>7900</v>
          </cell>
          <cell r="M110">
            <v>17775</v>
          </cell>
        </row>
        <row r="111">
          <cell r="B111">
            <v>8000</v>
          </cell>
          <cell r="C111">
            <v>30456</v>
          </cell>
          <cell r="H111">
            <v>8000</v>
          </cell>
          <cell r="I111">
            <v>112500</v>
          </cell>
          <cell r="L111">
            <v>8000</v>
          </cell>
          <cell r="M111">
            <v>18000</v>
          </cell>
        </row>
        <row r="112">
          <cell r="B112">
            <v>8100</v>
          </cell>
          <cell r="C112">
            <v>30832</v>
          </cell>
          <cell r="H112">
            <v>8100</v>
          </cell>
          <cell r="I112">
            <v>113906.25</v>
          </cell>
          <cell r="L112">
            <v>8100</v>
          </cell>
          <cell r="M112">
            <v>18225</v>
          </cell>
        </row>
        <row r="113">
          <cell r="B113">
            <v>8200</v>
          </cell>
          <cell r="C113">
            <v>31208</v>
          </cell>
          <cell r="H113">
            <v>8200</v>
          </cell>
          <cell r="I113">
            <v>115312.5</v>
          </cell>
          <cell r="L113">
            <v>8200</v>
          </cell>
          <cell r="M113">
            <v>18450</v>
          </cell>
        </row>
        <row r="114">
          <cell r="B114">
            <v>8300</v>
          </cell>
          <cell r="C114">
            <v>31584</v>
          </cell>
          <cell r="H114">
            <v>8300</v>
          </cell>
          <cell r="I114">
            <v>116718.75</v>
          </cell>
          <cell r="L114">
            <v>8300</v>
          </cell>
          <cell r="M114">
            <v>18675</v>
          </cell>
        </row>
        <row r="115">
          <cell r="B115">
            <v>8400</v>
          </cell>
          <cell r="C115">
            <v>31960</v>
          </cell>
          <cell r="H115">
            <v>8400</v>
          </cell>
          <cell r="I115">
            <v>118125</v>
          </cell>
          <cell r="L115">
            <v>8400</v>
          </cell>
          <cell r="M115">
            <v>18900</v>
          </cell>
        </row>
        <row r="116">
          <cell r="B116">
            <v>8500</v>
          </cell>
          <cell r="C116">
            <v>32336</v>
          </cell>
          <cell r="H116">
            <v>8500</v>
          </cell>
          <cell r="I116">
            <v>119531.25</v>
          </cell>
          <cell r="L116">
            <v>8500</v>
          </cell>
          <cell r="M116">
            <v>19125</v>
          </cell>
        </row>
        <row r="117">
          <cell r="B117">
            <v>8600</v>
          </cell>
          <cell r="C117">
            <v>32712</v>
          </cell>
          <cell r="H117">
            <v>8600</v>
          </cell>
          <cell r="I117">
            <v>120937.5</v>
          </cell>
          <cell r="L117">
            <v>8600</v>
          </cell>
          <cell r="M117">
            <v>19350</v>
          </cell>
        </row>
        <row r="118">
          <cell r="B118">
            <v>8700</v>
          </cell>
          <cell r="C118">
            <v>33088</v>
          </cell>
          <cell r="H118">
            <v>8700</v>
          </cell>
          <cell r="I118">
            <v>122343.75</v>
          </cell>
          <cell r="L118">
            <v>8700</v>
          </cell>
          <cell r="M118">
            <v>19575</v>
          </cell>
        </row>
        <row r="119">
          <cell r="B119">
            <v>8800</v>
          </cell>
          <cell r="C119">
            <v>33464</v>
          </cell>
          <cell r="H119">
            <v>8800</v>
          </cell>
          <cell r="I119">
            <v>123750</v>
          </cell>
          <cell r="L119">
            <v>8800</v>
          </cell>
          <cell r="M119">
            <v>19800</v>
          </cell>
        </row>
        <row r="120">
          <cell r="B120">
            <v>8900</v>
          </cell>
          <cell r="C120">
            <v>33840</v>
          </cell>
          <cell r="H120">
            <v>8900</v>
          </cell>
          <cell r="I120">
            <v>125156.25</v>
          </cell>
          <cell r="L120">
            <v>8900</v>
          </cell>
          <cell r="M120">
            <v>20025</v>
          </cell>
        </row>
        <row r="121">
          <cell r="B121">
            <v>9000</v>
          </cell>
          <cell r="C121">
            <v>34216</v>
          </cell>
          <cell r="H121">
            <v>9000</v>
          </cell>
          <cell r="I121">
            <v>126562.5</v>
          </cell>
          <cell r="L121">
            <v>9000</v>
          </cell>
          <cell r="M121">
            <v>20250</v>
          </cell>
        </row>
        <row r="122">
          <cell r="B122">
            <v>9100</v>
          </cell>
          <cell r="C122">
            <v>34592</v>
          </cell>
          <cell r="H122">
            <v>9100</v>
          </cell>
          <cell r="I122">
            <v>127968.75</v>
          </cell>
          <cell r="L122">
            <v>9100</v>
          </cell>
          <cell r="M122">
            <v>20475</v>
          </cell>
        </row>
        <row r="123">
          <cell r="B123">
            <v>9200</v>
          </cell>
          <cell r="C123">
            <v>34968</v>
          </cell>
          <cell r="H123">
            <v>9200</v>
          </cell>
          <cell r="I123">
            <v>129375</v>
          </cell>
          <cell r="L123">
            <v>9200</v>
          </cell>
          <cell r="M123">
            <v>20700</v>
          </cell>
        </row>
        <row r="124">
          <cell r="B124">
            <v>9300</v>
          </cell>
          <cell r="C124">
            <v>35344</v>
          </cell>
          <cell r="H124">
            <v>9300</v>
          </cell>
          <cell r="I124">
            <v>130781.25</v>
          </cell>
          <cell r="L124">
            <v>9300</v>
          </cell>
          <cell r="M124">
            <v>20925</v>
          </cell>
        </row>
        <row r="125">
          <cell r="B125">
            <v>9400</v>
          </cell>
          <cell r="C125">
            <v>35720</v>
          </cell>
          <cell r="H125">
            <v>9400</v>
          </cell>
          <cell r="I125">
            <v>132187.5</v>
          </cell>
          <cell r="L125">
            <v>9400</v>
          </cell>
          <cell r="M125">
            <v>21150</v>
          </cell>
        </row>
        <row r="126">
          <cell r="B126">
            <v>9500</v>
          </cell>
          <cell r="C126">
            <v>36096</v>
          </cell>
          <cell r="H126">
            <v>9500</v>
          </cell>
          <cell r="I126">
            <v>133593.75</v>
          </cell>
          <cell r="L126">
            <v>9500</v>
          </cell>
          <cell r="M126">
            <v>21375</v>
          </cell>
        </row>
        <row r="127">
          <cell r="B127">
            <v>9600</v>
          </cell>
          <cell r="C127">
            <v>36472</v>
          </cell>
          <cell r="H127">
            <v>9600</v>
          </cell>
          <cell r="I127">
            <v>135000</v>
          </cell>
          <cell r="L127">
            <v>9600</v>
          </cell>
          <cell r="M127">
            <v>21600</v>
          </cell>
        </row>
        <row r="128">
          <cell r="B128">
            <v>9700</v>
          </cell>
          <cell r="C128">
            <v>36848</v>
          </cell>
          <cell r="H128">
            <v>9700</v>
          </cell>
          <cell r="I128">
            <v>136406.25</v>
          </cell>
          <cell r="L128">
            <v>9700</v>
          </cell>
          <cell r="M128">
            <v>21825</v>
          </cell>
        </row>
        <row r="129">
          <cell r="B129">
            <v>9800</v>
          </cell>
          <cell r="C129">
            <v>37224</v>
          </cell>
          <cell r="H129">
            <v>9800</v>
          </cell>
          <cell r="I129">
            <v>137812.5</v>
          </cell>
          <cell r="L129">
            <v>9800</v>
          </cell>
          <cell r="M129">
            <v>22050</v>
          </cell>
        </row>
        <row r="130">
          <cell r="B130">
            <v>9900</v>
          </cell>
          <cell r="C130">
            <v>37600</v>
          </cell>
          <cell r="H130">
            <v>9900</v>
          </cell>
          <cell r="I130">
            <v>139218.75</v>
          </cell>
          <cell r="L130">
            <v>9900</v>
          </cell>
          <cell r="M130">
            <v>22275</v>
          </cell>
        </row>
        <row r="131">
          <cell r="B131">
            <v>10000</v>
          </cell>
          <cell r="C131">
            <v>37976</v>
          </cell>
          <cell r="H131">
            <v>10000</v>
          </cell>
          <cell r="I131">
            <v>140625</v>
          </cell>
          <cell r="L131">
            <v>10000</v>
          </cell>
          <cell r="M131">
            <v>22500</v>
          </cell>
        </row>
      </sheetData>
      <sheetData sheetId="7">
        <row r="1">
          <cell r="A1" t="str">
            <v>Motor (4160 V)</v>
          </cell>
        </row>
        <row r="2">
          <cell r="A2">
            <v>40</v>
          </cell>
          <cell r="B2">
            <v>0</v>
          </cell>
        </row>
        <row r="3">
          <cell r="A3">
            <v>75</v>
          </cell>
          <cell r="B3">
            <v>0</v>
          </cell>
        </row>
        <row r="4">
          <cell r="A4">
            <v>60</v>
          </cell>
          <cell r="B4">
            <v>0</v>
          </cell>
        </row>
        <row r="5">
          <cell r="A5">
            <v>125</v>
          </cell>
          <cell r="B5">
            <v>0</v>
          </cell>
        </row>
        <row r="6">
          <cell r="A6">
            <v>150</v>
          </cell>
          <cell r="B6">
            <v>0</v>
          </cell>
        </row>
        <row r="7">
          <cell r="A7">
            <v>200</v>
          </cell>
          <cell r="B7">
            <v>36880</v>
          </cell>
        </row>
        <row r="8">
          <cell r="A8">
            <v>250</v>
          </cell>
          <cell r="B8">
            <v>36211</v>
          </cell>
        </row>
        <row r="10">
          <cell r="A10" t="str">
            <v>Motor (480 V)</v>
          </cell>
        </row>
        <row r="11">
          <cell r="A11">
            <v>40</v>
          </cell>
          <cell r="B11">
            <v>3523</v>
          </cell>
        </row>
        <row r="12">
          <cell r="A12">
            <v>75</v>
          </cell>
          <cell r="B12">
            <v>7784</v>
          </cell>
        </row>
        <row r="13">
          <cell r="A13">
            <v>60</v>
          </cell>
          <cell r="B13">
            <v>5311</v>
          </cell>
        </row>
        <row r="14">
          <cell r="A14">
            <v>125</v>
          </cell>
          <cell r="B14">
            <v>12364</v>
          </cell>
        </row>
        <row r="15">
          <cell r="A15">
            <v>150</v>
          </cell>
          <cell r="B15">
            <v>11671</v>
          </cell>
        </row>
        <row r="16">
          <cell r="A16">
            <v>200</v>
          </cell>
          <cell r="B16">
            <v>0</v>
          </cell>
        </row>
        <row r="17">
          <cell r="A17">
            <v>250</v>
          </cell>
          <cell r="B17">
            <v>0</v>
          </cell>
        </row>
        <row r="19">
          <cell r="B19" t="str">
            <v>Troughing</v>
          </cell>
          <cell r="I19" t="str">
            <v>Return</v>
          </cell>
        </row>
        <row r="20">
          <cell r="B20">
            <v>100</v>
          </cell>
          <cell r="C20">
            <v>1827</v>
          </cell>
          <cell r="I20">
            <v>100</v>
          </cell>
          <cell r="J20">
            <v>725.8</v>
          </cell>
        </row>
        <row r="21">
          <cell r="B21">
            <v>200</v>
          </cell>
          <cell r="C21">
            <v>3654</v>
          </cell>
          <cell r="I21">
            <v>200</v>
          </cell>
          <cell r="J21">
            <v>1451.6</v>
          </cell>
        </row>
        <row r="22">
          <cell r="B22">
            <v>300</v>
          </cell>
          <cell r="C22">
            <v>5481</v>
          </cell>
          <cell r="I22">
            <v>300</v>
          </cell>
          <cell r="J22">
            <v>2177.4</v>
          </cell>
        </row>
        <row r="23">
          <cell r="B23">
            <v>400</v>
          </cell>
          <cell r="C23">
            <v>7308</v>
          </cell>
          <cell r="I23">
            <v>400</v>
          </cell>
          <cell r="J23">
            <v>2903.2</v>
          </cell>
        </row>
        <row r="24">
          <cell r="B24">
            <v>500</v>
          </cell>
          <cell r="C24">
            <v>9135</v>
          </cell>
          <cell r="I24">
            <v>500</v>
          </cell>
          <cell r="J24">
            <v>3629</v>
          </cell>
        </row>
        <row r="25">
          <cell r="B25">
            <v>600</v>
          </cell>
          <cell r="C25">
            <v>10962</v>
          </cell>
          <cell r="I25">
            <v>600</v>
          </cell>
          <cell r="J25">
            <v>4354.8</v>
          </cell>
        </row>
        <row r="26">
          <cell r="B26">
            <v>700</v>
          </cell>
          <cell r="C26">
            <v>12789</v>
          </cell>
          <cell r="I26">
            <v>700</v>
          </cell>
          <cell r="J26">
            <v>5080.5999999999995</v>
          </cell>
        </row>
        <row r="27">
          <cell r="B27">
            <v>800</v>
          </cell>
          <cell r="C27">
            <v>14616</v>
          </cell>
          <cell r="I27">
            <v>800</v>
          </cell>
          <cell r="J27">
            <v>5806.4</v>
          </cell>
        </row>
        <row r="28">
          <cell r="B28">
            <v>900</v>
          </cell>
          <cell r="C28">
            <v>16443</v>
          </cell>
          <cell r="I28">
            <v>900</v>
          </cell>
          <cell r="J28">
            <v>6532.2</v>
          </cell>
        </row>
        <row r="29">
          <cell r="B29">
            <v>1000</v>
          </cell>
          <cell r="C29">
            <v>18270</v>
          </cell>
          <cell r="I29">
            <v>1000</v>
          </cell>
          <cell r="J29">
            <v>7258</v>
          </cell>
        </row>
        <row r="30">
          <cell r="B30">
            <v>1100</v>
          </cell>
          <cell r="C30">
            <v>20097</v>
          </cell>
          <cell r="I30">
            <v>1100</v>
          </cell>
          <cell r="J30">
            <v>7983.8</v>
          </cell>
        </row>
        <row r="31">
          <cell r="B31">
            <v>1200</v>
          </cell>
          <cell r="C31">
            <v>21924</v>
          </cell>
          <cell r="I31">
            <v>1200</v>
          </cell>
          <cell r="J31">
            <v>8709.6</v>
          </cell>
        </row>
        <row r="32">
          <cell r="B32">
            <v>1300</v>
          </cell>
          <cell r="C32">
            <v>23751</v>
          </cell>
          <cell r="I32">
            <v>1300</v>
          </cell>
          <cell r="J32">
            <v>9435.4</v>
          </cell>
        </row>
        <row r="33">
          <cell r="B33">
            <v>1400</v>
          </cell>
          <cell r="C33">
            <v>25578</v>
          </cell>
          <cell r="I33">
            <v>1400</v>
          </cell>
          <cell r="J33">
            <v>10161.199999999999</v>
          </cell>
        </row>
        <row r="34">
          <cell r="B34">
            <v>1500</v>
          </cell>
          <cell r="C34">
            <v>27405</v>
          </cell>
          <cell r="I34">
            <v>1500</v>
          </cell>
          <cell r="J34">
            <v>10887</v>
          </cell>
        </row>
        <row r="35">
          <cell r="B35">
            <v>1600</v>
          </cell>
          <cell r="C35">
            <v>29232</v>
          </cell>
          <cell r="I35">
            <v>1600</v>
          </cell>
          <cell r="J35">
            <v>11612.8</v>
          </cell>
        </row>
        <row r="36">
          <cell r="B36">
            <v>1700</v>
          </cell>
          <cell r="C36">
            <v>31059</v>
          </cell>
          <cell r="I36">
            <v>1700</v>
          </cell>
          <cell r="J36">
            <v>12338.6</v>
          </cell>
        </row>
        <row r="37">
          <cell r="B37">
            <v>1800</v>
          </cell>
          <cell r="C37">
            <v>32886</v>
          </cell>
          <cell r="I37">
            <v>1800</v>
          </cell>
          <cell r="J37">
            <v>13064.4</v>
          </cell>
        </row>
        <row r="38">
          <cell r="B38">
            <v>1900</v>
          </cell>
          <cell r="C38">
            <v>34713</v>
          </cell>
          <cell r="I38">
            <v>1900</v>
          </cell>
          <cell r="J38">
            <v>13790.199999999999</v>
          </cell>
        </row>
        <row r="39">
          <cell r="B39">
            <v>2000</v>
          </cell>
          <cell r="C39">
            <v>36540</v>
          </cell>
          <cell r="I39">
            <v>2000</v>
          </cell>
          <cell r="J39">
            <v>14516</v>
          </cell>
        </row>
        <row r="40">
          <cell r="B40">
            <v>2100</v>
          </cell>
          <cell r="C40">
            <v>38367</v>
          </cell>
          <cell r="I40">
            <v>2100</v>
          </cell>
          <cell r="J40">
            <v>15241.8</v>
          </cell>
        </row>
        <row r="41">
          <cell r="B41">
            <v>2200</v>
          </cell>
          <cell r="C41">
            <v>40194</v>
          </cell>
          <cell r="I41">
            <v>2200</v>
          </cell>
          <cell r="J41">
            <v>15967.6</v>
          </cell>
        </row>
        <row r="42">
          <cell r="B42">
            <v>2300</v>
          </cell>
          <cell r="C42">
            <v>42021</v>
          </cell>
          <cell r="I42">
            <v>2300</v>
          </cell>
          <cell r="J42">
            <v>16693.399999999998</v>
          </cell>
        </row>
        <row r="43">
          <cell r="B43">
            <v>2400</v>
          </cell>
          <cell r="C43">
            <v>43848</v>
          </cell>
          <cell r="I43">
            <v>2400</v>
          </cell>
          <cell r="J43">
            <v>17419.2</v>
          </cell>
        </row>
        <row r="44">
          <cell r="B44">
            <v>2500</v>
          </cell>
          <cell r="C44">
            <v>45675</v>
          </cell>
          <cell r="I44">
            <v>2500</v>
          </cell>
          <cell r="J44">
            <v>18145</v>
          </cell>
        </row>
        <row r="45">
          <cell r="B45">
            <v>2600</v>
          </cell>
          <cell r="C45">
            <v>47502</v>
          </cell>
          <cell r="I45">
            <v>2600</v>
          </cell>
          <cell r="J45">
            <v>18870.8</v>
          </cell>
        </row>
        <row r="46">
          <cell r="B46">
            <v>2700</v>
          </cell>
          <cell r="C46">
            <v>49329</v>
          </cell>
          <cell r="I46">
            <v>2700</v>
          </cell>
          <cell r="J46">
            <v>19596.599999999999</v>
          </cell>
        </row>
        <row r="47">
          <cell r="B47">
            <v>2800</v>
          </cell>
          <cell r="C47">
            <v>51156</v>
          </cell>
          <cell r="I47">
            <v>2800</v>
          </cell>
          <cell r="J47">
            <v>20322.399999999998</v>
          </cell>
        </row>
        <row r="48">
          <cell r="B48">
            <v>2900</v>
          </cell>
          <cell r="C48">
            <v>52983</v>
          </cell>
          <cell r="I48">
            <v>2900</v>
          </cell>
          <cell r="J48">
            <v>21048.2</v>
          </cell>
        </row>
        <row r="49">
          <cell r="B49">
            <v>3000</v>
          </cell>
          <cell r="C49">
            <v>54810</v>
          </cell>
          <cell r="I49">
            <v>3000</v>
          </cell>
          <cell r="J49">
            <v>21774</v>
          </cell>
        </row>
        <row r="50">
          <cell r="B50">
            <v>3100</v>
          </cell>
          <cell r="C50">
            <v>56637</v>
          </cell>
          <cell r="I50">
            <v>3100</v>
          </cell>
          <cell r="J50">
            <v>22499.8</v>
          </cell>
        </row>
        <row r="51">
          <cell r="B51">
            <v>3200</v>
          </cell>
          <cell r="C51">
            <v>58464</v>
          </cell>
          <cell r="I51">
            <v>3200</v>
          </cell>
          <cell r="J51">
            <v>23225.599999999999</v>
          </cell>
        </row>
        <row r="52">
          <cell r="B52">
            <v>3300</v>
          </cell>
          <cell r="C52">
            <v>60291</v>
          </cell>
          <cell r="I52">
            <v>3300</v>
          </cell>
          <cell r="J52">
            <v>23951.399999999998</v>
          </cell>
        </row>
        <row r="53">
          <cell r="B53">
            <v>3400</v>
          </cell>
          <cell r="C53">
            <v>62118</v>
          </cell>
          <cell r="I53">
            <v>3400</v>
          </cell>
          <cell r="J53">
            <v>24677.200000000001</v>
          </cell>
        </row>
        <row r="54">
          <cell r="B54">
            <v>3500</v>
          </cell>
          <cell r="C54">
            <v>63945</v>
          </cell>
          <cell r="I54">
            <v>3500</v>
          </cell>
          <cell r="J54">
            <v>25403</v>
          </cell>
        </row>
        <row r="55">
          <cell r="B55">
            <v>3600</v>
          </cell>
          <cell r="C55">
            <v>65772</v>
          </cell>
          <cell r="I55">
            <v>3600</v>
          </cell>
          <cell r="J55">
            <v>26128.799999999999</v>
          </cell>
        </row>
        <row r="56">
          <cell r="B56">
            <v>3700</v>
          </cell>
          <cell r="C56">
            <v>67599</v>
          </cell>
          <cell r="I56">
            <v>3700</v>
          </cell>
          <cell r="J56">
            <v>26854.6</v>
          </cell>
        </row>
        <row r="57">
          <cell r="B57">
            <v>3800</v>
          </cell>
          <cell r="C57">
            <v>69426</v>
          </cell>
          <cell r="I57">
            <v>3800</v>
          </cell>
          <cell r="J57">
            <v>27580.399999999998</v>
          </cell>
        </row>
        <row r="58">
          <cell r="B58">
            <v>3900</v>
          </cell>
          <cell r="C58">
            <v>71253</v>
          </cell>
          <cell r="I58">
            <v>3900</v>
          </cell>
          <cell r="J58">
            <v>28306.2</v>
          </cell>
        </row>
        <row r="59">
          <cell r="B59">
            <v>4000</v>
          </cell>
          <cell r="C59">
            <v>73080</v>
          </cell>
          <cell r="I59">
            <v>4000</v>
          </cell>
          <cell r="J59">
            <v>29032</v>
          </cell>
        </row>
        <row r="60">
          <cell r="B60">
            <v>4100</v>
          </cell>
          <cell r="C60">
            <v>74907</v>
          </cell>
          <cell r="I60">
            <v>4100</v>
          </cell>
          <cell r="J60">
            <v>29757.8</v>
          </cell>
        </row>
        <row r="61">
          <cell r="B61">
            <v>4200</v>
          </cell>
          <cell r="C61">
            <v>76734</v>
          </cell>
          <cell r="I61">
            <v>4200</v>
          </cell>
          <cell r="J61">
            <v>30483.599999999999</v>
          </cell>
        </row>
        <row r="62">
          <cell r="B62">
            <v>4300</v>
          </cell>
          <cell r="C62">
            <v>78561</v>
          </cell>
          <cell r="I62">
            <v>4300</v>
          </cell>
          <cell r="J62">
            <v>31209.399999999998</v>
          </cell>
        </row>
        <row r="63">
          <cell r="B63">
            <v>4400</v>
          </cell>
          <cell r="C63">
            <v>80388</v>
          </cell>
          <cell r="I63">
            <v>4400</v>
          </cell>
          <cell r="J63">
            <v>31935.200000000001</v>
          </cell>
        </row>
        <row r="64">
          <cell r="B64">
            <v>4500</v>
          </cell>
          <cell r="C64">
            <v>82215</v>
          </cell>
          <cell r="I64">
            <v>4500</v>
          </cell>
          <cell r="J64">
            <v>32661</v>
          </cell>
        </row>
        <row r="65">
          <cell r="B65">
            <v>4600</v>
          </cell>
          <cell r="C65">
            <v>84042</v>
          </cell>
          <cell r="I65">
            <v>4600</v>
          </cell>
          <cell r="J65">
            <v>33386.799999999996</v>
          </cell>
        </row>
        <row r="66">
          <cell r="B66">
            <v>4700</v>
          </cell>
          <cell r="C66">
            <v>85869</v>
          </cell>
          <cell r="I66">
            <v>4700</v>
          </cell>
          <cell r="J66">
            <v>34112.6</v>
          </cell>
        </row>
        <row r="67">
          <cell r="B67">
            <v>4800</v>
          </cell>
          <cell r="C67">
            <v>87696</v>
          </cell>
          <cell r="I67">
            <v>4800</v>
          </cell>
          <cell r="J67">
            <v>34838.400000000001</v>
          </cell>
        </row>
        <row r="68">
          <cell r="B68">
            <v>4900</v>
          </cell>
          <cell r="C68">
            <v>89523</v>
          </cell>
          <cell r="I68">
            <v>4900</v>
          </cell>
          <cell r="J68">
            <v>35564.199999999997</v>
          </cell>
        </row>
        <row r="69">
          <cell r="B69">
            <v>5000</v>
          </cell>
          <cell r="C69">
            <v>91350</v>
          </cell>
          <cell r="I69">
            <v>5000</v>
          </cell>
          <cell r="J69">
            <v>36290</v>
          </cell>
        </row>
        <row r="70">
          <cell r="B70">
            <v>5100</v>
          </cell>
          <cell r="C70">
            <v>93177</v>
          </cell>
          <cell r="I70">
            <v>5100</v>
          </cell>
          <cell r="J70">
            <v>37015.799999999996</v>
          </cell>
        </row>
        <row r="71">
          <cell r="B71">
            <v>5200</v>
          </cell>
          <cell r="C71">
            <v>95004</v>
          </cell>
          <cell r="I71">
            <v>5200</v>
          </cell>
          <cell r="J71">
            <v>37741.599999999999</v>
          </cell>
        </row>
        <row r="72">
          <cell r="B72">
            <v>5300</v>
          </cell>
          <cell r="C72">
            <v>96831</v>
          </cell>
          <cell r="I72">
            <v>5300</v>
          </cell>
          <cell r="J72">
            <v>38467.4</v>
          </cell>
        </row>
        <row r="73">
          <cell r="B73">
            <v>5400</v>
          </cell>
          <cell r="C73">
            <v>98658</v>
          </cell>
          <cell r="I73">
            <v>5400</v>
          </cell>
          <cell r="J73">
            <v>39193.199999999997</v>
          </cell>
        </row>
        <row r="74">
          <cell r="B74">
            <v>5500</v>
          </cell>
          <cell r="C74">
            <v>100485</v>
          </cell>
          <cell r="I74">
            <v>5500</v>
          </cell>
          <cell r="J74">
            <v>39919</v>
          </cell>
        </row>
        <row r="75">
          <cell r="B75">
            <v>5600</v>
          </cell>
          <cell r="C75">
            <v>102312</v>
          </cell>
          <cell r="I75">
            <v>5600</v>
          </cell>
          <cell r="J75">
            <v>40644.799999999996</v>
          </cell>
        </row>
        <row r="76">
          <cell r="B76">
            <v>5700</v>
          </cell>
          <cell r="C76">
            <v>104139</v>
          </cell>
          <cell r="I76">
            <v>5700</v>
          </cell>
          <cell r="J76">
            <v>41370.6</v>
          </cell>
        </row>
        <row r="77">
          <cell r="B77">
            <v>5800</v>
          </cell>
          <cell r="C77">
            <v>105966</v>
          </cell>
          <cell r="I77">
            <v>5800</v>
          </cell>
          <cell r="J77">
            <v>42096.4</v>
          </cell>
        </row>
        <row r="78">
          <cell r="B78">
            <v>5900</v>
          </cell>
          <cell r="C78">
            <v>107793</v>
          </cell>
          <cell r="I78">
            <v>5900</v>
          </cell>
          <cell r="J78">
            <v>42822.2</v>
          </cell>
        </row>
        <row r="79">
          <cell r="B79">
            <v>6000</v>
          </cell>
          <cell r="C79">
            <v>109620</v>
          </cell>
          <cell r="I79">
            <v>6000</v>
          </cell>
          <cell r="J79">
            <v>43548</v>
          </cell>
        </row>
        <row r="80">
          <cell r="B80">
            <v>6100</v>
          </cell>
          <cell r="C80">
            <v>111447</v>
          </cell>
          <cell r="I80">
            <v>6100</v>
          </cell>
          <cell r="J80">
            <v>44273.799999999996</v>
          </cell>
        </row>
        <row r="81">
          <cell r="B81">
            <v>6200</v>
          </cell>
          <cell r="C81">
            <v>113274</v>
          </cell>
          <cell r="I81">
            <v>6200</v>
          </cell>
          <cell r="J81">
            <v>44999.6</v>
          </cell>
        </row>
        <row r="82">
          <cell r="B82">
            <v>6300</v>
          </cell>
          <cell r="C82">
            <v>115101</v>
          </cell>
          <cell r="I82">
            <v>6300</v>
          </cell>
          <cell r="J82">
            <v>45725.4</v>
          </cell>
        </row>
        <row r="83">
          <cell r="B83">
            <v>6400</v>
          </cell>
          <cell r="C83">
            <v>116928</v>
          </cell>
          <cell r="I83">
            <v>6400</v>
          </cell>
          <cell r="J83">
            <v>46451.199999999997</v>
          </cell>
        </row>
        <row r="84">
          <cell r="B84">
            <v>6500</v>
          </cell>
          <cell r="C84">
            <v>118755</v>
          </cell>
          <cell r="I84">
            <v>6500</v>
          </cell>
          <cell r="J84">
            <v>47177</v>
          </cell>
        </row>
        <row r="85">
          <cell r="B85">
            <v>6600</v>
          </cell>
          <cell r="C85">
            <v>120582</v>
          </cell>
          <cell r="I85">
            <v>6600</v>
          </cell>
          <cell r="J85">
            <v>47902.799999999996</v>
          </cell>
        </row>
        <row r="86">
          <cell r="B86">
            <v>6700</v>
          </cell>
          <cell r="C86">
            <v>122409</v>
          </cell>
          <cell r="I86">
            <v>6700</v>
          </cell>
          <cell r="J86">
            <v>48628.6</v>
          </cell>
        </row>
        <row r="87">
          <cell r="B87">
            <v>6800</v>
          </cell>
          <cell r="C87">
            <v>124236</v>
          </cell>
          <cell r="I87">
            <v>6800</v>
          </cell>
          <cell r="J87">
            <v>49354.400000000001</v>
          </cell>
        </row>
        <row r="88">
          <cell r="B88">
            <v>6900</v>
          </cell>
          <cell r="C88">
            <v>126063</v>
          </cell>
          <cell r="I88">
            <v>6900</v>
          </cell>
          <cell r="J88">
            <v>50080.2</v>
          </cell>
        </row>
        <row r="89">
          <cell r="B89">
            <v>7000</v>
          </cell>
          <cell r="C89">
            <v>127890</v>
          </cell>
          <cell r="I89">
            <v>7000</v>
          </cell>
          <cell r="J89">
            <v>50806</v>
          </cell>
        </row>
        <row r="90">
          <cell r="B90">
            <v>7100</v>
          </cell>
          <cell r="C90">
            <v>129717</v>
          </cell>
          <cell r="I90">
            <v>7100</v>
          </cell>
          <cell r="J90">
            <v>51531.799999999996</v>
          </cell>
        </row>
        <row r="91">
          <cell r="B91">
            <v>7200</v>
          </cell>
          <cell r="C91">
            <v>131544</v>
          </cell>
          <cell r="I91">
            <v>7200</v>
          </cell>
          <cell r="J91">
            <v>52257.599999999999</v>
          </cell>
        </row>
        <row r="92">
          <cell r="B92">
            <v>7300</v>
          </cell>
          <cell r="C92">
            <v>133371</v>
          </cell>
          <cell r="I92">
            <v>7300</v>
          </cell>
          <cell r="J92">
            <v>52983.4</v>
          </cell>
        </row>
        <row r="93">
          <cell r="B93">
            <v>7400</v>
          </cell>
          <cell r="C93">
            <v>135198</v>
          </cell>
          <cell r="I93">
            <v>7400</v>
          </cell>
          <cell r="J93">
            <v>53709.2</v>
          </cell>
        </row>
        <row r="94">
          <cell r="B94">
            <v>7500</v>
          </cell>
          <cell r="C94">
            <v>137025</v>
          </cell>
          <cell r="I94">
            <v>7500</v>
          </cell>
          <cell r="J94">
            <v>54435</v>
          </cell>
        </row>
        <row r="95">
          <cell r="B95">
            <v>7600</v>
          </cell>
          <cell r="C95">
            <v>138852</v>
          </cell>
          <cell r="I95">
            <v>7600</v>
          </cell>
          <cell r="J95">
            <v>55160.799999999996</v>
          </cell>
        </row>
        <row r="96">
          <cell r="B96">
            <v>7700</v>
          </cell>
          <cell r="C96">
            <v>140679</v>
          </cell>
          <cell r="I96">
            <v>7700</v>
          </cell>
          <cell r="J96">
            <v>55886.6</v>
          </cell>
        </row>
        <row r="97">
          <cell r="B97">
            <v>7800</v>
          </cell>
          <cell r="C97">
            <v>142506</v>
          </cell>
          <cell r="I97">
            <v>7800</v>
          </cell>
          <cell r="J97">
            <v>56612.4</v>
          </cell>
        </row>
        <row r="98">
          <cell r="B98">
            <v>7900</v>
          </cell>
          <cell r="C98">
            <v>144333</v>
          </cell>
          <cell r="I98">
            <v>7900</v>
          </cell>
          <cell r="J98">
            <v>57338.2</v>
          </cell>
        </row>
        <row r="99">
          <cell r="B99">
            <v>8000</v>
          </cell>
          <cell r="C99">
            <v>146160</v>
          </cell>
          <cell r="I99">
            <v>8000</v>
          </cell>
          <cell r="J99">
            <v>58064</v>
          </cell>
        </row>
        <row r="100">
          <cell r="B100">
            <v>8100</v>
          </cell>
          <cell r="C100">
            <v>147987</v>
          </cell>
          <cell r="I100">
            <v>8100</v>
          </cell>
          <cell r="J100">
            <v>58789.799999999996</v>
          </cell>
        </row>
        <row r="101">
          <cell r="B101">
            <v>8200</v>
          </cell>
          <cell r="C101">
            <v>149814</v>
          </cell>
          <cell r="I101">
            <v>8200</v>
          </cell>
          <cell r="J101">
            <v>59515.6</v>
          </cell>
        </row>
        <row r="102">
          <cell r="B102">
            <v>8300</v>
          </cell>
          <cell r="C102">
            <v>151641</v>
          </cell>
          <cell r="I102">
            <v>8300</v>
          </cell>
          <cell r="J102">
            <v>60241.4</v>
          </cell>
        </row>
        <row r="103">
          <cell r="B103">
            <v>8400</v>
          </cell>
          <cell r="C103">
            <v>153468</v>
          </cell>
          <cell r="I103">
            <v>8400</v>
          </cell>
          <cell r="J103">
            <v>60967.199999999997</v>
          </cell>
        </row>
        <row r="104">
          <cell r="B104">
            <v>8500</v>
          </cell>
          <cell r="C104">
            <v>155295</v>
          </cell>
          <cell r="I104">
            <v>8500</v>
          </cell>
          <cell r="J104">
            <v>61693</v>
          </cell>
        </row>
        <row r="105">
          <cell r="B105">
            <v>8600</v>
          </cell>
          <cell r="C105">
            <v>157122</v>
          </cell>
          <cell r="I105">
            <v>8600</v>
          </cell>
          <cell r="J105">
            <v>62418.799999999996</v>
          </cell>
        </row>
        <row r="106">
          <cell r="B106">
            <v>8700</v>
          </cell>
          <cell r="C106">
            <v>158949</v>
          </cell>
          <cell r="I106">
            <v>8700</v>
          </cell>
          <cell r="J106">
            <v>63144.6</v>
          </cell>
        </row>
        <row r="107">
          <cell r="B107">
            <v>8800</v>
          </cell>
          <cell r="C107">
            <v>160776</v>
          </cell>
          <cell r="I107">
            <v>8800</v>
          </cell>
          <cell r="J107">
            <v>63870.400000000001</v>
          </cell>
        </row>
        <row r="108">
          <cell r="B108">
            <v>8900</v>
          </cell>
          <cell r="C108">
            <v>162603</v>
          </cell>
          <cell r="I108">
            <v>8900</v>
          </cell>
          <cell r="J108">
            <v>64596.2</v>
          </cell>
        </row>
        <row r="109">
          <cell r="B109">
            <v>9000</v>
          </cell>
          <cell r="C109">
            <v>164430</v>
          </cell>
          <cell r="I109">
            <v>9000</v>
          </cell>
          <cell r="J109">
            <v>65322</v>
          </cell>
        </row>
        <row r="110">
          <cell r="B110">
            <v>9100</v>
          </cell>
          <cell r="C110">
            <v>166257</v>
          </cell>
          <cell r="I110">
            <v>9100</v>
          </cell>
          <cell r="J110">
            <v>66047.8</v>
          </cell>
        </row>
        <row r="111">
          <cell r="B111">
            <v>9200</v>
          </cell>
          <cell r="C111">
            <v>168084</v>
          </cell>
          <cell r="I111">
            <v>9200</v>
          </cell>
          <cell r="J111">
            <v>66773.599999999991</v>
          </cell>
        </row>
        <row r="112">
          <cell r="B112">
            <v>9300</v>
          </cell>
          <cell r="C112">
            <v>169911</v>
          </cell>
          <cell r="I112">
            <v>9300</v>
          </cell>
          <cell r="J112">
            <v>67499.399999999994</v>
          </cell>
        </row>
        <row r="113">
          <cell r="B113">
            <v>9400</v>
          </cell>
          <cell r="C113">
            <v>171738</v>
          </cell>
          <cell r="I113">
            <v>9400</v>
          </cell>
          <cell r="J113">
            <v>68225.2</v>
          </cell>
        </row>
        <row r="114">
          <cell r="B114">
            <v>9500</v>
          </cell>
          <cell r="C114">
            <v>173565</v>
          </cell>
          <cell r="I114">
            <v>9500</v>
          </cell>
          <cell r="J114">
            <v>68951</v>
          </cell>
        </row>
        <row r="115">
          <cell r="B115">
            <v>9600</v>
          </cell>
          <cell r="C115">
            <v>175392</v>
          </cell>
          <cell r="I115">
            <v>9600</v>
          </cell>
          <cell r="J115">
            <v>69676.800000000003</v>
          </cell>
        </row>
        <row r="116">
          <cell r="B116">
            <v>9700</v>
          </cell>
          <cell r="C116">
            <v>177219</v>
          </cell>
          <cell r="I116">
            <v>9700</v>
          </cell>
          <cell r="J116">
            <v>70402.599999999991</v>
          </cell>
        </row>
        <row r="117">
          <cell r="B117">
            <v>9800</v>
          </cell>
          <cell r="C117">
            <v>179046</v>
          </cell>
          <cell r="I117">
            <v>9800</v>
          </cell>
          <cell r="J117">
            <v>71128.399999999994</v>
          </cell>
        </row>
        <row r="118">
          <cell r="B118">
            <v>9900</v>
          </cell>
          <cell r="C118">
            <v>180873</v>
          </cell>
          <cell r="I118">
            <v>9900</v>
          </cell>
          <cell r="J118">
            <v>71854.2</v>
          </cell>
        </row>
        <row r="119">
          <cell r="B119">
            <v>10000</v>
          </cell>
          <cell r="C119">
            <v>182700</v>
          </cell>
          <cell r="I119">
            <v>10000</v>
          </cell>
          <cell r="J119">
            <v>72580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FLUJOS"/>
      <sheetName val="Hoja1"/>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sheetData>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row r="10">
          <cell r="A10">
            <v>0</v>
          </cell>
        </row>
      </sheetData>
      <sheetData sheetId="16"/>
      <sheetData sheetId="17"/>
      <sheetData sheetId="18">
        <row r="10">
          <cell r="A10">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IEMPO-TRAB"/>
      <sheetName val="COLILLAS"/>
      <sheetName val="CONSO-PERSONA"/>
    </sheetNames>
    <sheetDataSet>
      <sheetData sheetId="0">
        <row r="4">
          <cell r="A4">
            <v>1</v>
          </cell>
          <cell r="CV4">
            <v>74.333300000000008</v>
          </cell>
          <cell r="CW4">
            <v>4</v>
          </cell>
          <cell r="CX4">
            <v>16</v>
          </cell>
          <cell r="CY4">
            <v>10</v>
          </cell>
          <cell r="CZ4">
            <v>0</v>
          </cell>
        </row>
        <row r="5">
          <cell r="A5">
            <v>2</v>
          </cell>
          <cell r="CV5">
            <v>74.333300000000008</v>
          </cell>
          <cell r="CW5">
            <v>4</v>
          </cell>
          <cell r="CX5">
            <v>16</v>
          </cell>
          <cell r="CY5">
            <v>10</v>
          </cell>
          <cell r="CZ5">
            <v>0</v>
          </cell>
        </row>
        <row r="6">
          <cell r="A6">
            <v>3</v>
          </cell>
          <cell r="CV6">
            <v>74.333300000000008</v>
          </cell>
          <cell r="CW6">
            <v>4</v>
          </cell>
          <cell r="CX6">
            <v>16</v>
          </cell>
          <cell r="CY6">
            <v>10</v>
          </cell>
          <cell r="CZ6">
            <v>0</v>
          </cell>
        </row>
        <row r="7">
          <cell r="A7">
            <v>4</v>
          </cell>
          <cell r="CV7">
            <v>74.333300000000008</v>
          </cell>
          <cell r="CW7">
            <v>4</v>
          </cell>
          <cell r="CX7">
            <v>16</v>
          </cell>
          <cell r="CY7">
            <v>10</v>
          </cell>
          <cell r="CZ7">
            <v>0</v>
          </cell>
        </row>
        <row r="8">
          <cell r="A8">
            <v>5</v>
          </cell>
          <cell r="CV8">
            <v>68.333300000000008</v>
          </cell>
          <cell r="CW8">
            <v>4</v>
          </cell>
          <cell r="CX8">
            <v>16</v>
          </cell>
          <cell r="CY8">
            <v>10</v>
          </cell>
          <cell r="CZ8">
            <v>0</v>
          </cell>
        </row>
        <row r="9">
          <cell r="A9">
            <v>6</v>
          </cell>
          <cell r="CV9">
            <v>73.333300000000008</v>
          </cell>
          <cell r="CW9">
            <v>1</v>
          </cell>
          <cell r="CX9">
            <v>16</v>
          </cell>
          <cell r="CY9">
            <v>10</v>
          </cell>
          <cell r="CZ9">
            <v>0</v>
          </cell>
        </row>
        <row r="10">
          <cell r="A10">
            <v>7</v>
          </cell>
          <cell r="CV10">
            <v>60.333300000000001</v>
          </cell>
          <cell r="CW10">
            <v>1</v>
          </cell>
          <cell r="CX10">
            <v>16</v>
          </cell>
          <cell r="CY10">
            <v>10</v>
          </cell>
          <cell r="CZ10">
            <v>0</v>
          </cell>
        </row>
        <row r="11">
          <cell r="A11">
            <v>8</v>
          </cell>
          <cell r="CV11">
            <v>55</v>
          </cell>
          <cell r="CW11">
            <v>1</v>
          </cell>
          <cell r="CX11">
            <v>16</v>
          </cell>
          <cell r="CY11">
            <v>10</v>
          </cell>
          <cell r="CZ11">
            <v>0</v>
          </cell>
        </row>
        <row r="12">
          <cell r="A12">
            <v>9</v>
          </cell>
          <cell r="CV12">
            <v>73.333300000000008</v>
          </cell>
          <cell r="CW12">
            <v>1</v>
          </cell>
          <cell r="CX12">
            <v>16</v>
          </cell>
          <cell r="CY12">
            <v>10</v>
          </cell>
          <cell r="CZ12">
            <v>0</v>
          </cell>
        </row>
        <row r="13">
          <cell r="A13">
            <v>10</v>
          </cell>
          <cell r="CV13">
            <v>73.333300000000008</v>
          </cell>
          <cell r="CW13">
            <v>1</v>
          </cell>
          <cell r="CX13">
            <v>16</v>
          </cell>
          <cell r="CY13">
            <v>10</v>
          </cell>
          <cell r="CZ13">
            <v>0</v>
          </cell>
        </row>
        <row r="14">
          <cell r="A14">
            <v>11</v>
          </cell>
          <cell r="CV14">
            <v>73.333300000000008</v>
          </cell>
          <cell r="CW14">
            <v>1</v>
          </cell>
          <cell r="CX14">
            <v>16</v>
          </cell>
          <cell r="CY14">
            <v>10</v>
          </cell>
          <cell r="CZ14">
            <v>0</v>
          </cell>
        </row>
        <row r="15">
          <cell r="A15">
            <v>12</v>
          </cell>
          <cell r="CV15">
            <v>25</v>
          </cell>
          <cell r="CW15">
            <v>0</v>
          </cell>
          <cell r="CX15">
            <v>8</v>
          </cell>
          <cell r="CY15">
            <v>3</v>
          </cell>
          <cell r="CZ15">
            <v>0</v>
          </cell>
        </row>
        <row r="16">
          <cell r="A16">
            <v>13</v>
          </cell>
          <cell r="CV16">
            <v>55</v>
          </cell>
          <cell r="CW16">
            <v>1</v>
          </cell>
          <cell r="CX16">
            <v>16</v>
          </cell>
          <cell r="CY16">
            <v>10</v>
          </cell>
          <cell r="CZ16">
            <v>0</v>
          </cell>
        </row>
        <row r="17">
          <cell r="A17">
            <v>14</v>
          </cell>
          <cell r="CV17">
            <v>0</v>
          </cell>
          <cell r="CW17">
            <v>0</v>
          </cell>
          <cell r="CX17">
            <v>21</v>
          </cell>
          <cell r="CY17">
            <v>0</v>
          </cell>
          <cell r="CZ17">
            <v>0</v>
          </cell>
        </row>
        <row r="18">
          <cell r="A18">
            <v>15</v>
          </cell>
          <cell r="CV18">
            <v>0</v>
          </cell>
          <cell r="CW18">
            <v>0</v>
          </cell>
          <cell r="CX18">
            <v>14</v>
          </cell>
          <cell r="CY18">
            <v>0</v>
          </cell>
          <cell r="CZ18">
            <v>0</v>
          </cell>
        </row>
        <row r="19">
          <cell r="A19">
            <v>16</v>
          </cell>
          <cell r="CV19">
            <v>0</v>
          </cell>
          <cell r="CW19">
            <v>0</v>
          </cell>
          <cell r="CX19">
            <v>14</v>
          </cell>
          <cell r="CY19">
            <v>0</v>
          </cell>
          <cell r="CZ19">
            <v>0</v>
          </cell>
        </row>
        <row r="20">
          <cell r="CV20">
            <v>0</v>
          </cell>
          <cell r="CW20">
            <v>0</v>
          </cell>
          <cell r="CX20">
            <v>0</v>
          </cell>
          <cell r="CY20">
            <v>0</v>
          </cell>
          <cell r="CZ20">
            <v>0</v>
          </cell>
        </row>
        <row r="21">
          <cell r="CV21">
            <v>0</v>
          </cell>
          <cell r="CW21">
            <v>0</v>
          </cell>
          <cell r="CX21">
            <v>0</v>
          </cell>
          <cell r="CY21">
            <v>0</v>
          </cell>
          <cell r="CZ21">
            <v>0</v>
          </cell>
        </row>
        <row r="22">
          <cell r="CV22">
            <v>0</v>
          </cell>
          <cell r="CW22">
            <v>0</v>
          </cell>
          <cell r="CX22">
            <v>0</v>
          </cell>
          <cell r="CY22">
            <v>0</v>
          </cell>
          <cell r="CZ22">
            <v>0</v>
          </cell>
        </row>
        <row r="23">
          <cell r="CV23">
            <v>0</v>
          </cell>
          <cell r="CW23">
            <v>0</v>
          </cell>
          <cell r="CX23">
            <v>0</v>
          </cell>
          <cell r="CY23">
            <v>0</v>
          </cell>
          <cell r="CZ23">
            <v>0</v>
          </cell>
        </row>
        <row r="24">
          <cell r="CV24">
            <v>0</v>
          </cell>
          <cell r="CW24">
            <v>0</v>
          </cell>
          <cell r="CX24">
            <v>0</v>
          </cell>
          <cell r="CY24">
            <v>0</v>
          </cell>
          <cell r="CZ24">
            <v>0</v>
          </cell>
        </row>
        <row r="25">
          <cell r="CV25">
            <v>0</v>
          </cell>
          <cell r="CW25">
            <v>0</v>
          </cell>
          <cell r="CX25">
            <v>0</v>
          </cell>
          <cell r="CY25">
            <v>0</v>
          </cell>
          <cell r="CZ25">
            <v>0</v>
          </cell>
        </row>
        <row r="26">
          <cell r="CV26">
            <v>0</v>
          </cell>
          <cell r="CW26">
            <v>0</v>
          </cell>
          <cell r="CX26">
            <v>0</v>
          </cell>
          <cell r="CY26">
            <v>0</v>
          </cell>
          <cell r="CZ26">
            <v>0</v>
          </cell>
        </row>
        <row r="27">
          <cell r="CV27">
            <v>0</v>
          </cell>
          <cell r="CW27">
            <v>0</v>
          </cell>
          <cell r="CX27">
            <v>0</v>
          </cell>
          <cell r="CY27">
            <v>0</v>
          </cell>
          <cell r="CZ27">
            <v>0</v>
          </cell>
        </row>
        <row r="28">
          <cell r="CV28">
            <v>0</v>
          </cell>
          <cell r="CW28">
            <v>0</v>
          </cell>
          <cell r="CX28">
            <v>0</v>
          </cell>
          <cell r="CY28">
            <v>0</v>
          </cell>
          <cell r="CZ28">
            <v>0</v>
          </cell>
        </row>
        <row r="29">
          <cell r="CV29">
            <v>0</v>
          </cell>
          <cell r="CW29">
            <v>0</v>
          </cell>
          <cell r="CX29">
            <v>0</v>
          </cell>
          <cell r="CY29">
            <v>0</v>
          </cell>
          <cell r="CZ29">
            <v>0</v>
          </cell>
        </row>
        <row r="30">
          <cell r="A30">
            <v>1</v>
          </cell>
          <cell r="CV30">
            <v>74.333300000000008</v>
          </cell>
          <cell r="CW30">
            <v>4</v>
          </cell>
          <cell r="CX30">
            <v>16</v>
          </cell>
          <cell r="CY30">
            <v>10</v>
          </cell>
          <cell r="CZ30">
            <v>0</v>
          </cell>
        </row>
        <row r="31">
          <cell r="A31">
            <v>2</v>
          </cell>
          <cell r="CV31">
            <v>74.333300000000008</v>
          </cell>
          <cell r="CW31">
            <v>4</v>
          </cell>
          <cell r="CX31">
            <v>16</v>
          </cell>
          <cell r="CY31">
            <v>10</v>
          </cell>
          <cell r="CZ31">
            <v>0</v>
          </cell>
        </row>
        <row r="32">
          <cell r="A32">
            <v>3</v>
          </cell>
          <cell r="CV32">
            <v>74.333300000000008</v>
          </cell>
          <cell r="CW32">
            <v>4</v>
          </cell>
          <cell r="CX32">
            <v>16</v>
          </cell>
          <cell r="CY32">
            <v>10</v>
          </cell>
          <cell r="CZ32">
            <v>0</v>
          </cell>
        </row>
        <row r="33">
          <cell r="A33">
            <v>4</v>
          </cell>
          <cell r="CV33">
            <v>74.333300000000008</v>
          </cell>
          <cell r="CW33">
            <v>4</v>
          </cell>
          <cell r="CX33">
            <v>16</v>
          </cell>
          <cell r="CY33">
            <v>10</v>
          </cell>
          <cell r="CZ33">
            <v>0</v>
          </cell>
        </row>
        <row r="34">
          <cell r="A34">
            <v>5</v>
          </cell>
          <cell r="CV34">
            <v>68.333300000000008</v>
          </cell>
          <cell r="CW34">
            <v>4</v>
          </cell>
          <cell r="CX34">
            <v>16</v>
          </cell>
          <cell r="CY34">
            <v>10</v>
          </cell>
          <cell r="CZ34">
            <v>0</v>
          </cell>
        </row>
        <row r="35">
          <cell r="A35">
            <v>6</v>
          </cell>
          <cell r="CV35">
            <v>73.333300000000008</v>
          </cell>
          <cell r="CW35">
            <v>1</v>
          </cell>
          <cell r="CX35">
            <v>16</v>
          </cell>
          <cell r="CY35">
            <v>10</v>
          </cell>
          <cell r="CZ35">
            <v>0</v>
          </cell>
        </row>
        <row r="36">
          <cell r="A36">
            <v>7</v>
          </cell>
          <cell r="CV36">
            <v>60.333300000000001</v>
          </cell>
          <cell r="CW36">
            <v>1</v>
          </cell>
          <cell r="CX36">
            <v>16</v>
          </cell>
          <cell r="CY36">
            <v>10</v>
          </cell>
          <cell r="CZ36">
            <v>0</v>
          </cell>
        </row>
        <row r="37">
          <cell r="A37">
            <v>8</v>
          </cell>
          <cell r="CV37">
            <v>55</v>
          </cell>
          <cell r="CW37">
            <v>1</v>
          </cell>
          <cell r="CX37">
            <v>16</v>
          </cell>
          <cell r="CY37">
            <v>10</v>
          </cell>
          <cell r="CZ37">
            <v>0</v>
          </cell>
        </row>
        <row r="38">
          <cell r="A38">
            <v>9</v>
          </cell>
          <cell r="CV38">
            <v>73.333300000000008</v>
          </cell>
          <cell r="CW38">
            <v>1</v>
          </cell>
          <cell r="CX38">
            <v>16</v>
          </cell>
          <cell r="CY38">
            <v>10</v>
          </cell>
          <cell r="CZ38">
            <v>0</v>
          </cell>
        </row>
        <row r="39">
          <cell r="A39">
            <v>10</v>
          </cell>
          <cell r="CV39">
            <v>73.333300000000008</v>
          </cell>
          <cell r="CW39">
            <v>1</v>
          </cell>
          <cell r="CX39">
            <v>16</v>
          </cell>
          <cell r="CY39">
            <v>10</v>
          </cell>
          <cell r="CZ39">
            <v>0</v>
          </cell>
        </row>
        <row r="40">
          <cell r="A40">
            <v>11</v>
          </cell>
          <cell r="CV40">
            <v>73.333300000000008</v>
          </cell>
          <cell r="CW40">
            <v>1</v>
          </cell>
          <cell r="CX40">
            <v>16</v>
          </cell>
          <cell r="CY40">
            <v>10</v>
          </cell>
          <cell r="CZ40">
            <v>0</v>
          </cell>
        </row>
        <row r="41">
          <cell r="A41">
            <v>12</v>
          </cell>
          <cell r="CV41">
            <v>25</v>
          </cell>
          <cell r="CW41">
            <v>0</v>
          </cell>
          <cell r="CX41">
            <v>8</v>
          </cell>
          <cell r="CY41">
            <v>3</v>
          </cell>
          <cell r="CZ41">
            <v>0</v>
          </cell>
        </row>
        <row r="42">
          <cell r="A42">
            <v>13</v>
          </cell>
          <cell r="CV42">
            <v>55</v>
          </cell>
          <cell r="CW42">
            <v>1</v>
          </cell>
          <cell r="CX42">
            <v>16</v>
          </cell>
          <cell r="CY42">
            <v>10</v>
          </cell>
          <cell r="CZ42">
            <v>0</v>
          </cell>
        </row>
        <row r="43">
          <cell r="A43">
            <v>14</v>
          </cell>
          <cell r="CV43">
            <v>0</v>
          </cell>
          <cell r="CW43">
            <v>0</v>
          </cell>
          <cell r="CX43">
            <v>21</v>
          </cell>
          <cell r="CY43">
            <v>0</v>
          </cell>
          <cell r="CZ43">
            <v>0</v>
          </cell>
        </row>
        <row r="44">
          <cell r="A44">
            <v>15</v>
          </cell>
          <cell r="CV44">
            <v>0</v>
          </cell>
          <cell r="CW44">
            <v>0</v>
          </cell>
          <cell r="CX44">
            <v>14</v>
          </cell>
          <cell r="CY44">
            <v>0</v>
          </cell>
          <cell r="CZ44">
            <v>0</v>
          </cell>
        </row>
        <row r="45">
          <cell r="A45">
            <v>16</v>
          </cell>
          <cell r="CV45">
            <v>0</v>
          </cell>
          <cell r="CW45">
            <v>0</v>
          </cell>
          <cell r="CX45">
            <v>14</v>
          </cell>
          <cell r="CY45">
            <v>0</v>
          </cell>
          <cell r="CZ45">
            <v>0</v>
          </cell>
        </row>
        <row r="46">
          <cell r="CV46">
            <v>0</v>
          </cell>
          <cell r="CW46">
            <v>0</v>
          </cell>
          <cell r="CX46">
            <v>0</v>
          </cell>
          <cell r="CY46">
            <v>0</v>
          </cell>
          <cell r="CZ46">
            <v>0</v>
          </cell>
        </row>
        <row r="47">
          <cell r="CV47">
            <v>0</v>
          </cell>
          <cell r="CW47">
            <v>0</v>
          </cell>
          <cell r="CX47">
            <v>0</v>
          </cell>
          <cell r="CY47">
            <v>0</v>
          </cell>
          <cell r="CZ47">
            <v>0</v>
          </cell>
        </row>
        <row r="48">
          <cell r="CV48">
            <v>0</v>
          </cell>
          <cell r="CW48">
            <v>0</v>
          </cell>
          <cell r="CX48">
            <v>0</v>
          </cell>
          <cell r="CY48">
            <v>0</v>
          </cell>
          <cell r="CZ48">
            <v>0</v>
          </cell>
        </row>
        <row r="49">
          <cell r="CV49">
            <v>0</v>
          </cell>
          <cell r="CW49">
            <v>0</v>
          </cell>
          <cell r="CX49">
            <v>0</v>
          </cell>
          <cell r="CY49">
            <v>0</v>
          </cell>
          <cell r="CZ49">
            <v>0</v>
          </cell>
        </row>
        <row r="50">
          <cell r="CV50">
            <v>0</v>
          </cell>
          <cell r="CW50">
            <v>0</v>
          </cell>
          <cell r="CX50">
            <v>0</v>
          </cell>
          <cell r="CY50">
            <v>0</v>
          </cell>
          <cell r="CZ50">
            <v>0</v>
          </cell>
        </row>
        <row r="51">
          <cell r="CV51">
            <v>0</v>
          </cell>
          <cell r="CW51">
            <v>0</v>
          </cell>
          <cell r="CX51">
            <v>0</v>
          </cell>
          <cell r="CY51">
            <v>0</v>
          </cell>
          <cell r="CZ51">
            <v>0</v>
          </cell>
        </row>
        <row r="52">
          <cell r="CV52">
            <v>0</v>
          </cell>
          <cell r="CW52">
            <v>0</v>
          </cell>
          <cell r="CX52">
            <v>0</v>
          </cell>
          <cell r="CY52">
            <v>0</v>
          </cell>
          <cell r="CZ52">
            <v>0</v>
          </cell>
        </row>
        <row r="53">
          <cell r="CV53">
            <v>0</v>
          </cell>
          <cell r="CW53">
            <v>0</v>
          </cell>
          <cell r="CX53">
            <v>0</v>
          </cell>
          <cell r="CY53">
            <v>0</v>
          </cell>
          <cell r="CZ53">
            <v>0</v>
          </cell>
        </row>
      </sheetData>
      <sheetData sheetId="1"/>
      <sheetData sheetId="2"/>
      <sheetData sheetId="3"/>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Actual Data (MAP)"/>
      <sheetName val="Actual Data (STX)"/>
      <sheetName val="items"/>
      <sheetName val="2103mar "/>
      <sheetName val="A. P. 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sheetData>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ORICOS WTI"/>
      <sheetName val="Gráfico1"/>
      <sheetName val="Hoja1"/>
      <sheetName val="HISTORICOS FUEL OIL EXP"/>
      <sheetName val="ESTIMACION NYMEX CRUDO"/>
      <sheetName val="ESTIMACION NYMEX GAS NATURAL"/>
      <sheetName val="PROYECCION"/>
      <sheetName val="FUEL OIL EXP vs FUEL OIL 30"/>
      <sheetName val="PRECIOS GAS"/>
      <sheetName val="PR 1"/>
    </sheetNames>
    <sheetDataSet>
      <sheetData sheetId="0" refreshError="1"/>
      <sheetData sheetId="1" refreshError="1"/>
      <sheetData sheetId="2" refreshError="1"/>
      <sheetData sheetId="3">
        <row r="2">
          <cell r="B2" t="str">
            <v>BARRILES</v>
          </cell>
          <cell r="C2" t="str">
            <v>VALOR US$</v>
          </cell>
          <cell r="D2" t="str">
            <v>PRECIO US$/BL</v>
          </cell>
          <cell r="E2" t="str">
            <v>mes</v>
          </cell>
          <cell r="F2" t="str">
            <v>año</v>
          </cell>
        </row>
        <row r="3">
          <cell r="B3">
            <v>1445131</v>
          </cell>
          <cell r="C3">
            <v>28270367</v>
          </cell>
          <cell r="D3">
            <v>19.562494334423661</v>
          </cell>
          <cell r="E3">
            <v>1</v>
          </cell>
          <cell r="F3">
            <v>2000</v>
          </cell>
        </row>
        <row r="4">
          <cell r="B4">
            <v>295171</v>
          </cell>
          <cell r="C4">
            <v>6985221.6999999993</v>
          </cell>
          <cell r="D4">
            <v>23.664999949181997</v>
          </cell>
          <cell r="E4" t="e">
            <v>#VALUE!</v>
          </cell>
          <cell r="F4" t="e">
            <v>#VALUE!</v>
          </cell>
        </row>
        <row r="5">
          <cell r="B5">
            <v>1216350</v>
          </cell>
          <cell r="C5">
            <v>22579045</v>
          </cell>
          <cell r="D5">
            <v>18.562950630986148</v>
          </cell>
          <cell r="E5">
            <v>2</v>
          </cell>
          <cell r="F5">
            <v>2000</v>
          </cell>
        </row>
        <row r="6">
          <cell r="B6">
            <v>921179</v>
          </cell>
          <cell r="C6">
            <v>15593823.300000001</v>
          </cell>
          <cell r="D6">
            <v>16.92811418844763</v>
          </cell>
          <cell r="E6" t="e">
            <v>#VALUE!</v>
          </cell>
          <cell r="F6" t="e">
            <v>#VALUE!</v>
          </cell>
        </row>
        <row r="7">
          <cell r="B7">
            <v>2128655</v>
          </cell>
          <cell r="C7">
            <v>41064141</v>
          </cell>
          <cell r="D7">
            <v>19.291120919078008</v>
          </cell>
          <cell r="E7">
            <v>3</v>
          </cell>
          <cell r="F7">
            <v>2000</v>
          </cell>
        </row>
        <row r="8">
          <cell r="B8">
            <v>1541204</v>
          </cell>
          <cell r="C8">
            <v>28350347</v>
          </cell>
          <cell r="D8">
            <v>18.394934739333664</v>
          </cell>
          <cell r="E8">
            <v>4</v>
          </cell>
          <cell r="F8">
            <v>2000</v>
          </cell>
        </row>
        <row r="9">
          <cell r="B9">
            <v>708485</v>
          </cell>
          <cell r="C9">
            <v>15684652</v>
          </cell>
          <cell r="D9">
            <v>22.138297917387099</v>
          </cell>
          <cell r="E9">
            <v>5</v>
          </cell>
          <cell r="F9">
            <v>2000</v>
          </cell>
        </row>
        <row r="10">
          <cell r="B10">
            <v>1158216</v>
          </cell>
          <cell r="C10">
            <v>27479833</v>
          </cell>
          <cell r="D10">
            <v>23.726000158865013</v>
          </cell>
          <cell r="E10">
            <v>6</v>
          </cell>
          <cell r="F10">
            <v>2000</v>
          </cell>
        </row>
        <row r="11">
          <cell r="B11">
            <v>1835824</v>
          </cell>
          <cell r="C11">
            <v>38153851.030000001</v>
          </cell>
          <cell r="D11">
            <v>20.782956879308692</v>
          </cell>
          <cell r="E11">
            <v>7</v>
          </cell>
          <cell r="F11">
            <v>2000</v>
          </cell>
        </row>
        <row r="12">
          <cell r="B12">
            <v>318961</v>
          </cell>
          <cell r="C12">
            <v>5744487.6100000003</v>
          </cell>
          <cell r="D12">
            <v>18.010000000000002</v>
          </cell>
          <cell r="E12" t="e">
            <v>#VALUE!</v>
          </cell>
          <cell r="F12" t="e">
            <v>#VALUE!</v>
          </cell>
        </row>
        <row r="13">
          <cell r="B13">
            <v>1504912</v>
          </cell>
          <cell r="C13">
            <v>30961059.09</v>
          </cell>
          <cell r="D13">
            <v>20.573335244851528</v>
          </cell>
          <cell r="E13">
            <v>8</v>
          </cell>
          <cell r="F13">
            <v>2000</v>
          </cell>
        </row>
        <row r="14">
          <cell r="B14">
            <v>1185951</v>
          </cell>
          <cell r="C14">
            <v>25216571.48</v>
          </cell>
          <cell r="D14">
            <v>21.262743131883191</v>
          </cell>
          <cell r="E14" t="e">
            <v>#VALUE!</v>
          </cell>
          <cell r="F14" t="e">
            <v>#VALUE!</v>
          </cell>
        </row>
        <row r="15">
          <cell r="B15">
            <v>1236115</v>
          </cell>
          <cell r="C15">
            <v>30505332.710000001</v>
          </cell>
          <cell r="D15">
            <v>24.678393765952197</v>
          </cell>
          <cell r="E15">
            <v>9</v>
          </cell>
          <cell r="F15">
            <v>2000</v>
          </cell>
        </row>
        <row r="16">
          <cell r="B16">
            <v>1567005</v>
          </cell>
          <cell r="C16">
            <v>37983194.770000003</v>
          </cell>
          <cell r="D16">
            <v>24.239357736573911</v>
          </cell>
          <cell r="E16">
            <v>10</v>
          </cell>
          <cell r="F16">
            <v>2000</v>
          </cell>
        </row>
        <row r="17">
          <cell r="B17">
            <v>1395744</v>
          </cell>
          <cell r="C17">
            <v>33098959.809999999</v>
          </cell>
          <cell r="D17">
            <v>23.714205334216015</v>
          </cell>
          <cell r="E17">
            <v>11</v>
          </cell>
          <cell r="F17">
            <v>2000</v>
          </cell>
        </row>
        <row r="18">
          <cell r="B18">
            <v>1399461</v>
          </cell>
          <cell r="C18">
            <v>30951569.080000002</v>
          </cell>
          <cell r="D18">
            <v>22.116778588327936</v>
          </cell>
          <cell r="E18">
            <v>12</v>
          </cell>
          <cell r="F18">
            <v>2000</v>
          </cell>
        </row>
        <row r="19">
          <cell r="B19">
            <v>1486715</v>
          </cell>
          <cell r="C19">
            <v>29843301</v>
          </cell>
          <cell r="D19">
            <v>20.073316674682101</v>
          </cell>
          <cell r="E19">
            <v>1</v>
          </cell>
          <cell r="F19">
            <v>2001</v>
          </cell>
        </row>
        <row r="20">
          <cell r="B20">
            <v>316650</v>
          </cell>
          <cell r="C20">
            <v>5851692</v>
          </cell>
          <cell r="D20">
            <v>18.48</v>
          </cell>
          <cell r="E20" t="e">
            <v>#VALUE!</v>
          </cell>
          <cell r="F20" t="e">
            <v>#VALUE!</v>
          </cell>
        </row>
        <row r="21">
          <cell r="B21">
            <v>954282</v>
          </cell>
          <cell r="C21">
            <v>17260761</v>
          </cell>
          <cell r="D21">
            <v>18.087694203600194</v>
          </cell>
          <cell r="E21">
            <v>2</v>
          </cell>
          <cell r="F21">
            <v>2001</v>
          </cell>
        </row>
        <row r="22">
          <cell r="B22">
            <v>637632</v>
          </cell>
          <cell r="C22">
            <v>11409069</v>
          </cell>
          <cell r="D22">
            <v>17.892873946100572</v>
          </cell>
          <cell r="E22" t="e">
            <v>#VALUE!</v>
          </cell>
          <cell r="F22" t="e">
            <v>#VALUE!</v>
          </cell>
        </row>
        <row r="23">
          <cell r="B23">
            <v>1556613</v>
          </cell>
          <cell r="C23">
            <v>28326009</v>
          </cell>
          <cell r="D23">
            <v>18.197207012918433</v>
          </cell>
          <cell r="E23">
            <v>3</v>
          </cell>
          <cell r="F23">
            <v>2001</v>
          </cell>
        </row>
        <row r="24">
          <cell r="B24">
            <v>1556065</v>
          </cell>
          <cell r="C24">
            <v>31003911</v>
          </cell>
          <cell r="D24">
            <v>19.924560349342734</v>
          </cell>
          <cell r="E24">
            <v>4</v>
          </cell>
          <cell r="F24">
            <v>2001</v>
          </cell>
        </row>
        <row r="25">
          <cell r="B25">
            <v>1935031</v>
          </cell>
          <cell r="C25">
            <v>34350152</v>
          </cell>
          <cell r="D25">
            <v>17.751732142792545</v>
          </cell>
          <cell r="E25">
            <v>5</v>
          </cell>
          <cell r="F25">
            <v>2001</v>
          </cell>
        </row>
        <row r="26">
          <cell r="B26">
            <v>1756911</v>
          </cell>
          <cell r="C26">
            <v>26349119</v>
          </cell>
          <cell r="D26">
            <v>14.997412504105217</v>
          </cell>
          <cell r="E26">
            <v>6</v>
          </cell>
          <cell r="F26">
            <v>2001</v>
          </cell>
        </row>
        <row r="27">
          <cell r="B27">
            <v>1318295</v>
          </cell>
          <cell r="C27">
            <v>20990542.170000002</v>
          </cell>
          <cell r="D27">
            <v>15.922492439097471</v>
          </cell>
          <cell r="E27">
            <v>7</v>
          </cell>
          <cell r="F27">
            <v>2001</v>
          </cell>
        </row>
        <row r="28">
          <cell r="B28">
            <v>464185</v>
          </cell>
          <cell r="C28">
            <v>7340424</v>
          </cell>
          <cell r="D28">
            <v>15.813574329200643</v>
          </cell>
          <cell r="E28" t="e">
            <v>#VALUE!</v>
          </cell>
          <cell r="F28" t="e">
            <v>#VALUE!</v>
          </cell>
        </row>
        <row r="29">
          <cell r="B29">
            <v>1101122</v>
          </cell>
          <cell r="C29">
            <v>17666245</v>
          </cell>
          <cell r="D29">
            <v>16.043857992120763</v>
          </cell>
          <cell r="E29">
            <v>8</v>
          </cell>
          <cell r="F29">
            <v>2001</v>
          </cell>
        </row>
        <row r="30">
          <cell r="B30">
            <v>636937</v>
          </cell>
          <cell r="C30">
            <v>10325821</v>
          </cell>
          <cell r="D30">
            <v>16.211683416099238</v>
          </cell>
          <cell r="E30" t="e">
            <v>#VALUE!</v>
          </cell>
          <cell r="F30" t="e">
            <v>#VALUE!</v>
          </cell>
        </row>
        <row r="31">
          <cell r="B31">
            <v>1700118</v>
          </cell>
          <cell r="C31">
            <v>29436802</v>
          </cell>
          <cell r="D31">
            <v>17.314564047907265</v>
          </cell>
          <cell r="E31">
            <v>9</v>
          </cell>
          <cell r="F31">
            <v>2001</v>
          </cell>
        </row>
        <row r="32">
          <cell r="B32">
            <v>1501004</v>
          </cell>
          <cell r="C32">
            <v>23353499</v>
          </cell>
          <cell r="D32">
            <v>15.55858545346981</v>
          </cell>
          <cell r="E32">
            <v>10</v>
          </cell>
          <cell r="F32">
            <v>2001</v>
          </cell>
        </row>
        <row r="33">
          <cell r="B33">
            <v>1123378</v>
          </cell>
          <cell r="C33">
            <v>14857873</v>
          </cell>
          <cell r="D33">
            <v>13.226067272102533</v>
          </cell>
          <cell r="E33">
            <v>11</v>
          </cell>
          <cell r="F33">
            <v>2001</v>
          </cell>
        </row>
        <row r="34">
          <cell r="B34">
            <v>1524932</v>
          </cell>
          <cell r="C34">
            <v>20844837</v>
          </cell>
          <cell r="D34">
            <v>13.669355092554946</v>
          </cell>
          <cell r="E34">
            <v>12</v>
          </cell>
          <cell r="F34">
            <v>2001</v>
          </cell>
        </row>
        <row r="35">
          <cell r="B35">
            <v>1338406</v>
          </cell>
          <cell r="C35">
            <v>18716949.77</v>
          </cell>
          <cell r="D35">
            <v>13.984508265802754</v>
          </cell>
          <cell r="E35">
            <v>1</v>
          </cell>
          <cell r="F35">
            <v>2002</v>
          </cell>
        </row>
        <row r="36">
          <cell r="B36">
            <v>728052</v>
          </cell>
          <cell r="C36">
            <v>9680947.3100000005</v>
          </cell>
          <cell r="D36">
            <v>13.297054757077792</v>
          </cell>
          <cell r="E36" t="e">
            <v>#VALUE!</v>
          </cell>
          <cell r="F36" t="e">
            <v>#VALUE!</v>
          </cell>
        </row>
        <row r="37">
          <cell r="B37">
            <v>1348260</v>
          </cell>
          <cell r="C37">
            <v>17437505.310000002</v>
          </cell>
          <cell r="D37">
            <v>12.933340238529663</v>
          </cell>
          <cell r="E37">
            <v>2</v>
          </cell>
          <cell r="F37">
            <v>2002</v>
          </cell>
        </row>
        <row r="38">
          <cell r="B38">
            <v>620208</v>
          </cell>
          <cell r="C38">
            <v>7756558</v>
          </cell>
          <cell r="D38">
            <v>12.506381730000259</v>
          </cell>
          <cell r="E38" t="e">
            <v>#VALUE!</v>
          </cell>
          <cell r="F38" t="e">
            <v>#VALUE!</v>
          </cell>
        </row>
        <row r="39">
          <cell r="B39">
            <v>1297763</v>
          </cell>
          <cell r="C39">
            <v>20751550</v>
          </cell>
          <cell r="D39">
            <v>15.990246293044262</v>
          </cell>
          <cell r="E39">
            <v>3</v>
          </cell>
          <cell r="F39">
            <v>2002</v>
          </cell>
        </row>
        <row r="40">
          <cell r="B40">
            <v>1589150</v>
          </cell>
          <cell r="C40">
            <v>32001527</v>
          </cell>
          <cell r="D40">
            <v>20.137511877418746</v>
          </cell>
          <cell r="E40">
            <v>4</v>
          </cell>
          <cell r="F40">
            <v>2002</v>
          </cell>
        </row>
        <row r="41">
          <cell r="B41">
            <v>1215787</v>
          </cell>
          <cell r="C41">
            <v>26044498</v>
          </cell>
          <cell r="D41">
            <v>21.421925057596436</v>
          </cell>
          <cell r="E41">
            <v>5</v>
          </cell>
          <cell r="F41">
            <v>2002</v>
          </cell>
        </row>
        <row r="42">
          <cell r="B42">
            <v>1545281</v>
          </cell>
          <cell r="C42">
            <v>31336111.010000002</v>
          </cell>
          <cell r="D42">
            <v>20.278584289847608</v>
          </cell>
          <cell r="E42">
            <v>6</v>
          </cell>
          <cell r="F42">
            <v>2002</v>
          </cell>
        </row>
        <row r="43">
          <cell r="B43">
            <v>1878148</v>
          </cell>
          <cell r="C43">
            <v>38923115</v>
          </cell>
          <cell r="D43">
            <v>20.724200116284766</v>
          </cell>
          <cell r="E43">
            <v>7</v>
          </cell>
          <cell r="F43">
            <v>2002</v>
          </cell>
        </row>
        <row r="44">
          <cell r="B44">
            <v>286983</v>
          </cell>
          <cell r="C44">
            <v>6586260</v>
          </cell>
          <cell r="D44">
            <v>22.950000522679044</v>
          </cell>
          <cell r="E44" t="e">
            <v>#VALUE!</v>
          </cell>
          <cell r="F44" t="e">
            <v>#VALUE!</v>
          </cell>
        </row>
        <row r="45">
          <cell r="B45">
            <v>1076661</v>
          </cell>
          <cell r="C45">
            <v>24983577</v>
          </cell>
          <cell r="D45">
            <v>23.204682811024082</v>
          </cell>
          <cell r="E45">
            <v>8</v>
          </cell>
          <cell r="F45">
            <v>2002</v>
          </cell>
        </row>
        <row r="46">
          <cell r="B46">
            <v>789678</v>
          </cell>
          <cell r="C46">
            <v>18397317</v>
          </cell>
          <cell r="D46">
            <v>23.297238874579257</v>
          </cell>
          <cell r="E46" t="e">
            <v>#VALUE!</v>
          </cell>
          <cell r="F46" t="e">
            <v>#VALUE!</v>
          </cell>
        </row>
        <row r="47">
          <cell r="B47">
            <v>1383383</v>
          </cell>
          <cell r="C47">
            <v>32107013</v>
          </cell>
          <cell r="D47">
            <v>23.2090556266775</v>
          </cell>
          <cell r="E47">
            <v>9</v>
          </cell>
          <cell r="F47">
            <v>2002</v>
          </cell>
        </row>
        <row r="48">
          <cell r="B48">
            <v>1594924</v>
          </cell>
          <cell r="C48">
            <v>38967720.945</v>
          </cell>
          <cell r="D48">
            <v>24.432337180329597</v>
          </cell>
          <cell r="E48">
            <v>10</v>
          </cell>
          <cell r="F48">
            <v>2002</v>
          </cell>
        </row>
        <row r="49">
          <cell r="B49">
            <v>1731294</v>
          </cell>
          <cell r="C49">
            <v>36645253</v>
          </cell>
          <cell r="D49">
            <v>21.166395193421799</v>
          </cell>
          <cell r="E49">
            <v>11</v>
          </cell>
          <cell r="F49">
            <v>2002</v>
          </cell>
        </row>
        <row r="50">
          <cell r="B50">
            <v>1538442</v>
          </cell>
          <cell r="C50">
            <v>34898981</v>
          </cell>
          <cell r="D50">
            <v>22.68462574474696</v>
          </cell>
          <cell r="E50">
            <v>12</v>
          </cell>
          <cell r="F50">
            <v>2002</v>
          </cell>
        </row>
        <row r="51">
          <cell r="B51">
            <v>1960701</v>
          </cell>
          <cell r="C51">
            <v>54716462.5</v>
          </cell>
          <cell r="D51">
            <v>27.906581625653274</v>
          </cell>
          <cell r="E51">
            <v>1</v>
          </cell>
          <cell r="F51">
            <v>2003</v>
          </cell>
        </row>
        <row r="52">
          <cell r="B52">
            <v>0</v>
          </cell>
          <cell r="C52">
            <v>0</v>
          </cell>
          <cell r="D52">
            <v>0</v>
          </cell>
          <cell r="E52" t="e">
            <v>#VALUE!</v>
          </cell>
          <cell r="F52" t="e">
            <v>#VALUE!</v>
          </cell>
        </row>
        <row r="53">
          <cell r="B53">
            <v>936581</v>
          </cell>
          <cell r="C53">
            <v>31143896.899999999</v>
          </cell>
          <cell r="D53">
            <v>33.252753258927953</v>
          </cell>
          <cell r="E53">
            <v>2</v>
          </cell>
          <cell r="F53">
            <v>2003</v>
          </cell>
        </row>
        <row r="54">
          <cell r="B54">
            <v>936581</v>
          </cell>
          <cell r="C54">
            <v>31143896.899999999</v>
          </cell>
          <cell r="D54">
            <v>33.252753258927953</v>
          </cell>
          <cell r="E54" t="e">
            <v>#VALUE!</v>
          </cell>
          <cell r="F54" t="e">
            <v>#VALUE!</v>
          </cell>
        </row>
        <row r="55">
          <cell r="B55">
            <v>1907433</v>
          </cell>
          <cell r="C55">
            <v>37361915.299999997</v>
          </cell>
          <cell r="D55">
            <v>19.587537439060767</v>
          </cell>
          <cell r="E55">
            <v>3</v>
          </cell>
          <cell r="F55">
            <v>2003</v>
          </cell>
        </row>
        <row r="56">
          <cell r="B56">
            <v>1515950</v>
          </cell>
          <cell r="C56">
            <v>28353602.100000001</v>
          </cell>
          <cell r="D56">
            <v>18.703520630627661</v>
          </cell>
          <cell r="E56">
            <v>4</v>
          </cell>
          <cell r="F56">
            <v>2003</v>
          </cell>
        </row>
        <row r="57">
          <cell r="B57">
            <v>1443576</v>
          </cell>
          <cell r="C57">
            <v>27978160</v>
          </cell>
          <cell r="D57">
            <v>19.381147927092165</v>
          </cell>
          <cell r="E57">
            <v>5</v>
          </cell>
          <cell r="F57">
            <v>2003</v>
          </cell>
        </row>
        <row r="58">
          <cell r="B58">
            <v>1984116</v>
          </cell>
          <cell r="C58">
            <v>40418821</v>
          </cell>
          <cell r="D58">
            <v>20.371198558955221</v>
          </cell>
          <cell r="E58">
            <v>6</v>
          </cell>
          <cell r="F58">
            <v>2003</v>
          </cell>
        </row>
        <row r="59">
          <cell r="B59">
            <v>1646533</v>
          </cell>
          <cell r="C59">
            <v>40590002</v>
          </cell>
          <cell r="D59">
            <v>24.651799872823684</v>
          </cell>
          <cell r="E59">
            <v>7</v>
          </cell>
          <cell r="F59">
            <v>2003</v>
          </cell>
        </row>
        <row r="60">
          <cell r="B60">
            <v>308051</v>
          </cell>
          <cell r="C60">
            <v>7628113</v>
          </cell>
          <cell r="D60">
            <v>24.762500365199269</v>
          </cell>
          <cell r="E60" t="e">
            <v>#VALUE!</v>
          </cell>
          <cell r="F60" t="e">
            <v>#VALUE!</v>
          </cell>
        </row>
        <row r="61">
          <cell r="B61">
            <v>1495272</v>
          </cell>
          <cell r="C61">
            <v>37953808.600000001</v>
          </cell>
          <cell r="D61">
            <v>25.382544848027649</v>
          </cell>
          <cell r="E61">
            <v>8</v>
          </cell>
          <cell r="F61">
            <v>2003</v>
          </cell>
        </row>
        <row r="62">
          <cell r="B62">
            <v>1187221</v>
          </cell>
          <cell r="C62">
            <v>30325695.600000001</v>
          </cell>
          <cell r="D62">
            <v>25.543429235163462</v>
          </cell>
          <cell r="E62" t="e">
            <v>#VALUE!</v>
          </cell>
          <cell r="F62" t="e">
            <v>#VALUE!</v>
          </cell>
        </row>
        <row r="63">
          <cell r="B63">
            <v>1472473</v>
          </cell>
          <cell r="C63">
            <v>31638159.100000001</v>
          </cell>
          <cell r="D63">
            <v>21.486410345045378</v>
          </cell>
          <cell r="E63">
            <v>9</v>
          </cell>
          <cell r="F63">
            <v>2003</v>
          </cell>
        </row>
        <row r="64">
          <cell r="B64">
            <v>1716926</v>
          </cell>
          <cell r="C64">
            <v>39039760.200000003</v>
          </cell>
          <cell r="D64">
            <v>22.73817287407844</v>
          </cell>
          <cell r="E64">
            <v>10</v>
          </cell>
          <cell r="F64">
            <v>2003</v>
          </cell>
        </row>
        <row r="65">
          <cell r="B65">
            <v>1381468</v>
          </cell>
          <cell r="C65">
            <v>31200895</v>
          </cell>
          <cell r="D65">
            <v>22.585318661018569</v>
          </cell>
          <cell r="E65">
            <v>11</v>
          </cell>
          <cell r="F65">
            <v>2003</v>
          </cell>
        </row>
        <row r="66">
          <cell r="B66">
            <v>1529291</v>
          </cell>
          <cell r="C66">
            <v>35279318</v>
          </cell>
          <cell r="D66">
            <v>23.069067953711883</v>
          </cell>
          <cell r="E66">
            <v>12</v>
          </cell>
          <cell r="F66">
            <v>2003</v>
          </cell>
        </row>
        <row r="67">
          <cell r="B67">
            <v>2024866</v>
          </cell>
          <cell r="C67">
            <v>44783088</v>
          </cell>
          <cell r="D67">
            <v>22.116568701336288</v>
          </cell>
          <cell r="E67">
            <v>1</v>
          </cell>
          <cell r="F67">
            <v>2004</v>
          </cell>
        </row>
        <row r="68">
          <cell r="B68">
            <v>320398</v>
          </cell>
          <cell r="C68">
            <v>5792796</v>
          </cell>
          <cell r="D68">
            <v>18.080000499378897</v>
          </cell>
          <cell r="E68" t="e">
            <v>#VALUE!</v>
          </cell>
          <cell r="F68" t="e">
            <v>#VALUE!</v>
          </cell>
        </row>
        <row r="69">
          <cell r="B69">
            <v>1521068</v>
          </cell>
          <cell r="C69">
            <v>28617324.300000001</v>
          </cell>
          <cell r="D69">
            <v>18.813967751606111</v>
          </cell>
          <cell r="E69">
            <v>2</v>
          </cell>
          <cell r="F69">
            <v>2004</v>
          </cell>
        </row>
        <row r="70">
          <cell r="B70">
            <v>1200670</v>
          </cell>
          <cell r="C70">
            <v>22824528.300000001</v>
          </cell>
          <cell r="D70">
            <v>19.009826430243116</v>
          </cell>
          <cell r="E70" t="e">
            <v>#VALUE!</v>
          </cell>
          <cell r="F70" t="e">
            <v>#VALUE!</v>
          </cell>
        </row>
        <row r="71">
          <cell r="B71">
            <v>2410706</v>
          </cell>
          <cell r="C71">
            <v>45155476.5</v>
          </cell>
          <cell r="D71">
            <v>18.731225002136302</v>
          </cell>
          <cell r="E71">
            <v>3</v>
          </cell>
          <cell r="F71">
            <v>2004</v>
          </cell>
        </row>
        <row r="72">
          <cell r="B72">
            <v>1472877</v>
          </cell>
          <cell r="C72">
            <v>32757387.800000001</v>
          </cell>
          <cell r="D72">
            <v>22.240409620083685</v>
          </cell>
          <cell r="E72">
            <v>4</v>
          </cell>
          <cell r="F72">
            <v>2004</v>
          </cell>
        </row>
        <row r="73">
          <cell r="B73">
            <v>1690755</v>
          </cell>
          <cell r="C73">
            <v>39912485</v>
          </cell>
          <cell r="D73">
            <v>23.606309015794718</v>
          </cell>
          <cell r="E73">
            <v>5</v>
          </cell>
          <cell r="F73">
            <v>2004</v>
          </cell>
        </row>
        <row r="74">
          <cell r="B74">
            <v>2061213</v>
          </cell>
          <cell r="C74">
            <v>53412405</v>
          </cell>
          <cell r="D74">
            <v>25.913093406649384</v>
          </cell>
          <cell r="E74">
            <v>6</v>
          </cell>
          <cell r="F74">
            <v>2004</v>
          </cell>
        </row>
        <row r="75">
          <cell r="B75">
            <v>1626904</v>
          </cell>
          <cell r="C75">
            <v>38863151</v>
          </cell>
          <cell r="D75">
            <v>23.887796083850063</v>
          </cell>
          <cell r="E75">
            <v>7</v>
          </cell>
          <cell r="F75">
            <v>2004</v>
          </cell>
        </row>
        <row r="76">
          <cell r="B76">
            <v>857708</v>
          </cell>
          <cell r="C76">
            <v>20245476</v>
          </cell>
          <cell r="D76">
            <v>23.604158991171822</v>
          </cell>
          <cell r="E76" t="e">
            <v>#VALUE!</v>
          </cell>
          <cell r="F76" t="e">
            <v>#VALUE!</v>
          </cell>
        </row>
        <row r="77">
          <cell r="B77">
            <v>2223947</v>
          </cell>
          <cell r="C77">
            <v>53249939</v>
          </cell>
          <cell r="D77">
            <v>23.943888500939995</v>
          </cell>
          <cell r="E77">
            <v>8</v>
          </cell>
          <cell r="F77">
            <v>2004</v>
          </cell>
        </row>
        <row r="78">
          <cell r="B78">
            <v>1366239</v>
          </cell>
          <cell r="C78">
            <v>33004463</v>
          </cell>
          <cell r="D78">
            <v>24.157166498687271</v>
          </cell>
          <cell r="E78" t="e">
            <v>#VALUE!</v>
          </cell>
          <cell r="F78" t="e">
            <v>#VALUE!</v>
          </cell>
        </row>
        <row r="79">
          <cell r="B79">
            <v>1646563</v>
          </cell>
          <cell r="C79">
            <v>39007446</v>
          </cell>
          <cell r="D79">
            <v>23.690223817734275</v>
          </cell>
          <cell r="E79">
            <v>9</v>
          </cell>
          <cell r="F79">
            <v>2004</v>
          </cell>
        </row>
        <row r="80">
          <cell r="B80">
            <v>1891968</v>
          </cell>
          <cell r="C80">
            <v>52548241.210000001</v>
          </cell>
          <cell r="D80">
            <v>27.774381601591571</v>
          </cell>
          <cell r="E80">
            <v>10</v>
          </cell>
          <cell r="F80">
            <v>2004</v>
          </cell>
        </row>
        <row r="81">
          <cell r="B81">
            <v>1660865</v>
          </cell>
          <cell r="C81">
            <v>41103505</v>
          </cell>
          <cell r="D81">
            <v>24.748251664042531</v>
          </cell>
          <cell r="E81">
            <v>11</v>
          </cell>
          <cell r="F81">
            <v>2004</v>
          </cell>
        </row>
        <row r="82">
          <cell r="B82">
            <v>2095615</v>
          </cell>
          <cell r="C82">
            <v>36320017</v>
          </cell>
          <cell r="D82">
            <v>17.331435879204911</v>
          </cell>
          <cell r="E82">
            <v>12</v>
          </cell>
          <cell r="F82">
            <v>2004</v>
          </cell>
        </row>
        <row r="83">
          <cell r="B83">
            <v>1513382</v>
          </cell>
          <cell r="C83">
            <v>34766750</v>
          </cell>
          <cell r="D83">
            <v>22.972884572434456</v>
          </cell>
          <cell r="E83">
            <v>1</v>
          </cell>
          <cell r="F83">
            <v>2005</v>
          </cell>
        </row>
        <row r="84">
          <cell r="B84">
            <v>549208</v>
          </cell>
          <cell r="C84">
            <v>13431449</v>
          </cell>
          <cell r="D84">
            <v>24.456033051230136</v>
          </cell>
          <cell r="E84" t="e">
            <v>#VALUE!</v>
          </cell>
          <cell r="F84" t="e">
            <v>#VALUE!</v>
          </cell>
        </row>
        <row r="85">
          <cell r="B85">
            <v>1598376</v>
          </cell>
          <cell r="C85">
            <v>41294218.590000004</v>
          </cell>
          <cell r="D85">
            <v>25.835109254643466</v>
          </cell>
          <cell r="E85">
            <v>2</v>
          </cell>
          <cell r="F85">
            <v>2005</v>
          </cell>
        </row>
        <row r="86">
          <cell r="B86">
            <v>1049168</v>
          </cell>
          <cell r="C86">
            <v>27862769.590000004</v>
          </cell>
          <cell r="D86">
            <v>26.557014310386901</v>
          </cell>
          <cell r="E86" t="e">
            <v>#VALUE!</v>
          </cell>
          <cell r="F86" t="e">
            <v>#VALUE!</v>
          </cell>
        </row>
        <row r="87">
          <cell r="B87">
            <v>2317639</v>
          </cell>
          <cell r="C87">
            <v>65470027</v>
          </cell>
          <cell r="D87">
            <v>28.248587031888917</v>
          </cell>
          <cell r="E87">
            <v>3</v>
          </cell>
          <cell r="F87">
            <v>2005</v>
          </cell>
        </row>
        <row r="88">
          <cell r="B88">
            <v>1602419</v>
          </cell>
          <cell r="C88">
            <v>48601923.880000003</v>
          </cell>
          <cell r="D88">
            <v>30.330346732034506</v>
          </cell>
          <cell r="E88">
            <v>4</v>
          </cell>
          <cell r="F88">
            <v>2005</v>
          </cell>
        </row>
        <row r="89">
          <cell r="B89">
            <v>1922569</v>
          </cell>
          <cell r="C89">
            <v>58785383</v>
          </cell>
          <cell r="D89">
            <v>30.576475018581906</v>
          </cell>
          <cell r="E89">
            <v>29</v>
          </cell>
          <cell r="F89">
            <v>30</v>
          </cell>
        </row>
      </sheetData>
      <sheetData sheetId="4"/>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ISTORICOS FUEL OIL EXP"/>
      <sheetName val="PR 1"/>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CONT_ADI"/>
      <sheetName val="Datos"/>
      <sheetName val="ACTA DE MODIFICACION  (2)"/>
      <sheetName val="Informe"/>
      <sheetName val="Res-Accide-10"/>
      <sheetName val="Seguim-16"/>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STADO VÍA-CRIT.TECNIC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ecios-básicos2002"/>
      <sheetName val="APU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sheetData sheetId="68"/>
      <sheetData sheetId="69"/>
      <sheetData sheetId="70"/>
      <sheetData sheetId="7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RESUMEN"/>
    </sheetNames>
    <sheetDataSet>
      <sheetData sheetId="0" refreshError="1">
        <row r="1">
          <cell r="A1" t="str">
            <v>COD</v>
          </cell>
          <cell r="B1">
            <v>1</v>
          </cell>
          <cell r="C1">
            <v>2</v>
          </cell>
          <cell r="D1" t="str">
            <v>3</v>
          </cell>
          <cell r="E1" t="str">
            <v>4</v>
          </cell>
          <cell r="F1" t="str">
            <v>5</v>
          </cell>
          <cell r="G1" t="str">
            <v>6</v>
          </cell>
          <cell r="H1" t="str">
            <v>7</v>
          </cell>
          <cell r="I1" t="str">
            <v>8</v>
          </cell>
          <cell r="J1" t="str">
            <v>9</v>
          </cell>
          <cell r="K1" t="str">
            <v>10</v>
          </cell>
          <cell r="L1" t="str">
            <v>11</v>
          </cell>
          <cell r="M1" t="str">
            <v>12</v>
          </cell>
          <cell r="N1" t="str">
            <v>13</v>
          </cell>
          <cell r="O1" t="str">
            <v>14</v>
          </cell>
          <cell r="P1" t="str">
            <v>15</v>
          </cell>
          <cell r="Q1" t="str">
            <v>16</v>
          </cell>
          <cell r="R1" t="str">
            <v>17</v>
          </cell>
          <cell r="S1" t="str">
            <v>18</v>
          </cell>
          <cell r="T1" t="str">
            <v>19</v>
          </cell>
          <cell r="U1" t="str">
            <v>20</v>
          </cell>
          <cell r="V1" t="str">
            <v>21</v>
          </cell>
          <cell r="W1" t="str">
            <v>22</v>
          </cell>
          <cell r="X1" t="str">
            <v>23</v>
          </cell>
          <cell r="Y1" t="str">
            <v>24</v>
          </cell>
          <cell r="Z1" t="str">
            <v>25</v>
          </cell>
          <cell r="AA1" t="str">
            <v>26</v>
          </cell>
          <cell r="AB1" t="str">
            <v>27</v>
          </cell>
          <cell r="AC1" t="str">
            <v>28</v>
          </cell>
          <cell r="AD1" t="str">
            <v>29</v>
          </cell>
          <cell r="AE1" t="str">
            <v>30</v>
          </cell>
          <cell r="AF1" t="str">
            <v>31</v>
          </cell>
          <cell r="AG1" t="str">
            <v>32</v>
          </cell>
          <cell r="AH1" t="str">
            <v>33</v>
          </cell>
          <cell r="AI1" t="str">
            <v>34</v>
          </cell>
          <cell r="AJ1" t="str">
            <v>35</v>
          </cell>
          <cell r="AK1" t="str">
            <v>36</v>
          </cell>
          <cell r="AL1" t="str">
            <v>37</v>
          </cell>
          <cell r="AM1" t="str">
            <v>38</v>
          </cell>
          <cell r="AN1" t="str">
            <v>39</v>
          </cell>
          <cell r="AO1" t="str">
            <v>40</v>
          </cell>
          <cell r="AP1" t="str">
            <v>41</v>
          </cell>
          <cell r="AQ1" t="str">
            <v>42</v>
          </cell>
          <cell r="AR1" t="str">
            <v>43</v>
          </cell>
          <cell r="AS1" t="str">
            <v>44</v>
          </cell>
          <cell r="AT1" t="str">
            <v>45</v>
          </cell>
        </row>
        <row r="2">
          <cell r="A2">
            <v>1</v>
          </cell>
          <cell r="B2">
            <v>2.2000000000000002</v>
          </cell>
          <cell r="C2">
            <v>16.899999999999999</v>
          </cell>
          <cell r="D2">
            <v>1</v>
          </cell>
          <cell r="K2">
            <v>11.5</v>
          </cell>
          <cell r="AB2">
            <v>29.36</v>
          </cell>
          <cell r="AC2">
            <v>0.97</v>
          </cell>
          <cell r="AI2">
            <v>94.9</v>
          </cell>
          <cell r="AL2">
            <v>2</v>
          </cell>
          <cell r="AM2">
            <v>2</v>
          </cell>
          <cell r="AR2">
            <v>12</v>
          </cell>
          <cell r="AT2">
            <v>121</v>
          </cell>
        </row>
        <row r="3">
          <cell r="A3">
            <v>2</v>
          </cell>
          <cell r="AB3">
            <v>6.18</v>
          </cell>
          <cell r="AI3">
            <v>164.8</v>
          </cell>
          <cell r="AR3">
            <v>12</v>
          </cell>
          <cell r="AT3">
            <v>424</v>
          </cell>
        </row>
        <row r="4">
          <cell r="A4">
            <v>3</v>
          </cell>
          <cell r="B4">
            <v>0.3</v>
          </cell>
          <cell r="C4">
            <v>4.0999999999999996</v>
          </cell>
          <cell r="K4">
            <v>1.5</v>
          </cell>
          <cell r="AB4">
            <v>7.43</v>
          </cell>
          <cell r="AF4">
            <v>2</v>
          </cell>
          <cell r="AG4">
            <v>2</v>
          </cell>
          <cell r="AI4">
            <v>51.5</v>
          </cell>
          <cell r="AL4">
            <v>1</v>
          </cell>
          <cell r="AM4">
            <v>1</v>
          </cell>
          <cell r="AR4">
            <v>2</v>
          </cell>
          <cell r="AT4">
            <v>111</v>
          </cell>
        </row>
        <row r="5">
          <cell r="A5">
            <v>4</v>
          </cell>
          <cell r="B5">
            <v>0.9</v>
          </cell>
          <cell r="C5">
            <v>4.5999999999999996</v>
          </cell>
          <cell r="D5">
            <v>2</v>
          </cell>
          <cell r="H5">
            <v>2.5</v>
          </cell>
          <cell r="L5">
            <v>5</v>
          </cell>
          <cell r="AB5">
            <v>10.649999999999999</v>
          </cell>
          <cell r="AC5">
            <v>1.94</v>
          </cell>
          <cell r="AT5">
            <v>110</v>
          </cell>
        </row>
        <row r="6">
          <cell r="A6">
            <v>5</v>
          </cell>
          <cell r="R6">
            <v>1</v>
          </cell>
          <cell r="S6">
            <v>2</v>
          </cell>
          <cell r="U6">
            <v>17</v>
          </cell>
          <cell r="AB6">
            <v>3.57</v>
          </cell>
          <cell r="AF6">
            <v>11</v>
          </cell>
          <cell r="AG6">
            <v>11</v>
          </cell>
          <cell r="AH6">
            <v>37.4</v>
          </cell>
          <cell r="AI6">
            <v>57.7</v>
          </cell>
          <cell r="AR6">
            <v>20</v>
          </cell>
          <cell r="AT6">
            <v>102</v>
          </cell>
        </row>
        <row r="7">
          <cell r="A7">
            <v>6</v>
          </cell>
          <cell r="AB7">
            <v>0.64</v>
          </cell>
          <cell r="AH7">
            <v>17.100000000000001</v>
          </cell>
          <cell r="AT7">
            <v>106</v>
          </cell>
        </row>
        <row r="8">
          <cell r="A8">
            <v>7</v>
          </cell>
          <cell r="AT8">
            <v>117</v>
          </cell>
        </row>
        <row r="9">
          <cell r="A9">
            <v>8</v>
          </cell>
          <cell r="B9">
            <v>1.6</v>
          </cell>
          <cell r="C9">
            <v>7.4</v>
          </cell>
          <cell r="J9">
            <v>24.4</v>
          </cell>
          <cell r="AB9">
            <v>35.902499999999996</v>
          </cell>
          <cell r="AI9">
            <v>53.4</v>
          </cell>
          <cell r="AR9">
            <v>4</v>
          </cell>
          <cell r="AT9">
            <v>104</v>
          </cell>
        </row>
        <row r="10">
          <cell r="A10">
            <v>9</v>
          </cell>
          <cell r="S10">
            <v>1</v>
          </cell>
          <cell r="U10">
            <v>8</v>
          </cell>
          <cell r="AB10">
            <v>3.1799999999999997</v>
          </cell>
          <cell r="AF10">
            <v>2</v>
          </cell>
          <cell r="AG10">
            <v>2</v>
          </cell>
          <cell r="AH10">
            <v>5.5</v>
          </cell>
          <cell r="AI10">
            <v>81.5</v>
          </cell>
          <cell r="AR10">
            <v>5</v>
          </cell>
          <cell r="AT10">
            <v>308</v>
          </cell>
        </row>
        <row r="11">
          <cell r="A11" t="str">
            <v>9A</v>
          </cell>
          <cell r="AB11">
            <v>0.62999999999999989</v>
          </cell>
          <cell r="AJ11">
            <v>12</v>
          </cell>
          <cell r="AR11">
            <v>1</v>
          </cell>
          <cell r="AT11">
            <v>310</v>
          </cell>
        </row>
        <row r="12">
          <cell r="A12">
            <v>10</v>
          </cell>
          <cell r="S12">
            <v>1</v>
          </cell>
          <cell r="T12">
            <v>3</v>
          </cell>
          <cell r="U12">
            <v>32</v>
          </cell>
          <cell r="AB12">
            <v>2.2934999999999999</v>
          </cell>
          <cell r="AH12">
            <v>48.6</v>
          </cell>
          <cell r="AI12">
            <v>32</v>
          </cell>
          <cell r="AR12">
            <v>9</v>
          </cell>
          <cell r="AT12">
            <v>311</v>
          </cell>
        </row>
        <row r="13">
          <cell r="A13">
            <v>11</v>
          </cell>
          <cell r="S13">
            <v>3</v>
          </cell>
          <cell r="U13">
            <v>1</v>
          </cell>
          <cell r="AB13">
            <v>0.86</v>
          </cell>
          <cell r="AF13">
            <v>1</v>
          </cell>
          <cell r="AG13">
            <v>1</v>
          </cell>
          <cell r="AI13">
            <v>18</v>
          </cell>
          <cell r="AQ13">
            <v>12</v>
          </cell>
          <cell r="AR13">
            <v>2</v>
          </cell>
          <cell r="AT13">
            <v>312</v>
          </cell>
        </row>
        <row r="14">
          <cell r="A14">
            <v>12</v>
          </cell>
          <cell r="S14">
            <v>3</v>
          </cell>
          <cell r="U14">
            <v>1</v>
          </cell>
          <cell r="AB14">
            <v>3.4</v>
          </cell>
          <cell r="AF14">
            <v>9</v>
          </cell>
          <cell r="AG14">
            <v>9</v>
          </cell>
          <cell r="AI14">
            <v>90.7</v>
          </cell>
          <cell r="AR14">
            <v>8</v>
          </cell>
          <cell r="AT14">
            <v>313</v>
          </cell>
        </row>
        <row r="15">
          <cell r="A15">
            <v>13</v>
          </cell>
          <cell r="AB15">
            <v>0.53</v>
          </cell>
          <cell r="AQ15">
            <v>35.5</v>
          </cell>
          <cell r="AT15">
            <v>315</v>
          </cell>
        </row>
        <row r="16">
          <cell r="A16">
            <v>14</v>
          </cell>
          <cell r="B16">
            <v>0.26</v>
          </cell>
          <cell r="C16">
            <v>1.88</v>
          </cell>
          <cell r="J16">
            <v>2</v>
          </cell>
          <cell r="AB16">
            <v>5.03</v>
          </cell>
          <cell r="AH16">
            <v>33.299999999999997</v>
          </cell>
          <cell r="AL16">
            <v>2</v>
          </cell>
          <cell r="AM16">
            <v>2</v>
          </cell>
          <cell r="AR16">
            <v>2</v>
          </cell>
          <cell r="AT16">
            <v>441</v>
          </cell>
        </row>
        <row r="17">
          <cell r="A17">
            <v>15</v>
          </cell>
          <cell r="B17">
            <v>0.46</v>
          </cell>
          <cell r="C17">
            <v>3.29</v>
          </cell>
          <cell r="K17">
            <v>3.5</v>
          </cell>
          <cell r="AB17">
            <v>11.972</v>
          </cell>
          <cell r="AI17">
            <v>23.2</v>
          </cell>
          <cell r="AJ17">
            <v>68.8</v>
          </cell>
          <cell r="AM17">
            <v>1</v>
          </cell>
          <cell r="AR17">
            <v>3</v>
          </cell>
          <cell r="AS17">
            <v>5.7</v>
          </cell>
          <cell r="AT17">
            <v>562</v>
          </cell>
        </row>
        <row r="18">
          <cell r="A18">
            <v>16</v>
          </cell>
          <cell r="S18">
            <v>9</v>
          </cell>
          <cell r="U18">
            <v>13</v>
          </cell>
          <cell r="AB18">
            <v>3.2797499999999999</v>
          </cell>
          <cell r="AE18">
            <v>2</v>
          </cell>
          <cell r="AF18">
            <v>8</v>
          </cell>
          <cell r="AG18">
            <v>8</v>
          </cell>
          <cell r="AI18">
            <v>80.5</v>
          </cell>
          <cell r="AQ18">
            <v>11.6</v>
          </cell>
          <cell r="AR18">
            <v>8</v>
          </cell>
          <cell r="AT18" t="str">
            <v>404 - 405 - 406</v>
          </cell>
        </row>
        <row r="19">
          <cell r="A19">
            <v>17</v>
          </cell>
          <cell r="AB19">
            <v>2.5499999999999998</v>
          </cell>
          <cell r="AF19">
            <v>3</v>
          </cell>
          <cell r="AG19">
            <v>3</v>
          </cell>
          <cell r="AH19">
            <v>67.95</v>
          </cell>
          <cell r="AQ19">
            <v>6.33</v>
          </cell>
          <cell r="AR19">
            <v>3</v>
          </cell>
          <cell r="AT19">
            <v>407</v>
          </cell>
        </row>
        <row r="20">
          <cell r="A20">
            <v>18</v>
          </cell>
          <cell r="AB20">
            <v>0.83924999999999994</v>
          </cell>
          <cell r="AF20">
            <v>1</v>
          </cell>
          <cell r="AG20">
            <v>1</v>
          </cell>
          <cell r="AH20">
            <v>37.299999999999997</v>
          </cell>
          <cell r="AR20">
            <v>2</v>
          </cell>
          <cell r="AT20">
            <v>410</v>
          </cell>
        </row>
        <row r="21">
          <cell r="A21">
            <v>19</v>
          </cell>
          <cell r="AB21">
            <v>0.43874999999999997</v>
          </cell>
          <cell r="AE21">
            <v>1</v>
          </cell>
          <cell r="AI21">
            <v>11.7</v>
          </cell>
          <cell r="AT21">
            <v>417</v>
          </cell>
        </row>
        <row r="22">
          <cell r="A22">
            <v>20</v>
          </cell>
          <cell r="AB22">
            <v>2.35</v>
          </cell>
          <cell r="AI22">
            <v>62.6</v>
          </cell>
          <cell r="AM22">
            <v>1</v>
          </cell>
          <cell r="AT22">
            <v>563</v>
          </cell>
        </row>
        <row r="23">
          <cell r="A23">
            <v>21</v>
          </cell>
          <cell r="B23">
            <v>3</v>
          </cell>
          <cell r="C23">
            <v>18.8</v>
          </cell>
          <cell r="D23">
            <v>1</v>
          </cell>
          <cell r="K23">
            <v>15.4</v>
          </cell>
          <cell r="AB23">
            <v>30.104999999999997</v>
          </cell>
          <cell r="AC23">
            <v>0.97</v>
          </cell>
          <cell r="AI23">
            <v>98.8</v>
          </cell>
          <cell r="AL23">
            <v>2</v>
          </cell>
          <cell r="AM23">
            <v>2</v>
          </cell>
          <cell r="AR23">
            <v>8</v>
          </cell>
          <cell r="AT23" t="str">
            <v>1A</v>
          </cell>
        </row>
        <row r="24">
          <cell r="A24">
            <v>22</v>
          </cell>
          <cell r="B24">
            <v>1.2</v>
          </cell>
          <cell r="C24">
            <v>4.4000000000000004</v>
          </cell>
          <cell r="D24">
            <v>1</v>
          </cell>
          <cell r="H24">
            <v>4.5</v>
          </cell>
          <cell r="L24">
            <v>6.5</v>
          </cell>
          <cell r="AB24">
            <v>14.59</v>
          </cell>
          <cell r="AC24">
            <v>0.97</v>
          </cell>
          <cell r="AT24" t="str">
            <v>BIS</v>
          </cell>
        </row>
        <row r="25">
          <cell r="A25">
            <v>23</v>
          </cell>
          <cell r="AB25">
            <v>5.8312499999999998</v>
          </cell>
          <cell r="AJ25">
            <v>96.9</v>
          </cell>
          <cell r="AM25">
            <v>2</v>
          </cell>
          <cell r="AP25">
            <v>12.4</v>
          </cell>
          <cell r="AR25">
            <v>11</v>
          </cell>
          <cell r="AT25">
            <v>565</v>
          </cell>
        </row>
        <row r="26">
          <cell r="A26">
            <v>24</v>
          </cell>
          <cell r="B26">
            <v>2.4</v>
          </cell>
          <cell r="C26">
            <v>9</v>
          </cell>
          <cell r="E26">
            <v>1</v>
          </cell>
          <cell r="L26">
            <v>13</v>
          </cell>
          <cell r="AB26">
            <v>14.1625</v>
          </cell>
          <cell r="AL26">
            <v>1</v>
          </cell>
          <cell r="AM26">
            <v>1</v>
          </cell>
          <cell r="AN26">
            <v>1</v>
          </cell>
          <cell r="AS26">
            <v>8.5</v>
          </cell>
          <cell r="AT26">
            <v>1</v>
          </cell>
        </row>
        <row r="27">
          <cell r="A27">
            <v>25</v>
          </cell>
          <cell r="AB27">
            <v>1.8419999999999999</v>
          </cell>
          <cell r="AH27">
            <v>31.2</v>
          </cell>
          <cell r="AI27">
            <v>30.4</v>
          </cell>
          <cell r="AL27">
            <v>2</v>
          </cell>
          <cell r="AM27">
            <v>2</v>
          </cell>
          <cell r="AR27">
            <v>4</v>
          </cell>
          <cell r="AT27">
            <v>3</v>
          </cell>
        </row>
        <row r="28">
          <cell r="A28">
            <v>26</v>
          </cell>
          <cell r="B28">
            <v>40.42</v>
          </cell>
          <cell r="C28">
            <v>102</v>
          </cell>
          <cell r="H28">
            <v>4.4000000000000004</v>
          </cell>
          <cell r="L28">
            <v>105.6</v>
          </cell>
          <cell r="M28">
            <v>90.6</v>
          </cell>
          <cell r="N28">
            <v>64.599999999999994</v>
          </cell>
          <cell r="AB28">
            <v>475.62799999999999</v>
          </cell>
          <cell r="AE28">
            <v>8</v>
          </cell>
          <cell r="AO28">
            <v>1</v>
          </cell>
          <cell r="AT28">
            <v>4</v>
          </cell>
        </row>
        <row r="29">
          <cell r="A29">
            <v>27</v>
          </cell>
          <cell r="B29">
            <v>1.82</v>
          </cell>
          <cell r="C29">
            <v>10.69</v>
          </cell>
          <cell r="D29">
            <v>1</v>
          </cell>
          <cell r="H29">
            <v>4.5</v>
          </cell>
          <cell r="L29">
            <v>10</v>
          </cell>
          <cell r="AB29">
            <v>21.869999999999997</v>
          </cell>
          <cell r="AC29">
            <v>0.97</v>
          </cell>
          <cell r="AT29">
            <v>5</v>
          </cell>
        </row>
        <row r="30">
          <cell r="A30">
            <v>28</v>
          </cell>
          <cell r="B30">
            <v>2.2000000000000002</v>
          </cell>
          <cell r="C30">
            <v>19.5</v>
          </cell>
          <cell r="K30">
            <v>11.3</v>
          </cell>
          <cell r="AB30">
            <v>21.318750000000001</v>
          </cell>
          <cell r="AF30">
            <v>1</v>
          </cell>
          <cell r="AG30">
            <v>1</v>
          </cell>
          <cell r="AI30">
            <v>48.6</v>
          </cell>
          <cell r="AL30">
            <v>2</v>
          </cell>
          <cell r="AM30">
            <v>2</v>
          </cell>
          <cell r="AR30">
            <v>4</v>
          </cell>
          <cell r="AT30">
            <v>6</v>
          </cell>
        </row>
        <row r="31">
          <cell r="A31">
            <v>29</v>
          </cell>
          <cell r="B31">
            <v>1.7</v>
          </cell>
          <cell r="C31">
            <v>9.9</v>
          </cell>
          <cell r="K31">
            <v>9</v>
          </cell>
          <cell r="AB31">
            <v>18.649999999999999</v>
          </cell>
          <cell r="AH31">
            <v>31</v>
          </cell>
          <cell r="AI31">
            <v>30.8</v>
          </cell>
          <cell r="AL31">
            <v>2</v>
          </cell>
          <cell r="AM31">
            <v>2</v>
          </cell>
          <cell r="AR31">
            <v>4</v>
          </cell>
          <cell r="AT31">
            <v>7</v>
          </cell>
        </row>
        <row r="32">
          <cell r="A32">
            <v>30</v>
          </cell>
          <cell r="B32">
            <v>13.3</v>
          </cell>
          <cell r="C32">
            <v>81.099999999999994</v>
          </cell>
          <cell r="F32">
            <v>14</v>
          </cell>
          <cell r="L32">
            <v>73.099999999999994</v>
          </cell>
          <cell r="AB32">
            <v>103.8</v>
          </cell>
          <cell r="AN32">
            <v>1</v>
          </cell>
          <cell r="AT32" t="str">
            <v>ALT1</v>
          </cell>
        </row>
        <row r="33">
          <cell r="A33">
            <v>31</v>
          </cell>
          <cell r="B33">
            <v>5.4</v>
          </cell>
          <cell r="C33">
            <v>41.3</v>
          </cell>
          <cell r="H33">
            <v>9</v>
          </cell>
          <cell r="L33">
            <v>33</v>
          </cell>
          <cell r="AB33">
            <v>57.7</v>
          </cell>
          <cell r="AT33" t="str">
            <v>ALT2</v>
          </cell>
        </row>
        <row r="34">
          <cell r="A34">
            <v>32</v>
          </cell>
          <cell r="B34">
            <v>77.160000000000011</v>
          </cell>
          <cell r="C34">
            <v>334.86</v>
          </cell>
          <cell r="D34">
            <v>6</v>
          </cell>
          <cell r="E34">
            <v>1</v>
          </cell>
          <cell r="F34">
            <v>14</v>
          </cell>
          <cell r="G34">
            <v>0</v>
          </cell>
          <cell r="H34">
            <v>24.9</v>
          </cell>
          <cell r="I34">
            <v>0</v>
          </cell>
          <cell r="J34">
            <v>26.4</v>
          </cell>
          <cell r="K34">
            <v>52.2</v>
          </cell>
          <cell r="L34">
            <v>246.2</v>
          </cell>
          <cell r="M34">
            <v>90.6</v>
          </cell>
          <cell r="N34">
            <v>64.599999999999994</v>
          </cell>
          <cell r="O34">
            <v>0</v>
          </cell>
          <cell r="P34">
            <v>1</v>
          </cell>
          <cell r="Q34">
            <v>2</v>
          </cell>
          <cell r="R34">
            <v>3</v>
          </cell>
          <cell r="S34">
            <v>4</v>
          </cell>
          <cell r="T34">
            <v>5</v>
          </cell>
          <cell r="U34">
            <v>6</v>
          </cell>
          <cell r="V34">
            <v>7</v>
          </cell>
          <cell r="W34">
            <v>8</v>
          </cell>
          <cell r="X34">
            <v>9</v>
          </cell>
          <cell r="Y34">
            <v>10</v>
          </cell>
          <cell r="Z34">
            <v>11</v>
          </cell>
          <cell r="AA34">
            <v>12</v>
          </cell>
          <cell r="AB34">
            <v>13</v>
          </cell>
          <cell r="AC34">
            <v>14</v>
          </cell>
          <cell r="AD34">
            <v>15</v>
          </cell>
          <cell r="AE34">
            <v>16</v>
          </cell>
          <cell r="AF34">
            <v>17</v>
          </cell>
          <cell r="AG34">
            <v>38</v>
          </cell>
          <cell r="AH34">
            <v>309.34999999999997</v>
          </cell>
          <cell r="AI34">
            <v>1031.1000000000001</v>
          </cell>
          <cell r="AJ34">
            <v>177.7</v>
          </cell>
          <cell r="AK34">
            <v>0</v>
          </cell>
          <cell r="AL34">
            <v>14</v>
          </cell>
          <cell r="AM34">
            <v>18</v>
          </cell>
          <cell r="AN34">
            <v>2</v>
          </cell>
          <cell r="AO34">
            <v>1</v>
          </cell>
          <cell r="AP34">
            <v>12.4</v>
          </cell>
          <cell r="AQ34">
            <v>65.430000000000007</v>
          </cell>
          <cell r="AR34">
            <v>124</v>
          </cell>
          <cell r="AS34">
            <v>14.2</v>
          </cell>
          <cell r="AT34" t="str">
            <v>TOTAL</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CONT_ADI"/>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PR 1"/>
      <sheetName val="items"/>
      <sheetName val="ESTADO RED"/>
      <sheetName val="CARRETERAS"/>
      <sheetName val="GENERALIDADES "/>
      <sheetName val="5.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Expo Terrestre"/>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ACTUALIZADOS FERRASA"/>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UBIC"/>
      <sheetName val="CODESPACIO"/>
      <sheetName val="CODCONST"/>
      <sheetName val="pptopreliminar"/>
      <sheetName val="BAMBU"/>
      <sheetName val="entrepaños"/>
      <sheetName val="MACANA"/>
      <sheetName val="TDBAMBU"/>
      <sheetName val="TDMACANA"/>
      <sheetName val="memoria"/>
      <sheetName val="mampbambu A y B"/>
      <sheetName val="fachbambu A y B1"/>
      <sheetName val="mampMACANA A Y B"/>
      <sheetName val="fachmacana A y B"/>
      <sheetName val="ESTADO VÍA-CRIT.TECNICO"/>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 val="precios unitarios caranal"/>
      <sheetName val="hoja 2"/>
      <sheetName val="Cuadro p. Capital Vs estimado"/>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PR 1"/>
      <sheetName val="ESTADO RED TEC"/>
      <sheetName val="items"/>
      <sheetName val="A-HOR"/>
      <sheetName val="INSUMOS"/>
      <sheetName val="BANCOS"/>
      <sheetName val="CARGOS"/>
      <sheetName val="EPS"/>
      <sheetName val="PENSIONES"/>
      <sheetName val="PREACTA 10"/>
      <sheetName val="DATOS"/>
      <sheetName val="PREACTA 9"/>
      <sheetName val="TRANSPORTE"/>
      <sheetName val="Res-Accide-10"/>
      <sheetName val="TARIFAS"/>
      <sheetName val="PRECIOS"/>
      <sheetName val="PREACTA 6"/>
      <sheetName val="TABLA 2008"/>
      <sheetName val="PRESUPUESTO"/>
      <sheetName val="ESTADO VÍA-CRIT.TECNICO"/>
      <sheetName val="5. ELECTRICO"/>
      <sheetName val="A.P.U"/>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Listas"/>
      <sheetName val="Excavación Mat. Común Estacione"/>
      <sheetName val="Demolición Pavimento"/>
      <sheetName val="Equipo"/>
      <sheetName val="Insum"/>
      <sheetName val="SUB APU"/>
      <sheetName val="PUNITARIOS%20PARA%20241201%202S"/>
      <sheetName val="RELACION MES"/>
      <sheetName val="Lp"/>
      <sheetName val="REC-COD,"/>
      <sheetName val="CLASIFICACION"/>
      <sheetName val="A. P. U."/>
      <sheetName val="GCB2000"/>
      <sheetName val="FORMULA"/>
      <sheetName val="Presup_Cancha"/>
      <sheetName val="CRA.MODI"/>
      <sheetName val="K16+000 AL K18+500"/>
      <sheetName val="K23+200 AL K24+700"/>
      <sheetName val="k18+500 AL K23+050"/>
      <sheetName val="Presupuesto PUENTE"/>
      <sheetName val="VOLUMENES (4)"/>
      <sheetName val="VOLUMENES (4SA)"/>
      <sheetName val="LISTA DE PRECIOS"/>
      <sheetName val="062"/>
      <sheetName val="Listado"/>
      <sheetName val="FINANC"/>
      <sheetName val=" Liquidacion de Obra por Tramos"/>
      <sheetName val="skj452"/>
      <sheetName val="ita878"/>
      <sheetName val="aea-944"/>
      <sheetName val="dub-823"/>
      <sheetName val="gpi 526"/>
      <sheetName val="xxj617"/>
      <sheetName val="sng_855"/>
      <sheetName val="vea 374"/>
      <sheetName val="hfb024"/>
      <sheetName val="paj825"/>
      <sheetName val="TRAPMO"/>
      <sheetName val="TODAS"/>
      <sheetName val="CONT_ADI"/>
      <sheetName val="otros"/>
      <sheetName val="SALARIOS"/>
      <sheetName val="2,2,6,1 Pilotes 0,30"/>
      <sheetName val="APU NO PREVISTO"/>
      <sheetName val="PPTA (3)"/>
      <sheetName val="PPTA (2)"/>
      <sheetName val="PPTA"/>
      <sheetName val="UNITARIOS"/>
      <sheetName val="THE"/>
      <sheetName val="ATHE"/>
      <sheetName val="Requisición1"/>
      <sheetName val="BALANCE"/>
      <sheetName val="ITEMS NO REVISTOS"/>
      <sheetName val="APU ELECTRICOS"/>
      <sheetName val="Bajadas"/>
      <sheetName val="NARIÑO"/>
      <sheetName val="Summary"/>
      <sheetName val="CODCONST"/>
      <sheetName val="OCTUBRE"/>
      <sheetName val="Hoja2"/>
      <sheetName val="Cuadr."/>
      <sheetName val="PUNITARIOS PARA 241201 2S.xls"/>
      <sheetName val="OBRAS SES"/>
      <sheetName val="ESTADO_VÍA-CRIT_TECNICO"/>
      <sheetName val="7.1.8.1.1"/>
      <sheetName val="PERSONAL"/>
      <sheetName val="Tarifa MT"/>
      <sheetName val="PREACTA Y CONTRATISTAS"/>
      <sheetName val="A_P_U1"/>
      <sheetName val="A_P_U"/>
      <sheetName val="materiales"/>
      <sheetName val="PLAN DE INVERSION ANTICIPO"/>
      <sheetName val="inv mensual"/>
      <sheetName val="borrador flujo inv"/>
      <sheetName val="social-ambiental"/>
      <sheetName val="AU"/>
      <sheetName val="inst"/>
      <sheetName val="TABLAS"/>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ACTA MODIFICACIÓN CIVIL"/>
      <sheetName val="Bases 2A"/>
      <sheetName val="@RISK - Correlaciones"/>
      <sheetName val="Acta"/>
      <sheetName val="mdo"/>
      <sheetName val="equip"/>
      <sheetName val="mat"/>
      <sheetName val="CIRCUITOS CODENSA"/>
      <sheetName val="Proveedores y acreedores"/>
      <sheetName val="c2_5y2_614"/>
      <sheetName val="devdics"/>
      <sheetName val="gpi_526"/>
      <sheetName val="vea_374"/>
      <sheetName val="Tarifa_MT"/>
      <sheetName val="Proveedores_y_acreedores"/>
      <sheetName val="5__ELECTRICO"/>
      <sheetName val="for 6"/>
      <sheetName val="Input"/>
      <sheetName val="bd100-45-p1"/>
      <sheetName val="PTAR ANDES"/>
      <sheetName val="BASE"/>
      <sheetName val="MATERIAL"/>
      <sheetName val="precios-básicos2002"/>
      <sheetName val="CUMPLIMIENTO"/>
      <sheetName val="CHINCHINA FINAL . A CEROS"/>
      <sheetName val="Memoria de ca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sheetData sheetId="90"/>
      <sheetData sheetId="91"/>
      <sheetData sheetId="92"/>
      <sheetData sheetId="93"/>
      <sheetData sheetId="94" refreshError="1"/>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sheetData sheetId="107"/>
      <sheetData sheetId="108"/>
      <sheetData sheetId="109" refreshError="1"/>
      <sheetData sheetId="110" refreshError="1"/>
      <sheetData sheetId="111"/>
      <sheetData sheetId="112" refreshError="1"/>
      <sheetData sheetId="113" refreshError="1"/>
      <sheetData sheetId="114"/>
      <sheetData sheetId="115" refreshError="1"/>
      <sheetData sheetId="116" refreshError="1"/>
      <sheetData sheetId="117" refreshError="1"/>
      <sheetData sheetId="118"/>
      <sheetData sheetId="119"/>
      <sheetData sheetId="120"/>
      <sheetData sheetId="121"/>
      <sheetData sheetId="122"/>
      <sheetData sheetId="123"/>
      <sheetData sheetId="124" refreshError="1"/>
      <sheetData sheetId="125" refreshError="1"/>
      <sheetData sheetId="126"/>
      <sheetData sheetId="127"/>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refreshError="1"/>
      <sheetData sheetId="156" refreshError="1"/>
      <sheetData sheetId="157" refreshError="1"/>
      <sheetData sheetId="158" refreshError="1"/>
      <sheetData sheetId="159"/>
      <sheetData sheetId="160"/>
      <sheetData sheetId="161">
        <row r="48">
          <cell r="E48">
            <v>0</v>
          </cell>
        </row>
      </sheetData>
      <sheetData sheetId="162"/>
      <sheetData sheetId="163"/>
      <sheetData sheetId="164"/>
      <sheetData sheetId="165" refreshError="1"/>
      <sheetData sheetId="166"/>
      <sheetData sheetId="167" refreshError="1"/>
      <sheetData sheetId="168">
        <row r="48">
          <cell r="E48">
            <v>0</v>
          </cell>
        </row>
      </sheetData>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sheetData sheetId="32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ESU HH"/>
      <sheetName val="ENTREGABLES"/>
      <sheetName val="Analisis.Tarifas"/>
      <sheetName val="C.LABORALES"/>
      <sheetName val="ADMON"/>
      <sheetName val="desmonte"/>
      <sheetName val="Objetivos de Política"/>
      <sheetName val="procesos"/>
      <sheetName val="Programa Presupuestal"/>
      <sheetName val="Subprograma"/>
    </sheetNames>
    <sheetDataSet>
      <sheetData sheetId="0"/>
      <sheetData sheetId="1" refreshError="1"/>
      <sheetData sheetId="2" refreshError="1"/>
      <sheetData sheetId="3" refreshError="1"/>
      <sheetData sheetId="4">
        <row r="17">
          <cell r="G17">
            <v>2000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C.LABORALES"/>
      <sheetName val="Hoja2"/>
      <sheetName val="OBRAS SES"/>
      <sheetName val="PPTO OBRA"/>
      <sheetName val="FACTOR PRESTACIONAL"/>
      <sheetName val="MATERIALES"/>
      <sheetName val="PERSONAL"/>
      <sheetName val="desmonte"/>
      <sheetName val="SUB APU"/>
      <sheetName val="Hoja1"/>
      <sheetName val="Hoja3"/>
      <sheetName val="ITEMS"/>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A1:BA54"/>
  <sheetViews>
    <sheetView tabSelected="1" view="pageBreakPreview" zoomScale="55" zoomScaleNormal="55" zoomScaleSheetLayoutView="55" workbookViewId="0">
      <selection activeCell="G51" sqref="G51"/>
    </sheetView>
  </sheetViews>
  <sheetFormatPr baseColWidth="10" defaultColWidth="10.109375" defaultRowHeight="18" customHeight="1"/>
  <cols>
    <col min="1" max="1" width="5" style="443" customWidth="1"/>
    <col min="2" max="2" width="9.109375" style="443" customWidth="1"/>
    <col min="3" max="3" width="9.44140625" style="443" bestFit="1" customWidth="1"/>
    <col min="4" max="4" width="62.88671875" style="443" customWidth="1"/>
    <col min="5" max="5" width="6.5546875" style="443" customWidth="1"/>
    <col min="6" max="6" width="15.5546875" style="443" customWidth="1"/>
    <col min="7" max="7" width="30.6640625" style="443" customWidth="1"/>
    <col min="8" max="8" width="28" style="443" bestFit="1" customWidth="1"/>
    <col min="9" max="9" width="4.109375" style="443" customWidth="1"/>
    <col min="10" max="10" width="23.88671875" style="443" hidden="1" customWidth="1"/>
    <col min="11" max="11" width="14.5546875" style="443" hidden="1" customWidth="1"/>
    <col min="12" max="12" width="23.88671875" style="720" hidden="1" customWidth="1"/>
    <col min="13" max="13" width="19.44140625" style="443" hidden="1" customWidth="1"/>
    <col min="14" max="14" width="24" style="443" hidden="1" customWidth="1"/>
    <col min="15" max="15" width="23.5546875" style="443" bestFit="1" customWidth="1"/>
    <col min="16" max="16" width="26.88671875" style="443" bestFit="1" customWidth="1"/>
    <col min="17" max="17" width="10.109375" style="443"/>
    <col min="18" max="18" width="15.88671875" style="443" customWidth="1"/>
    <col min="19" max="53" width="10.109375" style="443"/>
    <col min="54" max="16384" width="10.109375" style="225"/>
  </cols>
  <sheetData>
    <row r="1" spans="1:15" ht="18" customHeight="1" thickBot="1">
      <c r="A1" s="443" t="s">
        <v>65</v>
      </c>
    </row>
    <row r="2" spans="1:15" ht="45" customHeight="1">
      <c r="B2" s="614"/>
      <c r="C2" s="609"/>
      <c r="D2" s="1536" t="s">
        <v>804</v>
      </c>
      <c r="E2" s="1536"/>
      <c r="F2" s="1536"/>
      <c r="G2" s="1536"/>
      <c r="H2" s="610"/>
    </row>
    <row r="3" spans="1:15" ht="84" customHeight="1" thickBot="1">
      <c r="B3" s="611"/>
      <c r="C3" s="612"/>
      <c r="D3" s="1537"/>
      <c r="E3" s="1537"/>
      <c r="F3" s="1537"/>
      <c r="G3" s="1537"/>
      <c r="H3" s="613"/>
    </row>
    <row r="4" spans="1:15" ht="23.4" thickBot="1">
      <c r="B4" s="1533" t="s">
        <v>432</v>
      </c>
      <c r="C4" s="1534"/>
      <c r="D4" s="1534"/>
      <c r="E4" s="1534"/>
      <c r="F4" s="1534"/>
      <c r="G4" s="1534"/>
      <c r="H4" s="1535"/>
    </row>
    <row r="5" spans="1:15" ht="21" customHeight="1">
      <c r="B5" s="1538" t="s">
        <v>891</v>
      </c>
      <c r="C5" s="1538"/>
      <c r="D5" s="1538"/>
      <c r="E5" s="1538"/>
      <c r="F5" s="1538"/>
      <c r="G5" s="1538"/>
      <c r="H5" s="1538"/>
    </row>
    <row r="6" spans="1:15" ht="15.75" customHeight="1" thickBot="1"/>
    <row r="7" spans="1:15" ht="18" customHeight="1">
      <c r="B7" s="1541" t="s">
        <v>62</v>
      </c>
      <c r="C7" s="1543" t="s">
        <v>187</v>
      </c>
      <c r="D7" s="1543" t="s">
        <v>12</v>
      </c>
      <c r="E7" s="1543" t="s">
        <v>44</v>
      </c>
      <c r="F7" s="1543" t="s">
        <v>15</v>
      </c>
      <c r="G7" s="1543" t="s">
        <v>396</v>
      </c>
      <c r="H7" s="1539" t="s">
        <v>365</v>
      </c>
      <c r="L7" s="720" t="s">
        <v>365</v>
      </c>
    </row>
    <row r="8" spans="1:15" ht="15.6" customHeight="1" thickBot="1">
      <c r="B8" s="1542"/>
      <c r="C8" s="1544"/>
      <c r="D8" s="1544"/>
      <c r="E8" s="1544"/>
      <c r="F8" s="1544"/>
      <c r="G8" s="1544"/>
      <c r="H8" s="1540"/>
    </row>
    <row r="9" spans="1:15" ht="15.6" customHeight="1" thickBot="1">
      <c r="B9" s="801"/>
      <c r="C9" s="801"/>
      <c r="D9" s="801"/>
      <c r="E9" s="801"/>
      <c r="F9" s="801"/>
      <c r="G9" s="801"/>
      <c r="H9" s="801"/>
    </row>
    <row r="10" spans="1:15" ht="15.6" customHeight="1" thickBot="1">
      <c r="B10" s="615">
        <v>1</v>
      </c>
      <c r="C10" s="1514" t="s">
        <v>567</v>
      </c>
      <c r="D10" s="1515"/>
      <c r="E10" s="1515"/>
      <c r="F10" s="1515"/>
      <c r="G10" s="1515"/>
      <c r="H10" s="1516"/>
    </row>
    <row r="11" spans="1:15" ht="15.6" customHeight="1">
      <c r="B11" s="561" t="s">
        <v>747</v>
      </c>
      <c r="C11" s="1163">
        <v>200.2</v>
      </c>
      <c r="D11" s="1164" t="s">
        <v>692</v>
      </c>
      <c r="E11" s="1163" t="s">
        <v>693</v>
      </c>
      <c r="F11" s="1169">
        <f>+CANTIDADES!Q23</f>
        <v>1</v>
      </c>
      <c r="G11" s="564">
        <f>ROUND('1,1'!G46,0)</f>
        <v>1102524</v>
      </c>
      <c r="H11" s="564">
        <f>F11*G11</f>
        <v>1102524</v>
      </c>
    </row>
    <row r="12" spans="1:15" ht="15.6" customHeight="1">
      <c r="B12" s="561" t="s">
        <v>420</v>
      </c>
      <c r="C12" s="1163" t="s">
        <v>574</v>
      </c>
      <c r="D12" s="1164" t="s">
        <v>575</v>
      </c>
      <c r="E12" s="1163" t="s">
        <v>0</v>
      </c>
      <c r="F12" s="1169">
        <f>+CANTIDADES!Q36</f>
        <v>1515</v>
      </c>
      <c r="G12" s="936">
        <f>ROUND('1,2'!G45,0)</f>
        <v>17805</v>
      </c>
      <c r="H12" s="564">
        <f t="shared" ref="H12" si="0">F12*G12</f>
        <v>26974575</v>
      </c>
    </row>
    <row r="13" spans="1:15" ht="49.5" customHeight="1">
      <c r="B13" s="563" t="s">
        <v>748</v>
      </c>
      <c r="C13" s="563">
        <v>900.2</v>
      </c>
      <c r="D13" s="1295" t="s">
        <v>740</v>
      </c>
      <c r="E13" s="563" t="s">
        <v>0</v>
      </c>
      <c r="F13" s="586">
        <f>+CANTIDADES!Q50</f>
        <v>1515</v>
      </c>
      <c r="G13" s="564">
        <f>ROUND('1,3'!G45,0)</f>
        <v>23660</v>
      </c>
      <c r="H13" s="564">
        <f>F13*G13</f>
        <v>35844900</v>
      </c>
    </row>
    <row r="14" spans="1:15" ht="15.6" customHeight="1">
      <c r="B14" s="278"/>
      <c r="C14" s="1071"/>
      <c r="E14" s="1071"/>
      <c r="F14" s="659"/>
      <c r="G14" s="565" t="s">
        <v>61</v>
      </c>
      <c r="H14" s="565">
        <f>SUM(H11:H13)</f>
        <v>63921999</v>
      </c>
      <c r="O14" s="601">
        <f>+H14*$O$34+H14</f>
        <v>88395455.144598529</v>
      </c>
    </row>
    <row r="15" spans="1:15" ht="15.6" thickBot="1">
      <c r="B15" s="585"/>
      <c r="M15" s="714"/>
    </row>
    <row r="16" spans="1:15" ht="18" customHeight="1" thickBot="1">
      <c r="B16" s="615">
        <v>2</v>
      </c>
      <c r="C16" s="1514" t="s">
        <v>525</v>
      </c>
      <c r="D16" s="1515"/>
      <c r="E16" s="1515"/>
      <c r="F16" s="1515"/>
      <c r="G16" s="1515"/>
      <c r="H16" s="1516"/>
      <c r="M16" s="714"/>
    </row>
    <row r="17" spans="1:53" ht="18" customHeight="1">
      <c r="B17" s="561" t="s">
        <v>749</v>
      </c>
      <c r="C17" s="561">
        <v>220.1</v>
      </c>
      <c r="D17" s="1286" t="s">
        <v>764</v>
      </c>
      <c r="E17" s="561" t="s">
        <v>0</v>
      </c>
      <c r="F17" s="561">
        <f>+CANTIDADES!Q73</f>
        <v>142</v>
      </c>
      <c r="G17" s="564">
        <f>ROUND('2,1'!G47,0)</f>
        <v>216719</v>
      </c>
      <c r="H17" s="564">
        <f>F17*G17</f>
        <v>30774098</v>
      </c>
      <c r="M17" s="714"/>
    </row>
    <row r="18" spans="1:53" ht="18" customHeight="1">
      <c r="B18" s="563" t="s">
        <v>750</v>
      </c>
      <c r="C18" s="563">
        <v>320.3</v>
      </c>
      <c r="D18" s="1282" t="s">
        <v>543</v>
      </c>
      <c r="E18" s="563" t="s">
        <v>0</v>
      </c>
      <c r="F18" s="586">
        <f>+CANTIDADES!Q87</f>
        <v>768</v>
      </c>
      <c r="G18" s="564">
        <f>ROUND('2,2'!G46,0)</f>
        <v>251204</v>
      </c>
      <c r="H18" s="564">
        <f>F18*G18</f>
        <v>192924672</v>
      </c>
      <c r="M18" s="714"/>
    </row>
    <row r="19" spans="1:53" ht="30">
      <c r="B19" s="1399" t="s">
        <v>751</v>
      </c>
      <c r="C19" s="1399">
        <v>630.29999999999995</v>
      </c>
      <c r="D19" s="1400" t="s">
        <v>579</v>
      </c>
      <c r="E19" s="1399" t="s">
        <v>0</v>
      </c>
      <c r="F19" s="1401">
        <f>+CANTIDADES!Q107</f>
        <v>1287</v>
      </c>
      <c r="G19" s="936">
        <f>ROUND('2,3'!G52,0)</f>
        <v>1118000</v>
      </c>
      <c r="H19" s="564">
        <f>F19*G19</f>
        <v>1438866000</v>
      </c>
      <c r="L19" s="720">
        <v>11750854172</v>
      </c>
      <c r="M19" s="714">
        <f t="shared" ref="M19:M45" si="1">H19-L19</f>
        <v>-10311988172</v>
      </c>
    </row>
    <row r="20" spans="1:53" ht="18" customHeight="1">
      <c r="B20" s="278"/>
      <c r="D20" s="573"/>
      <c r="F20" s="278"/>
      <c r="G20" s="1398" t="s">
        <v>61</v>
      </c>
      <c r="H20" s="565">
        <f>SUM(H17:H19)</f>
        <v>1662564770</v>
      </c>
      <c r="J20" s="714">
        <f>H20*$F$31+H20</f>
        <v>2299101590.2291288</v>
      </c>
      <c r="K20" s="717"/>
      <c r="L20" s="720">
        <v>15092977415</v>
      </c>
      <c r="M20" s="714">
        <f t="shared" si="1"/>
        <v>-13430412645</v>
      </c>
      <c r="N20" s="714">
        <f>H20*1.3</f>
        <v>2161334201</v>
      </c>
      <c r="O20" s="601">
        <f>+H20*$O$34+H20</f>
        <v>2299101590.2291288</v>
      </c>
      <c r="P20" s="601">
        <f>+O20-H20</f>
        <v>636536820.22912884</v>
      </c>
    </row>
    <row r="21" spans="1:53" ht="18" customHeight="1" thickBot="1">
      <c r="A21" s="573"/>
      <c r="B21" s="278"/>
      <c r="C21" s="659"/>
      <c r="D21" s="660"/>
      <c r="E21" s="278"/>
      <c r="F21" s="661"/>
      <c r="G21" s="574"/>
      <c r="H21" s="662"/>
      <c r="M21" s="714"/>
    </row>
    <row r="22" spans="1:53" ht="18" customHeight="1" thickBot="1">
      <c r="A22" s="225"/>
      <c r="B22" s="615">
        <v>3</v>
      </c>
      <c r="C22" s="1514" t="s">
        <v>425</v>
      </c>
      <c r="D22" s="1515"/>
      <c r="E22" s="1515"/>
      <c r="F22" s="1515"/>
      <c r="G22" s="1515"/>
      <c r="H22" s="1516"/>
      <c r="I22" s="575"/>
      <c r="J22" s="225"/>
      <c r="K22" s="661"/>
      <c r="L22" s="721"/>
      <c r="M22" s="714"/>
      <c r="N22" s="225"/>
      <c r="O22" s="225"/>
      <c r="P22" s="225"/>
      <c r="Q22" s="225"/>
      <c r="R22" s="225"/>
      <c r="S22" s="225"/>
      <c r="T22" s="225"/>
      <c r="U22" s="225"/>
      <c r="V22" s="225"/>
      <c r="W22" s="225"/>
      <c r="X22" s="225"/>
      <c r="Y22" s="225"/>
      <c r="Z22" s="225"/>
      <c r="AA22" s="225"/>
      <c r="AB22" s="225"/>
      <c r="AC22" s="225"/>
      <c r="AD22" s="225"/>
      <c r="AE22" s="225"/>
      <c r="AF22" s="225"/>
      <c r="AG22" s="225"/>
      <c r="AH22" s="225"/>
      <c r="AI22" s="225"/>
      <c r="AJ22" s="225"/>
      <c r="AK22" s="225"/>
      <c r="AL22" s="225"/>
      <c r="AM22" s="225"/>
      <c r="AN22" s="225"/>
      <c r="AO22" s="225"/>
      <c r="AP22" s="225"/>
      <c r="AQ22" s="225"/>
      <c r="AR22" s="225"/>
      <c r="AS22" s="225"/>
      <c r="AT22" s="225"/>
      <c r="AU22" s="225"/>
      <c r="AV22" s="225"/>
      <c r="AW22" s="225"/>
      <c r="AX22" s="225"/>
      <c r="AY22" s="225"/>
      <c r="AZ22" s="225"/>
      <c r="BA22" s="225"/>
    </row>
    <row r="23" spans="1:53" ht="33" customHeight="1">
      <c r="A23" s="225"/>
      <c r="B23" s="563" t="s">
        <v>752</v>
      </c>
      <c r="C23" s="563">
        <v>710.2</v>
      </c>
      <c r="D23" s="1189" t="s">
        <v>426</v>
      </c>
      <c r="E23" s="563" t="s">
        <v>44</v>
      </c>
      <c r="F23" s="586">
        <f>+CANTIDADES!Q187</f>
        <v>18</v>
      </c>
      <c r="G23" s="737">
        <f>ROUND('3,1'!G45,0)</f>
        <v>592771</v>
      </c>
      <c r="H23" s="564">
        <f>(F23*G23)</f>
        <v>10669878</v>
      </c>
      <c r="I23" s="575"/>
      <c r="J23" s="225"/>
      <c r="K23" s="661"/>
      <c r="L23" s="721">
        <v>19460240</v>
      </c>
      <c r="M23" s="714">
        <f t="shared" si="1"/>
        <v>-8790362</v>
      </c>
      <c r="N23" s="225"/>
      <c r="O23" s="225"/>
      <c r="P23" s="225"/>
      <c r="Q23" s="225"/>
      <c r="R23" s="225"/>
      <c r="S23" s="225"/>
      <c r="T23" s="225"/>
      <c r="U23" s="225"/>
      <c r="V23" s="225"/>
      <c r="W23" s="225"/>
      <c r="X23" s="225"/>
      <c r="Y23" s="225"/>
      <c r="Z23" s="225"/>
      <c r="AA23" s="225"/>
      <c r="AB23" s="225"/>
      <c r="AC23" s="225"/>
      <c r="AD23" s="225"/>
      <c r="AE23" s="225"/>
      <c r="AF23" s="225"/>
      <c r="AG23" s="225"/>
      <c r="AH23" s="225"/>
      <c r="AI23" s="225"/>
      <c r="AJ23" s="225"/>
      <c r="AK23" s="225"/>
      <c r="AL23" s="225"/>
      <c r="AM23" s="225"/>
      <c r="AN23" s="225"/>
      <c r="AO23" s="225"/>
      <c r="AP23" s="225"/>
      <c r="AQ23" s="225"/>
      <c r="AR23" s="225"/>
      <c r="AS23" s="225"/>
      <c r="AT23" s="225"/>
      <c r="AU23" s="225"/>
      <c r="AV23" s="225"/>
      <c r="AW23" s="225"/>
      <c r="AX23" s="225"/>
      <c r="AY23" s="225"/>
      <c r="AZ23" s="225"/>
      <c r="BA23" s="225"/>
    </row>
    <row r="24" spans="1:53" ht="18" customHeight="1">
      <c r="A24" s="225"/>
      <c r="B24" s="663" t="s">
        <v>734</v>
      </c>
      <c r="C24" s="561">
        <v>700.1</v>
      </c>
      <c r="D24" s="664" t="s">
        <v>524</v>
      </c>
      <c r="E24" s="663" t="s">
        <v>442</v>
      </c>
      <c r="F24" s="665">
        <f>+CANTIDADES!Q197</f>
        <v>2462</v>
      </c>
      <c r="G24" s="564">
        <f>ROUND('3,2'!G45,0)</f>
        <v>1461</v>
      </c>
      <c r="H24" s="564">
        <f>F24*G24</f>
        <v>3596982</v>
      </c>
      <c r="I24" s="575"/>
      <c r="J24" s="225"/>
      <c r="K24" s="661"/>
      <c r="L24" s="721">
        <v>80833536</v>
      </c>
      <c r="M24" s="714">
        <f t="shared" si="1"/>
        <v>-77236554</v>
      </c>
      <c r="N24" s="225"/>
      <c r="O24" s="225"/>
      <c r="P24" s="225"/>
      <c r="Q24" s="225"/>
      <c r="R24" s="225"/>
      <c r="S24" s="225"/>
      <c r="T24" s="225"/>
      <c r="U24" s="225"/>
      <c r="V24" s="225"/>
      <c r="W24" s="225"/>
      <c r="X24" s="225"/>
      <c r="Y24" s="225"/>
      <c r="Z24" s="225"/>
      <c r="AA24" s="225"/>
      <c r="AB24" s="225"/>
      <c r="AC24" s="225"/>
      <c r="AD24" s="225"/>
      <c r="AE24" s="225"/>
      <c r="AF24" s="225"/>
      <c r="AG24" s="225"/>
      <c r="AH24" s="225"/>
      <c r="AI24" s="225"/>
      <c r="AJ24" s="225"/>
      <c r="AK24" s="225"/>
      <c r="AL24" s="225"/>
      <c r="AM24" s="225"/>
      <c r="AN24" s="225"/>
      <c r="AO24" s="225"/>
      <c r="AP24" s="225"/>
      <c r="AQ24" s="225"/>
      <c r="AR24" s="225"/>
      <c r="AS24" s="225"/>
      <c r="AT24" s="225"/>
      <c r="AU24" s="225"/>
      <c r="AV24" s="225"/>
      <c r="AW24" s="225"/>
      <c r="AX24" s="225"/>
      <c r="AY24" s="225"/>
      <c r="AZ24" s="225"/>
      <c r="BA24" s="225"/>
    </row>
    <row r="25" spans="1:53" ht="18" customHeight="1">
      <c r="A25" s="225"/>
      <c r="B25" s="843" t="s">
        <v>735</v>
      </c>
      <c r="C25" s="561">
        <v>701.1</v>
      </c>
      <c r="D25" s="844" t="s">
        <v>675</v>
      </c>
      <c r="E25" s="563" t="s">
        <v>44</v>
      </c>
      <c r="F25" s="845">
        <f>+CANTIDADES!Q209</f>
        <v>142.16666666666666</v>
      </c>
      <c r="G25" s="846">
        <f>ROUND('3,3'!G45,0)</f>
        <v>14640</v>
      </c>
      <c r="H25" s="564">
        <f>F25*G25</f>
        <v>2081319.9999999998</v>
      </c>
      <c r="I25" s="575"/>
      <c r="J25" s="225"/>
      <c r="K25" s="661"/>
      <c r="L25" s="721"/>
      <c r="M25" s="714"/>
      <c r="N25" s="225"/>
      <c r="O25" s="225"/>
      <c r="P25" s="225"/>
      <c r="Q25" s="225"/>
      <c r="R25" s="225"/>
      <c r="S25" s="225"/>
      <c r="T25" s="225"/>
      <c r="U25" s="225"/>
      <c r="V25" s="225"/>
      <c r="W25" s="225"/>
      <c r="X25" s="225"/>
      <c r="Y25" s="225"/>
      <c r="Z25" s="225"/>
      <c r="AA25" s="225"/>
      <c r="AB25" s="225"/>
      <c r="AC25" s="225"/>
      <c r="AD25" s="225"/>
      <c r="AE25" s="225"/>
      <c r="AF25" s="225"/>
      <c r="AG25" s="225"/>
      <c r="AH25" s="225"/>
      <c r="AI25" s="225"/>
      <c r="AJ25" s="225"/>
      <c r="AK25" s="225"/>
      <c r="AL25" s="225"/>
      <c r="AM25" s="225"/>
      <c r="AN25" s="225"/>
      <c r="AO25" s="225"/>
      <c r="AP25" s="225"/>
      <c r="AQ25" s="225"/>
      <c r="AR25" s="225"/>
      <c r="AS25" s="225"/>
      <c r="AT25" s="225"/>
      <c r="AU25" s="225"/>
      <c r="AV25" s="225"/>
      <c r="AW25" s="225"/>
      <c r="AX25" s="225"/>
      <c r="AY25" s="225"/>
      <c r="AZ25" s="225"/>
      <c r="BA25" s="225"/>
    </row>
    <row r="26" spans="1:53" ht="15.6">
      <c r="A26" s="225"/>
      <c r="B26" s="563"/>
      <c r="C26" s="576"/>
      <c r="D26" s="577"/>
      <c r="E26" s="578"/>
      <c r="F26" s="579"/>
      <c r="G26" s="565" t="s">
        <v>61</v>
      </c>
      <c r="H26" s="1321">
        <f>SUM(H23:H25)</f>
        <v>16348180</v>
      </c>
      <c r="I26" s="575"/>
      <c r="J26" s="714">
        <f>H26*$F$31+H26</f>
        <v>22607315.704970721</v>
      </c>
      <c r="K26" s="716"/>
      <c r="L26" s="720">
        <v>462737096</v>
      </c>
      <c r="M26" s="714">
        <f t="shared" si="1"/>
        <v>-446388916</v>
      </c>
      <c r="N26" s="714">
        <f>H26*1.3</f>
        <v>21252634</v>
      </c>
      <c r="O26" s="601">
        <f>+H26*$O$34+H26</f>
        <v>22607315.704970721</v>
      </c>
      <c r="P26" s="225"/>
      <c r="Q26" s="225"/>
      <c r="R26" s="225"/>
      <c r="S26" s="225"/>
      <c r="T26" s="225"/>
      <c r="U26" s="225"/>
      <c r="V26" s="225"/>
      <c r="W26" s="225"/>
      <c r="X26" s="225"/>
      <c r="Y26" s="225"/>
      <c r="Z26" s="225"/>
      <c r="AA26" s="225"/>
      <c r="AB26" s="225"/>
      <c r="AC26" s="225"/>
      <c r="AD26" s="225"/>
      <c r="AE26" s="225"/>
      <c r="AF26" s="225"/>
      <c r="AG26" s="225"/>
      <c r="AH26" s="225"/>
      <c r="AI26" s="225"/>
      <c r="AJ26" s="225"/>
      <c r="AK26" s="225"/>
      <c r="AL26" s="225"/>
      <c r="AM26" s="225"/>
      <c r="AN26" s="225"/>
      <c r="AO26" s="225"/>
      <c r="AP26" s="225"/>
      <c r="AQ26" s="225"/>
      <c r="AR26" s="225"/>
      <c r="AS26" s="225"/>
      <c r="AT26" s="225"/>
      <c r="AU26" s="225"/>
      <c r="AV26" s="225"/>
      <c r="AW26" s="225"/>
      <c r="AX26" s="225"/>
      <c r="AY26" s="225"/>
      <c r="AZ26" s="225"/>
      <c r="BA26" s="225"/>
    </row>
    <row r="27" spans="1:53" ht="17.25" customHeight="1" thickBot="1">
      <c r="M27" s="714"/>
    </row>
    <row r="28" spans="1:53" ht="16.2" thickBot="1">
      <c r="B28" s="1517" t="s">
        <v>64</v>
      </c>
      <c r="C28" s="1518"/>
      <c r="D28" s="1518"/>
      <c r="E28" s="1518"/>
      <c r="F28" s="1518"/>
      <c r="G28" s="1518"/>
      <c r="H28" s="616">
        <f>+H14+H20+H26</f>
        <v>1742834949</v>
      </c>
      <c r="L28" s="720">
        <v>33806009672</v>
      </c>
      <c r="M28" s="714">
        <f t="shared" si="1"/>
        <v>-32063174723</v>
      </c>
    </row>
    <row r="29" spans="1:53" ht="15">
      <c r="M29" s="714"/>
    </row>
    <row r="30" spans="1:53" ht="15" customHeight="1" thickBot="1">
      <c r="M30" s="714"/>
    </row>
    <row r="31" spans="1:53" ht="18" customHeight="1">
      <c r="B31" s="1512" t="s">
        <v>379</v>
      </c>
      <c r="C31" s="1513"/>
      <c r="D31" s="1513"/>
      <c r="E31" s="1513"/>
      <c r="F31" s="1419">
        <f>AIU!J60</f>
        <v>0.38286437419766128</v>
      </c>
      <c r="G31" s="617" t="s">
        <v>9</v>
      </c>
      <c r="H31" s="618">
        <f>SUM(H32:H34)</f>
        <v>667269411</v>
      </c>
      <c r="L31" s="720">
        <v>10141802902</v>
      </c>
      <c r="M31" s="714">
        <f t="shared" si="1"/>
        <v>-9474533491</v>
      </c>
    </row>
    <row r="32" spans="1:53" ht="18" customHeight="1">
      <c r="B32" s="1510" t="s">
        <v>125</v>
      </c>
      <c r="C32" s="1511"/>
      <c r="D32" s="1511"/>
      <c r="E32" s="1511"/>
      <c r="F32" s="990">
        <f>+AIU!J56</f>
        <v>0.32286437419766123</v>
      </c>
      <c r="G32" s="563" t="s">
        <v>9</v>
      </c>
      <c r="H32" s="566">
        <f>ROUND(AIU!K56,0)</f>
        <v>562699315</v>
      </c>
      <c r="J32" s="601"/>
      <c r="L32" s="720">
        <v>7775382225</v>
      </c>
      <c r="M32" s="714">
        <f t="shared" si="1"/>
        <v>-7212682910</v>
      </c>
    </row>
    <row r="33" spans="2:16" ht="18" customHeight="1">
      <c r="B33" s="1510" t="s">
        <v>545</v>
      </c>
      <c r="C33" s="1511"/>
      <c r="D33" s="1511"/>
      <c r="E33" s="1511"/>
      <c r="F33" s="990">
        <f>+AIU!J58</f>
        <v>0.05</v>
      </c>
      <c r="G33" s="563" t="s">
        <v>9</v>
      </c>
      <c r="H33" s="566">
        <f>ROUND(AIU!K58,0)</f>
        <v>87141747</v>
      </c>
      <c r="L33" s="720">
        <v>1690300484</v>
      </c>
      <c r="M33" s="714">
        <f t="shared" si="1"/>
        <v>-1603158737</v>
      </c>
    </row>
    <row r="34" spans="2:16" ht="15.6" thickBot="1">
      <c r="B34" s="1525" t="s">
        <v>124</v>
      </c>
      <c r="C34" s="1526"/>
      <c r="D34" s="1526"/>
      <c r="E34" s="1526"/>
      <c r="F34" s="991">
        <f>+AIU!J57</f>
        <v>0.01</v>
      </c>
      <c r="G34" s="562" t="s">
        <v>9</v>
      </c>
      <c r="H34" s="567">
        <f>ROUND(AIU!K57,0)</f>
        <v>17428349</v>
      </c>
      <c r="L34" s="720">
        <v>676120193</v>
      </c>
      <c r="M34" s="714">
        <f t="shared" si="1"/>
        <v>-658691844</v>
      </c>
      <c r="O34" s="1509">
        <f>+F34+F33+F32</f>
        <v>0.38286437419766123</v>
      </c>
    </row>
    <row r="35" spans="2:16" ht="18" customHeight="1" thickBot="1">
      <c r="B35" s="1519"/>
      <c r="C35" s="1519"/>
      <c r="D35" s="1519"/>
      <c r="E35" s="1519"/>
      <c r="F35" s="1519"/>
      <c r="G35" s="1519"/>
      <c r="H35" s="1519"/>
      <c r="M35" s="714"/>
    </row>
    <row r="36" spans="2:16" ht="16.2" thickBot="1">
      <c r="B36" s="1517" t="s">
        <v>126</v>
      </c>
      <c r="C36" s="1518"/>
      <c r="D36" s="1518"/>
      <c r="E36" s="1518"/>
      <c r="F36" s="1518"/>
      <c r="G36" s="1518"/>
      <c r="H36" s="616">
        <f>+H28+H31</f>
        <v>2410104360</v>
      </c>
      <c r="L36" s="720">
        <v>43947812574</v>
      </c>
      <c r="M36" s="714">
        <f t="shared" si="1"/>
        <v>-41537708214</v>
      </c>
    </row>
    <row r="37" spans="2:16" ht="18" customHeight="1" thickBot="1">
      <c r="J37" s="600"/>
      <c r="M37" s="714"/>
      <c r="O37" s="568"/>
    </row>
    <row r="38" spans="2:16" ht="16.2" thickBot="1">
      <c r="B38" s="1522" t="s">
        <v>127</v>
      </c>
      <c r="C38" s="1523"/>
      <c r="D38" s="1523"/>
      <c r="E38" s="1523"/>
      <c r="F38" s="1524"/>
      <c r="G38" s="1193"/>
      <c r="H38" s="616">
        <f>ROUND(INTERVENTORIA!J48,0)</f>
        <v>249042198</v>
      </c>
      <c r="J38" s="656"/>
      <c r="L38" s="720">
        <v>1812550880</v>
      </c>
      <c r="M38" s="714">
        <f t="shared" si="1"/>
        <v>-1563508682</v>
      </c>
      <c r="N38" s="755">
        <f>+H38/H28</f>
        <v>0.14289488407545126</v>
      </c>
      <c r="O38" s="568"/>
    </row>
    <row r="39" spans="2:16" ht="15.6" thickBot="1">
      <c r="J39" s="655"/>
      <c r="M39" s="714"/>
    </row>
    <row r="40" spans="2:16" ht="15.6">
      <c r="B40" s="1512" t="s">
        <v>483</v>
      </c>
      <c r="C40" s="1513"/>
      <c r="D40" s="1513"/>
      <c r="E40" s="617" t="s">
        <v>190</v>
      </c>
      <c r="F40" s="617">
        <v>1</v>
      </c>
      <c r="G40" s="619">
        <f>+PAGA!J48</f>
        <v>79730279.973913759</v>
      </c>
      <c r="H40" s="618">
        <f>ROUND(F40*G40,0)</f>
        <v>79730280</v>
      </c>
      <c r="J40" s="568"/>
      <c r="L40" s="720">
        <v>89111500</v>
      </c>
      <c r="M40" s="714">
        <f t="shared" si="1"/>
        <v>-9381220</v>
      </c>
      <c r="N40" s="755"/>
      <c r="O40" s="655"/>
    </row>
    <row r="41" spans="2:16" ht="15.6">
      <c r="B41" s="1527" t="s">
        <v>724</v>
      </c>
      <c r="C41" s="1528"/>
      <c r="D41" s="1529"/>
      <c r="E41" s="840" t="s">
        <v>728</v>
      </c>
      <c r="F41" s="840">
        <f>+'CARACTERIZACION '!G33</f>
        <v>0.85299999999999998</v>
      </c>
      <c r="G41" s="841">
        <f>+'CARACTERIZACION '!H31</f>
        <v>11411999</v>
      </c>
      <c r="H41" s="842">
        <f>ROUND(F41*G41,0)</f>
        <v>9734435</v>
      </c>
      <c r="J41" s="568"/>
      <c r="M41" s="714"/>
      <c r="N41" s="755"/>
      <c r="O41" s="655"/>
    </row>
    <row r="42" spans="2:16" ht="16.2" thickBot="1">
      <c r="B42" s="1520" t="s">
        <v>185</v>
      </c>
      <c r="C42" s="1521"/>
      <c r="D42" s="1521"/>
      <c r="E42" s="1273" t="s">
        <v>190</v>
      </c>
      <c r="F42" s="1273">
        <v>1</v>
      </c>
      <c r="G42" s="1274">
        <f>+PMT!H18</f>
        <v>101909240</v>
      </c>
      <c r="H42" s="1275">
        <f>ROUND(F42*G42,0)</f>
        <v>101909240</v>
      </c>
      <c r="J42" s="568"/>
      <c r="L42" s="720">
        <v>79122000</v>
      </c>
      <c r="M42" s="714">
        <f t="shared" si="1"/>
        <v>22787240</v>
      </c>
      <c r="N42" s="755"/>
    </row>
    <row r="43" spans="2:16" ht="16.2" thickBot="1">
      <c r="B43" s="1530" t="str">
        <f>+SOCIAL!B3</f>
        <v>SOCIAL</v>
      </c>
      <c r="C43" s="1531"/>
      <c r="D43" s="1532"/>
      <c r="E43" s="1477" t="s">
        <v>44</v>
      </c>
      <c r="F43" s="1477">
        <v>1</v>
      </c>
      <c r="G43" s="1478">
        <f>+SOCIAL!K30</f>
        <v>44636480.400800005</v>
      </c>
      <c r="H43" s="1275">
        <f>ROUND(F43*G43,0)</f>
        <v>44636480</v>
      </c>
      <c r="J43" s="568"/>
      <c r="M43" s="714"/>
      <c r="N43" s="755"/>
    </row>
    <row r="44" spans="2:16" ht="18" customHeight="1" thickBot="1">
      <c r="J44" s="600"/>
      <c r="M44" s="714"/>
    </row>
    <row r="45" spans="2:16" ht="18" customHeight="1" thickBot="1">
      <c r="B45" s="1517" t="s">
        <v>128</v>
      </c>
      <c r="C45" s="1518"/>
      <c r="D45" s="1518"/>
      <c r="E45" s="1518"/>
      <c r="F45" s="1518"/>
      <c r="G45" s="1518"/>
      <c r="H45" s="1396">
        <f>+SUM(H36:H43)</f>
        <v>2895156993</v>
      </c>
      <c r="J45" s="601"/>
      <c r="L45" s="720">
        <v>45928596954</v>
      </c>
      <c r="M45" s="714">
        <f t="shared" si="1"/>
        <v>-43033439961</v>
      </c>
      <c r="O45" s="601"/>
      <c r="P45" s="568"/>
    </row>
    <row r="46" spans="2:16" ht="18" customHeight="1">
      <c r="O46" s="656"/>
    </row>
    <row r="47" spans="2:16" ht="18" customHeight="1">
      <c r="G47" s="568"/>
      <c r="H47" s="656"/>
      <c r="O47" s="714"/>
    </row>
    <row r="48" spans="2:16" ht="18" customHeight="1">
      <c r="G48" s="568"/>
      <c r="H48" s="656"/>
    </row>
    <row r="49" spans="2:15" ht="18" customHeight="1">
      <c r="G49" s="568"/>
      <c r="H49" s="1508"/>
    </row>
    <row r="50" spans="2:15" ht="18" customHeight="1">
      <c r="H50" s="656"/>
      <c r="O50" s="656"/>
    </row>
    <row r="51" spans="2:15" ht="18" customHeight="1">
      <c r="B51" s="1087"/>
      <c r="C51" s="1087"/>
      <c r="D51" s="1087"/>
    </row>
    <row r="52" spans="2:15" ht="18" customHeight="1">
      <c r="B52" s="569" t="s">
        <v>732</v>
      </c>
    </row>
    <row r="53" spans="2:15" ht="18" customHeight="1">
      <c r="B53" s="443" t="s">
        <v>566</v>
      </c>
    </row>
    <row r="54" spans="2:15" ht="18" customHeight="1">
      <c r="B54" s="443" t="s">
        <v>733</v>
      </c>
    </row>
  </sheetData>
  <sheetProtection formatCells="0" formatColumns="0" formatRows="0" insertColumns="0" insertRows="0" insertHyperlinks="0" deleteColumns="0" deleteRows="0" sort="0" autoFilter="0" pivotTables="0"/>
  <mergeCells count="26">
    <mergeCell ref="C10:H10"/>
    <mergeCell ref="B4:H4"/>
    <mergeCell ref="D2:G3"/>
    <mergeCell ref="B5:H5"/>
    <mergeCell ref="H7:H8"/>
    <mergeCell ref="B7:B8"/>
    <mergeCell ref="G7:G8"/>
    <mergeCell ref="E7:E8"/>
    <mergeCell ref="D7:D8"/>
    <mergeCell ref="C7:C8"/>
    <mergeCell ref="F7:F8"/>
    <mergeCell ref="B45:G45"/>
    <mergeCell ref="B33:E33"/>
    <mergeCell ref="B35:H35"/>
    <mergeCell ref="B36:G36"/>
    <mergeCell ref="B42:D42"/>
    <mergeCell ref="B38:F38"/>
    <mergeCell ref="B34:E34"/>
    <mergeCell ref="B40:D40"/>
    <mergeCell ref="B41:D41"/>
    <mergeCell ref="B43:D43"/>
    <mergeCell ref="B32:E32"/>
    <mergeCell ref="B31:E31"/>
    <mergeCell ref="C16:H16"/>
    <mergeCell ref="B28:G28"/>
    <mergeCell ref="C22:H22"/>
  </mergeCells>
  <phoneticPr fontId="76" type="noConversion"/>
  <hyperlinks>
    <hyperlink ref="B42:D42" location="PMT!Área_de_impresión" display="PLAN DE MANEJO DE TRANSITO" xr:uid="{00000000-0004-0000-0000-000000000000}"/>
    <hyperlink ref="B31:E31" location="AIU!Área_de_impresión" display=" COSTO INDIRECTO A.I.U. [ % ]" xr:uid="{00000000-0004-0000-0000-000001000000}"/>
  </hyperlinks>
  <printOptions horizontalCentered="1"/>
  <pageMargins left="0.78740157480314965" right="0.78740157480314965" top="1.1811023622047245" bottom="0.78740157480314965" header="0.59055118110236227" footer="0.59055118110236227"/>
  <pageSetup scale="4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B45"/>
  <sheetViews>
    <sheetView topLeftCell="A6" zoomScale="90" zoomScaleNormal="90" zoomScaleSheetLayoutView="82" workbookViewId="0">
      <selection activeCell="J13" sqref="J13"/>
    </sheetView>
  </sheetViews>
  <sheetFormatPr baseColWidth="10" defaultColWidth="10.88671875" defaultRowHeight="13.2" outlineLevelCol="1"/>
  <cols>
    <col min="1" max="1" width="7.5546875" style="197" customWidth="1"/>
    <col min="2" max="2" width="4.5546875" style="210" customWidth="1"/>
    <col min="3" max="3" width="5.88671875" style="210" customWidth="1"/>
    <col min="4" max="4" width="31.44140625" style="211" customWidth="1"/>
    <col min="5" max="5" width="7.5546875" style="211" bestFit="1" customWidth="1"/>
    <col min="6" max="6" width="10.88671875" style="211" customWidth="1"/>
    <col min="7" max="7" width="15" style="221" bestFit="1" customWidth="1"/>
    <col min="8" max="8" width="17.5546875" style="211" customWidth="1"/>
    <col min="9" max="9" width="13.109375" style="211" customWidth="1"/>
    <col min="10" max="10" width="30.88671875" style="221" customWidth="1"/>
    <col min="11" max="11" width="20.44140625" style="212" customWidth="1"/>
    <col min="12" max="12" width="7.88671875" style="197" customWidth="1"/>
    <col min="13" max="13" width="17.5546875" style="197" bestFit="1" customWidth="1"/>
    <col min="14" max="14" width="33.44140625" style="197" customWidth="1"/>
    <col min="15" max="15" width="15.5546875" style="197" bestFit="1" customWidth="1"/>
    <col min="16" max="274" width="10.88671875" style="197"/>
    <col min="275" max="340" width="10.88671875" style="197" outlineLevel="1"/>
    <col min="341" max="16384" width="10.88671875" style="197"/>
  </cols>
  <sheetData>
    <row r="1" spans="1:340" ht="13.8" thickBot="1"/>
    <row r="2" spans="1:340" ht="39" customHeight="1" thickBot="1">
      <c r="B2" s="1545" t="str">
        <f>+PRESUPUESTO!D2</f>
        <v>"MEJORAMIENTO VIAL MEDIANTE LA CONSTRUCCIÓN DE PAVIMENTO RÍGIDO DE LA PRIMERA ETAPA DE LA VÍA QUE COMUNICA A LA VEREDA PONDORES EN EL CORREGIMIENTO DE CONEJO, MUNICIPIO DE FONSECA - DEPARTAMENTO DE LA GUAJIRA."</v>
      </c>
      <c r="C2" s="1546"/>
      <c r="D2" s="1546"/>
      <c r="E2" s="1546"/>
      <c r="F2" s="1546"/>
      <c r="G2" s="1546"/>
      <c r="H2" s="1546"/>
      <c r="I2" s="1546"/>
      <c r="J2" s="1546"/>
      <c r="K2" s="1547"/>
    </row>
    <row r="3" spans="1:340" ht="15" customHeight="1">
      <c r="B3" s="1548" t="s">
        <v>918</v>
      </c>
      <c r="C3" s="1549"/>
      <c r="D3" s="1549"/>
      <c r="E3" s="1549"/>
      <c r="F3" s="1549"/>
      <c r="G3" s="1549"/>
      <c r="H3" s="1549"/>
      <c r="I3" s="1549"/>
      <c r="J3" s="1549"/>
      <c r="K3" s="1550"/>
    </row>
    <row r="4" spans="1:340" ht="12.6" customHeight="1" thickBot="1">
      <c r="B4" s="1551"/>
      <c r="C4" s="1552"/>
      <c r="D4" s="1553"/>
      <c r="E4" s="1553"/>
      <c r="F4" s="1553"/>
      <c r="G4" s="1553"/>
      <c r="H4" s="1553"/>
      <c r="I4" s="1553"/>
      <c r="J4" s="1553"/>
      <c r="K4" s="1554"/>
    </row>
    <row r="5" spans="1:340" ht="12">
      <c r="B5" s="279"/>
      <c r="C5" s="1127"/>
      <c r="D5" s="280"/>
      <c r="E5" s="281"/>
      <c r="F5" s="282"/>
      <c r="G5" s="283"/>
      <c r="H5" s="1555"/>
      <c r="I5" s="1556"/>
      <c r="J5" s="1556"/>
      <c r="K5" s="1557"/>
    </row>
    <row r="6" spans="1:340" s="198" customFormat="1" ht="12">
      <c r="A6" s="197"/>
      <c r="B6" s="477"/>
      <c r="C6" s="1128"/>
      <c r="D6" s="478" t="s">
        <v>183</v>
      </c>
      <c r="E6" s="479"/>
      <c r="F6" s="479"/>
      <c r="G6" s="480"/>
      <c r="H6" s="479"/>
      <c r="I6" s="1191" t="s">
        <v>708</v>
      </c>
      <c r="J6" s="1190">
        <v>3</v>
      </c>
      <c r="K6" s="481">
        <f>+PRESUPUESTO!H28</f>
        <v>1742834949</v>
      </c>
      <c r="L6" s="197"/>
      <c r="M6" s="713"/>
      <c r="N6" s="197"/>
      <c r="O6" s="197"/>
      <c r="P6" s="197"/>
      <c r="Q6" s="197"/>
      <c r="R6" s="197"/>
      <c r="S6" s="197"/>
      <c r="T6" s="197"/>
      <c r="U6" s="197"/>
      <c r="V6" s="197"/>
      <c r="W6" s="197"/>
      <c r="X6" s="197"/>
      <c r="Y6" s="197"/>
      <c r="Z6" s="197"/>
      <c r="AA6" s="197"/>
      <c r="AB6" s="197"/>
      <c r="AC6" s="197"/>
      <c r="AD6" s="197"/>
      <c r="AE6" s="197"/>
      <c r="AF6" s="197"/>
      <c r="AG6" s="197"/>
      <c r="AH6" s="197"/>
      <c r="AI6" s="197"/>
      <c r="AJ6" s="197"/>
      <c r="AK6" s="197"/>
      <c r="AL6" s="197"/>
      <c r="AM6" s="197"/>
      <c r="AN6" s="197"/>
      <c r="AO6" s="197"/>
      <c r="AP6" s="197"/>
      <c r="AQ6" s="197"/>
      <c r="AR6" s="197"/>
      <c r="AS6" s="197"/>
      <c r="AT6" s="197"/>
      <c r="AU6" s="197"/>
      <c r="AV6" s="197"/>
      <c r="AW6" s="197"/>
      <c r="AX6" s="197"/>
      <c r="AY6" s="197"/>
      <c r="AZ6" s="197"/>
      <c r="BA6" s="197"/>
      <c r="BB6" s="197"/>
      <c r="BC6" s="197"/>
      <c r="BD6" s="197"/>
      <c r="BE6" s="197"/>
      <c r="BF6" s="197"/>
      <c r="BG6" s="197"/>
      <c r="BH6" s="197"/>
      <c r="BI6" s="197"/>
      <c r="BJ6" s="197"/>
      <c r="BK6" s="197"/>
      <c r="BL6" s="197"/>
      <c r="BM6" s="197"/>
      <c r="BN6" s="197"/>
      <c r="BO6" s="197"/>
      <c r="BP6" s="197"/>
      <c r="BQ6" s="197"/>
      <c r="BR6" s="197"/>
      <c r="BS6" s="197"/>
      <c r="BT6" s="197"/>
      <c r="BU6" s="197"/>
      <c r="BV6" s="197"/>
      <c r="BW6" s="197"/>
      <c r="BX6" s="197"/>
      <c r="BY6" s="197"/>
      <c r="BZ6" s="197"/>
      <c r="CA6" s="197"/>
      <c r="CB6" s="197"/>
      <c r="CC6" s="197"/>
      <c r="CD6" s="197"/>
      <c r="CE6" s="197"/>
      <c r="CF6" s="197"/>
      <c r="CG6" s="197"/>
      <c r="CH6" s="197"/>
      <c r="CI6" s="197"/>
      <c r="CJ6" s="197"/>
      <c r="CK6" s="197"/>
      <c r="CL6" s="197"/>
      <c r="CM6" s="197"/>
      <c r="CN6" s="197"/>
      <c r="CO6" s="197"/>
      <c r="CP6" s="197"/>
      <c r="CQ6" s="197"/>
      <c r="CR6" s="197"/>
      <c r="CS6" s="197"/>
      <c r="CT6" s="197"/>
      <c r="CU6" s="197"/>
      <c r="CV6" s="197"/>
      <c r="CW6" s="197"/>
      <c r="CX6" s="197"/>
      <c r="CY6" s="197"/>
      <c r="CZ6" s="197"/>
      <c r="DA6" s="197"/>
      <c r="DB6" s="197"/>
      <c r="DC6" s="197"/>
      <c r="DD6" s="197"/>
      <c r="DE6" s="197"/>
      <c r="DF6" s="197"/>
      <c r="DG6" s="197"/>
      <c r="DH6" s="197"/>
      <c r="DI6" s="197"/>
      <c r="DJ6" s="197"/>
      <c r="DK6" s="197"/>
      <c r="DL6" s="197"/>
      <c r="DM6" s="197"/>
      <c r="DN6" s="197"/>
      <c r="DO6" s="197"/>
      <c r="DP6" s="197"/>
      <c r="DQ6" s="197"/>
      <c r="DR6" s="197"/>
      <c r="DS6" s="197"/>
      <c r="DT6" s="197"/>
      <c r="DU6" s="197"/>
      <c r="DV6" s="197"/>
      <c r="DW6" s="197"/>
      <c r="DX6" s="197"/>
      <c r="DY6" s="197"/>
      <c r="DZ6" s="197"/>
      <c r="EA6" s="197"/>
      <c r="EB6" s="197"/>
      <c r="EC6" s="197"/>
      <c r="ED6" s="197"/>
      <c r="EE6" s="197"/>
      <c r="EF6" s="197"/>
      <c r="EG6" s="197"/>
      <c r="EH6" s="197"/>
      <c r="EI6" s="197"/>
      <c r="EJ6" s="197"/>
      <c r="EK6" s="197"/>
      <c r="EL6" s="197"/>
      <c r="EM6" s="197"/>
      <c r="EN6" s="197"/>
      <c r="EO6" s="197"/>
      <c r="EP6" s="197"/>
      <c r="EQ6" s="197"/>
      <c r="ER6" s="197"/>
      <c r="ES6" s="197"/>
      <c r="ET6" s="197"/>
      <c r="EU6" s="197"/>
      <c r="EV6" s="197"/>
      <c r="EW6" s="197"/>
      <c r="EX6" s="197"/>
      <c r="EY6" s="197"/>
      <c r="EZ6" s="197"/>
      <c r="FA6" s="197"/>
      <c r="FB6" s="197"/>
      <c r="FC6" s="197"/>
      <c r="FD6" s="197"/>
      <c r="FE6" s="197"/>
      <c r="FF6" s="197"/>
      <c r="FG6" s="197"/>
      <c r="FH6" s="197"/>
      <c r="FI6" s="197"/>
      <c r="FJ6" s="197"/>
      <c r="FK6" s="197"/>
      <c r="FL6" s="197"/>
      <c r="FM6" s="197"/>
      <c r="FN6" s="197"/>
      <c r="FO6" s="197"/>
      <c r="FP6" s="197"/>
      <c r="FQ6" s="197"/>
      <c r="FR6" s="197"/>
      <c r="FS6" s="197"/>
      <c r="FT6" s="197"/>
      <c r="FU6" s="197"/>
      <c r="FV6" s="197"/>
      <c r="FW6" s="197"/>
      <c r="FX6" s="197"/>
      <c r="FY6" s="197"/>
      <c r="FZ6" s="197"/>
      <c r="GA6" s="197"/>
      <c r="GB6" s="197"/>
      <c r="GC6" s="197"/>
      <c r="GD6" s="197"/>
      <c r="GE6" s="197"/>
      <c r="GF6" s="197"/>
      <c r="GG6" s="197"/>
      <c r="GH6" s="197"/>
      <c r="GI6" s="197"/>
      <c r="GJ6" s="197"/>
      <c r="GK6" s="197"/>
      <c r="GL6" s="197"/>
      <c r="GM6" s="197"/>
      <c r="GN6" s="197"/>
      <c r="GO6" s="197"/>
      <c r="GP6" s="197"/>
      <c r="GQ6" s="197"/>
      <c r="GR6" s="197"/>
      <c r="GS6" s="197"/>
      <c r="GT6" s="197"/>
      <c r="GU6" s="197"/>
      <c r="GV6" s="197"/>
      <c r="GW6" s="197"/>
      <c r="GX6" s="197"/>
      <c r="GY6" s="197"/>
      <c r="GZ6" s="197"/>
      <c r="HA6" s="197"/>
      <c r="HB6" s="197"/>
      <c r="HC6" s="197"/>
      <c r="HD6" s="197"/>
      <c r="HE6" s="197"/>
      <c r="HF6" s="197"/>
      <c r="HG6" s="197"/>
      <c r="HH6" s="197"/>
      <c r="HI6" s="197"/>
      <c r="HJ6" s="197"/>
      <c r="HK6" s="197"/>
      <c r="HL6" s="197"/>
      <c r="HM6" s="197"/>
      <c r="HN6" s="197"/>
      <c r="HO6" s="197"/>
      <c r="HP6" s="197"/>
      <c r="HQ6" s="197"/>
      <c r="HR6" s="197"/>
      <c r="HS6" s="197"/>
      <c r="HT6" s="197"/>
      <c r="HU6" s="197"/>
      <c r="HV6" s="197"/>
      <c r="HW6" s="197"/>
      <c r="HX6" s="197"/>
      <c r="HY6" s="197"/>
      <c r="HZ6" s="197"/>
      <c r="IA6" s="197"/>
      <c r="IB6" s="197"/>
      <c r="IC6" s="197"/>
      <c r="ID6" s="197"/>
      <c r="IE6" s="197"/>
      <c r="IF6" s="197"/>
      <c r="IG6" s="197"/>
      <c r="IH6" s="197"/>
      <c r="II6" s="197"/>
      <c r="IJ6" s="197"/>
      <c r="IK6" s="197"/>
      <c r="IL6" s="197"/>
      <c r="IM6" s="197"/>
      <c r="IN6" s="197"/>
      <c r="IO6" s="197"/>
      <c r="IP6" s="197"/>
      <c r="IQ6" s="197"/>
      <c r="IR6" s="197"/>
      <c r="IS6" s="197"/>
      <c r="IT6" s="197"/>
      <c r="IU6" s="197"/>
      <c r="IV6" s="197"/>
      <c r="IW6" s="197"/>
      <c r="IX6" s="197"/>
      <c r="IY6" s="197"/>
      <c r="IZ6" s="197"/>
      <c r="JA6" s="197"/>
      <c r="JB6" s="197"/>
      <c r="JC6" s="197"/>
      <c r="JD6" s="197"/>
      <c r="JE6" s="197"/>
      <c r="JF6" s="197"/>
      <c r="JG6" s="197"/>
      <c r="JH6" s="197"/>
      <c r="JI6" s="197"/>
      <c r="JJ6" s="197"/>
      <c r="JK6" s="197"/>
      <c r="JL6" s="197"/>
      <c r="JM6" s="197"/>
      <c r="JN6" s="197"/>
      <c r="JO6" s="197"/>
      <c r="JP6" s="197"/>
      <c r="JQ6" s="197"/>
      <c r="JR6" s="197"/>
      <c r="JS6" s="197"/>
      <c r="JT6" s="197"/>
      <c r="JU6" s="197"/>
      <c r="JV6" s="197"/>
      <c r="JW6" s="197"/>
      <c r="JX6" s="197"/>
      <c r="JY6" s="197"/>
      <c r="JZ6" s="197"/>
      <c r="KA6" s="197"/>
      <c r="KB6" s="197"/>
      <c r="KC6" s="197"/>
      <c r="KD6" s="197"/>
      <c r="KE6" s="197"/>
      <c r="KF6" s="197"/>
      <c r="KG6" s="197"/>
      <c r="KH6" s="197"/>
      <c r="KI6" s="197"/>
      <c r="KJ6" s="197"/>
      <c r="KK6" s="197"/>
      <c r="KL6" s="197"/>
      <c r="KM6" s="197"/>
      <c r="KN6" s="197"/>
      <c r="KO6" s="197"/>
      <c r="KP6" s="197"/>
      <c r="KQ6" s="197"/>
      <c r="KR6" s="197"/>
      <c r="KS6" s="197"/>
      <c r="KT6" s="197"/>
      <c r="KU6" s="197"/>
      <c r="KV6" s="197"/>
      <c r="KW6" s="197"/>
      <c r="KX6" s="197"/>
      <c r="KY6" s="197"/>
      <c r="KZ6" s="197"/>
      <c r="LA6" s="197"/>
      <c r="LB6" s="197"/>
      <c r="LC6" s="197"/>
      <c r="LD6" s="197"/>
      <c r="LE6" s="197"/>
      <c r="LF6" s="197"/>
      <c r="LG6" s="197"/>
      <c r="LH6" s="197"/>
      <c r="LI6" s="197"/>
      <c r="LJ6" s="197"/>
      <c r="LK6" s="197"/>
      <c r="LL6" s="197"/>
      <c r="LM6" s="197"/>
      <c r="LN6" s="197"/>
      <c r="LO6" s="197"/>
      <c r="LP6" s="197"/>
      <c r="LQ6" s="197"/>
      <c r="LR6" s="197"/>
      <c r="LS6" s="197"/>
      <c r="LT6" s="197"/>
      <c r="LU6" s="197"/>
      <c r="LV6" s="197"/>
      <c r="LW6" s="197"/>
      <c r="LX6" s="197"/>
      <c r="LY6" s="197"/>
      <c r="LZ6" s="197"/>
      <c r="MA6" s="197"/>
      <c r="MB6" s="197"/>
    </row>
    <row r="7" spans="1:340" ht="12">
      <c r="B7" s="477"/>
      <c r="C7" s="1128"/>
      <c r="D7" s="482"/>
      <c r="E7" s="483"/>
      <c r="F7" s="483"/>
      <c r="G7" s="484"/>
      <c r="H7" s="483"/>
      <c r="I7" s="485"/>
      <c r="J7" s="486"/>
      <c r="K7" s="487"/>
      <c r="M7" s="713"/>
    </row>
    <row r="8" spans="1:340" s="198" customFormat="1" ht="12">
      <c r="A8" s="197"/>
      <c r="B8" s="488"/>
      <c r="C8" s="1129"/>
      <c r="D8" s="478" t="s">
        <v>182</v>
      </c>
      <c r="E8" s="489"/>
      <c r="F8" s="489"/>
      <c r="G8" s="490"/>
      <c r="H8" s="489"/>
      <c r="I8" s="491"/>
      <c r="J8" s="486"/>
      <c r="K8" s="487"/>
      <c r="L8" s="197"/>
      <c r="M8" s="197"/>
      <c r="N8" s="197"/>
      <c r="O8" s="197"/>
      <c r="P8" s="197"/>
      <c r="Q8" s="197"/>
      <c r="R8" s="197"/>
      <c r="S8" s="197"/>
      <c r="T8" s="197"/>
      <c r="U8" s="197"/>
      <c r="V8" s="197"/>
      <c r="W8" s="197"/>
      <c r="X8" s="197"/>
      <c r="Y8" s="197"/>
      <c r="Z8" s="197"/>
      <c r="AA8" s="197"/>
      <c r="AB8" s="197"/>
      <c r="AC8" s="197"/>
      <c r="AD8" s="197"/>
      <c r="AE8" s="197"/>
      <c r="AF8" s="197"/>
      <c r="AG8" s="197"/>
      <c r="AH8" s="197"/>
      <c r="AI8" s="197"/>
      <c r="AJ8" s="197"/>
      <c r="AK8" s="197"/>
      <c r="AL8" s="197"/>
      <c r="AM8" s="197"/>
      <c r="AN8" s="197"/>
      <c r="AO8" s="197"/>
      <c r="AP8" s="197"/>
      <c r="AQ8" s="197"/>
      <c r="AR8" s="197"/>
      <c r="AS8" s="197"/>
      <c r="AT8" s="197"/>
      <c r="AU8" s="197"/>
      <c r="AV8" s="197"/>
      <c r="AW8" s="197"/>
      <c r="AX8" s="197"/>
      <c r="AY8" s="197"/>
      <c r="AZ8" s="197"/>
      <c r="BA8" s="197"/>
      <c r="BB8" s="197"/>
      <c r="BC8" s="197"/>
      <c r="BD8" s="197"/>
      <c r="BE8" s="197"/>
      <c r="BF8" s="197"/>
      <c r="BG8" s="197"/>
      <c r="BH8" s="197"/>
      <c r="BI8" s="197"/>
      <c r="BJ8" s="197"/>
      <c r="BK8" s="197"/>
      <c r="BL8" s="197"/>
      <c r="BM8" s="197"/>
      <c r="BN8" s="197"/>
      <c r="BO8" s="197"/>
      <c r="BP8" s="197"/>
      <c r="BQ8" s="197"/>
      <c r="BR8" s="197"/>
      <c r="BS8" s="197"/>
      <c r="BT8" s="197"/>
      <c r="BU8" s="197"/>
      <c r="BV8" s="197"/>
      <c r="BW8" s="197"/>
      <c r="BX8" s="197"/>
      <c r="BY8" s="197"/>
      <c r="BZ8" s="197"/>
      <c r="CA8" s="197"/>
      <c r="CB8" s="197"/>
      <c r="CC8" s="197"/>
      <c r="CD8" s="197"/>
      <c r="CE8" s="197"/>
      <c r="CF8" s="197"/>
      <c r="CG8" s="197"/>
      <c r="CH8" s="197"/>
      <c r="CI8" s="197"/>
      <c r="CJ8" s="197"/>
      <c r="CK8" s="197"/>
      <c r="CL8" s="197"/>
      <c r="CM8" s="197"/>
      <c r="CN8" s="197"/>
      <c r="CO8" s="197"/>
      <c r="CP8" s="197"/>
      <c r="CQ8" s="197"/>
      <c r="CR8" s="197"/>
      <c r="CS8" s="197"/>
      <c r="CT8" s="197"/>
      <c r="CU8" s="197"/>
      <c r="CV8" s="197"/>
      <c r="CW8" s="197"/>
      <c r="CX8" s="197"/>
      <c r="CY8" s="197"/>
      <c r="CZ8" s="197"/>
      <c r="DA8" s="197"/>
      <c r="DB8" s="197"/>
      <c r="DC8" s="197"/>
      <c r="DD8" s="197"/>
      <c r="DE8" s="197"/>
      <c r="DF8" s="197"/>
      <c r="DG8" s="197"/>
      <c r="DH8" s="197"/>
      <c r="DI8" s="197"/>
      <c r="DJ8" s="197"/>
      <c r="DK8" s="197"/>
      <c r="DL8" s="197"/>
      <c r="DM8" s="197"/>
      <c r="DN8" s="197"/>
      <c r="DO8" s="197"/>
      <c r="DP8" s="197"/>
      <c r="DQ8" s="197"/>
      <c r="DR8" s="197"/>
      <c r="DS8" s="197"/>
      <c r="DT8" s="197"/>
      <c r="DU8" s="197"/>
      <c r="DV8" s="197"/>
      <c r="DW8" s="197"/>
      <c r="DX8" s="197"/>
      <c r="DY8" s="197"/>
      <c r="DZ8" s="197"/>
      <c r="EA8" s="197"/>
      <c r="EB8" s="197"/>
      <c r="EC8" s="197"/>
      <c r="ED8" s="197"/>
      <c r="EE8" s="197"/>
      <c r="EF8" s="197"/>
      <c r="EG8" s="197"/>
      <c r="EH8" s="197"/>
      <c r="EI8" s="197"/>
      <c r="EJ8" s="197"/>
      <c r="EK8" s="197"/>
      <c r="EL8" s="197"/>
      <c r="EM8" s="197"/>
      <c r="EN8" s="197"/>
      <c r="EO8" s="197"/>
      <c r="EP8" s="197"/>
      <c r="EQ8" s="197"/>
      <c r="ER8" s="197"/>
      <c r="ES8" s="197"/>
      <c r="ET8" s="197"/>
      <c r="EU8" s="197"/>
      <c r="EV8" s="197"/>
      <c r="EW8" s="197"/>
      <c r="EX8" s="197"/>
      <c r="EY8" s="197"/>
      <c r="EZ8" s="197"/>
      <c r="FA8" s="197"/>
      <c r="FB8" s="197"/>
      <c r="FC8" s="197"/>
      <c r="FD8" s="197"/>
      <c r="FE8" s="197"/>
      <c r="FF8" s="197"/>
      <c r="FG8" s="197"/>
      <c r="FH8" s="197"/>
      <c r="FI8" s="197"/>
      <c r="FJ8" s="197"/>
      <c r="FK8" s="197"/>
      <c r="FL8" s="197"/>
      <c r="FM8" s="197"/>
      <c r="FN8" s="197"/>
      <c r="FO8" s="197"/>
      <c r="FP8" s="197"/>
      <c r="FQ8" s="197"/>
      <c r="FR8" s="197"/>
      <c r="FS8" s="197"/>
      <c r="FT8" s="197"/>
      <c r="FU8" s="197"/>
      <c r="FV8" s="197"/>
      <c r="FW8" s="197"/>
      <c r="FX8" s="197"/>
      <c r="FY8" s="197"/>
      <c r="FZ8" s="197"/>
      <c r="GA8" s="197"/>
      <c r="GB8" s="197"/>
      <c r="GC8" s="197"/>
      <c r="GD8" s="197"/>
      <c r="GE8" s="197"/>
      <c r="GF8" s="197"/>
      <c r="GG8" s="197"/>
      <c r="GH8" s="197"/>
      <c r="GI8" s="197"/>
      <c r="GJ8" s="197"/>
      <c r="GK8" s="197"/>
      <c r="GL8" s="197"/>
      <c r="GM8" s="197"/>
      <c r="GN8" s="197"/>
      <c r="GO8" s="197"/>
      <c r="GP8" s="197"/>
      <c r="GQ8" s="197"/>
      <c r="GR8" s="197"/>
      <c r="GS8" s="197"/>
      <c r="GT8" s="197"/>
      <c r="GU8" s="197"/>
      <c r="GV8" s="197"/>
      <c r="GW8" s="197"/>
      <c r="GX8" s="197"/>
      <c r="GY8" s="197"/>
      <c r="GZ8" s="197"/>
      <c r="HA8" s="197"/>
      <c r="HB8" s="197"/>
      <c r="HC8" s="197"/>
      <c r="HD8" s="197"/>
      <c r="HE8" s="197"/>
      <c r="HF8" s="197"/>
      <c r="HG8" s="197"/>
      <c r="HH8" s="197"/>
      <c r="HI8" s="197"/>
      <c r="HJ8" s="197"/>
      <c r="HK8" s="197"/>
      <c r="HL8" s="197"/>
      <c r="HM8" s="197"/>
      <c r="HN8" s="197"/>
      <c r="HO8" s="197"/>
      <c r="HP8" s="197"/>
      <c r="HQ8" s="197"/>
      <c r="HR8" s="197"/>
      <c r="HS8" s="197"/>
      <c r="HT8" s="197"/>
      <c r="HU8" s="197"/>
      <c r="HV8" s="197"/>
      <c r="HW8" s="197"/>
      <c r="HX8" s="197"/>
      <c r="HY8" s="197"/>
      <c r="HZ8" s="197"/>
      <c r="IA8" s="197"/>
      <c r="IB8" s="197"/>
      <c r="IC8" s="197"/>
      <c r="ID8" s="197"/>
      <c r="IE8" s="197"/>
      <c r="IF8" s="197"/>
      <c r="IG8" s="197"/>
      <c r="IH8" s="197"/>
      <c r="II8" s="197"/>
      <c r="IJ8" s="197"/>
      <c r="IK8" s="197"/>
      <c r="IL8" s="197"/>
      <c r="IM8" s="197"/>
      <c r="IN8" s="197"/>
      <c r="IO8" s="197"/>
      <c r="IP8" s="197"/>
      <c r="IQ8" s="197"/>
      <c r="IR8" s="197"/>
      <c r="IS8" s="197"/>
      <c r="IT8" s="197"/>
      <c r="IU8" s="197"/>
      <c r="IV8" s="197"/>
      <c r="IW8" s="197"/>
      <c r="IX8" s="197"/>
      <c r="IY8" s="197"/>
      <c r="IZ8" s="197"/>
      <c r="JA8" s="197"/>
      <c r="JB8" s="197"/>
      <c r="JC8" s="197"/>
      <c r="JD8" s="197"/>
      <c r="JE8" s="197"/>
      <c r="JF8" s="197"/>
      <c r="JG8" s="197"/>
      <c r="JH8" s="197"/>
      <c r="JI8" s="197"/>
      <c r="JJ8" s="197"/>
      <c r="JK8" s="197"/>
      <c r="JL8" s="197"/>
      <c r="JM8" s="197"/>
      <c r="JN8" s="197"/>
      <c r="JO8" s="197"/>
      <c r="JP8" s="197"/>
      <c r="JQ8" s="197"/>
      <c r="JR8" s="197"/>
      <c r="JS8" s="197"/>
      <c r="JT8" s="197"/>
      <c r="JU8" s="197"/>
      <c r="JV8" s="197"/>
      <c r="JW8" s="197"/>
      <c r="JX8" s="197"/>
      <c r="JY8" s="197"/>
      <c r="JZ8" s="197"/>
      <c r="KA8" s="197"/>
      <c r="KB8" s="197"/>
      <c r="KC8" s="197"/>
      <c r="KD8" s="197"/>
      <c r="KE8" s="197"/>
      <c r="KF8" s="197"/>
      <c r="KG8" s="197"/>
      <c r="KH8" s="197"/>
      <c r="KI8" s="197"/>
      <c r="KJ8" s="197"/>
      <c r="KK8" s="197"/>
      <c r="KL8" s="197"/>
      <c r="KM8" s="197"/>
      <c r="KN8" s="197"/>
      <c r="KO8" s="197"/>
      <c r="KP8" s="197"/>
      <c r="KQ8" s="197"/>
      <c r="KR8" s="197"/>
      <c r="KS8" s="197"/>
      <c r="KT8" s="197"/>
      <c r="KU8" s="197"/>
      <c r="KV8" s="197"/>
      <c r="KW8" s="197"/>
      <c r="KX8" s="197"/>
      <c r="KY8" s="197"/>
      <c r="KZ8" s="197"/>
      <c r="LA8" s="197"/>
      <c r="LB8" s="197"/>
      <c r="LC8" s="197"/>
      <c r="LD8" s="197"/>
      <c r="LE8" s="197"/>
      <c r="LF8" s="197"/>
      <c r="LG8" s="197"/>
      <c r="LH8" s="197"/>
      <c r="LI8" s="197"/>
      <c r="LJ8" s="197"/>
      <c r="LK8" s="197"/>
      <c r="LL8" s="197"/>
      <c r="LM8" s="197"/>
      <c r="LN8" s="197"/>
      <c r="LO8" s="197"/>
      <c r="LP8" s="197"/>
      <c r="LQ8" s="197"/>
      <c r="LR8" s="197"/>
      <c r="LS8" s="197"/>
      <c r="LT8" s="197"/>
      <c r="LU8" s="197"/>
      <c r="LV8" s="197"/>
      <c r="LW8" s="197"/>
      <c r="LX8" s="197"/>
      <c r="LY8" s="197"/>
      <c r="LZ8" s="197"/>
      <c r="MA8" s="197"/>
      <c r="MB8" s="197"/>
    </row>
    <row r="9" spans="1:340" ht="12">
      <c r="B9" s="291"/>
      <c r="C9" s="1130"/>
      <c r="D9" s="292"/>
      <c r="E9" s="293"/>
      <c r="F9" s="293"/>
      <c r="G9" s="294"/>
      <c r="H9" s="293"/>
      <c r="I9" s="295"/>
      <c r="J9" s="289"/>
      <c r="K9" s="290"/>
    </row>
    <row r="10" spans="1:340" s="198" customFormat="1" ht="12">
      <c r="A10" s="197"/>
      <c r="B10" s="296"/>
      <c r="C10" s="1131"/>
      <c r="D10" s="297" t="s">
        <v>21</v>
      </c>
      <c r="E10" s="298" t="s">
        <v>140</v>
      </c>
      <c r="F10" s="298" t="s">
        <v>15</v>
      </c>
      <c r="G10" s="299" t="s">
        <v>277</v>
      </c>
      <c r="H10" s="298" t="s">
        <v>181</v>
      </c>
      <c r="I10" s="300" t="s">
        <v>280</v>
      </c>
      <c r="J10" s="301" t="s">
        <v>180</v>
      </c>
      <c r="K10" s="302" t="s">
        <v>179</v>
      </c>
      <c r="L10" s="197"/>
      <c r="M10" s="197"/>
      <c r="N10" s="197"/>
      <c r="O10" s="197"/>
      <c r="P10" s="197"/>
      <c r="Q10" s="197"/>
      <c r="R10" s="197"/>
      <c r="S10" s="197"/>
      <c r="T10" s="197"/>
      <c r="U10" s="197"/>
      <c r="V10" s="197"/>
      <c r="W10" s="197"/>
      <c r="X10" s="197"/>
      <c r="Y10" s="197"/>
      <c r="Z10" s="197"/>
      <c r="AA10" s="197"/>
      <c r="AB10" s="197"/>
      <c r="AC10" s="197"/>
      <c r="AD10" s="197"/>
      <c r="AE10" s="197"/>
      <c r="AF10" s="197"/>
      <c r="AG10" s="197"/>
      <c r="AH10" s="197"/>
      <c r="AI10" s="197"/>
      <c r="AJ10" s="197"/>
      <c r="AK10" s="197"/>
      <c r="AL10" s="197"/>
      <c r="AM10" s="197"/>
      <c r="AN10" s="197"/>
      <c r="AO10" s="197"/>
      <c r="AP10" s="197"/>
      <c r="AQ10" s="197"/>
      <c r="AR10" s="197"/>
      <c r="AS10" s="197"/>
      <c r="AT10" s="197"/>
      <c r="AU10" s="197"/>
      <c r="AV10" s="197"/>
      <c r="AW10" s="197"/>
      <c r="AX10" s="197"/>
      <c r="AY10" s="197"/>
      <c r="AZ10" s="197"/>
      <c r="BA10" s="197"/>
      <c r="BB10" s="197"/>
      <c r="BC10" s="197"/>
      <c r="BD10" s="197"/>
      <c r="BE10" s="197"/>
      <c r="BF10" s="197"/>
      <c r="BG10" s="197"/>
      <c r="BH10" s="197"/>
      <c r="BI10" s="197"/>
      <c r="BJ10" s="197"/>
      <c r="BK10" s="197"/>
      <c r="BL10" s="197"/>
      <c r="BM10" s="197"/>
      <c r="BN10" s="197"/>
      <c r="BO10" s="197"/>
      <c r="BP10" s="197"/>
      <c r="BQ10" s="197"/>
      <c r="BR10" s="197"/>
      <c r="BS10" s="197"/>
      <c r="BT10" s="197"/>
      <c r="BU10" s="197"/>
      <c r="BV10" s="197"/>
      <c r="BW10" s="197"/>
      <c r="BX10" s="197"/>
      <c r="BY10" s="197"/>
      <c r="BZ10" s="197"/>
      <c r="CA10" s="197"/>
      <c r="CB10" s="197"/>
      <c r="CC10" s="197"/>
      <c r="CD10" s="197"/>
      <c r="CE10" s="197"/>
      <c r="CF10" s="197"/>
      <c r="CG10" s="197"/>
      <c r="CH10" s="197"/>
      <c r="CI10" s="197"/>
      <c r="CJ10" s="197"/>
      <c r="CK10" s="197"/>
      <c r="CL10" s="197"/>
      <c r="CM10" s="197"/>
      <c r="CN10" s="197"/>
      <c r="CO10" s="197"/>
      <c r="CP10" s="197"/>
      <c r="CQ10" s="197"/>
      <c r="CR10" s="197"/>
      <c r="CS10" s="197"/>
      <c r="CT10" s="197"/>
      <c r="CU10" s="197"/>
      <c r="CV10" s="197"/>
      <c r="CW10" s="197"/>
      <c r="CX10" s="197"/>
      <c r="CY10" s="197"/>
      <c r="CZ10" s="197"/>
      <c r="DA10" s="197"/>
      <c r="DB10" s="197"/>
      <c r="DC10" s="197"/>
      <c r="DD10" s="197"/>
      <c r="DE10" s="197"/>
      <c r="DF10" s="197"/>
      <c r="DG10" s="197"/>
      <c r="DH10" s="197"/>
      <c r="DI10" s="197"/>
      <c r="DJ10" s="197"/>
      <c r="DK10" s="197"/>
      <c r="DL10" s="197"/>
      <c r="DM10" s="197"/>
      <c r="DN10" s="197"/>
      <c r="DO10" s="197"/>
      <c r="DP10" s="197"/>
      <c r="DQ10" s="197"/>
      <c r="DR10" s="197"/>
      <c r="DS10" s="197"/>
      <c r="DT10" s="197"/>
      <c r="DU10" s="197"/>
      <c r="DV10" s="197"/>
      <c r="DW10" s="197"/>
      <c r="DX10" s="197"/>
      <c r="DY10" s="197"/>
      <c r="DZ10" s="197"/>
      <c r="EA10" s="197"/>
      <c r="EB10" s="197"/>
      <c r="EC10" s="197"/>
      <c r="ED10" s="197"/>
      <c r="EE10" s="197"/>
      <c r="EF10" s="197"/>
      <c r="EG10" s="197"/>
      <c r="EH10" s="197"/>
      <c r="EI10" s="197"/>
      <c r="EJ10" s="197"/>
      <c r="EK10" s="197"/>
      <c r="EL10" s="197"/>
      <c r="EM10" s="197"/>
      <c r="EN10" s="197"/>
      <c r="EO10" s="197"/>
      <c r="EP10" s="197"/>
      <c r="EQ10" s="197"/>
      <c r="ER10" s="197"/>
      <c r="ES10" s="197"/>
      <c r="ET10" s="197"/>
      <c r="EU10" s="197"/>
      <c r="EV10" s="197"/>
      <c r="EW10" s="197"/>
      <c r="EX10" s="197"/>
      <c r="EY10" s="197"/>
      <c r="EZ10" s="197"/>
      <c r="FA10" s="197"/>
      <c r="FB10" s="197"/>
      <c r="FC10" s="197"/>
      <c r="FD10" s="197"/>
      <c r="FE10" s="197"/>
      <c r="FF10" s="197"/>
      <c r="FG10" s="197"/>
      <c r="FH10" s="197"/>
      <c r="FI10" s="197"/>
      <c r="FJ10" s="197"/>
      <c r="FK10" s="197"/>
      <c r="FL10" s="197"/>
      <c r="FM10" s="197"/>
      <c r="FN10" s="197"/>
      <c r="FO10" s="197"/>
      <c r="FP10" s="197"/>
      <c r="FQ10" s="197"/>
      <c r="FR10" s="197"/>
      <c r="FS10" s="197"/>
      <c r="FT10" s="197"/>
      <c r="FU10" s="197"/>
      <c r="FV10" s="197"/>
      <c r="FW10" s="197"/>
      <c r="FX10" s="197"/>
      <c r="FY10" s="197"/>
      <c r="FZ10" s="197"/>
      <c r="GA10" s="197"/>
      <c r="GB10" s="197"/>
      <c r="GC10" s="197"/>
      <c r="GD10" s="197"/>
      <c r="GE10" s="197"/>
      <c r="GF10" s="197"/>
      <c r="GG10" s="197"/>
      <c r="GH10" s="197"/>
      <c r="GI10" s="197"/>
      <c r="GJ10" s="197"/>
      <c r="GK10" s="197"/>
      <c r="GL10" s="197"/>
      <c r="GM10" s="197"/>
      <c r="GN10" s="197"/>
      <c r="GO10" s="197"/>
      <c r="GP10" s="197"/>
      <c r="GQ10" s="197"/>
      <c r="GR10" s="197"/>
      <c r="GS10" s="197"/>
      <c r="GT10" s="197"/>
      <c r="GU10" s="197"/>
      <c r="GV10" s="197"/>
      <c r="GW10" s="197"/>
      <c r="GX10" s="197"/>
      <c r="GY10" s="197"/>
      <c r="GZ10" s="197"/>
      <c r="HA10" s="197"/>
      <c r="HB10" s="197"/>
      <c r="HC10" s="197"/>
      <c r="HD10" s="197"/>
      <c r="HE10" s="197"/>
      <c r="HF10" s="197"/>
      <c r="HG10" s="197"/>
      <c r="HH10" s="197"/>
      <c r="HI10" s="197"/>
      <c r="HJ10" s="197"/>
      <c r="HK10" s="197"/>
      <c r="HL10" s="197"/>
      <c r="HM10" s="197"/>
      <c r="HN10" s="197"/>
      <c r="HO10" s="197"/>
      <c r="HP10" s="197"/>
      <c r="HQ10" s="197"/>
      <c r="HR10" s="197"/>
      <c r="HS10" s="197"/>
      <c r="HT10" s="197"/>
      <c r="HU10" s="197"/>
      <c r="HV10" s="197"/>
      <c r="HW10" s="197"/>
      <c r="HX10" s="197"/>
      <c r="HY10" s="197"/>
      <c r="HZ10" s="197"/>
      <c r="IA10" s="197"/>
      <c r="IB10" s="197"/>
      <c r="IC10" s="197"/>
      <c r="ID10" s="197"/>
      <c r="IE10" s="197"/>
      <c r="IF10" s="197"/>
      <c r="IG10" s="197"/>
      <c r="IH10" s="197"/>
      <c r="II10" s="197"/>
      <c r="IJ10" s="197"/>
      <c r="IK10" s="197"/>
      <c r="IL10" s="197"/>
      <c r="IM10" s="197"/>
      <c r="IN10" s="197"/>
      <c r="IO10" s="197"/>
      <c r="IP10" s="197"/>
      <c r="IQ10" s="197"/>
      <c r="IR10" s="197"/>
      <c r="IS10" s="197"/>
      <c r="IT10" s="197"/>
      <c r="IU10" s="197"/>
      <c r="IV10" s="197"/>
      <c r="IW10" s="197"/>
      <c r="IX10" s="197"/>
      <c r="IY10" s="197"/>
      <c r="IZ10" s="197"/>
      <c r="JA10" s="197"/>
      <c r="JB10" s="197"/>
      <c r="JC10" s="197"/>
      <c r="JD10" s="197"/>
      <c r="JE10" s="197"/>
      <c r="JF10" s="197"/>
      <c r="JG10" s="197"/>
      <c r="JH10" s="197"/>
      <c r="JI10" s="197"/>
      <c r="JJ10" s="197"/>
      <c r="JK10" s="197"/>
      <c r="JL10" s="197"/>
      <c r="JM10" s="197"/>
      <c r="JN10" s="197"/>
      <c r="JO10" s="197"/>
      <c r="JP10" s="197"/>
      <c r="JQ10" s="197"/>
      <c r="JR10" s="197"/>
      <c r="JS10" s="197"/>
      <c r="JT10" s="197"/>
      <c r="JU10" s="197"/>
      <c r="JV10" s="197"/>
      <c r="JW10" s="197"/>
      <c r="JX10" s="197"/>
      <c r="JY10" s="197"/>
      <c r="JZ10" s="197"/>
      <c r="KA10" s="197"/>
      <c r="KB10" s="197"/>
      <c r="KC10" s="197"/>
      <c r="KD10" s="197"/>
      <c r="KE10" s="197"/>
      <c r="KF10" s="197"/>
      <c r="KG10" s="197"/>
      <c r="KH10" s="197"/>
      <c r="KI10" s="197"/>
      <c r="KJ10" s="197"/>
      <c r="KK10" s="197"/>
      <c r="KL10" s="197"/>
      <c r="KM10" s="197"/>
      <c r="KN10" s="197"/>
      <c r="KO10" s="197"/>
      <c r="KP10" s="197"/>
      <c r="KQ10" s="197"/>
      <c r="KR10" s="197"/>
      <c r="KS10" s="197"/>
      <c r="KT10" s="197"/>
      <c r="KU10" s="197"/>
      <c r="KV10" s="197"/>
      <c r="KW10" s="197"/>
      <c r="KX10" s="197"/>
      <c r="KY10" s="197"/>
      <c r="KZ10" s="197"/>
      <c r="LA10" s="197"/>
      <c r="LB10" s="197"/>
      <c r="LC10" s="197"/>
      <c r="LD10" s="197"/>
      <c r="LE10" s="197"/>
      <c r="LF10" s="197"/>
      <c r="LG10" s="197"/>
      <c r="LH10" s="197"/>
      <c r="LI10" s="197"/>
      <c r="LJ10" s="197"/>
      <c r="LK10" s="197"/>
      <c r="LL10" s="197"/>
      <c r="LM10" s="197"/>
      <c r="LN10" s="197"/>
      <c r="LO10" s="197"/>
      <c r="LP10" s="197"/>
      <c r="LQ10" s="197"/>
      <c r="LR10" s="197"/>
      <c r="LS10" s="197"/>
      <c r="LT10" s="197"/>
      <c r="LU10" s="197"/>
      <c r="LV10" s="197"/>
      <c r="LW10" s="197"/>
      <c r="LX10" s="197"/>
      <c r="LY10" s="197"/>
      <c r="LZ10" s="197"/>
      <c r="MA10" s="197"/>
      <c r="MB10" s="197"/>
    </row>
    <row r="11" spans="1:340" ht="12">
      <c r="B11" s="303"/>
      <c r="C11" s="1132"/>
      <c r="D11" s="304"/>
      <c r="E11" s="305"/>
      <c r="F11" s="305"/>
      <c r="G11" s="306"/>
      <c r="H11" s="305"/>
      <c r="I11" s="307"/>
      <c r="J11" s="308"/>
      <c r="K11" s="309"/>
    </row>
    <row r="12" spans="1:340" s="198" customFormat="1" ht="12">
      <c r="A12" s="197"/>
      <c r="B12" s="633">
        <v>1</v>
      </c>
      <c r="C12" s="1133" t="s">
        <v>667</v>
      </c>
      <c r="D12" s="634" t="s">
        <v>178</v>
      </c>
      <c r="E12" s="635"/>
      <c r="F12" s="635"/>
      <c r="G12" s="636"/>
      <c r="H12" s="635"/>
      <c r="I12" s="637"/>
      <c r="J12" s="638"/>
      <c r="K12" s="639"/>
      <c r="L12" s="197"/>
      <c r="M12" s="197"/>
      <c r="N12" s="197"/>
      <c r="O12" s="197"/>
      <c r="P12" s="197"/>
      <c r="Q12" s="197"/>
      <c r="R12" s="197"/>
      <c r="S12" s="197"/>
      <c r="T12" s="197"/>
      <c r="U12" s="197"/>
      <c r="V12" s="197"/>
      <c r="W12" s="197"/>
      <c r="X12" s="197"/>
      <c r="Y12" s="197"/>
      <c r="Z12" s="197"/>
      <c r="AA12" s="197"/>
      <c r="AB12" s="197"/>
      <c r="AC12" s="197"/>
      <c r="AD12" s="197"/>
      <c r="AE12" s="197"/>
      <c r="AF12" s="197"/>
      <c r="AG12" s="197"/>
      <c r="AH12" s="197"/>
      <c r="AI12" s="197"/>
      <c r="AJ12" s="197"/>
      <c r="AK12" s="197"/>
      <c r="AL12" s="197"/>
      <c r="AM12" s="197"/>
      <c r="AN12" s="197"/>
      <c r="AO12" s="197"/>
      <c r="AP12" s="197"/>
      <c r="AQ12" s="197"/>
      <c r="AR12" s="197"/>
      <c r="AS12" s="197"/>
      <c r="AT12" s="197"/>
      <c r="AU12" s="197"/>
      <c r="AV12" s="197"/>
      <c r="AW12" s="197"/>
      <c r="AX12" s="197"/>
      <c r="AY12" s="197"/>
      <c r="AZ12" s="197"/>
      <c r="BA12" s="197"/>
      <c r="BB12" s="197"/>
      <c r="BC12" s="197"/>
      <c r="BD12" s="197"/>
      <c r="BE12" s="197"/>
      <c r="BF12" s="197"/>
      <c r="BG12" s="197"/>
      <c r="BH12" s="197"/>
      <c r="BI12" s="197"/>
      <c r="BJ12" s="197"/>
      <c r="BK12" s="197"/>
      <c r="BL12" s="197"/>
      <c r="BM12" s="197"/>
      <c r="BN12" s="197"/>
      <c r="BO12" s="197"/>
      <c r="BP12" s="197"/>
      <c r="BQ12" s="197"/>
      <c r="BR12" s="197"/>
      <c r="BS12" s="197"/>
      <c r="BT12" s="197"/>
      <c r="BU12" s="197"/>
      <c r="BV12" s="197"/>
      <c r="BW12" s="197"/>
      <c r="BX12" s="197"/>
      <c r="BY12" s="197"/>
      <c r="BZ12" s="197"/>
      <c r="CA12" s="197"/>
      <c r="CB12" s="197"/>
      <c r="CC12" s="197"/>
      <c r="CD12" s="197"/>
      <c r="CE12" s="197"/>
      <c r="CF12" s="197"/>
      <c r="CG12" s="197"/>
      <c r="CH12" s="197"/>
      <c r="CI12" s="197"/>
      <c r="CJ12" s="197"/>
      <c r="CK12" s="197"/>
      <c r="CL12" s="197"/>
      <c r="CM12" s="197"/>
      <c r="CN12" s="197"/>
      <c r="CO12" s="197"/>
      <c r="CP12" s="197"/>
      <c r="CQ12" s="197"/>
      <c r="CR12" s="197"/>
      <c r="CS12" s="197"/>
      <c r="CT12" s="197"/>
      <c r="CU12" s="197"/>
      <c r="CV12" s="197"/>
      <c r="CW12" s="197"/>
      <c r="CX12" s="197"/>
      <c r="CY12" s="197"/>
      <c r="CZ12" s="197"/>
      <c r="DA12" s="197"/>
      <c r="DB12" s="197"/>
      <c r="DC12" s="197"/>
      <c r="DD12" s="197"/>
      <c r="DE12" s="197"/>
      <c r="DF12" s="197"/>
      <c r="DG12" s="197"/>
      <c r="DH12" s="197"/>
      <c r="DI12" s="197"/>
      <c r="DJ12" s="197"/>
      <c r="DK12" s="197"/>
      <c r="DL12" s="197"/>
      <c r="DM12" s="197"/>
      <c r="DN12" s="197"/>
      <c r="DO12" s="197"/>
      <c r="DP12" s="197"/>
      <c r="DQ12" s="197"/>
      <c r="DR12" s="197"/>
      <c r="DS12" s="197"/>
      <c r="DT12" s="197"/>
      <c r="DU12" s="197"/>
      <c r="DV12" s="197"/>
      <c r="DW12" s="197"/>
      <c r="DX12" s="197"/>
      <c r="DY12" s="197"/>
      <c r="DZ12" s="197"/>
      <c r="EA12" s="197"/>
      <c r="EB12" s="197"/>
      <c r="EC12" s="197"/>
      <c r="ED12" s="197"/>
      <c r="EE12" s="197"/>
      <c r="EF12" s="197"/>
      <c r="EG12" s="197"/>
      <c r="EH12" s="197"/>
      <c r="EI12" s="197"/>
      <c r="EJ12" s="197"/>
      <c r="EK12" s="197"/>
      <c r="EL12" s="197"/>
      <c r="EM12" s="197"/>
      <c r="EN12" s="197"/>
      <c r="EO12" s="197"/>
      <c r="EP12" s="197"/>
      <c r="EQ12" s="197"/>
      <c r="ER12" s="197"/>
      <c r="ES12" s="197"/>
      <c r="ET12" s="197"/>
      <c r="EU12" s="197"/>
      <c r="EV12" s="197"/>
      <c r="EW12" s="197"/>
      <c r="EX12" s="197"/>
      <c r="EY12" s="197"/>
      <c r="EZ12" s="197"/>
      <c r="FA12" s="197"/>
      <c r="FB12" s="197"/>
      <c r="FC12" s="197"/>
      <c r="FD12" s="197"/>
      <c r="FE12" s="197"/>
      <c r="FF12" s="197"/>
      <c r="FG12" s="197"/>
      <c r="FH12" s="197"/>
      <c r="FI12" s="197"/>
      <c r="FJ12" s="197"/>
      <c r="FK12" s="197"/>
      <c r="FL12" s="197"/>
      <c r="FM12" s="197"/>
      <c r="FN12" s="197"/>
      <c r="FO12" s="197"/>
      <c r="FP12" s="197"/>
      <c r="FQ12" s="197"/>
      <c r="FR12" s="197"/>
      <c r="FS12" s="197"/>
      <c r="FT12" s="197"/>
      <c r="FU12" s="197"/>
      <c r="FV12" s="197"/>
      <c r="FW12" s="197"/>
      <c r="FX12" s="197"/>
      <c r="FY12" s="197"/>
      <c r="FZ12" s="197"/>
      <c r="GA12" s="197"/>
      <c r="GB12" s="197"/>
      <c r="GC12" s="197"/>
      <c r="GD12" s="197"/>
      <c r="GE12" s="197"/>
      <c r="GF12" s="197"/>
      <c r="GG12" s="197"/>
      <c r="GH12" s="197"/>
      <c r="GI12" s="197"/>
      <c r="GJ12" s="197"/>
      <c r="GK12" s="197"/>
      <c r="GL12" s="197"/>
      <c r="GM12" s="197"/>
      <c r="GN12" s="197"/>
      <c r="GO12" s="197"/>
      <c r="GP12" s="197"/>
      <c r="GQ12" s="197"/>
      <c r="GR12" s="197"/>
      <c r="GS12" s="197"/>
      <c r="GT12" s="197"/>
      <c r="GU12" s="197"/>
      <c r="GV12" s="197"/>
      <c r="GW12" s="197"/>
      <c r="GX12" s="197"/>
      <c r="GY12" s="197"/>
      <c r="GZ12" s="197"/>
      <c r="HA12" s="197"/>
      <c r="HB12" s="197"/>
      <c r="HC12" s="197"/>
      <c r="HD12" s="197"/>
      <c r="HE12" s="197"/>
      <c r="HF12" s="197"/>
      <c r="HG12" s="197"/>
      <c r="HH12" s="197"/>
      <c r="HI12" s="197"/>
      <c r="HJ12" s="197"/>
      <c r="HK12" s="197"/>
      <c r="HL12" s="197"/>
      <c r="HM12" s="197"/>
      <c r="HN12" s="197"/>
      <c r="HO12" s="197"/>
      <c r="HP12" s="197"/>
      <c r="HQ12" s="197"/>
      <c r="HR12" s="197"/>
      <c r="HS12" s="197"/>
      <c r="HT12" s="197"/>
      <c r="HU12" s="197"/>
      <c r="HV12" s="197"/>
      <c r="HW12" s="197"/>
      <c r="HX12" s="197"/>
      <c r="HY12" s="197"/>
      <c r="HZ12" s="197"/>
      <c r="IA12" s="197"/>
      <c r="IB12" s="197"/>
      <c r="IC12" s="197"/>
      <c r="ID12" s="197"/>
      <c r="IE12" s="197"/>
      <c r="IF12" s="197"/>
      <c r="IG12" s="197"/>
      <c r="IH12" s="197"/>
      <c r="II12" s="197"/>
      <c r="IJ12" s="197"/>
      <c r="IK12" s="197"/>
      <c r="IL12" s="197"/>
      <c r="IM12" s="197"/>
      <c r="IN12" s="197"/>
      <c r="IO12" s="197"/>
      <c r="IP12" s="197"/>
      <c r="IQ12" s="197"/>
      <c r="IR12" s="197"/>
      <c r="IS12" s="197"/>
      <c r="IT12" s="197"/>
      <c r="IU12" s="197"/>
      <c r="IV12" s="197"/>
      <c r="IW12" s="197"/>
      <c r="IX12" s="197"/>
      <c r="IY12" s="197"/>
      <c r="IZ12" s="197"/>
      <c r="JA12" s="197"/>
      <c r="JB12" s="197"/>
      <c r="JC12" s="197"/>
      <c r="JD12" s="197"/>
      <c r="JE12" s="197"/>
      <c r="JF12" s="197"/>
      <c r="JG12" s="197"/>
      <c r="JH12" s="197"/>
      <c r="JI12" s="197"/>
      <c r="JJ12" s="197"/>
      <c r="JK12" s="197"/>
      <c r="JL12" s="197"/>
      <c r="JM12" s="197"/>
      <c r="JN12" s="197"/>
      <c r="JO12" s="197"/>
      <c r="JP12" s="197"/>
      <c r="JQ12" s="197"/>
      <c r="JR12" s="197"/>
      <c r="JS12" s="197"/>
      <c r="JT12" s="197"/>
      <c r="JU12" s="197"/>
      <c r="JV12" s="197"/>
      <c r="JW12" s="197"/>
      <c r="JX12" s="197"/>
      <c r="JY12" s="197"/>
      <c r="JZ12" s="197"/>
      <c r="KA12" s="197"/>
      <c r="KB12" s="197"/>
      <c r="KC12" s="197"/>
      <c r="KD12" s="197"/>
      <c r="KE12" s="197"/>
      <c r="KF12" s="197"/>
      <c r="KG12" s="197"/>
      <c r="KH12" s="197"/>
      <c r="KI12" s="197"/>
      <c r="KJ12" s="197"/>
      <c r="KK12" s="197"/>
      <c r="KL12" s="197"/>
      <c r="KM12" s="197"/>
      <c r="KN12" s="197"/>
      <c r="KO12" s="197"/>
      <c r="KP12" s="197"/>
      <c r="KQ12" s="197"/>
      <c r="KR12" s="197"/>
      <c r="KS12" s="197"/>
      <c r="KT12" s="197"/>
      <c r="KU12" s="197"/>
      <c r="KV12" s="197"/>
      <c r="KW12" s="197"/>
      <c r="KX12" s="197"/>
      <c r="KY12" s="197"/>
      <c r="KZ12" s="197"/>
      <c r="LA12" s="197"/>
      <c r="LB12" s="197"/>
      <c r="LC12" s="197"/>
      <c r="LD12" s="197"/>
      <c r="LE12" s="197"/>
      <c r="LF12" s="197"/>
      <c r="LG12" s="197"/>
      <c r="LH12" s="197"/>
      <c r="LI12" s="197"/>
      <c r="LJ12" s="197"/>
      <c r="LK12" s="197"/>
      <c r="LL12" s="197"/>
      <c r="LM12" s="197"/>
      <c r="LN12" s="197"/>
      <c r="LO12" s="197"/>
      <c r="LP12" s="197"/>
      <c r="LQ12" s="197"/>
      <c r="LR12" s="197"/>
      <c r="LS12" s="197"/>
      <c r="LT12" s="197"/>
      <c r="LU12" s="197"/>
      <c r="LV12" s="197"/>
      <c r="LW12" s="197"/>
      <c r="LX12" s="197"/>
      <c r="LY12" s="197"/>
      <c r="LZ12" s="197"/>
      <c r="MA12" s="197"/>
      <c r="MB12" s="197"/>
    </row>
    <row r="13" spans="1:340" ht="12">
      <c r="B13" s="303" t="s">
        <v>177</v>
      </c>
      <c r="C13" s="1132">
        <v>1</v>
      </c>
      <c r="D13" s="310" t="str">
        <f>+FP!AI9</f>
        <v>TRABAJADOR SOCIAL</v>
      </c>
      <c r="E13" s="311" t="s">
        <v>164</v>
      </c>
      <c r="F13" s="547">
        <f>+J6+1</f>
        <v>4</v>
      </c>
      <c r="G13" s="313">
        <f>+FP!AI12</f>
        <v>3434120.1002000002</v>
      </c>
      <c r="H13" s="314">
        <v>1</v>
      </c>
      <c r="I13" s="326">
        <f>+FP!AJ47</f>
        <v>1.7229000000000001</v>
      </c>
      <c r="J13" s="313">
        <f>+FP!AI12</f>
        <v>3434120.1002000002</v>
      </c>
      <c r="K13" s="315">
        <f>+J13*F13*C13</f>
        <v>13736480.400800001</v>
      </c>
    </row>
    <row r="14" spans="1:340" ht="12">
      <c r="B14" s="303"/>
      <c r="C14" s="1132"/>
      <c r="D14" s="310"/>
      <c r="E14" s="311"/>
      <c r="F14" s="547"/>
      <c r="G14" s="313"/>
      <c r="H14" s="314"/>
      <c r="I14" s="326"/>
      <c r="J14" s="313"/>
      <c r="K14" s="315"/>
    </row>
    <row r="15" spans="1:340" ht="12">
      <c r="B15" s="303"/>
      <c r="C15" s="1132"/>
      <c r="D15" s="316"/>
      <c r="E15" s="493"/>
      <c r="F15" s="547"/>
      <c r="G15" s="495"/>
      <c r="H15" s="498"/>
      <c r="I15" s="499"/>
      <c r="J15" s="495"/>
      <c r="K15" s="315"/>
    </row>
    <row r="16" spans="1:340" ht="12">
      <c r="B16" s="303"/>
      <c r="C16" s="1132"/>
      <c r="D16" s="316"/>
      <c r="E16" s="606"/>
      <c r="F16" s="547"/>
      <c r="G16" s="607"/>
      <c r="H16" s="608"/>
      <c r="I16" s="608"/>
      <c r="J16" s="495"/>
      <c r="K16" s="315"/>
    </row>
    <row r="17" spans="1:340" ht="12">
      <c r="B17" s="492"/>
      <c r="C17" s="1134"/>
      <c r="D17" s="478"/>
      <c r="E17" s="493"/>
      <c r="F17" s="494"/>
      <c r="G17" s="495"/>
      <c r="H17" s="496"/>
      <c r="I17" s="500"/>
      <c r="J17" s="497"/>
      <c r="K17" s="501"/>
    </row>
    <row r="18" spans="1:340" ht="12">
      <c r="B18" s="317"/>
      <c r="C18" s="1132"/>
      <c r="D18" s="318"/>
      <c r="E18" s="319"/>
      <c r="F18" s="442"/>
      <c r="G18" s="320"/>
      <c r="H18" s="319"/>
      <c r="I18" s="319"/>
      <c r="J18" s="321"/>
      <c r="K18" s="322"/>
    </row>
    <row r="19" spans="1:340" s="198" customFormat="1" ht="12">
      <c r="A19" s="197"/>
      <c r="B19" s="633">
        <v>2</v>
      </c>
      <c r="C19" s="1133"/>
      <c r="D19" s="634" t="s">
        <v>910</v>
      </c>
      <c r="E19" s="635"/>
      <c r="F19" s="635"/>
      <c r="G19" s="636"/>
      <c r="H19" s="635"/>
      <c r="I19" s="637"/>
      <c r="J19" s="638"/>
      <c r="K19" s="639"/>
      <c r="L19" s="197"/>
      <c r="M19" s="197"/>
      <c r="N19" s="197"/>
      <c r="O19" s="197"/>
      <c r="P19" s="197"/>
      <c r="Q19" s="197"/>
      <c r="R19" s="197"/>
      <c r="S19" s="197"/>
      <c r="T19" s="197"/>
      <c r="U19" s="197"/>
      <c r="V19" s="197"/>
      <c r="W19" s="197"/>
      <c r="X19" s="197"/>
      <c r="Y19" s="197"/>
      <c r="Z19" s="197"/>
      <c r="AA19" s="197"/>
      <c r="AB19" s="197"/>
      <c r="AC19" s="197"/>
      <c r="AD19" s="197"/>
      <c r="AE19" s="197"/>
      <c r="AF19" s="197"/>
      <c r="AG19" s="197"/>
      <c r="AH19" s="197"/>
      <c r="AI19" s="197"/>
      <c r="AJ19" s="197"/>
      <c r="AK19" s="197"/>
      <c r="AL19" s="197"/>
      <c r="AM19" s="197"/>
      <c r="AN19" s="197"/>
      <c r="AO19" s="197"/>
      <c r="AP19" s="197"/>
      <c r="AQ19" s="197"/>
      <c r="AR19" s="197"/>
      <c r="AS19" s="197"/>
      <c r="AT19" s="197"/>
      <c r="AU19" s="197"/>
      <c r="AV19" s="197"/>
      <c r="AW19" s="197"/>
      <c r="AX19" s="197"/>
      <c r="AY19" s="197"/>
      <c r="AZ19" s="197"/>
      <c r="BA19" s="197"/>
      <c r="BB19" s="197"/>
      <c r="BC19" s="197"/>
      <c r="BD19" s="197"/>
      <c r="BE19" s="197"/>
      <c r="BF19" s="197"/>
      <c r="BG19" s="197"/>
      <c r="BH19" s="197"/>
      <c r="BI19" s="197"/>
      <c r="BJ19" s="197"/>
      <c r="BK19" s="197"/>
      <c r="BL19" s="197"/>
      <c r="BM19" s="197"/>
      <c r="BN19" s="197"/>
      <c r="BO19" s="197"/>
      <c r="BP19" s="197"/>
      <c r="BQ19" s="197"/>
      <c r="BR19" s="197"/>
      <c r="BS19" s="197"/>
      <c r="BT19" s="197"/>
      <c r="BU19" s="197"/>
      <c r="BV19" s="197"/>
      <c r="BW19" s="197"/>
      <c r="BX19" s="197"/>
      <c r="BY19" s="197"/>
      <c r="BZ19" s="197"/>
      <c r="CA19" s="197"/>
      <c r="CB19" s="197"/>
      <c r="CC19" s="197"/>
      <c r="CD19" s="197"/>
      <c r="CE19" s="197"/>
      <c r="CF19" s="197"/>
      <c r="CG19" s="197"/>
      <c r="CH19" s="197"/>
      <c r="CI19" s="197"/>
      <c r="CJ19" s="197"/>
      <c r="CK19" s="197"/>
      <c r="CL19" s="197"/>
      <c r="CM19" s="197"/>
      <c r="CN19" s="197"/>
      <c r="CO19" s="197"/>
      <c r="CP19" s="197"/>
      <c r="CQ19" s="197"/>
      <c r="CR19" s="197"/>
      <c r="CS19" s="197"/>
      <c r="CT19" s="197"/>
      <c r="CU19" s="197"/>
      <c r="CV19" s="197"/>
      <c r="CW19" s="197"/>
      <c r="CX19" s="197"/>
      <c r="CY19" s="197"/>
      <c r="CZ19" s="197"/>
      <c r="DA19" s="197"/>
      <c r="DB19" s="197"/>
      <c r="DC19" s="197"/>
      <c r="DD19" s="197"/>
      <c r="DE19" s="197"/>
      <c r="DF19" s="197"/>
      <c r="DG19" s="197"/>
      <c r="DH19" s="197"/>
      <c r="DI19" s="197"/>
      <c r="DJ19" s="197"/>
      <c r="DK19" s="197"/>
      <c r="DL19" s="197"/>
      <c r="DM19" s="197"/>
      <c r="DN19" s="197"/>
      <c r="DO19" s="197"/>
      <c r="DP19" s="197"/>
      <c r="DQ19" s="197"/>
      <c r="DR19" s="197"/>
      <c r="DS19" s="197"/>
      <c r="DT19" s="197"/>
      <c r="DU19" s="197"/>
      <c r="DV19" s="197"/>
      <c r="DW19" s="197"/>
      <c r="DX19" s="197"/>
      <c r="DY19" s="197"/>
      <c r="DZ19" s="197"/>
      <c r="EA19" s="197"/>
      <c r="EB19" s="197"/>
      <c r="EC19" s="197"/>
      <c r="ED19" s="197"/>
      <c r="EE19" s="197"/>
      <c r="EF19" s="197"/>
      <c r="EG19" s="197"/>
      <c r="EH19" s="197"/>
      <c r="EI19" s="197"/>
      <c r="EJ19" s="197"/>
      <c r="EK19" s="197"/>
      <c r="EL19" s="197"/>
      <c r="EM19" s="197"/>
      <c r="EN19" s="197"/>
      <c r="EO19" s="197"/>
      <c r="EP19" s="197"/>
      <c r="EQ19" s="197"/>
      <c r="ER19" s="197"/>
      <c r="ES19" s="197"/>
      <c r="ET19" s="197"/>
      <c r="EU19" s="197"/>
      <c r="EV19" s="197"/>
      <c r="EW19" s="197"/>
      <c r="EX19" s="197"/>
      <c r="EY19" s="197"/>
      <c r="EZ19" s="197"/>
      <c r="FA19" s="197"/>
      <c r="FB19" s="197"/>
      <c r="FC19" s="197"/>
      <c r="FD19" s="197"/>
      <c r="FE19" s="197"/>
      <c r="FF19" s="197"/>
      <c r="FG19" s="197"/>
      <c r="FH19" s="197"/>
      <c r="FI19" s="197"/>
      <c r="FJ19" s="197"/>
      <c r="FK19" s="197"/>
      <c r="FL19" s="197"/>
      <c r="FM19" s="197"/>
      <c r="FN19" s="197"/>
      <c r="FO19" s="197"/>
      <c r="FP19" s="197"/>
      <c r="FQ19" s="197"/>
      <c r="FR19" s="197"/>
      <c r="FS19" s="197"/>
      <c r="FT19" s="197"/>
      <c r="FU19" s="197"/>
      <c r="FV19" s="197"/>
      <c r="FW19" s="197"/>
      <c r="FX19" s="197"/>
      <c r="FY19" s="197"/>
      <c r="FZ19" s="197"/>
      <c r="GA19" s="197"/>
      <c r="GB19" s="197"/>
      <c r="GC19" s="197"/>
      <c r="GD19" s="197"/>
      <c r="GE19" s="197"/>
      <c r="GF19" s="197"/>
      <c r="GG19" s="197"/>
      <c r="GH19" s="197"/>
      <c r="GI19" s="197"/>
      <c r="GJ19" s="197"/>
      <c r="GK19" s="197"/>
      <c r="GL19" s="197"/>
      <c r="GM19" s="197"/>
      <c r="GN19" s="197"/>
      <c r="GO19" s="197"/>
      <c r="GP19" s="197"/>
      <c r="GQ19" s="197"/>
      <c r="GR19" s="197"/>
      <c r="GS19" s="197"/>
      <c r="GT19" s="197"/>
      <c r="GU19" s="197"/>
      <c r="GV19" s="197"/>
      <c r="GW19" s="197"/>
      <c r="GX19" s="197"/>
      <c r="GY19" s="197"/>
      <c r="GZ19" s="197"/>
      <c r="HA19" s="197"/>
      <c r="HB19" s="197"/>
      <c r="HC19" s="197"/>
      <c r="HD19" s="197"/>
      <c r="HE19" s="197"/>
      <c r="HF19" s="197"/>
      <c r="HG19" s="197"/>
      <c r="HH19" s="197"/>
      <c r="HI19" s="197"/>
      <c r="HJ19" s="197"/>
      <c r="HK19" s="197"/>
      <c r="HL19" s="197"/>
      <c r="HM19" s="197"/>
      <c r="HN19" s="197"/>
      <c r="HO19" s="197"/>
      <c r="HP19" s="197"/>
      <c r="HQ19" s="197"/>
      <c r="HR19" s="197"/>
      <c r="HS19" s="197"/>
      <c r="HT19" s="197"/>
      <c r="HU19" s="197"/>
      <c r="HV19" s="197"/>
      <c r="HW19" s="197"/>
      <c r="HX19" s="197"/>
      <c r="HY19" s="197"/>
      <c r="HZ19" s="197"/>
      <c r="IA19" s="197"/>
      <c r="IB19" s="197"/>
      <c r="IC19" s="197"/>
      <c r="ID19" s="197"/>
      <c r="IE19" s="197"/>
      <c r="IF19" s="197"/>
      <c r="IG19" s="197"/>
      <c r="IH19" s="197"/>
      <c r="II19" s="197"/>
      <c r="IJ19" s="197"/>
      <c r="IK19" s="197"/>
      <c r="IL19" s="197"/>
      <c r="IM19" s="197"/>
      <c r="IN19" s="197"/>
      <c r="IO19" s="197"/>
      <c r="IP19" s="197"/>
      <c r="IQ19" s="197"/>
      <c r="IR19" s="197"/>
      <c r="IS19" s="197"/>
      <c r="IT19" s="197"/>
      <c r="IU19" s="197"/>
      <c r="IV19" s="197"/>
      <c r="IW19" s="197"/>
      <c r="IX19" s="197"/>
      <c r="IY19" s="197"/>
      <c r="IZ19" s="197"/>
      <c r="JA19" s="197"/>
      <c r="JB19" s="197"/>
      <c r="JC19" s="197"/>
      <c r="JD19" s="197"/>
      <c r="JE19" s="197"/>
      <c r="JF19" s="197"/>
      <c r="JG19" s="197"/>
      <c r="JH19" s="197"/>
      <c r="JI19" s="197"/>
      <c r="JJ19" s="197"/>
      <c r="JK19" s="197"/>
      <c r="JL19" s="197"/>
      <c r="JM19" s="197"/>
      <c r="JN19" s="197"/>
      <c r="JO19" s="197"/>
      <c r="JP19" s="197"/>
      <c r="JQ19" s="197"/>
      <c r="JR19" s="197"/>
      <c r="JS19" s="197"/>
      <c r="JT19" s="197"/>
      <c r="JU19" s="197"/>
      <c r="JV19" s="197"/>
      <c r="JW19" s="197"/>
      <c r="JX19" s="197"/>
      <c r="JY19" s="197"/>
      <c r="JZ19" s="197"/>
      <c r="KA19" s="197"/>
      <c r="KB19" s="197"/>
      <c r="KC19" s="197"/>
      <c r="KD19" s="197"/>
      <c r="KE19" s="197"/>
      <c r="KF19" s="197"/>
      <c r="KG19" s="197"/>
      <c r="KH19" s="197"/>
      <c r="KI19" s="197"/>
      <c r="KJ19" s="197"/>
      <c r="KK19" s="197"/>
      <c r="KL19" s="197"/>
      <c r="KM19" s="197"/>
      <c r="KN19" s="197"/>
      <c r="KO19" s="197"/>
      <c r="KP19" s="197"/>
      <c r="KQ19" s="197"/>
      <c r="KR19" s="197"/>
      <c r="KS19" s="197"/>
      <c r="KT19" s="197"/>
      <c r="KU19" s="197"/>
      <c r="KV19" s="197"/>
      <c r="KW19" s="197"/>
      <c r="KX19" s="197"/>
      <c r="KY19" s="197"/>
      <c r="KZ19" s="197"/>
      <c r="LA19" s="197"/>
      <c r="LB19" s="197"/>
      <c r="LC19" s="197"/>
      <c r="LD19" s="197"/>
      <c r="LE19" s="197"/>
      <c r="LF19" s="197"/>
      <c r="LG19" s="197"/>
      <c r="LH19" s="197"/>
      <c r="LI19" s="197"/>
      <c r="LJ19" s="197"/>
      <c r="LK19" s="197"/>
      <c r="LL19" s="197"/>
      <c r="LM19" s="197"/>
      <c r="LN19" s="197"/>
      <c r="LO19" s="197"/>
      <c r="LP19" s="197"/>
      <c r="LQ19" s="197"/>
      <c r="LR19" s="197"/>
      <c r="LS19" s="197"/>
      <c r="LT19" s="197"/>
      <c r="LU19" s="197"/>
      <c r="LV19" s="197"/>
      <c r="LW19" s="197"/>
      <c r="LX19" s="197"/>
      <c r="LY19" s="197"/>
      <c r="LZ19" s="197"/>
      <c r="MA19" s="197"/>
      <c r="MB19" s="197"/>
    </row>
    <row r="20" spans="1:340" ht="12">
      <c r="B20" s="303" t="s">
        <v>167</v>
      </c>
      <c r="C20" s="1132">
        <v>2</v>
      </c>
      <c r="D20" s="310" t="s">
        <v>912</v>
      </c>
      <c r="E20" s="311" t="s">
        <v>914</v>
      </c>
      <c r="F20" s="547">
        <v>4</v>
      </c>
      <c r="G20" s="313">
        <v>2300000</v>
      </c>
      <c r="H20" s="312"/>
      <c r="I20" s="323"/>
      <c r="J20" s="324"/>
      <c r="K20" s="315">
        <f>+G20*F20*C20</f>
        <v>18400000</v>
      </c>
    </row>
    <row r="21" spans="1:340" ht="12">
      <c r="B21" s="303" t="s">
        <v>166</v>
      </c>
      <c r="C21" s="1132">
        <v>5</v>
      </c>
      <c r="D21" s="310" t="s">
        <v>915</v>
      </c>
      <c r="E21" s="311" t="s">
        <v>916</v>
      </c>
      <c r="F21" s="547">
        <v>1</v>
      </c>
      <c r="G21" s="313">
        <v>2500000</v>
      </c>
      <c r="H21" s="312"/>
      <c r="I21" s="323"/>
      <c r="J21" s="324"/>
      <c r="K21" s="315">
        <f>+G21*C21</f>
        <v>12500000</v>
      </c>
    </row>
    <row r="22" spans="1:340" ht="12">
      <c r="B22" s="303"/>
      <c r="C22" s="1132"/>
      <c r="D22" s="325"/>
      <c r="E22" s="311"/>
      <c r="F22" s="547"/>
      <c r="G22" s="313"/>
      <c r="H22" s="312"/>
      <c r="I22" s="323"/>
      <c r="J22" s="324"/>
      <c r="K22" s="315"/>
    </row>
    <row r="23" spans="1:340" s="198" customFormat="1" ht="12">
      <c r="A23" s="197"/>
      <c r="B23" s="492"/>
      <c r="C23" s="1134"/>
      <c r="D23" s="478" t="s">
        <v>913</v>
      </c>
      <c r="E23" s="493"/>
      <c r="F23" s="496"/>
      <c r="G23" s="495"/>
      <c r="H23" s="496"/>
      <c r="I23" s="500"/>
      <c r="J23" s="497"/>
      <c r="K23" s="501"/>
      <c r="L23" s="197"/>
      <c r="M23" s="197"/>
      <c r="N23" s="197"/>
      <c r="O23" s="197"/>
      <c r="P23" s="197"/>
      <c r="Q23" s="197"/>
      <c r="R23" s="197"/>
      <c r="S23" s="197"/>
      <c r="T23" s="197"/>
      <c r="U23" s="197"/>
      <c r="V23" s="197"/>
      <c r="W23" s="197"/>
      <c r="X23" s="197"/>
      <c r="Y23" s="197"/>
      <c r="Z23" s="197"/>
      <c r="AA23" s="197"/>
      <c r="AB23" s="197"/>
      <c r="AC23" s="197"/>
      <c r="AD23" s="197"/>
      <c r="AE23" s="197"/>
      <c r="AF23" s="197"/>
      <c r="AG23" s="197"/>
      <c r="AH23" s="197"/>
      <c r="AI23" s="197"/>
      <c r="AJ23" s="197"/>
      <c r="AK23" s="197"/>
      <c r="AL23" s="197"/>
      <c r="AM23" s="197"/>
      <c r="AN23" s="197"/>
      <c r="AO23" s="197"/>
      <c r="AP23" s="197"/>
      <c r="AQ23" s="197"/>
      <c r="AR23" s="197"/>
      <c r="AS23" s="197"/>
      <c r="AT23" s="197"/>
      <c r="AU23" s="197"/>
      <c r="AV23" s="197"/>
      <c r="AW23" s="197"/>
      <c r="AX23" s="197"/>
      <c r="AY23" s="197"/>
      <c r="AZ23" s="197"/>
      <c r="BA23" s="197"/>
      <c r="BB23" s="197"/>
      <c r="BC23" s="197"/>
      <c r="BD23" s="197"/>
      <c r="BE23" s="197"/>
      <c r="BF23" s="197"/>
      <c r="BG23" s="197"/>
      <c r="BH23" s="197"/>
      <c r="BI23" s="197"/>
      <c r="BJ23" s="197"/>
      <c r="BK23" s="197"/>
      <c r="BL23" s="197"/>
      <c r="BM23" s="197"/>
      <c r="BN23" s="197"/>
      <c r="BO23" s="197"/>
      <c r="BP23" s="197"/>
      <c r="BQ23" s="197"/>
      <c r="BR23" s="197"/>
      <c r="BS23" s="197"/>
      <c r="BT23" s="197"/>
      <c r="BU23" s="197"/>
      <c r="BV23" s="197"/>
      <c r="BW23" s="197"/>
      <c r="BX23" s="197"/>
      <c r="BY23" s="197"/>
      <c r="BZ23" s="197"/>
      <c r="CA23" s="197"/>
      <c r="CB23" s="197"/>
      <c r="CC23" s="197"/>
      <c r="CD23" s="197"/>
      <c r="CE23" s="197"/>
      <c r="CF23" s="197"/>
      <c r="CG23" s="197"/>
      <c r="CH23" s="197"/>
      <c r="CI23" s="197"/>
      <c r="CJ23" s="197"/>
      <c r="CK23" s="197"/>
      <c r="CL23" s="197"/>
      <c r="CM23" s="197"/>
      <c r="CN23" s="197"/>
      <c r="CO23" s="197"/>
      <c r="CP23" s="197"/>
      <c r="CQ23" s="197"/>
      <c r="CR23" s="197"/>
      <c r="CS23" s="197"/>
      <c r="CT23" s="197"/>
      <c r="CU23" s="197"/>
      <c r="CV23" s="197"/>
      <c r="CW23" s="197"/>
      <c r="CX23" s="197"/>
      <c r="CY23" s="197"/>
      <c r="CZ23" s="197"/>
      <c r="DA23" s="197"/>
      <c r="DB23" s="197"/>
      <c r="DC23" s="197"/>
      <c r="DD23" s="197"/>
      <c r="DE23" s="197"/>
      <c r="DF23" s="197"/>
      <c r="DG23" s="197"/>
      <c r="DH23" s="197"/>
      <c r="DI23" s="197"/>
      <c r="DJ23" s="197"/>
      <c r="DK23" s="197"/>
      <c r="DL23" s="197"/>
      <c r="DM23" s="197"/>
      <c r="DN23" s="197"/>
      <c r="DO23" s="197"/>
      <c r="DP23" s="197"/>
      <c r="DQ23" s="197"/>
      <c r="DR23" s="197"/>
      <c r="DS23" s="197"/>
      <c r="DT23" s="197"/>
      <c r="DU23" s="197"/>
      <c r="DV23" s="197"/>
      <c r="DW23" s="197"/>
      <c r="DX23" s="197"/>
      <c r="DY23" s="197"/>
      <c r="DZ23" s="197"/>
      <c r="EA23" s="197"/>
      <c r="EB23" s="197"/>
      <c r="EC23" s="197"/>
      <c r="ED23" s="197"/>
      <c r="EE23" s="197"/>
      <c r="EF23" s="197"/>
      <c r="EG23" s="197"/>
      <c r="EH23" s="197"/>
      <c r="EI23" s="197"/>
      <c r="EJ23" s="197"/>
      <c r="EK23" s="197"/>
      <c r="EL23" s="197"/>
      <c r="EM23" s="197"/>
      <c r="EN23" s="197"/>
      <c r="EO23" s="197"/>
      <c r="EP23" s="197"/>
      <c r="EQ23" s="197"/>
      <c r="ER23" s="197"/>
      <c r="ES23" s="197"/>
      <c r="ET23" s="197"/>
      <c r="EU23" s="197"/>
      <c r="EV23" s="197"/>
      <c r="EW23" s="197"/>
      <c r="EX23" s="197"/>
      <c r="EY23" s="197"/>
      <c r="EZ23" s="197"/>
      <c r="FA23" s="197"/>
      <c r="FB23" s="197"/>
      <c r="FC23" s="197"/>
      <c r="FD23" s="197"/>
      <c r="FE23" s="197"/>
      <c r="FF23" s="197"/>
      <c r="FG23" s="197"/>
      <c r="FH23" s="197"/>
      <c r="FI23" s="197"/>
      <c r="FJ23" s="197"/>
      <c r="FK23" s="197"/>
      <c r="FL23" s="197"/>
      <c r="FM23" s="197"/>
      <c r="FN23" s="197"/>
      <c r="FO23" s="197"/>
      <c r="FP23" s="197"/>
      <c r="FQ23" s="197"/>
      <c r="FR23" s="197"/>
      <c r="FS23" s="197"/>
      <c r="FT23" s="197"/>
      <c r="FU23" s="197"/>
      <c r="FV23" s="197"/>
      <c r="FW23" s="197"/>
      <c r="FX23" s="197"/>
      <c r="FY23" s="197"/>
      <c r="FZ23" s="197"/>
      <c r="GA23" s="197"/>
      <c r="GB23" s="197"/>
      <c r="GC23" s="197"/>
      <c r="GD23" s="197"/>
      <c r="GE23" s="197"/>
      <c r="GF23" s="197"/>
      <c r="GG23" s="197"/>
      <c r="GH23" s="197"/>
      <c r="GI23" s="197"/>
      <c r="GJ23" s="197"/>
      <c r="GK23" s="197"/>
      <c r="GL23" s="197"/>
      <c r="GM23" s="197"/>
      <c r="GN23" s="197"/>
      <c r="GO23" s="197"/>
      <c r="GP23" s="197"/>
      <c r="GQ23" s="197"/>
      <c r="GR23" s="197"/>
      <c r="GS23" s="197"/>
      <c r="GT23" s="197"/>
      <c r="GU23" s="197"/>
      <c r="GV23" s="197"/>
      <c r="GW23" s="197"/>
      <c r="GX23" s="197"/>
      <c r="GY23" s="197"/>
      <c r="GZ23" s="197"/>
      <c r="HA23" s="197"/>
      <c r="HB23" s="197"/>
      <c r="HC23" s="197"/>
      <c r="HD23" s="197"/>
      <c r="HE23" s="197"/>
      <c r="HF23" s="197"/>
      <c r="HG23" s="197"/>
      <c r="HH23" s="197"/>
      <c r="HI23" s="197"/>
      <c r="HJ23" s="197"/>
      <c r="HK23" s="197"/>
      <c r="HL23" s="197"/>
      <c r="HM23" s="197"/>
      <c r="HN23" s="197"/>
      <c r="HO23" s="197"/>
      <c r="HP23" s="197"/>
      <c r="HQ23" s="197"/>
      <c r="HR23" s="197"/>
      <c r="HS23" s="197"/>
      <c r="HT23" s="197"/>
      <c r="HU23" s="197"/>
      <c r="HV23" s="197"/>
      <c r="HW23" s="197"/>
      <c r="HX23" s="197"/>
      <c r="HY23" s="197"/>
      <c r="HZ23" s="197"/>
      <c r="IA23" s="197"/>
      <c r="IB23" s="197"/>
      <c r="IC23" s="197"/>
      <c r="ID23" s="197"/>
      <c r="IE23" s="197"/>
      <c r="IF23" s="197"/>
      <c r="IG23" s="197"/>
      <c r="IH23" s="197"/>
      <c r="II23" s="197"/>
      <c r="IJ23" s="197"/>
      <c r="IK23" s="197"/>
      <c r="IL23" s="197"/>
      <c r="IM23" s="197"/>
      <c r="IN23" s="197"/>
      <c r="IO23" s="197"/>
      <c r="IP23" s="197"/>
      <c r="IQ23" s="197"/>
      <c r="IR23" s="197"/>
      <c r="IS23" s="197"/>
      <c r="IT23" s="197"/>
      <c r="IU23" s="197"/>
      <c r="IV23" s="197"/>
      <c r="IW23" s="197"/>
      <c r="IX23" s="197"/>
      <c r="IY23" s="197"/>
      <c r="IZ23" s="197"/>
      <c r="JA23" s="197"/>
      <c r="JB23" s="197"/>
      <c r="JC23" s="197"/>
      <c r="JD23" s="197"/>
      <c r="JE23" s="197"/>
      <c r="JF23" s="197"/>
      <c r="JG23" s="197"/>
      <c r="JH23" s="197"/>
      <c r="JI23" s="197"/>
      <c r="JJ23" s="197"/>
      <c r="JK23" s="197"/>
      <c r="JL23" s="197"/>
      <c r="JM23" s="197"/>
      <c r="JN23" s="197"/>
      <c r="JO23" s="197"/>
      <c r="JP23" s="197"/>
      <c r="JQ23" s="197"/>
      <c r="JR23" s="197"/>
      <c r="JS23" s="197"/>
      <c r="JT23" s="197"/>
      <c r="JU23" s="197"/>
      <c r="JV23" s="197"/>
      <c r="JW23" s="197"/>
      <c r="JX23" s="197"/>
      <c r="JY23" s="197"/>
      <c r="JZ23" s="197"/>
      <c r="KA23" s="197"/>
      <c r="KB23" s="197"/>
      <c r="KC23" s="197"/>
      <c r="KD23" s="197"/>
      <c r="KE23" s="197"/>
      <c r="KF23" s="197"/>
      <c r="KG23" s="197"/>
      <c r="KH23" s="197"/>
      <c r="KI23" s="197"/>
      <c r="KJ23" s="197"/>
      <c r="KK23" s="197"/>
      <c r="KL23" s="197"/>
      <c r="KM23" s="197"/>
      <c r="KN23" s="197"/>
      <c r="KO23" s="197"/>
      <c r="KP23" s="197"/>
      <c r="KQ23" s="197"/>
      <c r="KR23" s="197"/>
      <c r="KS23" s="197"/>
      <c r="KT23" s="197"/>
      <c r="KU23" s="197"/>
      <c r="KV23" s="197"/>
      <c r="KW23" s="197"/>
      <c r="KX23" s="197"/>
      <c r="KY23" s="197"/>
      <c r="KZ23" s="197"/>
      <c r="LA23" s="197"/>
      <c r="LB23" s="197"/>
      <c r="LC23" s="197"/>
      <c r="LD23" s="197"/>
      <c r="LE23" s="197"/>
      <c r="LF23" s="197"/>
      <c r="LG23" s="197"/>
      <c r="LH23" s="197"/>
      <c r="LI23" s="197"/>
      <c r="LJ23" s="197"/>
      <c r="LK23" s="197"/>
      <c r="LL23" s="197"/>
      <c r="LM23" s="197"/>
      <c r="LN23" s="197"/>
      <c r="LO23" s="197"/>
      <c r="LP23" s="197"/>
      <c r="LQ23" s="197"/>
      <c r="LR23" s="197"/>
      <c r="LS23" s="197"/>
      <c r="LT23" s="197"/>
      <c r="LU23" s="197"/>
      <c r="LV23" s="197"/>
      <c r="LW23" s="197"/>
      <c r="LX23" s="197"/>
      <c r="LY23" s="197"/>
      <c r="LZ23" s="197"/>
      <c r="MA23" s="197"/>
      <c r="MB23" s="197"/>
    </row>
    <row r="24" spans="1:340" ht="12">
      <c r="B24" s="303"/>
      <c r="C24" s="1132"/>
      <c r="D24" s="304"/>
      <c r="E24" s="286"/>
      <c r="F24" s="286"/>
      <c r="G24" s="287"/>
      <c r="H24" s="286"/>
      <c r="I24" s="288"/>
      <c r="J24" s="289"/>
      <c r="K24" s="290"/>
    </row>
    <row r="25" spans="1:340" ht="6.75" customHeight="1">
      <c r="B25" s="1357"/>
      <c r="C25" s="1128"/>
      <c r="D25" s="1358"/>
      <c r="E25" s="1359"/>
      <c r="F25" s="1360"/>
      <c r="G25" s="1361"/>
      <c r="H25" s="1359"/>
      <c r="I25" s="1359"/>
      <c r="J25" s="1362"/>
      <c r="K25" s="1363"/>
      <c r="M25" s="605"/>
      <c r="N25" s="1157"/>
    </row>
    <row r="26" spans="1:340" s="198" customFormat="1" ht="14.25" customHeight="1">
      <c r="A26" s="197"/>
      <c r="B26" s="477"/>
      <c r="C26" s="1128"/>
      <c r="D26" s="478"/>
      <c r="E26" s="483"/>
      <c r="F26" s="508"/>
      <c r="G26" s="484"/>
      <c r="H26" s="483"/>
      <c r="I26" s="485"/>
      <c r="J26" s="696"/>
      <c r="K26" s="1160"/>
      <c r="L26" s="570"/>
      <c r="M26" s="570"/>
      <c r="N26" s="228"/>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c r="BR26" s="197"/>
      <c r="BS26" s="197"/>
      <c r="BT26" s="197"/>
      <c r="BU26" s="197"/>
      <c r="BV26" s="197"/>
      <c r="BW26" s="197"/>
      <c r="BX26" s="197"/>
      <c r="BY26" s="197"/>
      <c r="BZ26" s="197"/>
      <c r="CA26" s="197"/>
      <c r="CB26" s="197"/>
      <c r="CC26" s="197"/>
      <c r="CD26" s="197"/>
      <c r="CE26" s="197"/>
      <c r="CF26" s="197"/>
      <c r="CG26" s="197"/>
      <c r="CH26" s="197"/>
      <c r="CI26" s="197"/>
      <c r="CJ26" s="197"/>
      <c r="CK26" s="197"/>
      <c r="CL26" s="197"/>
      <c r="CM26" s="197"/>
      <c r="CN26" s="197"/>
      <c r="CO26" s="197"/>
      <c r="CP26" s="197"/>
      <c r="CQ26" s="197"/>
      <c r="CR26" s="197"/>
      <c r="CS26" s="197"/>
      <c r="CT26" s="197"/>
      <c r="CU26" s="197"/>
      <c r="CV26" s="197"/>
      <c r="CW26" s="197"/>
      <c r="CX26" s="197"/>
      <c r="CY26" s="197"/>
      <c r="CZ26" s="197"/>
      <c r="DA26" s="197"/>
      <c r="DB26" s="197"/>
      <c r="DC26" s="197"/>
      <c r="DD26" s="197"/>
      <c r="DE26" s="197"/>
      <c r="DF26" s="197"/>
      <c r="DG26" s="197"/>
      <c r="DH26" s="197"/>
      <c r="DI26" s="197"/>
      <c r="DJ26" s="197"/>
      <c r="DK26" s="197"/>
      <c r="DL26" s="197"/>
      <c r="DM26" s="197"/>
      <c r="DN26" s="197"/>
      <c r="DO26" s="197"/>
      <c r="DP26" s="197"/>
      <c r="DQ26" s="197"/>
      <c r="DR26" s="197"/>
      <c r="DS26" s="197"/>
      <c r="DT26" s="197"/>
      <c r="DU26" s="197"/>
      <c r="DV26" s="197"/>
      <c r="DW26" s="197"/>
      <c r="DX26" s="197"/>
      <c r="DY26" s="197"/>
      <c r="DZ26" s="197"/>
      <c r="EA26" s="197"/>
      <c r="EB26" s="197"/>
      <c r="EC26" s="197"/>
      <c r="ED26" s="197"/>
      <c r="EE26" s="197"/>
      <c r="EF26" s="197"/>
      <c r="EG26" s="197"/>
      <c r="EH26" s="197"/>
      <c r="EI26" s="197"/>
      <c r="EJ26" s="197"/>
      <c r="EK26" s="197"/>
      <c r="EL26" s="197"/>
      <c r="EM26" s="197"/>
      <c r="EN26" s="197"/>
      <c r="EO26" s="197"/>
      <c r="EP26" s="197"/>
      <c r="EQ26" s="197"/>
      <c r="ER26" s="197"/>
      <c r="ES26" s="197"/>
      <c r="ET26" s="197"/>
      <c r="EU26" s="197"/>
      <c r="EV26" s="197"/>
      <c r="EW26" s="197"/>
      <c r="EX26" s="197"/>
      <c r="EY26" s="197"/>
      <c r="EZ26" s="197"/>
      <c r="FA26" s="197"/>
      <c r="FB26" s="197"/>
      <c r="FC26" s="197"/>
      <c r="FD26" s="197"/>
      <c r="FE26" s="197"/>
      <c r="FF26" s="197"/>
      <c r="FG26" s="197"/>
      <c r="FH26" s="197"/>
      <c r="FI26" s="197"/>
      <c r="FJ26" s="197"/>
      <c r="FK26" s="197"/>
      <c r="FL26" s="197"/>
      <c r="FM26" s="197"/>
      <c r="FN26" s="197"/>
      <c r="FO26" s="197"/>
      <c r="FP26" s="197"/>
      <c r="FQ26" s="197"/>
      <c r="FR26" s="197"/>
      <c r="FS26" s="197"/>
      <c r="FT26" s="197"/>
      <c r="FU26" s="197"/>
      <c r="FV26" s="197"/>
      <c r="FW26" s="197"/>
      <c r="FX26" s="197"/>
      <c r="FY26" s="197"/>
      <c r="FZ26" s="197"/>
      <c r="GA26" s="197"/>
      <c r="GB26" s="197"/>
      <c r="GC26" s="197"/>
      <c r="GD26" s="197"/>
      <c r="GE26" s="197"/>
      <c r="GF26" s="197"/>
      <c r="GG26" s="197"/>
      <c r="GH26" s="197"/>
      <c r="GI26" s="197"/>
      <c r="GJ26" s="197"/>
      <c r="GK26" s="197"/>
      <c r="GL26" s="197"/>
      <c r="GM26" s="197"/>
      <c r="GN26" s="197"/>
      <c r="GO26" s="197"/>
      <c r="GP26" s="197"/>
      <c r="GQ26" s="197"/>
      <c r="GR26" s="197"/>
      <c r="GS26" s="197"/>
      <c r="GT26" s="197"/>
      <c r="GU26" s="197"/>
      <c r="GV26" s="197"/>
      <c r="GW26" s="197"/>
      <c r="GX26" s="197"/>
      <c r="GY26" s="197"/>
      <c r="GZ26" s="197"/>
      <c r="HA26" s="197"/>
      <c r="HB26" s="197"/>
      <c r="HC26" s="197"/>
      <c r="HD26" s="197"/>
      <c r="HE26" s="197"/>
      <c r="HF26" s="197"/>
      <c r="HG26" s="197"/>
      <c r="HH26" s="197"/>
      <c r="HI26" s="197"/>
      <c r="HJ26" s="197"/>
      <c r="HK26" s="197"/>
      <c r="HL26" s="197"/>
      <c r="HM26" s="197"/>
      <c r="HN26" s="197"/>
      <c r="HO26" s="197"/>
      <c r="HP26" s="197"/>
      <c r="HQ26" s="197"/>
      <c r="HR26" s="197"/>
      <c r="HS26" s="197"/>
      <c r="HT26" s="197"/>
      <c r="HU26" s="197"/>
      <c r="HV26" s="197"/>
      <c r="HW26" s="197"/>
      <c r="HX26" s="197"/>
      <c r="HY26" s="197"/>
      <c r="HZ26" s="197"/>
      <c r="IA26" s="197"/>
      <c r="IB26" s="197"/>
      <c r="IC26" s="197"/>
      <c r="ID26" s="197"/>
      <c r="IE26" s="197"/>
      <c r="IF26" s="197"/>
      <c r="IG26" s="197"/>
      <c r="IH26" s="197"/>
      <c r="II26" s="197"/>
      <c r="IJ26" s="197"/>
      <c r="IK26" s="197"/>
      <c r="IL26" s="197"/>
      <c r="IM26" s="197"/>
      <c r="IN26" s="197"/>
      <c r="IO26" s="197"/>
      <c r="IP26" s="197"/>
      <c r="IQ26" s="197"/>
      <c r="IR26" s="197"/>
      <c r="IS26" s="197"/>
      <c r="IT26" s="197"/>
      <c r="IU26" s="197"/>
      <c r="IV26" s="197"/>
      <c r="IW26" s="197"/>
      <c r="IX26" s="197"/>
      <c r="IY26" s="197"/>
      <c r="IZ26" s="197"/>
      <c r="JA26" s="197"/>
      <c r="JB26" s="197"/>
      <c r="JC26" s="197"/>
      <c r="JD26" s="197"/>
      <c r="JE26" s="197"/>
      <c r="JF26" s="197"/>
      <c r="JG26" s="197"/>
      <c r="JH26" s="197"/>
      <c r="JI26" s="197"/>
      <c r="JJ26" s="197"/>
      <c r="JK26" s="197"/>
      <c r="JL26" s="197"/>
      <c r="JM26" s="197"/>
      <c r="JN26" s="197"/>
      <c r="JO26" s="197"/>
      <c r="JP26" s="197"/>
      <c r="JQ26" s="197"/>
      <c r="JR26" s="197"/>
      <c r="JS26" s="197"/>
      <c r="JT26" s="197"/>
      <c r="JU26" s="197"/>
      <c r="JV26" s="197"/>
      <c r="JW26" s="197"/>
      <c r="JX26" s="197"/>
      <c r="JY26" s="197"/>
      <c r="JZ26" s="197"/>
      <c r="KA26" s="197"/>
      <c r="KB26" s="197"/>
      <c r="KC26" s="197"/>
      <c r="KD26" s="197"/>
      <c r="KE26" s="197"/>
      <c r="KF26" s="197"/>
      <c r="KG26" s="197"/>
      <c r="KH26" s="197"/>
      <c r="KI26" s="197"/>
      <c r="KJ26" s="197"/>
      <c r="KK26" s="197"/>
      <c r="KL26" s="197"/>
      <c r="KM26" s="197"/>
      <c r="KN26" s="197"/>
      <c r="KO26" s="197"/>
      <c r="KP26" s="197"/>
      <c r="KQ26" s="197"/>
      <c r="KR26" s="197"/>
      <c r="KS26" s="197"/>
      <c r="KT26" s="197"/>
      <c r="KU26" s="197"/>
      <c r="KV26" s="197"/>
      <c r="KW26" s="197"/>
      <c r="KX26" s="197"/>
      <c r="KY26" s="197"/>
      <c r="KZ26" s="197"/>
      <c r="LA26" s="197"/>
      <c r="LB26" s="197"/>
      <c r="LC26" s="197"/>
      <c r="LD26" s="197"/>
      <c r="LE26" s="197"/>
      <c r="LF26" s="197"/>
      <c r="LG26" s="197"/>
      <c r="LH26" s="197"/>
      <c r="LI26" s="197"/>
      <c r="LJ26" s="197"/>
      <c r="LK26" s="197"/>
      <c r="LL26" s="197"/>
      <c r="LM26" s="197"/>
      <c r="LN26" s="197"/>
      <c r="LO26" s="197"/>
      <c r="LP26" s="197"/>
      <c r="LQ26" s="197"/>
      <c r="LR26" s="197"/>
      <c r="LS26" s="197"/>
      <c r="LT26" s="197"/>
      <c r="LU26" s="197"/>
      <c r="LV26" s="197"/>
      <c r="LW26" s="197"/>
      <c r="LX26" s="197"/>
      <c r="LY26" s="197"/>
      <c r="LZ26" s="197"/>
      <c r="MA26" s="197"/>
      <c r="MB26" s="197"/>
    </row>
    <row r="27" spans="1:340" s="198" customFormat="1" ht="12">
      <c r="A27" s="197"/>
      <c r="B27" s="477"/>
      <c r="C27" s="1128"/>
      <c r="D27" s="478"/>
      <c r="E27" s="483"/>
      <c r="F27" s="508"/>
      <c r="G27" s="484"/>
      <c r="H27" s="483"/>
      <c r="I27" s="485"/>
      <c r="J27" s="696" t="s">
        <v>231</v>
      </c>
      <c r="K27" s="509">
        <f>SUM(K13:K22)</f>
        <v>44636480.400800005</v>
      </c>
      <c r="L27" s="228"/>
      <c r="M27" s="228"/>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c r="BR27" s="197"/>
      <c r="BS27" s="197"/>
      <c r="BT27" s="197"/>
      <c r="BU27" s="197"/>
      <c r="BV27" s="197"/>
      <c r="BW27" s="197"/>
      <c r="BX27" s="197"/>
      <c r="BY27" s="197"/>
      <c r="BZ27" s="197"/>
      <c r="CA27" s="197"/>
      <c r="CB27" s="197"/>
      <c r="CC27" s="197"/>
      <c r="CD27" s="197"/>
      <c r="CE27" s="197"/>
      <c r="CF27" s="197"/>
      <c r="CG27" s="197"/>
      <c r="CH27" s="197"/>
      <c r="CI27" s="197"/>
      <c r="CJ27" s="197"/>
      <c r="CK27" s="197"/>
      <c r="CL27" s="197"/>
      <c r="CM27" s="197"/>
      <c r="CN27" s="197"/>
      <c r="CO27" s="197"/>
      <c r="CP27" s="197"/>
      <c r="CQ27" s="197"/>
      <c r="CR27" s="197"/>
      <c r="CS27" s="197"/>
      <c r="CT27" s="197"/>
      <c r="CU27" s="197"/>
      <c r="CV27" s="197"/>
      <c r="CW27" s="197"/>
      <c r="CX27" s="197"/>
      <c r="CY27" s="197"/>
      <c r="CZ27" s="197"/>
      <c r="DA27" s="197"/>
      <c r="DB27" s="197"/>
      <c r="DC27" s="197"/>
      <c r="DD27" s="197"/>
      <c r="DE27" s="197"/>
      <c r="DF27" s="197"/>
      <c r="DG27" s="197"/>
      <c r="DH27" s="197"/>
      <c r="DI27" s="197"/>
      <c r="DJ27" s="197"/>
      <c r="DK27" s="197"/>
      <c r="DL27" s="197"/>
      <c r="DM27" s="197"/>
      <c r="DN27" s="197"/>
      <c r="DO27" s="197"/>
      <c r="DP27" s="197"/>
      <c r="DQ27" s="197"/>
      <c r="DR27" s="197"/>
      <c r="DS27" s="197"/>
      <c r="DT27" s="197"/>
      <c r="DU27" s="197"/>
      <c r="DV27" s="197"/>
      <c r="DW27" s="197"/>
      <c r="DX27" s="197"/>
      <c r="DY27" s="197"/>
      <c r="DZ27" s="197"/>
      <c r="EA27" s="197"/>
      <c r="EB27" s="197"/>
      <c r="EC27" s="197"/>
      <c r="ED27" s="197"/>
      <c r="EE27" s="197"/>
      <c r="EF27" s="197"/>
      <c r="EG27" s="197"/>
      <c r="EH27" s="197"/>
      <c r="EI27" s="197"/>
      <c r="EJ27" s="197"/>
      <c r="EK27" s="197"/>
      <c r="EL27" s="197"/>
      <c r="EM27" s="197"/>
      <c r="EN27" s="197"/>
      <c r="EO27" s="197"/>
      <c r="EP27" s="197"/>
      <c r="EQ27" s="197"/>
      <c r="ER27" s="197"/>
      <c r="ES27" s="197"/>
      <c r="ET27" s="197"/>
      <c r="EU27" s="197"/>
      <c r="EV27" s="197"/>
      <c r="EW27" s="197"/>
      <c r="EX27" s="197"/>
      <c r="EY27" s="197"/>
      <c r="EZ27" s="197"/>
      <c r="FA27" s="197"/>
      <c r="FB27" s="197"/>
      <c r="FC27" s="197"/>
      <c r="FD27" s="197"/>
      <c r="FE27" s="197"/>
      <c r="FF27" s="197"/>
      <c r="FG27" s="197"/>
      <c r="FH27" s="197"/>
      <c r="FI27" s="197"/>
      <c r="FJ27" s="197"/>
      <c r="FK27" s="197"/>
      <c r="FL27" s="197"/>
      <c r="FM27" s="197"/>
      <c r="FN27" s="197"/>
      <c r="FO27" s="197"/>
      <c r="FP27" s="197"/>
      <c r="FQ27" s="197"/>
      <c r="FR27" s="197"/>
      <c r="FS27" s="197"/>
      <c r="FT27" s="197"/>
      <c r="FU27" s="197"/>
      <c r="FV27" s="197"/>
      <c r="FW27" s="197"/>
      <c r="FX27" s="197"/>
      <c r="FY27" s="197"/>
      <c r="FZ27" s="197"/>
      <c r="GA27" s="197"/>
      <c r="GB27" s="197"/>
      <c r="GC27" s="197"/>
      <c r="GD27" s="197"/>
      <c r="GE27" s="197"/>
      <c r="GF27" s="197"/>
      <c r="GG27" s="197"/>
      <c r="GH27" s="197"/>
      <c r="GI27" s="197"/>
      <c r="GJ27" s="197"/>
      <c r="GK27" s="197"/>
      <c r="GL27" s="197"/>
      <c r="GM27" s="197"/>
      <c r="GN27" s="197"/>
      <c r="GO27" s="197"/>
      <c r="GP27" s="197"/>
      <c r="GQ27" s="197"/>
      <c r="GR27" s="197"/>
      <c r="GS27" s="197"/>
      <c r="GT27" s="197"/>
      <c r="GU27" s="197"/>
      <c r="GV27" s="197"/>
      <c r="GW27" s="197"/>
      <c r="GX27" s="197"/>
      <c r="GY27" s="197"/>
      <c r="GZ27" s="197"/>
      <c r="HA27" s="197"/>
      <c r="HB27" s="197"/>
      <c r="HC27" s="197"/>
      <c r="HD27" s="197"/>
      <c r="HE27" s="197"/>
      <c r="HF27" s="197"/>
      <c r="HG27" s="197"/>
      <c r="HH27" s="197"/>
      <c r="HI27" s="197"/>
      <c r="HJ27" s="197"/>
      <c r="HK27" s="197"/>
      <c r="HL27" s="197"/>
      <c r="HM27" s="197"/>
      <c r="HN27" s="197"/>
      <c r="HO27" s="197"/>
      <c r="HP27" s="197"/>
      <c r="HQ27" s="197"/>
      <c r="HR27" s="197"/>
      <c r="HS27" s="197"/>
      <c r="HT27" s="197"/>
      <c r="HU27" s="197"/>
      <c r="HV27" s="197"/>
      <c r="HW27" s="197"/>
      <c r="HX27" s="197"/>
      <c r="HY27" s="197"/>
      <c r="HZ27" s="197"/>
      <c r="IA27" s="197"/>
      <c r="IB27" s="197"/>
      <c r="IC27" s="197"/>
      <c r="ID27" s="197"/>
      <c r="IE27" s="197"/>
      <c r="IF27" s="197"/>
      <c r="IG27" s="197"/>
      <c r="IH27" s="197"/>
      <c r="II27" s="197"/>
      <c r="IJ27" s="197"/>
      <c r="IK27" s="197"/>
      <c r="IL27" s="197"/>
      <c r="IM27" s="197"/>
      <c r="IN27" s="197"/>
      <c r="IO27" s="197"/>
      <c r="IP27" s="197"/>
      <c r="IQ27" s="197"/>
      <c r="IR27" s="197"/>
      <c r="IS27" s="197"/>
      <c r="IT27" s="197"/>
      <c r="IU27" s="197"/>
      <c r="IV27" s="197"/>
      <c r="IW27" s="197"/>
      <c r="IX27" s="197"/>
      <c r="IY27" s="197"/>
      <c r="IZ27" s="197"/>
      <c r="JA27" s="197"/>
      <c r="JB27" s="197"/>
      <c r="JC27" s="197"/>
      <c r="JD27" s="197"/>
      <c r="JE27" s="197"/>
      <c r="JF27" s="197"/>
      <c r="JG27" s="197"/>
      <c r="JH27" s="197"/>
      <c r="JI27" s="197"/>
      <c r="JJ27" s="197"/>
      <c r="JK27" s="197"/>
      <c r="JL27" s="197"/>
      <c r="JM27" s="197"/>
      <c r="JN27" s="197"/>
      <c r="JO27" s="197"/>
      <c r="JP27" s="197"/>
      <c r="JQ27" s="197"/>
      <c r="JR27" s="197"/>
      <c r="JS27" s="197"/>
      <c r="JT27" s="197"/>
      <c r="JU27" s="197"/>
      <c r="JV27" s="197"/>
      <c r="JW27" s="197"/>
      <c r="JX27" s="197"/>
      <c r="JY27" s="197"/>
      <c r="JZ27" s="197"/>
      <c r="KA27" s="197"/>
      <c r="KB27" s="197"/>
      <c r="KC27" s="197"/>
      <c r="KD27" s="197"/>
      <c r="KE27" s="197"/>
      <c r="KF27" s="197"/>
      <c r="KG27" s="197"/>
      <c r="KH27" s="197"/>
      <c r="KI27" s="197"/>
      <c r="KJ27" s="197"/>
      <c r="KK27" s="197"/>
      <c r="KL27" s="197"/>
      <c r="KM27" s="197"/>
      <c r="KN27" s="197"/>
      <c r="KO27" s="197"/>
      <c r="KP27" s="197"/>
      <c r="KQ27" s="197"/>
      <c r="KR27" s="197"/>
      <c r="KS27" s="197"/>
      <c r="KT27" s="197"/>
      <c r="KU27" s="197"/>
      <c r="KV27" s="197"/>
      <c r="KW27" s="197"/>
      <c r="KX27" s="197"/>
      <c r="KY27" s="197"/>
      <c r="KZ27" s="197"/>
      <c r="LA27" s="197"/>
      <c r="LB27" s="197"/>
      <c r="LC27" s="197"/>
      <c r="LD27" s="197"/>
      <c r="LE27" s="197"/>
      <c r="LF27" s="197"/>
      <c r="LG27" s="197"/>
      <c r="LH27" s="197"/>
      <c r="LI27" s="197"/>
      <c r="LJ27" s="197"/>
      <c r="LK27" s="197"/>
      <c r="LL27" s="197"/>
      <c r="LM27" s="197"/>
      <c r="LN27" s="197"/>
      <c r="LO27" s="197"/>
      <c r="LP27" s="197"/>
      <c r="LQ27" s="197"/>
      <c r="LR27" s="197"/>
      <c r="LS27" s="197"/>
      <c r="LT27" s="197"/>
      <c r="LU27" s="197"/>
      <c r="LV27" s="197"/>
      <c r="LW27" s="197"/>
      <c r="LX27" s="197"/>
      <c r="LY27" s="197"/>
      <c r="LZ27" s="197"/>
      <c r="MA27" s="197"/>
      <c r="MB27" s="197"/>
    </row>
    <row r="28" spans="1:340" s="198" customFormat="1" ht="12">
      <c r="A28" s="197"/>
      <c r="B28" s="477"/>
      <c r="C28" s="1128"/>
      <c r="D28" s="478"/>
      <c r="E28" s="483"/>
      <c r="F28" s="508"/>
      <c r="G28" s="484"/>
      <c r="H28" s="483"/>
      <c r="I28" s="485"/>
      <c r="J28" s="696"/>
      <c r="K28" s="509"/>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c r="BR28" s="197"/>
      <c r="BS28" s="197"/>
      <c r="BT28" s="197"/>
      <c r="BU28" s="197"/>
      <c r="BV28" s="197"/>
      <c r="BW28" s="197"/>
      <c r="BX28" s="197"/>
      <c r="BY28" s="197"/>
      <c r="BZ28" s="197"/>
      <c r="CA28" s="197"/>
      <c r="CB28" s="197"/>
      <c r="CC28" s="197"/>
      <c r="CD28" s="197"/>
      <c r="CE28" s="197"/>
      <c r="CF28" s="197"/>
      <c r="CG28" s="197"/>
      <c r="CH28" s="197"/>
      <c r="CI28" s="197"/>
      <c r="CJ28" s="197"/>
      <c r="CK28" s="197"/>
      <c r="CL28" s="197"/>
      <c r="CM28" s="197"/>
      <c r="CN28" s="197"/>
      <c r="CO28" s="197"/>
      <c r="CP28" s="197"/>
      <c r="CQ28" s="197"/>
      <c r="CR28" s="197"/>
      <c r="CS28" s="197"/>
      <c r="CT28" s="197"/>
      <c r="CU28" s="197"/>
      <c r="CV28" s="197"/>
      <c r="CW28" s="197"/>
      <c r="CX28" s="197"/>
      <c r="CY28" s="197"/>
      <c r="CZ28" s="197"/>
      <c r="DA28" s="197"/>
      <c r="DB28" s="197"/>
      <c r="DC28" s="197"/>
      <c r="DD28" s="197"/>
      <c r="DE28" s="197"/>
      <c r="DF28" s="197"/>
      <c r="DG28" s="197"/>
      <c r="DH28" s="197"/>
      <c r="DI28" s="197"/>
      <c r="DJ28" s="197"/>
      <c r="DK28" s="197"/>
      <c r="DL28" s="197"/>
      <c r="DM28" s="197"/>
      <c r="DN28" s="197"/>
      <c r="DO28" s="197"/>
      <c r="DP28" s="197"/>
      <c r="DQ28" s="197"/>
      <c r="DR28" s="197"/>
      <c r="DS28" s="197"/>
      <c r="DT28" s="197"/>
      <c r="DU28" s="197"/>
      <c r="DV28" s="197"/>
      <c r="DW28" s="197"/>
      <c r="DX28" s="197"/>
      <c r="DY28" s="197"/>
      <c r="DZ28" s="197"/>
      <c r="EA28" s="197"/>
      <c r="EB28" s="197"/>
      <c r="EC28" s="197"/>
      <c r="ED28" s="197"/>
      <c r="EE28" s="197"/>
      <c r="EF28" s="197"/>
      <c r="EG28" s="197"/>
      <c r="EH28" s="197"/>
      <c r="EI28" s="197"/>
      <c r="EJ28" s="197"/>
      <c r="EK28" s="197"/>
      <c r="EL28" s="197"/>
      <c r="EM28" s="197"/>
      <c r="EN28" s="197"/>
      <c r="EO28" s="197"/>
      <c r="EP28" s="197"/>
      <c r="EQ28" s="197"/>
      <c r="ER28" s="197"/>
      <c r="ES28" s="197"/>
      <c r="ET28" s="197"/>
      <c r="EU28" s="197"/>
      <c r="EV28" s="197"/>
      <c r="EW28" s="197"/>
      <c r="EX28" s="197"/>
      <c r="EY28" s="197"/>
      <c r="EZ28" s="197"/>
      <c r="FA28" s="197"/>
      <c r="FB28" s="197"/>
      <c r="FC28" s="197"/>
      <c r="FD28" s="197"/>
      <c r="FE28" s="197"/>
      <c r="FF28" s="197"/>
      <c r="FG28" s="197"/>
      <c r="FH28" s="197"/>
      <c r="FI28" s="197"/>
      <c r="FJ28" s="197"/>
      <c r="FK28" s="197"/>
      <c r="FL28" s="197"/>
      <c r="FM28" s="197"/>
      <c r="FN28" s="197"/>
      <c r="FO28" s="197"/>
      <c r="FP28" s="197"/>
      <c r="FQ28" s="197"/>
      <c r="FR28" s="197"/>
      <c r="FS28" s="197"/>
      <c r="FT28" s="197"/>
      <c r="FU28" s="197"/>
      <c r="FV28" s="197"/>
      <c r="FW28" s="197"/>
      <c r="FX28" s="197"/>
      <c r="FY28" s="197"/>
      <c r="FZ28" s="197"/>
      <c r="GA28" s="197"/>
      <c r="GB28" s="197"/>
      <c r="GC28" s="197"/>
      <c r="GD28" s="197"/>
      <c r="GE28" s="197"/>
      <c r="GF28" s="197"/>
      <c r="GG28" s="197"/>
      <c r="GH28" s="197"/>
      <c r="GI28" s="197"/>
      <c r="GJ28" s="197"/>
      <c r="GK28" s="197"/>
      <c r="GL28" s="197"/>
      <c r="GM28" s="197"/>
      <c r="GN28" s="197"/>
      <c r="GO28" s="197"/>
      <c r="GP28" s="197"/>
      <c r="GQ28" s="197"/>
      <c r="GR28" s="197"/>
      <c r="GS28" s="197"/>
      <c r="GT28" s="197"/>
      <c r="GU28" s="197"/>
      <c r="GV28" s="197"/>
      <c r="GW28" s="197"/>
      <c r="GX28" s="197"/>
      <c r="GY28" s="197"/>
      <c r="GZ28" s="197"/>
      <c r="HA28" s="197"/>
      <c r="HB28" s="197"/>
      <c r="HC28" s="197"/>
      <c r="HD28" s="197"/>
      <c r="HE28" s="197"/>
      <c r="HF28" s="197"/>
      <c r="HG28" s="197"/>
      <c r="HH28" s="197"/>
      <c r="HI28" s="197"/>
      <c r="HJ28" s="197"/>
      <c r="HK28" s="197"/>
      <c r="HL28" s="197"/>
      <c r="HM28" s="197"/>
      <c r="HN28" s="197"/>
      <c r="HO28" s="197"/>
      <c r="HP28" s="197"/>
      <c r="HQ28" s="197"/>
      <c r="HR28" s="197"/>
      <c r="HS28" s="197"/>
      <c r="HT28" s="197"/>
      <c r="HU28" s="197"/>
      <c r="HV28" s="197"/>
      <c r="HW28" s="197"/>
      <c r="HX28" s="197"/>
      <c r="HY28" s="197"/>
      <c r="HZ28" s="197"/>
      <c r="IA28" s="197"/>
      <c r="IB28" s="197"/>
      <c r="IC28" s="197"/>
      <c r="ID28" s="197"/>
      <c r="IE28" s="197"/>
      <c r="IF28" s="197"/>
      <c r="IG28" s="197"/>
      <c r="IH28" s="197"/>
      <c r="II28" s="197"/>
      <c r="IJ28" s="197"/>
      <c r="IK28" s="197"/>
      <c r="IL28" s="197"/>
      <c r="IM28" s="197"/>
      <c r="IN28" s="197"/>
      <c r="IO28" s="197"/>
      <c r="IP28" s="197"/>
      <c r="IQ28" s="197"/>
      <c r="IR28" s="197"/>
      <c r="IS28" s="197"/>
      <c r="IT28" s="197"/>
      <c r="IU28" s="197"/>
      <c r="IV28" s="197"/>
      <c r="IW28" s="197"/>
      <c r="IX28" s="197"/>
      <c r="IY28" s="197"/>
      <c r="IZ28" s="197"/>
      <c r="JA28" s="197"/>
      <c r="JB28" s="197"/>
      <c r="JC28" s="197"/>
      <c r="JD28" s="197"/>
      <c r="JE28" s="197"/>
      <c r="JF28" s="197"/>
      <c r="JG28" s="197"/>
      <c r="JH28" s="197"/>
      <c r="JI28" s="197"/>
      <c r="JJ28" s="197"/>
      <c r="JK28" s="197"/>
      <c r="JL28" s="197"/>
      <c r="JM28" s="197"/>
      <c r="JN28" s="197"/>
      <c r="JO28" s="197"/>
      <c r="JP28" s="197"/>
      <c r="JQ28" s="197"/>
      <c r="JR28" s="197"/>
      <c r="JS28" s="197"/>
      <c r="JT28" s="197"/>
      <c r="JU28" s="197"/>
      <c r="JV28" s="197"/>
      <c r="JW28" s="197"/>
      <c r="JX28" s="197"/>
      <c r="JY28" s="197"/>
      <c r="JZ28" s="197"/>
      <c r="KA28" s="197"/>
      <c r="KB28" s="197"/>
      <c r="KC28" s="197"/>
      <c r="KD28" s="197"/>
      <c r="KE28" s="197"/>
      <c r="KF28" s="197"/>
      <c r="KG28" s="197"/>
      <c r="KH28" s="197"/>
      <c r="KI28" s="197"/>
      <c r="KJ28" s="197"/>
      <c r="KK28" s="197"/>
      <c r="KL28" s="197"/>
      <c r="KM28" s="197"/>
      <c r="KN28" s="197"/>
      <c r="KO28" s="197"/>
      <c r="KP28" s="197"/>
      <c r="KQ28" s="197"/>
      <c r="KR28" s="197"/>
      <c r="KS28" s="197"/>
      <c r="KT28" s="197"/>
      <c r="KU28" s="197"/>
      <c r="KV28" s="197"/>
      <c r="KW28" s="197"/>
      <c r="KX28" s="197"/>
      <c r="KY28" s="197"/>
      <c r="KZ28" s="197"/>
      <c r="LA28" s="197"/>
      <c r="LB28" s="197"/>
      <c r="LC28" s="197"/>
      <c r="LD28" s="197"/>
      <c r="LE28" s="197"/>
      <c r="LF28" s="197"/>
      <c r="LG28" s="197"/>
      <c r="LH28" s="197"/>
      <c r="LI28" s="197"/>
      <c r="LJ28" s="197"/>
      <c r="LK28" s="197"/>
      <c r="LL28" s="197"/>
      <c r="LM28" s="197"/>
      <c r="LN28" s="197"/>
      <c r="LO28" s="197"/>
      <c r="LP28" s="197"/>
      <c r="LQ28" s="197"/>
      <c r="LR28" s="197"/>
      <c r="LS28" s="197"/>
      <c r="LT28" s="197"/>
      <c r="LU28" s="197"/>
      <c r="LV28" s="197"/>
      <c r="LW28" s="197"/>
      <c r="LX28" s="197"/>
      <c r="LY28" s="197"/>
      <c r="LZ28" s="197"/>
      <c r="MA28" s="197"/>
      <c r="MB28" s="197"/>
    </row>
    <row r="29" spans="1:340" ht="12">
      <c r="B29" s="477"/>
      <c r="C29" s="1128"/>
      <c r="D29" s="482"/>
      <c r="E29" s="483"/>
      <c r="F29" s="483"/>
      <c r="G29" s="484"/>
      <c r="H29" s="483"/>
      <c r="I29" s="485"/>
      <c r="J29" s="696"/>
      <c r="K29" s="487"/>
      <c r="M29" s="713"/>
    </row>
    <row r="30" spans="1:340" s="198" customFormat="1" ht="12">
      <c r="A30" s="197"/>
      <c r="B30" s="477"/>
      <c r="C30" s="1128"/>
      <c r="D30" s="478" t="s">
        <v>917</v>
      </c>
      <c r="E30" s="483"/>
      <c r="F30" s="483"/>
      <c r="G30" s="484"/>
      <c r="H30" s="483"/>
      <c r="I30" s="485"/>
      <c r="J30" s="1476"/>
      <c r="K30" s="509">
        <f>SUM(K26:K29)</f>
        <v>44636480.400800005</v>
      </c>
      <c r="L30" s="197"/>
      <c r="M30" s="713"/>
      <c r="N30" s="1196"/>
      <c r="O30" s="1156"/>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c r="BR30" s="197"/>
      <c r="BS30" s="197"/>
      <c r="BT30" s="197"/>
      <c r="BU30" s="197"/>
      <c r="BV30" s="197"/>
      <c r="BW30" s="197"/>
      <c r="BX30" s="197"/>
      <c r="BY30" s="197"/>
      <c r="BZ30" s="197"/>
      <c r="CA30" s="197"/>
      <c r="CB30" s="197"/>
      <c r="CC30" s="197"/>
      <c r="CD30" s="197"/>
      <c r="CE30" s="197"/>
      <c r="CF30" s="197"/>
      <c r="CG30" s="197"/>
      <c r="CH30" s="197"/>
      <c r="CI30" s="197"/>
      <c r="CJ30" s="197"/>
      <c r="CK30" s="197"/>
      <c r="CL30" s="197"/>
      <c r="CM30" s="197"/>
      <c r="CN30" s="197"/>
      <c r="CO30" s="197"/>
      <c r="CP30" s="197"/>
      <c r="CQ30" s="197"/>
      <c r="CR30" s="197"/>
      <c r="CS30" s="197"/>
      <c r="CT30" s="197"/>
      <c r="CU30" s="197"/>
      <c r="CV30" s="197"/>
      <c r="CW30" s="197"/>
      <c r="CX30" s="197"/>
      <c r="CY30" s="197"/>
      <c r="CZ30" s="197"/>
      <c r="DA30" s="197"/>
      <c r="DB30" s="197"/>
      <c r="DC30" s="197"/>
      <c r="DD30" s="197"/>
      <c r="DE30" s="197"/>
      <c r="DF30" s="197"/>
      <c r="DG30" s="197"/>
      <c r="DH30" s="197"/>
      <c r="DI30" s="197"/>
      <c r="DJ30" s="197"/>
      <c r="DK30" s="197"/>
      <c r="DL30" s="197"/>
      <c r="DM30" s="197"/>
      <c r="DN30" s="197"/>
      <c r="DO30" s="197"/>
      <c r="DP30" s="197"/>
      <c r="DQ30" s="197"/>
      <c r="DR30" s="197"/>
      <c r="DS30" s="197"/>
      <c r="DT30" s="197"/>
      <c r="DU30" s="197"/>
      <c r="DV30" s="197"/>
      <c r="DW30" s="197"/>
      <c r="DX30" s="197"/>
      <c r="DY30" s="197"/>
      <c r="DZ30" s="197"/>
      <c r="EA30" s="197"/>
      <c r="EB30" s="197"/>
      <c r="EC30" s="197"/>
      <c r="ED30" s="197"/>
      <c r="EE30" s="197"/>
      <c r="EF30" s="197"/>
      <c r="EG30" s="197"/>
      <c r="EH30" s="197"/>
      <c r="EI30" s="197"/>
      <c r="EJ30" s="197"/>
      <c r="EK30" s="197"/>
      <c r="EL30" s="197"/>
      <c r="EM30" s="197"/>
      <c r="EN30" s="197"/>
      <c r="EO30" s="197"/>
      <c r="EP30" s="197"/>
      <c r="EQ30" s="197"/>
      <c r="ER30" s="197"/>
      <c r="ES30" s="197"/>
      <c r="ET30" s="197"/>
      <c r="EU30" s="197"/>
      <c r="EV30" s="197"/>
      <c r="EW30" s="197"/>
      <c r="EX30" s="197"/>
      <c r="EY30" s="197"/>
      <c r="EZ30" s="197"/>
      <c r="FA30" s="197"/>
      <c r="FB30" s="197"/>
      <c r="FC30" s="197"/>
      <c r="FD30" s="197"/>
      <c r="FE30" s="197"/>
      <c r="FF30" s="197"/>
      <c r="FG30" s="197"/>
      <c r="FH30" s="197"/>
      <c r="FI30" s="197"/>
      <c r="FJ30" s="197"/>
      <c r="FK30" s="197"/>
      <c r="FL30" s="197"/>
      <c r="FM30" s="197"/>
      <c r="FN30" s="197"/>
      <c r="FO30" s="197"/>
      <c r="FP30" s="197"/>
      <c r="FQ30" s="197"/>
      <c r="FR30" s="197"/>
      <c r="FS30" s="197"/>
      <c r="FT30" s="197"/>
      <c r="FU30" s="197"/>
      <c r="FV30" s="197"/>
      <c r="FW30" s="197"/>
      <c r="FX30" s="197"/>
      <c r="FY30" s="197"/>
      <c r="FZ30" s="197"/>
      <c r="GA30" s="197"/>
      <c r="GB30" s="197"/>
      <c r="GC30" s="197"/>
      <c r="GD30" s="197"/>
      <c r="GE30" s="197"/>
      <c r="GF30" s="197"/>
      <c r="GG30" s="197"/>
      <c r="GH30" s="197"/>
      <c r="GI30" s="197"/>
      <c r="GJ30" s="197"/>
      <c r="GK30" s="197"/>
      <c r="GL30" s="197"/>
      <c r="GM30" s="197"/>
      <c r="GN30" s="197"/>
      <c r="GO30" s="197"/>
      <c r="GP30" s="197"/>
      <c r="GQ30" s="197"/>
      <c r="GR30" s="197"/>
      <c r="GS30" s="197"/>
      <c r="GT30" s="197"/>
      <c r="GU30" s="197"/>
      <c r="GV30" s="197"/>
      <c r="GW30" s="197"/>
      <c r="GX30" s="197"/>
      <c r="GY30" s="197"/>
      <c r="GZ30" s="197"/>
      <c r="HA30" s="197"/>
      <c r="HB30" s="197"/>
      <c r="HC30" s="197"/>
      <c r="HD30" s="197"/>
      <c r="HE30" s="197"/>
      <c r="HF30" s="197"/>
      <c r="HG30" s="197"/>
      <c r="HH30" s="197"/>
      <c r="HI30" s="197"/>
      <c r="HJ30" s="197"/>
      <c r="HK30" s="197"/>
      <c r="HL30" s="197"/>
      <c r="HM30" s="197"/>
      <c r="HN30" s="197"/>
      <c r="HO30" s="197"/>
      <c r="HP30" s="197"/>
      <c r="HQ30" s="197"/>
      <c r="HR30" s="197"/>
      <c r="HS30" s="197"/>
      <c r="HT30" s="197"/>
      <c r="HU30" s="197"/>
      <c r="HV30" s="197"/>
      <c r="HW30" s="197"/>
      <c r="HX30" s="197"/>
      <c r="HY30" s="197"/>
      <c r="HZ30" s="197"/>
      <c r="IA30" s="197"/>
      <c r="IB30" s="197"/>
      <c r="IC30" s="197"/>
      <c r="ID30" s="197"/>
      <c r="IE30" s="197"/>
      <c r="IF30" s="197"/>
      <c r="IG30" s="197"/>
      <c r="IH30" s="197"/>
      <c r="II30" s="197"/>
      <c r="IJ30" s="197"/>
      <c r="IK30" s="197"/>
      <c r="IL30" s="197"/>
      <c r="IM30" s="197"/>
      <c r="IN30" s="197"/>
      <c r="IO30" s="197"/>
      <c r="IP30" s="197"/>
      <c r="IQ30" s="197"/>
      <c r="IR30" s="197"/>
      <c r="IS30" s="197"/>
      <c r="IT30" s="197"/>
      <c r="IU30" s="197"/>
      <c r="IV30" s="197"/>
      <c r="IW30" s="197"/>
      <c r="IX30" s="197"/>
      <c r="IY30" s="197"/>
      <c r="IZ30" s="197"/>
      <c r="JA30" s="197"/>
      <c r="JB30" s="197"/>
      <c r="JC30" s="197"/>
      <c r="JD30" s="197"/>
      <c r="JE30" s="197"/>
      <c r="JF30" s="197"/>
      <c r="JG30" s="197"/>
      <c r="JH30" s="197"/>
      <c r="JI30" s="197"/>
      <c r="JJ30" s="197"/>
      <c r="JK30" s="197"/>
      <c r="JL30" s="197"/>
      <c r="JM30" s="197"/>
      <c r="JN30" s="197"/>
      <c r="JO30" s="197"/>
      <c r="JP30" s="197"/>
      <c r="JQ30" s="197"/>
      <c r="JR30" s="197"/>
      <c r="JS30" s="197"/>
      <c r="JT30" s="197"/>
      <c r="JU30" s="197"/>
      <c r="JV30" s="197"/>
      <c r="JW30" s="197"/>
      <c r="JX30" s="197"/>
      <c r="JY30" s="197"/>
      <c r="JZ30" s="197"/>
      <c r="KA30" s="197"/>
      <c r="KB30" s="197"/>
      <c r="KC30" s="197"/>
      <c r="KD30" s="197"/>
      <c r="KE30" s="197"/>
      <c r="KF30" s="197"/>
      <c r="KG30" s="197"/>
      <c r="KH30" s="197"/>
      <c r="KI30" s="197"/>
      <c r="KJ30" s="197"/>
      <c r="KK30" s="197"/>
      <c r="KL30" s="197"/>
      <c r="KM30" s="197"/>
      <c r="KN30" s="197"/>
      <c r="KO30" s="197"/>
      <c r="KP30" s="197"/>
      <c r="KQ30" s="197"/>
      <c r="KR30" s="197"/>
      <c r="KS30" s="197"/>
      <c r="KT30" s="197"/>
      <c r="KU30" s="197"/>
      <c r="KV30" s="197"/>
      <c r="KW30" s="197"/>
      <c r="KX30" s="197"/>
      <c r="KY30" s="197"/>
      <c r="KZ30" s="197"/>
      <c r="LA30" s="197"/>
      <c r="LB30" s="197"/>
      <c r="LC30" s="197"/>
      <c r="LD30" s="197"/>
      <c r="LE30" s="197"/>
      <c r="LF30" s="197"/>
      <c r="LG30" s="197"/>
      <c r="LH30" s="197"/>
      <c r="LI30" s="197"/>
      <c r="LJ30" s="197"/>
      <c r="LK30" s="197"/>
      <c r="LL30" s="197"/>
      <c r="LM30" s="197"/>
      <c r="LN30" s="197"/>
      <c r="LO30" s="197"/>
      <c r="LP30" s="197"/>
      <c r="LQ30" s="197"/>
      <c r="LR30" s="197"/>
      <c r="LS30" s="197"/>
      <c r="LT30" s="197"/>
      <c r="LU30" s="197"/>
      <c r="LV30" s="197"/>
      <c r="LW30" s="197"/>
      <c r="LX30" s="197"/>
      <c r="LY30" s="197"/>
      <c r="LZ30" s="197"/>
      <c r="MA30" s="197"/>
      <c r="MB30" s="197"/>
    </row>
    <row r="31" spans="1:340" ht="12.6" thickBot="1">
      <c r="B31" s="327"/>
      <c r="C31" s="1137"/>
      <c r="D31" s="328"/>
      <c r="E31" s="329"/>
      <c r="F31" s="329"/>
      <c r="G31" s="330"/>
      <c r="H31" s="329"/>
      <c r="I31" s="331"/>
      <c r="J31" s="332"/>
      <c r="K31" s="333"/>
      <c r="N31" s="1138"/>
    </row>
    <row r="32" spans="1:340" ht="12">
      <c r="B32" s="334"/>
      <c r="C32" s="334"/>
      <c r="D32" s="335"/>
      <c r="E32" s="335"/>
      <c r="F32" s="335"/>
      <c r="G32" s="336"/>
      <c r="H32" s="335"/>
      <c r="I32" s="335"/>
      <c r="J32" s="336"/>
      <c r="K32" s="337"/>
    </row>
    <row r="33" spans="1:14" ht="12.75" customHeight="1">
      <c r="B33" s="197"/>
      <c r="C33" s="197"/>
      <c r="D33" s="197"/>
      <c r="E33" s="197"/>
      <c r="F33" s="197"/>
      <c r="G33" s="197"/>
      <c r="H33" s="197"/>
      <c r="I33" s="197"/>
      <c r="J33" s="197"/>
      <c r="K33" s="197"/>
      <c r="N33" s="1199"/>
    </row>
    <row r="34" spans="1:14" ht="13.8">
      <c r="B34" s="334"/>
      <c r="C34" s="334"/>
      <c r="D34" s="338"/>
      <c r="E34" s="338"/>
      <c r="F34" s="335"/>
      <c r="G34" s="336"/>
      <c r="H34" s="335"/>
      <c r="I34" s="335"/>
      <c r="J34" s="336"/>
      <c r="K34" s="337"/>
    </row>
    <row r="35" spans="1:14" ht="13.8">
      <c r="B35" s="334"/>
      <c r="C35" s="334"/>
      <c r="D35" s="338"/>
      <c r="E35" s="338"/>
      <c r="F35" s="335"/>
      <c r="G35" s="336"/>
      <c r="H35" s="335"/>
      <c r="I35" s="335"/>
      <c r="J35" s="336"/>
      <c r="K35" s="337"/>
    </row>
    <row r="36" spans="1:14" ht="13.8">
      <c r="B36" s="334"/>
      <c r="C36" s="334"/>
      <c r="D36" s="338"/>
      <c r="E36" s="338"/>
      <c r="F36" s="335"/>
      <c r="G36" s="336"/>
      <c r="H36" s="335"/>
      <c r="I36" s="335"/>
      <c r="J36" s="336"/>
      <c r="K36" s="337"/>
    </row>
    <row r="37" spans="1:14" ht="13.8">
      <c r="B37" s="334"/>
      <c r="C37" s="334"/>
      <c r="D37" s="338"/>
      <c r="E37" s="338"/>
      <c r="F37" s="335"/>
      <c r="G37" s="336"/>
      <c r="H37" s="335"/>
      <c r="I37" s="335"/>
      <c r="J37" s="336"/>
      <c r="K37" s="337"/>
    </row>
    <row r="38" spans="1:14" ht="13.8">
      <c r="B38" s="334"/>
      <c r="C38" s="334"/>
      <c r="D38" s="338"/>
      <c r="E38" s="338"/>
      <c r="F38" s="335"/>
      <c r="G38" s="336"/>
      <c r="H38" s="335"/>
      <c r="I38" s="335"/>
      <c r="J38" s="336"/>
      <c r="K38" s="1159"/>
    </row>
    <row r="39" spans="1:14" ht="13.8">
      <c r="B39" s="334"/>
      <c r="C39" s="334"/>
      <c r="D39" s="338"/>
      <c r="E39" s="338"/>
      <c r="F39" s="335"/>
      <c r="G39" s="336"/>
      <c r="H39" s="335"/>
      <c r="I39" s="335"/>
      <c r="J39" s="336"/>
      <c r="K39" s="337"/>
    </row>
    <row r="40" spans="1:14" ht="13.8">
      <c r="B40" s="334"/>
      <c r="C40" s="334"/>
      <c r="D40" s="338"/>
      <c r="E40" s="338"/>
      <c r="F40" s="335"/>
      <c r="G40" s="336"/>
      <c r="H40" s="335"/>
      <c r="I40" s="335"/>
      <c r="J40" s="336"/>
      <c r="K40" s="337"/>
    </row>
    <row r="41" spans="1:14" ht="12">
      <c r="A41" s="335"/>
      <c r="B41" s="335"/>
      <c r="C41" s="336"/>
      <c r="D41" s="337"/>
      <c r="E41" s="197"/>
      <c r="F41" s="197"/>
      <c r="G41" s="197"/>
      <c r="H41" s="197"/>
      <c r="I41" s="197"/>
      <c r="J41" s="197"/>
      <c r="K41" s="197"/>
    </row>
    <row r="42" spans="1:14" ht="12">
      <c r="A42" s="334"/>
      <c r="B42" s="334"/>
      <c r="C42" s="334"/>
      <c r="D42" s="337"/>
      <c r="E42" s="197"/>
      <c r="F42" s="197"/>
      <c r="G42" s="197"/>
      <c r="H42" s="197"/>
      <c r="I42" s="197"/>
      <c r="J42" s="197"/>
      <c r="K42" s="197"/>
    </row>
    <row r="43" spans="1:14" ht="12">
      <c r="A43" s="334"/>
      <c r="B43" s="334"/>
      <c r="C43" s="334"/>
      <c r="D43" s="337"/>
      <c r="E43" s="197"/>
      <c r="F43" s="197"/>
      <c r="G43" s="197"/>
      <c r="H43" s="197"/>
      <c r="I43" s="197"/>
      <c r="J43" s="197"/>
      <c r="K43" s="197"/>
    </row>
    <row r="44" spans="1:14" ht="12">
      <c r="A44" s="334"/>
      <c r="B44" s="334"/>
      <c r="C44" s="334"/>
      <c r="D44" s="337"/>
      <c r="E44" s="197"/>
      <c r="F44" s="197"/>
      <c r="G44" s="197"/>
      <c r="H44" s="197"/>
      <c r="I44" s="197"/>
      <c r="J44" s="197"/>
      <c r="K44" s="197"/>
    </row>
    <row r="45" spans="1:14" ht="15">
      <c r="B45" s="334"/>
      <c r="C45" s="334"/>
      <c r="D45" s="225"/>
      <c r="E45" s="335"/>
      <c r="F45" s="335"/>
      <c r="G45" s="336"/>
      <c r="H45" s="335"/>
      <c r="I45" s="335"/>
      <c r="J45" s="336"/>
      <c r="K45" s="337"/>
    </row>
  </sheetData>
  <sheetProtection formatCells="0" formatColumns="0" formatRows="0" insertColumns="0" insertRows="0" insertHyperlinks="0" deleteColumns="0" deleteRows="0" sort="0" autoFilter="0" pivotTables="0"/>
  <mergeCells count="3">
    <mergeCell ref="B2:K2"/>
    <mergeCell ref="B3:K4"/>
    <mergeCell ref="H5:K5"/>
  </mergeCells>
  <phoneticPr fontId="159" type="noConversion"/>
  <printOptions horizontalCentered="1"/>
  <pageMargins left="0.70866141732283472" right="0.70866141732283472" top="0.74803149606299213" bottom="0.74803149606299213" header="0.31496062992125984" footer="0.31496062992125984"/>
  <pageSetup scale="5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pageSetUpPr fitToPage="1"/>
  </sheetPr>
  <dimension ref="A1:MB75"/>
  <sheetViews>
    <sheetView view="pageBreakPreview" topLeftCell="A49" zoomScale="82" zoomScaleNormal="70" zoomScaleSheetLayoutView="82" workbookViewId="0">
      <selection activeCell="F53" sqref="F53"/>
    </sheetView>
  </sheetViews>
  <sheetFormatPr baseColWidth="10" defaultColWidth="10.88671875" defaultRowHeight="13.2" outlineLevelCol="1"/>
  <cols>
    <col min="1" max="1" width="7.5546875" style="197" customWidth="1"/>
    <col min="2" max="2" width="4.5546875" style="210" customWidth="1"/>
    <col min="3" max="3" width="5.88671875" style="210" customWidth="1"/>
    <col min="4" max="4" width="31.44140625" style="211" customWidth="1"/>
    <col min="5" max="5" width="7.5546875" style="211" bestFit="1" customWidth="1"/>
    <col min="6" max="6" width="10.88671875" style="211" customWidth="1"/>
    <col min="7" max="7" width="15" style="221" bestFit="1" customWidth="1"/>
    <col min="8" max="8" width="17.5546875" style="211" customWidth="1"/>
    <col min="9" max="9" width="13.109375" style="211" customWidth="1"/>
    <col min="10" max="10" width="30.88671875" style="221" customWidth="1"/>
    <col min="11" max="11" width="20.44140625" style="212" customWidth="1"/>
    <col min="12" max="12" width="7.88671875" style="197" customWidth="1"/>
    <col min="13" max="13" width="17.5546875" style="197" bestFit="1" customWidth="1"/>
    <col min="14" max="14" width="33.44140625" style="197" customWidth="1"/>
    <col min="15" max="15" width="15.5546875" style="197" bestFit="1" customWidth="1"/>
    <col min="16" max="274" width="10.88671875" style="197"/>
    <col min="275" max="340" width="10.88671875" style="197" outlineLevel="1"/>
    <col min="341" max="16384" width="10.88671875" style="197"/>
  </cols>
  <sheetData>
    <row r="1" spans="1:340" ht="13.8" thickBot="1"/>
    <row r="2" spans="1:340" ht="39" customHeight="1" thickBot="1">
      <c r="B2" s="1545" t="str">
        <f>+PRESUPUESTO!D2</f>
        <v>"MEJORAMIENTO VIAL MEDIANTE LA CONSTRUCCIÓN DE PAVIMENTO RÍGIDO DE LA PRIMERA ETAPA DE LA VÍA QUE COMUNICA A LA VEREDA PONDORES EN EL CORREGIMIENTO DE CONEJO, MUNICIPIO DE FONSECA - DEPARTAMENTO DE LA GUAJIRA."</v>
      </c>
      <c r="C2" s="1546"/>
      <c r="D2" s="1546"/>
      <c r="E2" s="1546"/>
      <c r="F2" s="1546"/>
      <c r="G2" s="1546"/>
      <c r="H2" s="1546"/>
      <c r="I2" s="1546"/>
      <c r="J2" s="1546"/>
      <c r="K2" s="1547"/>
    </row>
    <row r="3" spans="1:340" ht="15" customHeight="1">
      <c r="B3" s="1548" t="s">
        <v>184</v>
      </c>
      <c r="C3" s="1549"/>
      <c r="D3" s="1549"/>
      <c r="E3" s="1549"/>
      <c r="F3" s="1549"/>
      <c r="G3" s="1549"/>
      <c r="H3" s="1549"/>
      <c r="I3" s="1549"/>
      <c r="J3" s="1549"/>
      <c r="K3" s="1550"/>
    </row>
    <row r="4" spans="1:340" ht="12.6" customHeight="1" thickBot="1">
      <c r="B4" s="1551"/>
      <c r="C4" s="1552"/>
      <c r="D4" s="1553"/>
      <c r="E4" s="1553"/>
      <c r="F4" s="1553"/>
      <c r="G4" s="1553"/>
      <c r="H4" s="1553"/>
      <c r="I4" s="1553"/>
      <c r="J4" s="1553"/>
      <c r="K4" s="1554"/>
    </row>
    <row r="5" spans="1:340" ht="12">
      <c r="B5" s="279"/>
      <c r="C5" s="1127"/>
      <c r="D5" s="280"/>
      <c r="E5" s="281"/>
      <c r="F5" s="282"/>
      <c r="G5" s="283"/>
      <c r="H5" s="1555"/>
      <c r="I5" s="1556"/>
      <c r="J5" s="1556"/>
      <c r="K5" s="1557"/>
    </row>
    <row r="6" spans="1:340" s="198" customFormat="1" ht="12">
      <c r="A6" s="197"/>
      <c r="B6" s="477"/>
      <c r="C6" s="1128"/>
      <c r="D6" s="478" t="s">
        <v>183</v>
      </c>
      <c r="E6" s="479"/>
      <c r="F6" s="479"/>
      <c r="G6" s="480"/>
      <c r="H6" s="479"/>
      <c r="I6" s="1191" t="s">
        <v>708</v>
      </c>
      <c r="J6" s="1190">
        <v>3</v>
      </c>
      <c r="K6" s="481">
        <f>+PRESUPUESTO!H28</f>
        <v>1742834949</v>
      </c>
      <c r="L6" s="197"/>
      <c r="M6" s="713"/>
      <c r="N6" s="197"/>
      <c r="O6" s="197"/>
      <c r="P6" s="197"/>
      <c r="Q6" s="197"/>
      <c r="R6" s="197"/>
      <c r="S6" s="197"/>
      <c r="T6" s="197"/>
      <c r="U6" s="197"/>
      <c r="V6" s="197"/>
      <c r="W6" s="197"/>
      <c r="X6" s="197"/>
      <c r="Y6" s="197"/>
      <c r="Z6" s="197"/>
      <c r="AA6" s="197"/>
      <c r="AB6" s="197"/>
      <c r="AC6" s="197"/>
      <c r="AD6" s="197"/>
      <c r="AE6" s="197"/>
      <c r="AF6" s="197"/>
      <c r="AG6" s="197"/>
      <c r="AH6" s="197"/>
      <c r="AI6" s="197"/>
      <c r="AJ6" s="197"/>
      <c r="AK6" s="197"/>
      <c r="AL6" s="197"/>
      <c r="AM6" s="197"/>
      <c r="AN6" s="197"/>
      <c r="AO6" s="197"/>
      <c r="AP6" s="197"/>
      <c r="AQ6" s="197"/>
      <c r="AR6" s="197"/>
      <c r="AS6" s="197"/>
      <c r="AT6" s="197"/>
      <c r="AU6" s="197"/>
      <c r="AV6" s="197"/>
      <c r="AW6" s="197"/>
      <c r="AX6" s="197"/>
      <c r="AY6" s="197"/>
      <c r="AZ6" s="197"/>
      <c r="BA6" s="197"/>
      <c r="BB6" s="197"/>
      <c r="BC6" s="197"/>
      <c r="BD6" s="197"/>
      <c r="BE6" s="197"/>
      <c r="BF6" s="197"/>
      <c r="BG6" s="197"/>
      <c r="BH6" s="197"/>
      <c r="BI6" s="197"/>
      <c r="BJ6" s="197"/>
      <c r="BK6" s="197"/>
      <c r="BL6" s="197"/>
      <c r="BM6" s="197"/>
      <c r="BN6" s="197"/>
      <c r="BO6" s="197"/>
      <c r="BP6" s="197"/>
      <c r="BQ6" s="197"/>
      <c r="BR6" s="197"/>
      <c r="BS6" s="197"/>
      <c r="BT6" s="197"/>
      <c r="BU6" s="197"/>
      <c r="BV6" s="197"/>
      <c r="BW6" s="197"/>
      <c r="BX6" s="197"/>
      <c r="BY6" s="197"/>
      <c r="BZ6" s="197"/>
      <c r="CA6" s="197"/>
      <c r="CB6" s="197"/>
      <c r="CC6" s="197"/>
      <c r="CD6" s="197"/>
      <c r="CE6" s="197"/>
      <c r="CF6" s="197"/>
      <c r="CG6" s="197"/>
      <c r="CH6" s="197"/>
      <c r="CI6" s="197"/>
      <c r="CJ6" s="197"/>
      <c r="CK6" s="197"/>
      <c r="CL6" s="197"/>
      <c r="CM6" s="197"/>
      <c r="CN6" s="197"/>
      <c r="CO6" s="197"/>
      <c r="CP6" s="197"/>
      <c r="CQ6" s="197"/>
      <c r="CR6" s="197"/>
      <c r="CS6" s="197"/>
      <c r="CT6" s="197"/>
      <c r="CU6" s="197"/>
      <c r="CV6" s="197"/>
      <c r="CW6" s="197"/>
      <c r="CX6" s="197"/>
      <c r="CY6" s="197"/>
      <c r="CZ6" s="197"/>
      <c r="DA6" s="197"/>
      <c r="DB6" s="197"/>
      <c r="DC6" s="197"/>
      <c r="DD6" s="197"/>
      <c r="DE6" s="197"/>
      <c r="DF6" s="197"/>
      <c r="DG6" s="197"/>
      <c r="DH6" s="197"/>
      <c r="DI6" s="197"/>
      <c r="DJ6" s="197"/>
      <c r="DK6" s="197"/>
      <c r="DL6" s="197"/>
      <c r="DM6" s="197"/>
      <c r="DN6" s="197"/>
      <c r="DO6" s="197"/>
      <c r="DP6" s="197"/>
      <c r="DQ6" s="197"/>
      <c r="DR6" s="197"/>
      <c r="DS6" s="197"/>
      <c r="DT6" s="197"/>
      <c r="DU6" s="197"/>
      <c r="DV6" s="197"/>
      <c r="DW6" s="197"/>
      <c r="DX6" s="197"/>
      <c r="DY6" s="197"/>
      <c r="DZ6" s="197"/>
      <c r="EA6" s="197"/>
      <c r="EB6" s="197"/>
      <c r="EC6" s="197"/>
      <c r="ED6" s="197"/>
      <c r="EE6" s="197"/>
      <c r="EF6" s="197"/>
      <c r="EG6" s="197"/>
      <c r="EH6" s="197"/>
      <c r="EI6" s="197"/>
      <c r="EJ6" s="197"/>
      <c r="EK6" s="197"/>
      <c r="EL6" s="197"/>
      <c r="EM6" s="197"/>
      <c r="EN6" s="197"/>
      <c r="EO6" s="197"/>
      <c r="EP6" s="197"/>
      <c r="EQ6" s="197"/>
      <c r="ER6" s="197"/>
      <c r="ES6" s="197"/>
      <c r="ET6" s="197"/>
      <c r="EU6" s="197"/>
      <c r="EV6" s="197"/>
      <c r="EW6" s="197"/>
      <c r="EX6" s="197"/>
      <c r="EY6" s="197"/>
      <c r="EZ6" s="197"/>
      <c r="FA6" s="197"/>
      <c r="FB6" s="197"/>
      <c r="FC6" s="197"/>
      <c r="FD6" s="197"/>
      <c r="FE6" s="197"/>
      <c r="FF6" s="197"/>
      <c r="FG6" s="197"/>
      <c r="FH6" s="197"/>
      <c r="FI6" s="197"/>
      <c r="FJ6" s="197"/>
      <c r="FK6" s="197"/>
      <c r="FL6" s="197"/>
      <c r="FM6" s="197"/>
      <c r="FN6" s="197"/>
      <c r="FO6" s="197"/>
      <c r="FP6" s="197"/>
      <c r="FQ6" s="197"/>
      <c r="FR6" s="197"/>
      <c r="FS6" s="197"/>
      <c r="FT6" s="197"/>
      <c r="FU6" s="197"/>
      <c r="FV6" s="197"/>
      <c r="FW6" s="197"/>
      <c r="FX6" s="197"/>
      <c r="FY6" s="197"/>
      <c r="FZ6" s="197"/>
      <c r="GA6" s="197"/>
      <c r="GB6" s="197"/>
      <c r="GC6" s="197"/>
      <c r="GD6" s="197"/>
      <c r="GE6" s="197"/>
      <c r="GF6" s="197"/>
      <c r="GG6" s="197"/>
      <c r="GH6" s="197"/>
      <c r="GI6" s="197"/>
      <c r="GJ6" s="197"/>
      <c r="GK6" s="197"/>
      <c r="GL6" s="197"/>
      <c r="GM6" s="197"/>
      <c r="GN6" s="197"/>
      <c r="GO6" s="197"/>
      <c r="GP6" s="197"/>
      <c r="GQ6" s="197"/>
      <c r="GR6" s="197"/>
      <c r="GS6" s="197"/>
      <c r="GT6" s="197"/>
      <c r="GU6" s="197"/>
      <c r="GV6" s="197"/>
      <c r="GW6" s="197"/>
      <c r="GX6" s="197"/>
      <c r="GY6" s="197"/>
      <c r="GZ6" s="197"/>
      <c r="HA6" s="197"/>
      <c r="HB6" s="197"/>
      <c r="HC6" s="197"/>
      <c r="HD6" s="197"/>
      <c r="HE6" s="197"/>
      <c r="HF6" s="197"/>
      <c r="HG6" s="197"/>
      <c r="HH6" s="197"/>
      <c r="HI6" s="197"/>
      <c r="HJ6" s="197"/>
      <c r="HK6" s="197"/>
      <c r="HL6" s="197"/>
      <c r="HM6" s="197"/>
      <c r="HN6" s="197"/>
      <c r="HO6" s="197"/>
      <c r="HP6" s="197"/>
      <c r="HQ6" s="197"/>
      <c r="HR6" s="197"/>
      <c r="HS6" s="197"/>
      <c r="HT6" s="197"/>
      <c r="HU6" s="197"/>
      <c r="HV6" s="197"/>
      <c r="HW6" s="197"/>
      <c r="HX6" s="197"/>
      <c r="HY6" s="197"/>
      <c r="HZ6" s="197"/>
      <c r="IA6" s="197"/>
      <c r="IB6" s="197"/>
      <c r="IC6" s="197"/>
      <c r="ID6" s="197"/>
      <c r="IE6" s="197"/>
      <c r="IF6" s="197"/>
      <c r="IG6" s="197"/>
      <c r="IH6" s="197"/>
      <c r="II6" s="197"/>
      <c r="IJ6" s="197"/>
      <c r="IK6" s="197"/>
      <c r="IL6" s="197"/>
      <c r="IM6" s="197"/>
      <c r="IN6" s="197"/>
      <c r="IO6" s="197"/>
      <c r="IP6" s="197"/>
      <c r="IQ6" s="197"/>
      <c r="IR6" s="197"/>
      <c r="IS6" s="197"/>
      <c r="IT6" s="197"/>
      <c r="IU6" s="197"/>
      <c r="IV6" s="197"/>
      <c r="IW6" s="197"/>
      <c r="IX6" s="197"/>
      <c r="IY6" s="197"/>
      <c r="IZ6" s="197"/>
      <c r="JA6" s="197"/>
      <c r="JB6" s="197"/>
      <c r="JC6" s="197"/>
      <c r="JD6" s="197"/>
      <c r="JE6" s="197"/>
      <c r="JF6" s="197"/>
      <c r="JG6" s="197"/>
      <c r="JH6" s="197"/>
      <c r="JI6" s="197"/>
      <c r="JJ6" s="197"/>
      <c r="JK6" s="197"/>
      <c r="JL6" s="197"/>
      <c r="JM6" s="197"/>
      <c r="JN6" s="197"/>
      <c r="JO6" s="197"/>
      <c r="JP6" s="197"/>
      <c r="JQ6" s="197"/>
      <c r="JR6" s="197"/>
      <c r="JS6" s="197"/>
      <c r="JT6" s="197"/>
      <c r="JU6" s="197"/>
      <c r="JV6" s="197"/>
      <c r="JW6" s="197"/>
      <c r="JX6" s="197"/>
      <c r="JY6" s="197"/>
      <c r="JZ6" s="197"/>
      <c r="KA6" s="197"/>
      <c r="KB6" s="197"/>
      <c r="KC6" s="197"/>
      <c r="KD6" s="197"/>
      <c r="KE6" s="197"/>
      <c r="KF6" s="197"/>
      <c r="KG6" s="197"/>
      <c r="KH6" s="197"/>
      <c r="KI6" s="197"/>
      <c r="KJ6" s="197"/>
      <c r="KK6" s="197"/>
      <c r="KL6" s="197"/>
      <c r="KM6" s="197"/>
      <c r="KN6" s="197"/>
      <c r="KO6" s="197"/>
      <c r="KP6" s="197"/>
      <c r="KQ6" s="197"/>
      <c r="KR6" s="197"/>
      <c r="KS6" s="197"/>
      <c r="KT6" s="197"/>
      <c r="KU6" s="197"/>
      <c r="KV6" s="197"/>
      <c r="KW6" s="197"/>
      <c r="KX6" s="197"/>
      <c r="KY6" s="197"/>
      <c r="KZ6" s="197"/>
      <c r="LA6" s="197"/>
      <c r="LB6" s="197"/>
      <c r="LC6" s="197"/>
      <c r="LD6" s="197"/>
      <c r="LE6" s="197"/>
      <c r="LF6" s="197"/>
      <c r="LG6" s="197"/>
      <c r="LH6" s="197"/>
      <c r="LI6" s="197"/>
      <c r="LJ6" s="197"/>
      <c r="LK6" s="197"/>
      <c r="LL6" s="197"/>
      <c r="LM6" s="197"/>
      <c r="LN6" s="197"/>
      <c r="LO6" s="197"/>
      <c r="LP6" s="197"/>
      <c r="LQ6" s="197"/>
      <c r="LR6" s="197"/>
      <c r="LS6" s="197"/>
      <c r="LT6" s="197"/>
      <c r="LU6" s="197"/>
      <c r="LV6" s="197"/>
      <c r="LW6" s="197"/>
      <c r="LX6" s="197"/>
      <c r="LY6" s="197"/>
      <c r="LZ6" s="197"/>
      <c r="MA6" s="197"/>
      <c r="MB6" s="197"/>
    </row>
    <row r="7" spans="1:340" ht="12">
      <c r="B7" s="477"/>
      <c r="C7" s="1128"/>
      <c r="D7" s="482"/>
      <c r="E7" s="483"/>
      <c r="F7" s="483"/>
      <c r="G7" s="484"/>
      <c r="H7" s="483"/>
      <c r="I7" s="485"/>
      <c r="J7" s="486"/>
      <c r="K7" s="487"/>
      <c r="M7" s="713"/>
    </row>
    <row r="8" spans="1:340" s="198" customFormat="1" ht="12">
      <c r="A8" s="197"/>
      <c r="B8" s="488"/>
      <c r="C8" s="1129"/>
      <c r="D8" s="478" t="s">
        <v>182</v>
      </c>
      <c r="E8" s="489"/>
      <c r="F8" s="489"/>
      <c r="G8" s="490"/>
      <c r="H8" s="489"/>
      <c r="I8" s="491"/>
      <c r="J8" s="486"/>
      <c r="K8" s="487"/>
      <c r="L8" s="197"/>
      <c r="M8" s="197"/>
      <c r="N8" s="197"/>
      <c r="O8" s="197"/>
      <c r="P8" s="197"/>
      <c r="Q8" s="197"/>
      <c r="R8" s="197"/>
      <c r="S8" s="197"/>
      <c r="T8" s="197"/>
      <c r="U8" s="197"/>
      <c r="V8" s="197"/>
      <c r="W8" s="197"/>
      <c r="X8" s="197"/>
      <c r="Y8" s="197"/>
      <c r="Z8" s="197"/>
      <c r="AA8" s="197"/>
      <c r="AB8" s="197"/>
      <c r="AC8" s="197"/>
      <c r="AD8" s="197"/>
      <c r="AE8" s="197"/>
      <c r="AF8" s="197"/>
      <c r="AG8" s="197"/>
      <c r="AH8" s="197"/>
      <c r="AI8" s="197"/>
      <c r="AJ8" s="197"/>
      <c r="AK8" s="197"/>
      <c r="AL8" s="197"/>
      <c r="AM8" s="197"/>
      <c r="AN8" s="197"/>
      <c r="AO8" s="197"/>
      <c r="AP8" s="197"/>
      <c r="AQ8" s="197"/>
      <c r="AR8" s="197"/>
      <c r="AS8" s="197"/>
      <c r="AT8" s="197"/>
      <c r="AU8" s="197"/>
      <c r="AV8" s="197"/>
      <c r="AW8" s="197"/>
      <c r="AX8" s="197"/>
      <c r="AY8" s="197"/>
      <c r="AZ8" s="197"/>
      <c r="BA8" s="197"/>
      <c r="BB8" s="197"/>
      <c r="BC8" s="197"/>
      <c r="BD8" s="197"/>
      <c r="BE8" s="197"/>
      <c r="BF8" s="197"/>
      <c r="BG8" s="197"/>
      <c r="BH8" s="197"/>
      <c r="BI8" s="197"/>
      <c r="BJ8" s="197"/>
      <c r="BK8" s="197"/>
      <c r="BL8" s="197"/>
      <c r="BM8" s="197"/>
      <c r="BN8" s="197"/>
      <c r="BO8" s="197"/>
      <c r="BP8" s="197"/>
      <c r="BQ8" s="197"/>
      <c r="BR8" s="197"/>
      <c r="BS8" s="197"/>
      <c r="BT8" s="197"/>
      <c r="BU8" s="197"/>
      <c r="BV8" s="197"/>
      <c r="BW8" s="197"/>
      <c r="BX8" s="197"/>
      <c r="BY8" s="197"/>
      <c r="BZ8" s="197"/>
      <c r="CA8" s="197"/>
      <c r="CB8" s="197"/>
      <c r="CC8" s="197"/>
      <c r="CD8" s="197"/>
      <c r="CE8" s="197"/>
      <c r="CF8" s="197"/>
      <c r="CG8" s="197"/>
      <c r="CH8" s="197"/>
      <c r="CI8" s="197"/>
      <c r="CJ8" s="197"/>
      <c r="CK8" s="197"/>
      <c r="CL8" s="197"/>
      <c r="CM8" s="197"/>
      <c r="CN8" s="197"/>
      <c r="CO8" s="197"/>
      <c r="CP8" s="197"/>
      <c r="CQ8" s="197"/>
      <c r="CR8" s="197"/>
      <c r="CS8" s="197"/>
      <c r="CT8" s="197"/>
      <c r="CU8" s="197"/>
      <c r="CV8" s="197"/>
      <c r="CW8" s="197"/>
      <c r="CX8" s="197"/>
      <c r="CY8" s="197"/>
      <c r="CZ8" s="197"/>
      <c r="DA8" s="197"/>
      <c r="DB8" s="197"/>
      <c r="DC8" s="197"/>
      <c r="DD8" s="197"/>
      <c r="DE8" s="197"/>
      <c r="DF8" s="197"/>
      <c r="DG8" s="197"/>
      <c r="DH8" s="197"/>
      <c r="DI8" s="197"/>
      <c r="DJ8" s="197"/>
      <c r="DK8" s="197"/>
      <c r="DL8" s="197"/>
      <c r="DM8" s="197"/>
      <c r="DN8" s="197"/>
      <c r="DO8" s="197"/>
      <c r="DP8" s="197"/>
      <c r="DQ8" s="197"/>
      <c r="DR8" s="197"/>
      <c r="DS8" s="197"/>
      <c r="DT8" s="197"/>
      <c r="DU8" s="197"/>
      <c r="DV8" s="197"/>
      <c r="DW8" s="197"/>
      <c r="DX8" s="197"/>
      <c r="DY8" s="197"/>
      <c r="DZ8" s="197"/>
      <c r="EA8" s="197"/>
      <c r="EB8" s="197"/>
      <c r="EC8" s="197"/>
      <c r="ED8" s="197"/>
      <c r="EE8" s="197"/>
      <c r="EF8" s="197"/>
      <c r="EG8" s="197"/>
      <c r="EH8" s="197"/>
      <c r="EI8" s="197"/>
      <c r="EJ8" s="197"/>
      <c r="EK8" s="197"/>
      <c r="EL8" s="197"/>
      <c r="EM8" s="197"/>
      <c r="EN8" s="197"/>
      <c r="EO8" s="197"/>
      <c r="EP8" s="197"/>
      <c r="EQ8" s="197"/>
      <c r="ER8" s="197"/>
      <c r="ES8" s="197"/>
      <c r="ET8" s="197"/>
      <c r="EU8" s="197"/>
      <c r="EV8" s="197"/>
      <c r="EW8" s="197"/>
      <c r="EX8" s="197"/>
      <c r="EY8" s="197"/>
      <c r="EZ8" s="197"/>
      <c r="FA8" s="197"/>
      <c r="FB8" s="197"/>
      <c r="FC8" s="197"/>
      <c r="FD8" s="197"/>
      <c r="FE8" s="197"/>
      <c r="FF8" s="197"/>
      <c r="FG8" s="197"/>
      <c r="FH8" s="197"/>
      <c r="FI8" s="197"/>
      <c r="FJ8" s="197"/>
      <c r="FK8" s="197"/>
      <c r="FL8" s="197"/>
      <c r="FM8" s="197"/>
      <c r="FN8" s="197"/>
      <c r="FO8" s="197"/>
      <c r="FP8" s="197"/>
      <c r="FQ8" s="197"/>
      <c r="FR8" s="197"/>
      <c r="FS8" s="197"/>
      <c r="FT8" s="197"/>
      <c r="FU8" s="197"/>
      <c r="FV8" s="197"/>
      <c r="FW8" s="197"/>
      <c r="FX8" s="197"/>
      <c r="FY8" s="197"/>
      <c r="FZ8" s="197"/>
      <c r="GA8" s="197"/>
      <c r="GB8" s="197"/>
      <c r="GC8" s="197"/>
      <c r="GD8" s="197"/>
      <c r="GE8" s="197"/>
      <c r="GF8" s="197"/>
      <c r="GG8" s="197"/>
      <c r="GH8" s="197"/>
      <c r="GI8" s="197"/>
      <c r="GJ8" s="197"/>
      <c r="GK8" s="197"/>
      <c r="GL8" s="197"/>
      <c r="GM8" s="197"/>
      <c r="GN8" s="197"/>
      <c r="GO8" s="197"/>
      <c r="GP8" s="197"/>
      <c r="GQ8" s="197"/>
      <c r="GR8" s="197"/>
      <c r="GS8" s="197"/>
      <c r="GT8" s="197"/>
      <c r="GU8" s="197"/>
      <c r="GV8" s="197"/>
      <c r="GW8" s="197"/>
      <c r="GX8" s="197"/>
      <c r="GY8" s="197"/>
      <c r="GZ8" s="197"/>
      <c r="HA8" s="197"/>
      <c r="HB8" s="197"/>
      <c r="HC8" s="197"/>
      <c r="HD8" s="197"/>
      <c r="HE8" s="197"/>
      <c r="HF8" s="197"/>
      <c r="HG8" s="197"/>
      <c r="HH8" s="197"/>
      <c r="HI8" s="197"/>
      <c r="HJ8" s="197"/>
      <c r="HK8" s="197"/>
      <c r="HL8" s="197"/>
      <c r="HM8" s="197"/>
      <c r="HN8" s="197"/>
      <c r="HO8" s="197"/>
      <c r="HP8" s="197"/>
      <c r="HQ8" s="197"/>
      <c r="HR8" s="197"/>
      <c r="HS8" s="197"/>
      <c r="HT8" s="197"/>
      <c r="HU8" s="197"/>
      <c r="HV8" s="197"/>
      <c r="HW8" s="197"/>
      <c r="HX8" s="197"/>
      <c r="HY8" s="197"/>
      <c r="HZ8" s="197"/>
      <c r="IA8" s="197"/>
      <c r="IB8" s="197"/>
      <c r="IC8" s="197"/>
      <c r="ID8" s="197"/>
      <c r="IE8" s="197"/>
      <c r="IF8" s="197"/>
      <c r="IG8" s="197"/>
      <c r="IH8" s="197"/>
      <c r="II8" s="197"/>
      <c r="IJ8" s="197"/>
      <c r="IK8" s="197"/>
      <c r="IL8" s="197"/>
      <c r="IM8" s="197"/>
      <c r="IN8" s="197"/>
      <c r="IO8" s="197"/>
      <c r="IP8" s="197"/>
      <c r="IQ8" s="197"/>
      <c r="IR8" s="197"/>
      <c r="IS8" s="197"/>
      <c r="IT8" s="197"/>
      <c r="IU8" s="197"/>
      <c r="IV8" s="197"/>
      <c r="IW8" s="197"/>
      <c r="IX8" s="197"/>
      <c r="IY8" s="197"/>
      <c r="IZ8" s="197"/>
      <c r="JA8" s="197"/>
      <c r="JB8" s="197"/>
      <c r="JC8" s="197"/>
      <c r="JD8" s="197"/>
      <c r="JE8" s="197"/>
      <c r="JF8" s="197"/>
      <c r="JG8" s="197"/>
      <c r="JH8" s="197"/>
      <c r="JI8" s="197"/>
      <c r="JJ8" s="197"/>
      <c r="JK8" s="197"/>
      <c r="JL8" s="197"/>
      <c r="JM8" s="197"/>
      <c r="JN8" s="197"/>
      <c r="JO8" s="197"/>
      <c r="JP8" s="197"/>
      <c r="JQ8" s="197"/>
      <c r="JR8" s="197"/>
      <c r="JS8" s="197"/>
      <c r="JT8" s="197"/>
      <c r="JU8" s="197"/>
      <c r="JV8" s="197"/>
      <c r="JW8" s="197"/>
      <c r="JX8" s="197"/>
      <c r="JY8" s="197"/>
      <c r="JZ8" s="197"/>
      <c r="KA8" s="197"/>
      <c r="KB8" s="197"/>
      <c r="KC8" s="197"/>
      <c r="KD8" s="197"/>
      <c r="KE8" s="197"/>
      <c r="KF8" s="197"/>
      <c r="KG8" s="197"/>
      <c r="KH8" s="197"/>
      <c r="KI8" s="197"/>
      <c r="KJ8" s="197"/>
      <c r="KK8" s="197"/>
      <c r="KL8" s="197"/>
      <c r="KM8" s="197"/>
      <c r="KN8" s="197"/>
      <c r="KO8" s="197"/>
      <c r="KP8" s="197"/>
      <c r="KQ8" s="197"/>
      <c r="KR8" s="197"/>
      <c r="KS8" s="197"/>
      <c r="KT8" s="197"/>
      <c r="KU8" s="197"/>
      <c r="KV8" s="197"/>
      <c r="KW8" s="197"/>
      <c r="KX8" s="197"/>
      <c r="KY8" s="197"/>
      <c r="KZ8" s="197"/>
      <c r="LA8" s="197"/>
      <c r="LB8" s="197"/>
      <c r="LC8" s="197"/>
      <c r="LD8" s="197"/>
      <c r="LE8" s="197"/>
      <c r="LF8" s="197"/>
      <c r="LG8" s="197"/>
      <c r="LH8" s="197"/>
      <c r="LI8" s="197"/>
      <c r="LJ8" s="197"/>
      <c r="LK8" s="197"/>
      <c r="LL8" s="197"/>
      <c r="LM8" s="197"/>
      <c r="LN8" s="197"/>
      <c r="LO8" s="197"/>
      <c r="LP8" s="197"/>
      <c r="LQ8" s="197"/>
      <c r="LR8" s="197"/>
      <c r="LS8" s="197"/>
      <c r="LT8" s="197"/>
      <c r="LU8" s="197"/>
      <c r="LV8" s="197"/>
      <c r="LW8" s="197"/>
      <c r="LX8" s="197"/>
      <c r="LY8" s="197"/>
      <c r="LZ8" s="197"/>
      <c r="MA8" s="197"/>
      <c r="MB8" s="197"/>
    </row>
    <row r="9" spans="1:340" ht="12">
      <c r="B9" s="291"/>
      <c r="C9" s="1130"/>
      <c r="D9" s="292"/>
      <c r="E9" s="293"/>
      <c r="F9" s="293"/>
      <c r="G9" s="294"/>
      <c r="H9" s="293"/>
      <c r="I9" s="295"/>
      <c r="J9" s="289"/>
      <c r="K9" s="290"/>
    </row>
    <row r="10" spans="1:340" s="198" customFormat="1" ht="12">
      <c r="A10" s="197"/>
      <c r="B10" s="296"/>
      <c r="C10" s="1131"/>
      <c r="D10" s="297" t="s">
        <v>21</v>
      </c>
      <c r="E10" s="298" t="s">
        <v>140</v>
      </c>
      <c r="F10" s="298" t="s">
        <v>15</v>
      </c>
      <c r="G10" s="299" t="s">
        <v>277</v>
      </c>
      <c r="H10" s="298" t="s">
        <v>181</v>
      </c>
      <c r="I10" s="300" t="s">
        <v>280</v>
      </c>
      <c r="J10" s="301" t="s">
        <v>180</v>
      </c>
      <c r="K10" s="302" t="s">
        <v>179</v>
      </c>
      <c r="L10" s="197"/>
      <c r="M10" s="197"/>
      <c r="N10" s="197"/>
      <c r="O10" s="197"/>
      <c r="P10" s="197"/>
      <c r="Q10" s="197"/>
      <c r="R10" s="197"/>
      <c r="S10" s="197"/>
      <c r="T10" s="197"/>
      <c r="U10" s="197"/>
      <c r="V10" s="197"/>
      <c r="W10" s="197"/>
      <c r="X10" s="197"/>
      <c r="Y10" s="197"/>
      <c r="Z10" s="197"/>
      <c r="AA10" s="197"/>
      <c r="AB10" s="197"/>
      <c r="AC10" s="197"/>
      <c r="AD10" s="197"/>
      <c r="AE10" s="197"/>
      <c r="AF10" s="197"/>
      <c r="AG10" s="197"/>
      <c r="AH10" s="197"/>
      <c r="AI10" s="197"/>
      <c r="AJ10" s="197"/>
      <c r="AK10" s="197"/>
      <c r="AL10" s="197"/>
      <c r="AM10" s="197"/>
      <c r="AN10" s="197"/>
      <c r="AO10" s="197"/>
      <c r="AP10" s="197"/>
      <c r="AQ10" s="197"/>
      <c r="AR10" s="197"/>
      <c r="AS10" s="197"/>
      <c r="AT10" s="197"/>
      <c r="AU10" s="197"/>
      <c r="AV10" s="197"/>
      <c r="AW10" s="197"/>
      <c r="AX10" s="197"/>
      <c r="AY10" s="197"/>
      <c r="AZ10" s="197"/>
      <c r="BA10" s="197"/>
      <c r="BB10" s="197"/>
      <c r="BC10" s="197"/>
      <c r="BD10" s="197"/>
      <c r="BE10" s="197"/>
      <c r="BF10" s="197"/>
      <c r="BG10" s="197"/>
      <c r="BH10" s="197"/>
      <c r="BI10" s="197"/>
      <c r="BJ10" s="197"/>
      <c r="BK10" s="197"/>
      <c r="BL10" s="197"/>
      <c r="BM10" s="197"/>
      <c r="BN10" s="197"/>
      <c r="BO10" s="197"/>
      <c r="BP10" s="197"/>
      <c r="BQ10" s="197"/>
      <c r="BR10" s="197"/>
      <c r="BS10" s="197"/>
      <c r="BT10" s="197"/>
      <c r="BU10" s="197"/>
      <c r="BV10" s="197"/>
      <c r="BW10" s="197"/>
      <c r="BX10" s="197"/>
      <c r="BY10" s="197"/>
      <c r="BZ10" s="197"/>
      <c r="CA10" s="197"/>
      <c r="CB10" s="197"/>
      <c r="CC10" s="197"/>
      <c r="CD10" s="197"/>
      <c r="CE10" s="197"/>
      <c r="CF10" s="197"/>
      <c r="CG10" s="197"/>
      <c r="CH10" s="197"/>
      <c r="CI10" s="197"/>
      <c r="CJ10" s="197"/>
      <c r="CK10" s="197"/>
      <c r="CL10" s="197"/>
      <c r="CM10" s="197"/>
      <c r="CN10" s="197"/>
      <c r="CO10" s="197"/>
      <c r="CP10" s="197"/>
      <c r="CQ10" s="197"/>
      <c r="CR10" s="197"/>
      <c r="CS10" s="197"/>
      <c r="CT10" s="197"/>
      <c r="CU10" s="197"/>
      <c r="CV10" s="197"/>
      <c r="CW10" s="197"/>
      <c r="CX10" s="197"/>
      <c r="CY10" s="197"/>
      <c r="CZ10" s="197"/>
      <c r="DA10" s="197"/>
      <c r="DB10" s="197"/>
      <c r="DC10" s="197"/>
      <c r="DD10" s="197"/>
      <c r="DE10" s="197"/>
      <c r="DF10" s="197"/>
      <c r="DG10" s="197"/>
      <c r="DH10" s="197"/>
      <c r="DI10" s="197"/>
      <c r="DJ10" s="197"/>
      <c r="DK10" s="197"/>
      <c r="DL10" s="197"/>
      <c r="DM10" s="197"/>
      <c r="DN10" s="197"/>
      <c r="DO10" s="197"/>
      <c r="DP10" s="197"/>
      <c r="DQ10" s="197"/>
      <c r="DR10" s="197"/>
      <c r="DS10" s="197"/>
      <c r="DT10" s="197"/>
      <c r="DU10" s="197"/>
      <c r="DV10" s="197"/>
      <c r="DW10" s="197"/>
      <c r="DX10" s="197"/>
      <c r="DY10" s="197"/>
      <c r="DZ10" s="197"/>
      <c r="EA10" s="197"/>
      <c r="EB10" s="197"/>
      <c r="EC10" s="197"/>
      <c r="ED10" s="197"/>
      <c r="EE10" s="197"/>
      <c r="EF10" s="197"/>
      <c r="EG10" s="197"/>
      <c r="EH10" s="197"/>
      <c r="EI10" s="197"/>
      <c r="EJ10" s="197"/>
      <c r="EK10" s="197"/>
      <c r="EL10" s="197"/>
      <c r="EM10" s="197"/>
      <c r="EN10" s="197"/>
      <c r="EO10" s="197"/>
      <c r="EP10" s="197"/>
      <c r="EQ10" s="197"/>
      <c r="ER10" s="197"/>
      <c r="ES10" s="197"/>
      <c r="ET10" s="197"/>
      <c r="EU10" s="197"/>
      <c r="EV10" s="197"/>
      <c r="EW10" s="197"/>
      <c r="EX10" s="197"/>
      <c r="EY10" s="197"/>
      <c r="EZ10" s="197"/>
      <c r="FA10" s="197"/>
      <c r="FB10" s="197"/>
      <c r="FC10" s="197"/>
      <c r="FD10" s="197"/>
      <c r="FE10" s="197"/>
      <c r="FF10" s="197"/>
      <c r="FG10" s="197"/>
      <c r="FH10" s="197"/>
      <c r="FI10" s="197"/>
      <c r="FJ10" s="197"/>
      <c r="FK10" s="197"/>
      <c r="FL10" s="197"/>
      <c r="FM10" s="197"/>
      <c r="FN10" s="197"/>
      <c r="FO10" s="197"/>
      <c r="FP10" s="197"/>
      <c r="FQ10" s="197"/>
      <c r="FR10" s="197"/>
      <c r="FS10" s="197"/>
      <c r="FT10" s="197"/>
      <c r="FU10" s="197"/>
      <c r="FV10" s="197"/>
      <c r="FW10" s="197"/>
      <c r="FX10" s="197"/>
      <c r="FY10" s="197"/>
      <c r="FZ10" s="197"/>
      <c r="GA10" s="197"/>
      <c r="GB10" s="197"/>
      <c r="GC10" s="197"/>
      <c r="GD10" s="197"/>
      <c r="GE10" s="197"/>
      <c r="GF10" s="197"/>
      <c r="GG10" s="197"/>
      <c r="GH10" s="197"/>
      <c r="GI10" s="197"/>
      <c r="GJ10" s="197"/>
      <c r="GK10" s="197"/>
      <c r="GL10" s="197"/>
      <c r="GM10" s="197"/>
      <c r="GN10" s="197"/>
      <c r="GO10" s="197"/>
      <c r="GP10" s="197"/>
      <c r="GQ10" s="197"/>
      <c r="GR10" s="197"/>
      <c r="GS10" s="197"/>
      <c r="GT10" s="197"/>
      <c r="GU10" s="197"/>
      <c r="GV10" s="197"/>
      <c r="GW10" s="197"/>
      <c r="GX10" s="197"/>
      <c r="GY10" s="197"/>
      <c r="GZ10" s="197"/>
      <c r="HA10" s="197"/>
      <c r="HB10" s="197"/>
      <c r="HC10" s="197"/>
      <c r="HD10" s="197"/>
      <c r="HE10" s="197"/>
      <c r="HF10" s="197"/>
      <c r="HG10" s="197"/>
      <c r="HH10" s="197"/>
      <c r="HI10" s="197"/>
      <c r="HJ10" s="197"/>
      <c r="HK10" s="197"/>
      <c r="HL10" s="197"/>
      <c r="HM10" s="197"/>
      <c r="HN10" s="197"/>
      <c r="HO10" s="197"/>
      <c r="HP10" s="197"/>
      <c r="HQ10" s="197"/>
      <c r="HR10" s="197"/>
      <c r="HS10" s="197"/>
      <c r="HT10" s="197"/>
      <c r="HU10" s="197"/>
      <c r="HV10" s="197"/>
      <c r="HW10" s="197"/>
      <c r="HX10" s="197"/>
      <c r="HY10" s="197"/>
      <c r="HZ10" s="197"/>
      <c r="IA10" s="197"/>
      <c r="IB10" s="197"/>
      <c r="IC10" s="197"/>
      <c r="ID10" s="197"/>
      <c r="IE10" s="197"/>
      <c r="IF10" s="197"/>
      <c r="IG10" s="197"/>
      <c r="IH10" s="197"/>
      <c r="II10" s="197"/>
      <c r="IJ10" s="197"/>
      <c r="IK10" s="197"/>
      <c r="IL10" s="197"/>
      <c r="IM10" s="197"/>
      <c r="IN10" s="197"/>
      <c r="IO10" s="197"/>
      <c r="IP10" s="197"/>
      <c r="IQ10" s="197"/>
      <c r="IR10" s="197"/>
      <c r="IS10" s="197"/>
      <c r="IT10" s="197"/>
      <c r="IU10" s="197"/>
      <c r="IV10" s="197"/>
      <c r="IW10" s="197"/>
      <c r="IX10" s="197"/>
      <c r="IY10" s="197"/>
      <c r="IZ10" s="197"/>
      <c r="JA10" s="197"/>
      <c r="JB10" s="197"/>
      <c r="JC10" s="197"/>
      <c r="JD10" s="197"/>
      <c r="JE10" s="197"/>
      <c r="JF10" s="197"/>
      <c r="JG10" s="197"/>
      <c r="JH10" s="197"/>
      <c r="JI10" s="197"/>
      <c r="JJ10" s="197"/>
      <c r="JK10" s="197"/>
      <c r="JL10" s="197"/>
      <c r="JM10" s="197"/>
      <c r="JN10" s="197"/>
      <c r="JO10" s="197"/>
      <c r="JP10" s="197"/>
      <c r="JQ10" s="197"/>
      <c r="JR10" s="197"/>
      <c r="JS10" s="197"/>
      <c r="JT10" s="197"/>
      <c r="JU10" s="197"/>
      <c r="JV10" s="197"/>
      <c r="JW10" s="197"/>
      <c r="JX10" s="197"/>
      <c r="JY10" s="197"/>
      <c r="JZ10" s="197"/>
      <c r="KA10" s="197"/>
      <c r="KB10" s="197"/>
      <c r="KC10" s="197"/>
      <c r="KD10" s="197"/>
      <c r="KE10" s="197"/>
      <c r="KF10" s="197"/>
      <c r="KG10" s="197"/>
      <c r="KH10" s="197"/>
      <c r="KI10" s="197"/>
      <c r="KJ10" s="197"/>
      <c r="KK10" s="197"/>
      <c r="KL10" s="197"/>
      <c r="KM10" s="197"/>
      <c r="KN10" s="197"/>
      <c r="KO10" s="197"/>
      <c r="KP10" s="197"/>
      <c r="KQ10" s="197"/>
      <c r="KR10" s="197"/>
      <c r="KS10" s="197"/>
      <c r="KT10" s="197"/>
      <c r="KU10" s="197"/>
      <c r="KV10" s="197"/>
      <c r="KW10" s="197"/>
      <c r="KX10" s="197"/>
      <c r="KY10" s="197"/>
      <c r="KZ10" s="197"/>
      <c r="LA10" s="197"/>
      <c r="LB10" s="197"/>
      <c r="LC10" s="197"/>
      <c r="LD10" s="197"/>
      <c r="LE10" s="197"/>
      <c r="LF10" s="197"/>
      <c r="LG10" s="197"/>
      <c r="LH10" s="197"/>
      <c r="LI10" s="197"/>
      <c r="LJ10" s="197"/>
      <c r="LK10" s="197"/>
      <c r="LL10" s="197"/>
      <c r="LM10" s="197"/>
      <c r="LN10" s="197"/>
      <c r="LO10" s="197"/>
      <c r="LP10" s="197"/>
      <c r="LQ10" s="197"/>
      <c r="LR10" s="197"/>
      <c r="LS10" s="197"/>
      <c r="LT10" s="197"/>
      <c r="LU10" s="197"/>
      <c r="LV10" s="197"/>
      <c r="LW10" s="197"/>
      <c r="LX10" s="197"/>
      <c r="LY10" s="197"/>
      <c r="LZ10" s="197"/>
      <c r="MA10" s="197"/>
      <c r="MB10" s="197"/>
    </row>
    <row r="11" spans="1:340" ht="12">
      <c r="B11" s="303"/>
      <c r="C11" s="1132"/>
      <c r="D11" s="304"/>
      <c r="E11" s="305"/>
      <c r="F11" s="305"/>
      <c r="G11" s="306"/>
      <c r="H11" s="305"/>
      <c r="I11" s="307"/>
      <c r="J11" s="308"/>
      <c r="K11" s="309"/>
    </row>
    <row r="12" spans="1:340" s="198" customFormat="1" ht="12">
      <c r="A12" s="197"/>
      <c r="B12" s="633">
        <v>1</v>
      </c>
      <c r="C12" s="1133" t="s">
        <v>667</v>
      </c>
      <c r="D12" s="634" t="s">
        <v>178</v>
      </c>
      <c r="E12" s="635"/>
      <c r="F12" s="635"/>
      <c r="G12" s="636"/>
      <c r="H12" s="635"/>
      <c r="I12" s="637"/>
      <c r="J12" s="638"/>
      <c r="K12" s="639"/>
      <c r="L12" s="197"/>
      <c r="M12" s="197"/>
      <c r="N12" s="197"/>
      <c r="O12" s="197"/>
      <c r="P12" s="197"/>
      <c r="Q12" s="197"/>
      <c r="R12" s="197"/>
      <c r="S12" s="197"/>
      <c r="T12" s="197"/>
      <c r="U12" s="197"/>
      <c r="V12" s="197"/>
      <c r="W12" s="197"/>
      <c r="X12" s="197"/>
      <c r="Y12" s="197"/>
      <c r="Z12" s="197"/>
      <c r="AA12" s="197"/>
      <c r="AB12" s="197"/>
      <c r="AC12" s="197"/>
      <c r="AD12" s="197"/>
      <c r="AE12" s="197"/>
      <c r="AF12" s="197"/>
      <c r="AG12" s="197"/>
      <c r="AH12" s="197"/>
      <c r="AI12" s="197"/>
      <c r="AJ12" s="197"/>
      <c r="AK12" s="197"/>
      <c r="AL12" s="197"/>
      <c r="AM12" s="197"/>
      <c r="AN12" s="197"/>
      <c r="AO12" s="197"/>
      <c r="AP12" s="197"/>
      <c r="AQ12" s="197"/>
      <c r="AR12" s="197"/>
      <c r="AS12" s="197"/>
      <c r="AT12" s="197"/>
      <c r="AU12" s="197"/>
      <c r="AV12" s="197"/>
      <c r="AW12" s="197"/>
      <c r="AX12" s="197"/>
      <c r="AY12" s="197"/>
      <c r="AZ12" s="197"/>
      <c r="BA12" s="197"/>
      <c r="BB12" s="197"/>
      <c r="BC12" s="197"/>
      <c r="BD12" s="197"/>
      <c r="BE12" s="197"/>
      <c r="BF12" s="197"/>
      <c r="BG12" s="197"/>
      <c r="BH12" s="197"/>
      <c r="BI12" s="197"/>
      <c r="BJ12" s="197"/>
      <c r="BK12" s="197"/>
      <c r="BL12" s="197"/>
      <c r="BM12" s="197"/>
      <c r="BN12" s="197"/>
      <c r="BO12" s="197"/>
      <c r="BP12" s="197"/>
      <c r="BQ12" s="197"/>
      <c r="BR12" s="197"/>
      <c r="BS12" s="197"/>
      <c r="BT12" s="197"/>
      <c r="BU12" s="197"/>
      <c r="BV12" s="197"/>
      <c r="BW12" s="197"/>
      <c r="BX12" s="197"/>
      <c r="BY12" s="197"/>
      <c r="BZ12" s="197"/>
      <c r="CA12" s="197"/>
      <c r="CB12" s="197"/>
      <c r="CC12" s="197"/>
      <c r="CD12" s="197"/>
      <c r="CE12" s="197"/>
      <c r="CF12" s="197"/>
      <c r="CG12" s="197"/>
      <c r="CH12" s="197"/>
      <c r="CI12" s="197"/>
      <c r="CJ12" s="197"/>
      <c r="CK12" s="197"/>
      <c r="CL12" s="197"/>
      <c r="CM12" s="197"/>
      <c r="CN12" s="197"/>
      <c r="CO12" s="197"/>
      <c r="CP12" s="197"/>
      <c r="CQ12" s="197"/>
      <c r="CR12" s="197"/>
      <c r="CS12" s="197"/>
      <c r="CT12" s="197"/>
      <c r="CU12" s="197"/>
      <c r="CV12" s="197"/>
      <c r="CW12" s="197"/>
      <c r="CX12" s="197"/>
      <c r="CY12" s="197"/>
      <c r="CZ12" s="197"/>
      <c r="DA12" s="197"/>
      <c r="DB12" s="197"/>
      <c r="DC12" s="197"/>
      <c r="DD12" s="197"/>
      <c r="DE12" s="197"/>
      <c r="DF12" s="197"/>
      <c r="DG12" s="197"/>
      <c r="DH12" s="197"/>
      <c r="DI12" s="197"/>
      <c r="DJ12" s="197"/>
      <c r="DK12" s="197"/>
      <c r="DL12" s="197"/>
      <c r="DM12" s="197"/>
      <c r="DN12" s="197"/>
      <c r="DO12" s="197"/>
      <c r="DP12" s="197"/>
      <c r="DQ12" s="197"/>
      <c r="DR12" s="197"/>
      <c r="DS12" s="197"/>
      <c r="DT12" s="197"/>
      <c r="DU12" s="197"/>
      <c r="DV12" s="197"/>
      <c r="DW12" s="197"/>
      <c r="DX12" s="197"/>
      <c r="DY12" s="197"/>
      <c r="DZ12" s="197"/>
      <c r="EA12" s="197"/>
      <c r="EB12" s="197"/>
      <c r="EC12" s="197"/>
      <c r="ED12" s="197"/>
      <c r="EE12" s="197"/>
      <c r="EF12" s="197"/>
      <c r="EG12" s="197"/>
      <c r="EH12" s="197"/>
      <c r="EI12" s="197"/>
      <c r="EJ12" s="197"/>
      <c r="EK12" s="197"/>
      <c r="EL12" s="197"/>
      <c r="EM12" s="197"/>
      <c r="EN12" s="197"/>
      <c r="EO12" s="197"/>
      <c r="EP12" s="197"/>
      <c r="EQ12" s="197"/>
      <c r="ER12" s="197"/>
      <c r="ES12" s="197"/>
      <c r="ET12" s="197"/>
      <c r="EU12" s="197"/>
      <c r="EV12" s="197"/>
      <c r="EW12" s="197"/>
      <c r="EX12" s="197"/>
      <c r="EY12" s="197"/>
      <c r="EZ12" s="197"/>
      <c r="FA12" s="197"/>
      <c r="FB12" s="197"/>
      <c r="FC12" s="197"/>
      <c r="FD12" s="197"/>
      <c r="FE12" s="197"/>
      <c r="FF12" s="197"/>
      <c r="FG12" s="197"/>
      <c r="FH12" s="197"/>
      <c r="FI12" s="197"/>
      <c r="FJ12" s="197"/>
      <c r="FK12" s="197"/>
      <c r="FL12" s="197"/>
      <c r="FM12" s="197"/>
      <c r="FN12" s="197"/>
      <c r="FO12" s="197"/>
      <c r="FP12" s="197"/>
      <c r="FQ12" s="197"/>
      <c r="FR12" s="197"/>
      <c r="FS12" s="197"/>
      <c r="FT12" s="197"/>
      <c r="FU12" s="197"/>
      <c r="FV12" s="197"/>
      <c r="FW12" s="197"/>
      <c r="FX12" s="197"/>
      <c r="FY12" s="197"/>
      <c r="FZ12" s="197"/>
      <c r="GA12" s="197"/>
      <c r="GB12" s="197"/>
      <c r="GC12" s="197"/>
      <c r="GD12" s="197"/>
      <c r="GE12" s="197"/>
      <c r="GF12" s="197"/>
      <c r="GG12" s="197"/>
      <c r="GH12" s="197"/>
      <c r="GI12" s="197"/>
      <c r="GJ12" s="197"/>
      <c r="GK12" s="197"/>
      <c r="GL12" s="197"/>
      <c r="GM12" s="197"/>
      <c r="GN12" s="197"/>
      <c r="GO12" s="197"/>
      <c r="GP12" s="197"/>
      <c r="GQ12" s="197"/>
      <c r="GR12" s="197"/>
      <c r="GS12" s="197"/>
      <c r="GT12" s="197"/>
      <c r="GU12" s="197"/>
      <c r="GV12" s="197"/>
      <c r="GW12" s="197"/>
      <c r="GX12" s="197"/>
      <c r="GY12" s="197"/>
      <c r="GZ12" s="197"/>
      <c r="HA12" s="197"/>
      <c r="HB12" s="197"/>
      <c r="HC12" s="197"/>
      <c r="HD12" s="197"/>
      <c r="HE12" s="197"/>
      <c r="HF12" s="197"/>
      <c r="HG12" s="197"/>
      <c r="HH12" s="197"/>
      <c r="HI12" s="197"/>
      <c r="HJ12" s="197"/>
      <c r="HK12" s="197"/>
      <c r="HL12" s="197"/>
      <c r="HM12" s="197"/>
      <c r="HN12" s="197"/>
      <c r="HO12" s="197"/>
      <c r="HP12" s="197"/>
      <c r="HQ12" s="197"/>
      <c r="HR12" s="197"/>
      <c r="HS12" s="197"/>
      <c r="HT12" s="197"/>
      <c r="HU12" s="197"/>
      <c r="HV12" s="197"/>
      <c r="HW12" s="197"/>
      <c r="HX12" s="197"/>
      <c r="HY12" s="197"/>
      <c r="HZ12" s="197"/>
      <c r="IA12" s="197"/>
      <c r="IB12" s="197"/>
      <c r="IC12" s="197"/>
      <c r="ID12" s="197"/>
      <c r="IE12" s="197"/>
      <c r="IF12" s="197"/>
      <c r="IG12" s="197"/>
      <c r="IH12" s="197"/>
      <c r="II12" s="197"/>
      <c r="IJ12" s="197"/>
      <c r="IK12" s="197"/>
      <c r="IL12" s="197"/>
      <c r="IM12" s="197"/>
      <c r="IN12" s="197"/>
      <c r="IO12" s="197"/>
      <c r="IP12" s="197"/>
      <c r="IQ12" s="197"/>
      <c r="IR12" s="197"/>
      <c r="IS12" s="197"/>
      <c r="IT12" s="197"/>
      <c r="IU12" s="197"/>
      <c r="IV12" s="197"/>
      <c r="IW12" s="197"/>
      <c r="IX12" s="197"/>
      <c r="IY12" s="197"/>
      <c r="IZ12" s="197"/>
      <c r="JA12" s="197"/>
      <c r="JB12" s="197"/>
      <c r="JC12" s="197"/>
      <c r="JD12" s="197"/>
      <c r="JE12" s="197"/>
      <c r="JF12" s="197"/>
      <c r="JG12" s="197"/>
      <c r="JH12" s="197"/>
      <c r="JI12" s="197"/>
      <c r="JJ12" s="197"/>
      <c r="JK12" s="197"/>
      <c r="JL12" s="197"/>
      <c r="JM12" s="197"/>
      <c r="JN12" s="197"/>
      <c r="JO12" s="197"/>
      <c r="JP12" s="197"/>
      <c r="JQ12" s="197"/>
      <c r="JR12" s="197"/>
      <c r="JS12" s="197"/>
      <c r="JT12" s="197"/>
      <c r="JU12" s="197"/>
      <c r="JV12" s="197"/>
      <c r="JW12" s="197"/>
      <c r="JX12" s="197"/>
      <c r="JY12" s="197"/>
      <c r="JZ12" s="197"/>
      <c r="KA12" s="197"/>
      <c r="KB12" s="197"/>
      <c r="KC12" s="197"/>
      <c r="KD12" s="197"/>
      <c r="KE12" s="197"/>
      <c r="KF12" s="197"/>
      <c r="KG12" s="197"/>
      <c r="KH12" s="197"/>
      <c r="KI12" s="197"/>
      <c r="KJ12" s="197"/>
      <c r="KK12" s="197"/>
      <c r="KL12" s="197"/>
      <c r="KM12" s="197"/>
      <c r="KN12" s="197"/>
      <c r="KO12" s="197"/>
      <c r="KP12" s="197"/>
      <c r="KQ12" s="197"/>
      <c r="KR12" s="197"/>
      <c r="KS12" s="197"/>
      <c r="KT12" s="197"/>
      <c r="KU12" s="197"/>
      <c r="KV12" s="197"/>
      <c r="KW12" s="197"/>
      <c r="KX12" s="197"/>
      <c r="KY12" s="197"/>
      <c r="KZ12" s="197"/>
      <c r="LA12" s="197"/>
      <c r="LB12" s="197"/>
      <c r="LC12" s="197"/>
      <c r="LD12" s="197"/>
      <c r="LE12" s="197"/>
      <c r="LF12" s="197"/>
      <c r="LG12" s="197"/>
      <c r="LH12" s="197"/>
      <c r="LI12" s="197"/>
      <c r="LJ12" s="197"/>
      <c r="LK12" s="197"/>
      <c r="LL12" s="197"/>
      <c r="LM12" s="197"/>
      <c r="LN12" s="197"/>
      <c r="LO12" s="197"/>
      <c r="LP12" s="197"/>
      <c r="LQ12" s="197"/>
      <c r="LR12" s="197"/>
      <c r="LS12" s="197"/>
      <c r="LT12" s="197"/>
      <c r="LU12" s="197"/>
      <c r="LV12" s="197"/>
      <c r="LW12" s="197"/>
      <c r="LX12" s="197"/>
      <c r="LY12" s="197"/>
      <c r="LZ12" s="197"/>
      <c r="MA12" s="197"/>
      <c r="MB12" s="197"/>
    </row>
    <row r="13" spans="1:340" ht="12">
      <c r="B13" s="303" t="s">
        <v>177</v>
      </c>
      <c r="C13" s="1132">
        <v>1</v>
      </c>
      <c r="D13" s="310" t="s">
        <v>278</v>
      </c>
      <c r="E13" s="311" t="s">
        <v>164</v>
      </c>
      <c r="F13" s="547">
        <f>+J6+1</f>
        <v>4</v>
      </c>
      <c r="G13" s="1503">
        <f>+FP!C12</f>
        <v>6174985</v>
      </c>
      <c r="H13" s="314">
        <v>0.5</v>
      </c>
      <c r="I13" s="326">
        <f>+FP!D47</f>
        <v>1.6529</v>
      </c>
      <c r="J13" s="1503">
        <f>+G13*H13*I13</f>
        <v>5103316.3532499997</v>
      </c>
      <c r="K13" s="315">
        <f>+J13*F13*C13</f>
        <v>20413265.412999999</v>
      </c>
    </row>
    <row r="14" spans="1:340" ht="12">
      <c r="B14" s="303" t="s">
        <v>176</v>
      </c>
      <c r="C14" s="1132">
        <v>1</v>
      </c>
      <c r="D14" s="310" t="s">
        <v>669</v>
      </c>
      <c r="E14" s="311" t="s">
        <v>164</v>
      </c>
      <c r="F14" s="547">
        <f>+$J$6</f>
        <v>3</v>
      </c>
      <c r="G14" s="1503">
        <f>+FP!G12</f>
        <v>3434120.1002000002</v>
      </c>
      <c r="H14" s="314">
        <v>1</v>
      </c>
      <c r="I14" s="326">
        <f>+FP!H47</f>
        <v>1.7229000000000001</v>
      </c>
      <c r="J14" s="1503">
        <f t="shared" ref="J14:J21" si="0">+G14*H14*I14</f>
        <v>5916645.5206345804</v>
      </c>
      <c r="K14" s="315">
        <f>+J14*F14*C14</f>
        <v>17749936.561903741</v>
      </c>
    </row>
    <row r="15" spans="1:340" ht="12">
      <c r="B15" s="303" t="s">
        <v>175</v>
      </c>
      <c r="C15" s="1132">
        <v>1</v>
      </c>
      <c r="D15" s="316" t="s">
        <v>718</v>
      </c>
      <c r="E15" s="311" t="s">
        <v>164</v>
      </c>
      <c r="F15" s="547">
        <f t="shared" ref="F15:F22" si="1">+$J$6</f>
        <v>3</v>
      </c>
      <c r="G15" s="1503">
        <f>+FP!AC12</f>
        <v>1300000</v>
      </c>
      <c r="H15" s="314">
        <v>1</v>
      </c>
      <c r="I15" s="326">
        <f>+FP!AD47</f>
        <v>1.8304</v>
      </c>
      <c r="J15" s="1503">
        <f t="shared" si="0"/>
        <v>2379520</v>
      </c>
      <c r="K15" s="315">
        <f t="shared" ref="K15:K20" si="2">+J15*F15*C15</f>
        <v>7138560</v>
      </c>
    </row>
    <row r="16" spans="1:340" ht="12">
      <c r="B16" s="303" t="s">
        <v>174</v>
      </c>
      <c r="C16" s="1132">
        <v>1</v>
      </c>
      <c r="D16" s="310" t="s">
        <v>922</v>
      </c>
      <c r="E16" s="311" t="s">
        <v>164</v>
      </c>
      <c r="F16" s="547">
        <f t="shared" si="1"/>
        <v>3</v>
      </c>
      <c r="G16" s="1503">
        <f>+FP!AA12</f>
        <v>1300000</v>
      </c>
      <c r="H16" s="314">
        <v>1</v>
      </c>
      <c r="I16" s="326">
        <f>+FP!AB47</f>
        <v>1.8704000000000001</v>
      </c>
      <c r="J16" s="1503">
        <f t="shared" si="0"/>
        <v>2431520</v>
      </c>
      <c r="K16" s="315">
        <f t="shared" si="2"/>
        <v>7294560</v>
      </c>
    </row>
    <row r="17" spans="1:340" ht="12">
      <c r="B17" s="303" t="s">
        <v>173</v>
      </c>
      <c r="C17" s="1132">
        <v>1</v>
      </c>
      <c r="D17" s="310" t="s">
        <v>279</v>
      </c>
      <c r="E17" s="311" t="s">
        <v>164</v>
      </c>
      <c r="F17" s="547">
        <f t="shared" si="1"/>
        <v>3</v>
      </c>
      <c r="G17" s="1503">
        <f>+FP!M12</f>
        <v>3737870.83</v>
      </c>
      <c r="H17" s="314">
        <v>0.25</v>
      </c>
      <c r="I17" s="326">
        <f>+FP!N47</f>
        <v>1.6329</v>
      </c>
      <c r="J17" s="1503">
        <f t="shared" si="0"/>
        <v>1525892.31957675</v>
      </c>
      <c r="K17" s="315">
        <f t="shared" si="2"/>
        <v>4577676.9587302506</v>
      </c>
    </row>
    <row r="18" spans="1:340" ht="12">
      <c r="B18" s="303" t="s">
        <v>172</v>
      </c>
      <c r="C18" s="1132">
        <v>1</v>
      </c>
      <c r="D18" s="310" t="s">
        <v>192</v>
      </c>
      <c r="E18" s="311" t="s">
        <v>164</v>
      </c>
      <c r="F18" s="547">
        <f t="shared" si="1"/>
        <v>3</v>
      </c>
      <c r="G18" s="1503">
        <f>+FP!AG12</f>
        <v>1388166.6666666667</v>
      </c>
      <c r="H18" s="314">
        <v>1</v>
      </c>
      <c r="I18" s="326">
        <f>+FP!AH47</f>
        <v>1.7616000000000001</v>
      </c>
      <c r="J18" s="1503">
        <f t="shared" si="0"/>
        <v>2445394.4000000004</v>
      </c>
      <c r="K18" s="315">
        <f t="shared" si="2"/>
        <v>7336183.2000000011</v>
      </c>
    </row>
    <row r="19" spans="1:340" ht="12">
      <c r="B19" s="303" t="s">
        <v>171</v>
      </c>
      <c r="C19" s="1132">
        <v>1</v>
      </c>
      <c r="D19" s="544" t="s">
        <v>892</v>
      </c>
      <c r="E19" s="545" t="s">
        <v>164</v>
      </c>
      <c r="F19" s="547">
        <f t="shared" si="1"/>
        <v>3</v>
      </c>
      <c r="G19" s="1504">
        <f>+FP!Q12</f>
        <v>2314516.8498666664</v>
      </c>
      <c r="H19" s="546">
        <v>1</v>
      </c>
      <c r="I19" s="546">
        <f>+FP!R47</f>
        <v>1.8467</v>
      </c>
      <c r="J19" s="1503">
        <f t="shared" ref="J19" si="3">+G19*H19*I19</f>
        <v>4274218.2666487731</v>
      </c>
      <c r="K19" s="315">
        <f>+J19*F19*C19</f>
        <v>12822654.799946319</v>
      </c>
    </row>
    <row r="20" spans="1:340" ht="12">
      <c r="B20" s="303" t="s">
        <v>170</v>
      </c>
      <c r="C20" s="1132">
        <v>1</v>
      </c>
      <c r="D20" s="316" t="s">
        <v>758</v>
      </c>
      <c r="E20" s="493" t="s">
        <v>164</v>
      </c>
      <c r="F20" s="547">
        <f t="shared" si="1"/>
        <v>3</v>
      </c>
      <c r="G20" s="1505">
        <f>+FP!W12</f>
        <v>1634033.3333333333</v>
      </c>
      <c r="H20" s="498">
        <v>1</v>
      </c>
      <c r="I20" s="499">
        <f>+FP!X47</f>
        <v>1.8815</v>
      </c>
      <c r="J20" s="1505">
        <f t="shared" si="0"/>
        <v>3074433.7166666663</v>
      </c>
      <c r="K20" s="315">
        <f t="shared" si="2"/>
        <v>9223301.1499999985</v>
      </c>
    </row>
    <row r="21" spans="1:340" ht="12">
      <c r="B21" s="303" t="s">
        <v>169</v>
      </c>
      <c r="C21" s="1132">
        <v>1</v>
      </c>
      <c r="D21" s="316" t="s">
        <v>501</v>
      </c>
      <c r="E21" s="493" t="s">
        <v>164</v>
      </c>
      <c r="F21" s="547">
        <f t="shared" si="1"/>
        <v>3</v>
      </c>
      <c r="G21" s="1505">
        <f>+FP!Y12</f>
        <v>1300000</v>
      </c>
      <c r="H21" s="498">
        <v>1</v>
      </c>
      <c r="I21" s="499">
        <f>+FP!Z47</f>
        <v>1.7774999999999999</v>
      </c>
      <c r="J21" s="1505">
        <f t="shared" si="0"/>
        <v>2310750</v>
      </c>
      <c r="K21" s="315">
        <f>+J21*F21*C21</f>
        <v>6932250</v>
      </c>
    </row>
    <row r="22" spans="1:340" ht="12">
      <c r="B22" s="303" t="s">
        <v>404</v>
      </c>
      <c r="C22" s="1132">
        <v>1</v>
      </c>
      <c r="D22" s="316" t="s">
        <v>668</v>
      </c>
      <c r="E22" s="606" t="s">
        <v>164</v>
      </c>
      <c r="F22" s="547">
        <f t="shared" si="1"/>
        <v>3</v>
      </c>
      <c r="G22" s="1506">
        <f>+FP!S12</f>
        <v>5671970.0300000003</v>
      </c>
      <c r="H22" s="608">
        <v>0.25</v>
      </c>
      <c r="I22" s="608">
        <f>+I13</f>
        <v>1.6529</v>
      </c>
      <c r="J22" s="1505">
        <f t="shared" ref="J22" si="4">+G22*H22*I22</f>
        <v>2343799.8156467504</v>
      </c>
      <c r="K22" s="315">
        <f>+J22*F22*C22</f>
        <v>7031399.4469402507</v>
      </c>
    </row>
    <row r="23" spans="1:340" ht="12">
      <c r="B23" s="492"/>
      <c r="C23" s="1134"/>
      <c r="D23" s="478" t="s">
        <v>362</v>
      </c>
      <c r="E23" s="493"/>
      <c r="F23" s="494"/>
      <c r="G23" s="495"/>
      <c r="H23" s="496"/>
      <c r="I23" s="500"/>
      <c r="J23" s="497"/>
      <c r="K23" s="501">
        <f>+SUM(K13:K22)</f>
        <v>100519787.53052056</v>
      </c>
    </row>
    <row r="24" spans="1:340" ht="12">
      <c r="B24" s="317"/>
      <c r="C24" s="1132"/>
      <c r="D24" s="318"/>
      <c r="E24" s="319"/>
      <c r="F24" s="442"/>
      <c r="G24" s="320"/>
      <c r="H24" s="319"/>
      <c r="I24" s="319"/>
      <c r="J24" s="321"/>
      <c r="K24" s="322"/>
    </row>
    <row r="25" spans="1:340" s="198" customFormat="1" ht="12">
      <c r="A25" s="197"/>
      <c r="B25" s="633">
        <v>2</v>
      </c>
      <c r="C25" s="1133"/>
      <c r="D25" s="634" t="s">
        <v>168</v>
      </c>
      <c r="E25" s="635"/>
      <c r="F25" s="635"/>
      <c r="G25" s="636"/>
      <c r="H25" s="635"/>
      <c r="I25" s="637"/>
      <c r="J25" s="638"/>
      <c r="K25" s="639"/>
      <c r="L25" s="197"/>
      <c r="M25" s="197"/>
      <c r="N25" s="197"/>
      <c r="O25" s="197"/>
      <c r="P25" s="197"/>
      <c r="Q25" s="197"/>
      <c r="R25" s="197"/>
      <c r="S25" s="197"/>
      <c r="T25" s="197"/>
      <c r="U25" s="197"/>
      <c r="V25" s="197"/>
      <c r="W25" s="197"/>
      <c r="X25" s="197"/>
      <c r="Y25" s="197"/>
      <c r="Z25" s="197"/>
      <c r="AA25" s="197"/>
      <c r="AB25" s="197"/>
      <c r="AC25" s="197"/>
      <c r="AD25" s="197"/>
      <c r="AE25" s="197"/>
      <c r="AF25" s="197"/>
      <c r="AG25" s="197"/>
      <c r="AH25" s="197"/>
      <c r="AI25" s="197"/>
      <c r="AJ25" s="197"/>
      <c r="AK25" s="197"/>
      <c r="AL25" s="197"/>
      <c r="AM25" s="197"/>
      <c r="AN25" s="197"/>
      <c r="AO25" s="197"/>
      <c r="AP25" s="197"/>
      <c r="AQ25" s="197"/>
      <c r="AR25" s="197"/>
      <c r="AS25" s="197"/>
      <c r="AT25" s="197"/>
      <c r="AU25" s="197"/>
      <c r="AV25" s="197"/>
      <c r="AW25" s="197"/>
      <c r="AX25" s="197"/>
      <c r="AY25" s="197"/>
      <c r="AZ25" s="197"/>
      <c r="BA25" s="197"/>
      <c r="BB25" s="197"/>
      <c r="BC25" s="197"/>
      <c r="BD25" s="197"/>
      <c r="BE25" s="197"/>
      <c r="BF25" s="197"/>
      <c r="BG25" s="197"/>
      <c r="BH25" s="197"/>
      <c r="BI25" s="197"/>
      <c r="BJ25" s="197"/>
      <c r="BK25" s="197"/>
      <c r="BL25" s="197"/>
      <c r="BM25" s="197"/>
      <c r="BN25" s="197"/>
      <c r="BO25" s="197"/>
      <c r="BP25" s="197"/>
      <c r="BQ25" s="197"/>
      <c r="BR25" s="197"/>
      <c r="BS25" s="197"/>
      <c r="BT25" s="197"/>
      <c r="BU25" s="197"/>
      <c r="BV25" s="197"/>
      <c r="BW25" s="197"/>
      <c r="BX25" s="197"/>
      <c r="BY25" s="197"/>
      <c r="BZ25" s="197"/>
      <c r="CA25" s="197"/>
      <c r="CB25" s="197"/>
      <c r="CC25" s="197"/>
      <c r="CD25" s="197"/>
      <c r="CE25" s="197"/>
      <c r="CF25" s="197"/>
      <c r="CG25" s="197"/>
      <c r="CH25" s="197"/>
      <c r="CI25" s="197"/>
      <c r="CJ25" s="197"/>
      <c r="CK25" s="197"/>
      <c r="CL25" s="197"/>
      <c r="CM25" s="197"/>
      <c r="CN25" s="197"/>
      <c r="CO25" s="197"/>
      <c r="CP25" s="197"/>
      <c r="CQ25" s="197"/>
      <c r="CR25" s="197"/>
      <c r="CS25" s="197"/>
      <c r="CT25" s="197"/>
      <c r="CU25" s="197"/>
      <c r="CV25" s="197"/>
      <c r="CW25" s="197"/>
      <c r="CX25" s="197"/>
      <c r="CY25" s="197"/>
      <c r="CZ25" s="197"/>
      <c r="DA25" s="197"/>
      <c r="DB25" s="197"/>
      <c r="DC25" s="197"/>
      <c r="DD25" s="197"/>
      <c r="DE25" s="197"/>
      <c r="DF25" s="197"/>
      <c r="DG25" s="197"/>
      <c r="DH25" s="197"/>
      <c r="DI25" s="197"/>
      <c r="DJ25" s="197"/>
      <c r="DK25" s="197"/>
      <c r="DL25" s="197"/>
      <c r="DM25" s="197"/>
      <c r="DN25" s="197"/>
      <c r="DO25" s="197"/>
      <c r="DP25" s="197"/>
      <c r="DQ25" s="197"/>
      <c r="DR25" s="197"/>
      <c r="DS25" s="197"/>
      <c r="DT25" s="197"/>
      <c r="DU25" s="197"/>
      <c r="DV25" s="197"/>
      <c r="DW25" s="197"/>
      <c r="DX25" s="197"/>
      <c r="DY25" s="197"/>
      <c r="DZ25" s="197"/>
      <c r="EA25" s="197"/>
      <c r="EB25" s="197"/>
      <c r="EC25" s="197"/>
      <c r="ED25" s="197"/>
      <c r="EE25" s="197"/>
      <c r="EF25" s="197"/>
      <c r="EG25" s="197"/>
      <c r="EH25" s="197"/>
      <c r="EI25" s="197"/>
      <c r="EJ25" s="197"/>
      <c r="EK25" s="197"/>
      <c r="EL25" s="197"/>
      <c r="EM25" s="197"/>
      <c r="EN25" s="197"/>
      <c r="EO25" s="197"/>
      <c r="EP25" s="197"/>
      <c r="EQ25" s="197"/>
      <c r="ER25" s="197"/>
      <c r="ES25" s="197"/>
      <c r="ET25" s="197"/>
      <c r="EU25" s="197"/>
      <c r="EV25" s="197"/>
      <c r="EW25" s="197"/>
      <c r="EX25" s="197"/>
      <c r="EY25" s="197"/>
      <c r="EZ25" s="197"/>
      <c r="FA25" s="197"/>
      <c r="FB25" s="197"/>
      <c r="FC25" s="197"/>
      <c r="FD25" s="197"/>
      <c r="FE25" s="197"/>
      <c r="FF25" s="197"/>
      <c r="FG25" s="197"/>
      <c r="FH25" s="197"/>
      <c r="FI25" s="197"/>
      <c r="FJ25" s="197"/>
      <c r="FK25" s="197"/>
      <c r="FL25" s="197"/>
      <c r="FM25" s="197"/>
      <c r="FN25" s="197"/>
      <c r="FO25" s="197"/>
      <c r="FP25" s="197"/>
      <c r="FQ25" s="197"/>
      <c r="FR25" s="197"/>
      <c r="FS25" s="197"/>
      <c r="FT25" s="197"/>
      <c r="FU25" s="197"/>
      <c r="FV25" s="197"/>
      <c r="FW25" s="197"/>
      <c r="FX25" s="197"/>
      <c r="FY25" s="197"/>
      <c r="FZ25" s="197"/>
      <c r="GA25" s="197"/>
      <c r="GB25" s="197"/>
      <c r="GC25" s="197"/>
      <c r="GD25" s="197"/>
      <c r="GE25" s="197"/>
      <c r="GF25" s="197"/>
      <c r="GG25" s="197"/>
      <c r="GH25" s="197"/>
      <c r="GI25" s="197"/>
      <c r="GJ25" s="197"/>
      <c r="GK25" s="197"/>
      <c r="GL25" s="197"/>
      <c r="GM25" s="197"/>
      <c r="GN25" s="197"/>
      <c r="GO25" s="197"/>
      <c r="GP25" s="197"/>
      <c r="GQ25" s="197"/>
      <c r="GR25" s="197"/>
      <c r="GS25" s="197"/>
      <c r="GT25" s="197"/>
      <c r="GU25" s="197"/>
      <c r="GV25" s="197"/>
      <c r="GW25" s="197"/>
      <c r="GX25" s="197"/>
      <c r="GY25" s="197"/>
      <c r="GZ25" s="197"/>
      <c r="HA25" s="197"/>
      <c r="HB25" s="197"/>
      <c r="HC25" s="197"/>
      <c r="HD25" s="197"/>
      <c r="HE25" s="197"/>
      <c r="HF25" s="197"/>
      <c r="HG25" s="197"/>
      <c r="HH25" s="197"/>
      <c r="HI25" s="197"/>
      <c r="HJ25" s="197"/>
      <c r="HK25" s="197"/>
      <c r="HL25" s="197"/>
      <c r="HM25" s="197"/>
      <c r="HN25" s="197"/>
      <c r="HO25" s="197"/>
      <c r="HP25" s="197"/>
      <c r="HQ25" s="197"/>
      <c r="HR25" s="197"/>
      <c r="HS25" s="197"/>
      <c r="HT25" s="197"/>
      <c r="HU25" s="197"/>
      <c r="HV25" s="197"/>
      <c r="HW25" s="197"/>
      <c r="HX25" s="197"/>
      <c r="HY25" s="197"/>
      <c r="HZ25" s="197"/>
      <c r="IA25" s="197"/>
      <c r="IB25" s="197"/>
      <c r="IC25" s="197"/>
      <c r="ID25" s="197"/>
      <c r="IE25" s="197"/>
      <c r="IF25" s="197"/>
      <c r="IG25" s="197"/>
      <c r="IH25" s="197"/>
      <c r="II25" s="197"/>
      <c r="IJ25" s="197"/>
      <c r="IK25" s="197"/>
      <c r="IL25" s="197"/>
      <c r="IM25" s="197"/>
      <c r="IN25" s="197"/>
      <c r="IO25" s="197"/>
      <c r="IP25" s="197"/>
      <c r="IQ25" s="197"/>
      <c r="IR25" s="197"/>
      <c r="IS25" s="197"/>
      <c r="IT25" s="197"/>
      <c r="IU25" s="197"/>
      <c r="IV25" s="197"/>
      <c r="IW25" s="197"/>
      <c r="IX25" s="197"/>
      <c r="IY25" s="197"/>
      <c r="IZ25" s="197"/>
      <c r="JA25" s="197"/>
      <c r="JB25" s="197"/>
      <c r="JC25" s="197"/>
      <c r="JD25" s="197"/>
      <c r="JE25" s="197"/>
      <c r="JF25" s="197"/>
      <c r="JG25" s="197"/>
      <c r="JH25" s="197"/>
      <c r="JI25" s="197"/>
      <c r="JJ25" s="197"/>
      <c r="JK25" s="197"/>
      <c r="JL25" s="197"/>
      <c r="JM25" s="197"/>
      <c r="JN25" s="197"/>
      <c r="JO25" s="197"/>
      <c r="JP25" s="197"/>
      <c r="JQ25" s="197"/>
      <c r="JR25" s="197"/>
      <c r="JS25" s="197"/>
      <c r="JT25" s="197"/>
      <c r="JU25" s="197"/>
      <c r="JV25" s="197"/>
      <c r="JW25" s="197"/>
      <c r="JX25" s="197"/>
      <c r="JY25" s="197"/>
      <c r="JZ25" s="197"/>
      <c r="KA25" s="197"/>
      <c r="KB25" s="197"/>
      <c r="KC25" s="197"/>
      <c r="KD25" s="197"/>
      <c r="KE25" s="197"/>
      <c r="KF25" s="197"/>
      <c r="KG25" s="197"/>
      <c r="KH25" s="197"/>
      <c r="KI25" s="197"/>
      <c r="KJ25" s="197"/>
      <c r="KK25" s="197"/>
      <c r="KL25" s="197"/>
      <c r="KM25" s="197"/>
      <c r="KN25" s="197"/>
      <c r="KO25" s="197"/>
      <c r="KP25" s="197"/>
      <c r="KQ25" s="197"/>
      <c r="KR25" s="197"/>
      <c r="KS25" s="197"/>
      <c r="KT25" s="197"/>
      <c r="KU25" s="197"/>
      <c r="KV25" s="197"/>
      <c r="KW25" s="197"/>
      <c r="KX25" s="197"/>
      <c r="KY25" s="197"/>
      <c r="KZ25" s="197"/>
      <c r="LA25" s="197"/>
      <c r="LB25" s="197"/>
      <c r="LC25" s="197"/>
      <c r="LD25" s="197"/>
      <c r="LE25" s="197"/>
      <c r="LF25" s="197"/>
      <c r="LG25" s="197"/>
      <c r="LH25" s="197"/>
      <c r="LI25" s="197"/>
      <c r="LJ25" s="197"/>
      <c r="LK25" s="197"/>
      <c r="LL25" s="197"/>
      <c r="LM25" s="197"/>
      <c r="LN25" s="197"/>
      <c r="LO25" s="197"/>
      <c r="LP25" s="197"/>
      <c r="LQ25" s="197"/>
      <c r="LR25" s="197"/>
      <c r="LS25" s="197"/>
      <c r="LT25" s="197"/>
      <c r="LU25" s="197"/>
      <c r="LV25" s="197"/>
      <c r="LW25" s="197"/>
      <c r="LX25" s="197"/>
      <c r="LY25" s="197"/>
      <c r="LZ25" s="197"/>
      <c r="MA25" s="197"/>
      <c r="MB25" s="197"/>
    </row>
    <row r="26" spans="1:340" ht="12">
      <c r="B26" s="303" t="s">
        <v>167</v>
      </c>
      <c r="C26" s="1132"/>
      <c r="D26" s="310" t="s">
        <v>359</v>
      </c>
      <c r="E26" s="311" t="s">
        <v>164</v>
      </c>
      <c r="F26" s="547">
        <f>$J$6</f>
        <v>3</v>
      </c>
      <c r="G26" s="313"/>
      <c r="H26" s="312"/>
      <c r="I26" s="323"/>
      <c r="J26" s="324">
        <v>250000</v>
      </c>
      <c r="K26" s="315">
        <f>F26*J26</f>
        <v>750000</v>
      </c>
    </row>
    <row r="27" spans="1:340" ht="12">
      <c r="B27" s="303" t="s">
        <v>166</v>
      </c>
      <c r="C27" s="1132"/>
      <c r="D27" s="310" t="s">
        <v>730</v>
      </c>
      <c r="E27" s="311" t="s">
        <v>164</v>
      </c>
      <c r="F27" s="547">
        <f t="shared" ref="F27:F28" si="5">$J$6</f>
        <v>3</v>
      </c>
      <c r="G27" s="313"/>
      <c r="H27" s="312"/>
      <c r="I27" s="323"/>
      <c r="J27" s="324">
        <v>250000</v>
      </c>
      <c r="K27" s="315">
        <f>F27*J27</f>
        <v>750000</v>
      </c>
    </row>
    <row r="28" spans="1:340" ht="12">
      <c r="B28" s="303" t="s">
        <v>165</v>
      </c>
      <c r="C28" s="1132"/>
      <c r="D28" s="325" t="s">
        <v>729</v>
      </c>
      <c r="E28" s="311" t="s">
        <v>164</v>
      </c>
      <c r="F28" s="547">
        <f t="shared" si="5"/>
        <v>3</v>
      </c>
      <c r="G28" s="313"/>
      <c r="H28" s="312"/>
      <c r="I28" s="323"/>
      <c r="J28" s="324">
        <v>250000</v>
      </c>
      <c r="K28" s="315">
        <f>F28*J28</f>
        <v>750000</v>
      </c>
    </row>
    <row r="29" spans="1:340" s="198" customFormat="1" ht="12">
      <c r="A29" s="197"/>
      <c r="B29" s="492"/>
      <c r="C29" s="1134"/>
      <c r="D29" s="478" t="s">
        <v>163</v>
      </c>
      <c r="E29" s="493"/>
      <c r="F29" s="496"/>
      <c r="G29" s="495"/>
      <c r="H29" s="496"/>
      <c r="I29" s="500"/>
      <c r="J29" s="497"/>
      <c r="K29" s="501">
        <f>SUM(K26:K28)</f>
        <v>2250000</v>
      </c>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c r="BR29" s="197"/>
      <c r="BS29" s="197"/>
      <c r="BT29" s="197"/>
      <c r="BU29" s="197"/>
      <c r="BV29" s="197"/>
      <c r="BW29" s="197"/>
      <c r="BX29" s="197"/>
      <c r="BY29" s="197"/>
      <c r="BZ29" s="197"/>
      <c r="CA29" s="197"/>
      <c r="CB29" s="197"/>
      <c r="CC29" s="197"/>
      <c r="CD29" s="197"/>
      <c r="CE29" s="197"/>
      <c r="CF29" s="197"/>
      <c r="CG29" s="197"/>
      <c r="CH29" s="197"/>
      <c r="CI29" s="197"/>
      <c r="CJ29" s="197"/>
      <c r="CK29" s="197"/>
      <c r="CL29" s="197"/>
      <c r="CM29" s="197"/>
      <c r="CN29" s="197"/>
      <c r="CO29" s="197"/>
      <c r="CP29" s="197"/>
      <c r="CQ29" s="197"/>
      <c r="CR29" s="197"/>
      <c r="CS29" s="197"/>
      <c r="CT29" s="197"/>
      <c r="CU29" s="197"/>
      <c r="CV29" s="197"/>
      <c r="CW29" s="197"/>
      <c r="CX29" s="197"/>
      <c r="CY29" s="197"/>
      <c r="CZ29" s="197"/>
      <c r="DA29" s="197"/>
      <c r="DB29" s="197"/>
      <c r="DC29" s="197"/>
      <c r="DD29" s="197"/>
      <c r="DE29" s="197"/>
      <c r="DF29" s="197"/>
      <c r="DG29" s="197"/>
      <c r="DH29" s="197"/>
      <c r="DI29" s="197"/>
      <c r="DJ29" s="197"/>
      <c r="DK29" s="197"/>
      <c r="DL29" s="197"/>
      <c r="DM29" s="197"/>
      <c r="DN29" s="197"/>
      <c r="DO29" s="197"/>
      <c r="DP29" s="197"/>
      <c r="DQ29" s="197"/>
      <c r="DR29" s="197"/>
      <c r="DS29" s="197"/>
      <c r="DT29" s="197"/>
      <c r="DU29" s="197"/>
      <c r="DV29" s="197"/>
      <c r="DW29" s="197"/>
      <c r="DX29" s="197"/>
      <c r="DY29" s="197"/>
      <c r="DZ29" s="197"/>
      <c r="EA29" s="197"/>
      <c r="EB29" s="197"/>
      <c r="EC29" s="197"/>
      <c r="ED29" s="197"/>
      <c r="EE29" s="197"/>
      <c r="EF29" s="197"/>
      <c r="EG29" s="197"/>
      <c r="EH29" s="197"/>
      <c r="EI29" s="197"/>
      <c r="EJ29" s="197"/>
      <c r="EK29" s="197"/>
      <c r="EL29" s="197"/>
      <c r="EM29" s="197"/>
      <c r="EN29" s="197"/>
      <c r="EO29" s="197"/>
      <c r="EP29" s="197"/>
      <c r="EQ29" s="197"/>
      <c r="ER29" s="197"/>
      <c r="ES29" s="197"/>
      <c r="ET29" s="197"/>
      <c r="EU29" s="197"/>
      <c r="EV29" s="197"/>
      <c r="EW29" s="197"/>
      <c r="EX29" s="197"/>
      <c r="EY29" s="197"/>
      <c r="EZ29" s="197"/>
      <c r="FA29" s="197"/>
      <c r="FB29" s="197"/>
      <c r="FC29" s="197"/>
      <c r="FD29" s="197"/>
      <c r="FE29" s="197"/>
      <c r="FF29" s="197"/>
      <c r="FG29" s="197"/>
      <c r="FH29" s="197"/>
      <c r="FI29" s="197"/>
      <c r="FJ29" s="197"/>
      <c r="FK29" s="197"/>
      <c r="FL29" s="197"/>
      <c r="FM29" s="197"/>
      <c r="FN29" s="197"/>
      <c r="FO29" s="197"/>
      <c r="FP29" s="197"/>
      <c r="FQ29" s="197"/>
      <c r="FR29" s="197"/>
      <c r="FS29" s="197"/>
      <c r="FT29" s="197"/>
      <c r="FU29" s="197"/>
      <c r="FV29" s="197"/>
      <c r="FW29" s="197"/>
      <c r="FX29" s="197"/>
      <c r="FY29" s="197"/>
      <c r="FZ29" s="197"/>
      <c r="GA29" s="197"/>
      <c r="GB29" s="197"/>
      <c r="GC29" s="197"/>
      <c r="GD29" s="197"/>
      <c r="GE29" s="197"/>
      <c r="GF29" s="197"/>
      <c r="GG29" s="197"/>
      <c r="GH29" s="197"/>
      <c r="GI29" s="197"/>
      <c r="GJ29" s="197"/>
      <c r="GK29" s="197"/>
      <c r="GL29" s="197"/>
      <c r="GM29" s="197"/>
      <c r="GN29" s="197"/>
      <c r="GO29" s="197"/>
      <c r="GP29" s="197"/>
      <c r="GQ29" s="197"/>
      <c r="GR29" s="197"/>
      <c r="GS29" s="197"/>
      <c r="GT29" s="197"/>
      <c r="GU29" s="197"/>
      <c r="GV29" s="197"/>
      <c r="GW29" s="197"/>
      <c r="GX29" s="197"/>
      <c r="GY29" s="197"/>
      <c r="GZ29" s="197"/>
      <c r="HA29" s="197"/>
      <c r="HB29" s="197"/>
      <c r="HC29" s="197"/>
      <c r="HD29" s="197"/>
      <c r="HE29" s="197"/>
      <c r="HF29" s="197"/>
      <c r="HG29" s="197"/>
      <c r="HH29" s="197"/>
      <c r="HI29" s="197"/>
      <c r="HJ29" s="197"/>
      <c r="HK29" s="197"/>
      <c r="HL29" s="197"/>
      <c r="HM29" s="197"/>
      <c r="HN29" s="197"/>
      <c r="HO29" s="197"/>
      <c r="HP29" s="197"/>
      <c r="HQ29" s="197"/>
      <c r="HR29" s="197"/>
      <c r="HS29" s="197"/>
      <c r="HT29" s="197"/>
      <c r="HU29" s="197"/>
      <c r="HV29" s="197"/>
      <c r="HW29" s="197"/>
      <c r="HX29" s="197"/>
      <c r="HY29" s="197"/>
      <c r="HZ29" s="197"/>
      <c r="IA29" s="197"/>
      <c r="IB29" s="197"/>
      <c r="IC29" s="197"/>
      <c r="ID29" s="197"/>
      <c r="IE29" s="197"/>
      <c r="IF29" s="197"/>
      <c r="IG29" s="197"/>
      <c r="IH29" s="197"/>
      <c r="II29" s="197"/>
      <c r="IJ29" s="197"/>
      <c r="IK29" s="197"/>
      <c r="IL29" s="197"/>
      <c r="IM29" s="197"/>
      <c r="IN29" s="197"/>
      <c r="IO29" s="197"/>
      <c r="IP29" s="197"/>
      <c r="IQ29" s="197"/>
      <c r="IR29" s="197"/>
      <c r="IS29" s="197"/>
      <c r="IT29" s="197"/>
      <c r="IU29" s="197"/>
      <c r="IV29" s="197"/>
      <c r="IW29" s="197"/>
      <c r="IX29" s="197"/>
      <c r="IY29" s="197"/>
      <c r="IZ29" s="197"/>
      <c r="JA29" s="197"/>
      <c r="JB29" s="197"/>
      <c r="JC29" s="197"/>
      <c r="JD29" s="197"/>
      <c r="JE29" s="197"/>
      <c r="JF29" s="197"/>
      <c r="JG29" s="197"/>
      <c r="JH29" s="197"/>
      <c r="JI29" s="197"/>
      <c r="JJ29" s="197"/>
      <c r="JK29" s="197"/>
      <c r="JL29" s="197"/>
      <c r="JM29" s="197"/>
      <c r="JN29" s="197"/>
      <c r="JO29" s="197"/>
      <c r="JP29" s="197"/>
      <c r="JQ29" s="197"/>
      <c r="JR29" s="197"/>
      <c r="JS29" s="197"/>
      <c r="JT29" s="197"/>
      <c r="JU29" s="197"/>
      <c r="JV29" s="197"/>
      <c r="JW29" s="197"/>
      <c r="JX29" s="197"/>
      <c r="JY29" s="197"/>
      <c r="JZ29" s="197"/>
      <c r="KA29" s="197"/>
      <c r="KB29" s="197"/>
      <c r="KC29" s="197"/>
      <c r="KD29" s="197"/>
      <c r="KE29" s="197"/>
      <c r="KF29" s="197"/>
      <c r="KG29" s="197"/>
      <c r="KH29" s="197"/>
      <c r="KI29" s="197"/>
      <c r="KJ29" s="197"/>
      <c r="KK29" s="197"/>
      <c r="KL29" s="197"/>
      <c r="KM29" s="197"/>
      <c r="KN29" s="197"/>
      <c r="KO29" s="197"/>
      <c r="KP29" s="197"/>
      <c r="KQ29" s="197"/>
      <c r="KR29" s="197"/>
      <c r="KS29" s="197"/>
      <c r="KT29" s="197"/>
      <c r="KU29" s="197"/>
      <c r="KV29" s="197"/>
      <c r="KW29" s="197"/>
      <c r="KX29" s="197"/>
      <c r="KY29" s="197"/>
      <c r="KZ29" s="197"/>
      <c r="LA29" s="197"/>
      <c r="LB29" s="197"/>
      <c r="LC29" s="197"/>
      <c r="LD29" s="197"/>
      <c r="LE29" s="197"/>
      <c r="LF29" s="197"/>
      <c r="LG29" s="197"/>
      <c r="LH29" s="197"/>
      <c r="LI29" s="197"/>
      <c r="LJ29" s="197"/>
      <c r="LK29" s="197"/>
      <c r="LL29" s="197"/>
      <c r="LM29" s="197"/>
      <c r="LN29" s="197"/>
      <c r="LO29" s="197"/>
      <c r="LP29" s="197"/>
      <c r="LQ29" s="197"/>
      <c r="LR29" s="197"/>
      <c r="LS29" s="197"/>
      <c r="LT29" s="197"/>
      <c r="LU29" s="197"/>
      <c r="LV29" s="197"/>
      <c r="LW29" s="197"/>
      <c r="LX29" s="197"/>
      <c r="LY29" s="197"/>
      <c r="LZ29" s="197"/>
      <c r="MA29" s="197"/>
      <c r="MB29" s="197"/>
    </row>
    <row r="30" spans="1:340" ht="12">
      <c r="B30" s="303"/>
      <c r="C30" s="1132"/>
      <c r="D30" s="304"/>
      <c r="E30" s="286"/>
      <c r="F30" s="286"/>
      <c r="G30" s="287"/>
      <c r="H30" s="286"/>
      <c r="I30" s="288"/>
      <c r="J30" s="289"/>
      <c r="K30" s="290"/>
    </row>
    <row r="31" spans="1:340" s="198" customFormat="1" ht="24">
      <c r="A31" s="197"/>
      <c r="B31" s="633">
        <v>3</v>
      </c>
      <c r="C31" s="1133"/>
      <c r="D31" s="634" t="s">
        <v>162</v>
      </c>
      <c r="E31" s="635"/>
      <c r="F31" s="635"/>
      <c r="G31" s="636"/>
      <c r="H31" s="635"/>
      <c r="I31" s="637"/>
      <c r="J31" s="638"/>
      <c r="K31" s="639"/>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c r="BR31" s="197"/>
      <c r="BS31" s="197"/>
      <c r="BT31" s="197"/>
      <c r="BU31" s="197"/>
      <c r="BV31" s="197"/>
      <c r="BW31" s="197"/>
      <c r="BX31" s="197"/>
      <c r="BY31" s="197"/>
      <c r="BZ31" s="197"/>
      <c r="CA31" s="197"/>
      <c r="CB31" s="197"/>
      <c r="CC31" s="197"/>
      <c r="CD31" s="197"/>
      <c r="CE31" s="197"/>
      <c r="CF31" s="197"/>
      <c r="CG31" s="197"/>
      <c r="CH31" s="197"/>
      <c r="CI31" s="197"/>
      <c r="CJ31" s="197"/>
      <c r="CK31" s="197"/>
      <c r="CL31" s="197"/>
      <c r="CM31" s="197"/>
      <c r="CN31" s="197"/>
      <c r="CO31" s="197"/>
      <c r="CP31" s="197"/>
      <c r="CQ31" s="197"/>
      <c r="CR31" s="197"/>
      <c r="CS31" s="197"/>
      <c r="CT31" s="197"/>
      <c r="CU31" s="197"/>
      <c r="CV31" s="197"/>
      <c r="CW31" s="197"/>
      <c r="CX31" s="197"/>
      <c r="CY31" s="197"/>
      <c r="CZ31" s="197"/>
      <c r="DA31" s="197"/>
      <c r="DB31" s="197"/>
      <c r="DC31" s="197"/>
      <c r="DD31" s="197"/>
      <c r="DE31" s="197"/>
      <c r="DF31" s="197"/>
      <c r="DG31" s="197"/>
      <c r="DH31" s="197"/>
      <c r="DI31" s="197"/>
      <c r="DJ31" s="197"/>
      <c r="DK31" s="197"/>
      <c r="DL31" s="197"/>
      <c r="DM31" s="197"/>
      <c r="DN31" s="197"/>
      <c r="DO31" s="197"/>
      <c r="DP31" s="197"/>
      <c r="DQ31" s="197"/>
      <c r="DR31" s="197"/>
      <c r="DS31" s="197"/>
      <c r="DT31" s="197"/>
      <c r="DU31" s="197"/>
      <c r="DV31" s="197"/>
      <c r="DW31" s="197"/>
      <c r="DX31" s="197"/>
      <c r="DY31" s="197"/>
      <c r="DZ31" s="197"/>
      <c r="EA31" s="197"/>
      <c r="EB31" s="197"/>
      <c r="EC31" s="197"/>
      <c r="ED31" s="197"/>
      <c r="EE31" s="197"/>
      <c r="EF31" s="197"/>
      <c r="EG31" s="197"/>
      <c r="EH31" s="197"/>
      <c r="EI31" s="197"/>
      <c r="EJ31" s="197"/>
      <c r="EK31" s="197"/>
      <c r="EL31" s="197"/>
      <c r="EM31" s="197"/>
      <c r="EN31" s="197"/>
      <c r="EO31" s="197"/>
      <c r="EP31" s="197"/>
      <c r="EQ31" s="197"/>
      <c r="ER31" s="197"/>
      <c r="ES31" s="197"/>
      <c r="ET31" s="197"/>
      <c r="EU31" s="197"/>
      <c r="EV31" s="197"/>
      <c r="EW31" s="197"/>
      <c r="EX31" s="197"/>
      <c r="EY31" s="197"/>
      <c r="EZ31" s="197"/>
      <c r="FA31" s="197"/>
      <c r="FB31" s="197"/>
      <c r="FC31" s="197"/>
      <c r="FD31" s="197"/>
      <c r="FE31" s="197"/>
      <c r="FF31" s="197"/>
      <c r="FG31" s="197"/>
      <c r="FH31" s="197"/>
      <c r="FI31" s="197"/>
      <c r="FJ31" s="197"/>
      <c r="FK31" s="197"/>
      <c r="FL31" s="197"/>
      <c r="FM31" s="197"/>
      <c r="FN31" s="197"/>
      <c r="FO31" s="197"/>
      <c r="FP31" s="197"/>
      <c r="FQ31" s="197"/>
      <c r="FR31" s="197"/>
      <c r="FS31" s="197"/>
      <c r="FT31" s="197"/>
      <c r="FU31" s="197"/>
      <c r="FV31" s="197"/>
      <c r="FW31" s="197"/>
      <c r="FX31" s="197"/>
      <c r="FY31" s="197"/>
      <c r="FZ31" s="197"/>
      <c r="GA31" s="197"/>
      <c r="GB31" s="197"/>
      <c r="GC31" s="197"/>
      <c r="GD31" s="197"/>
      <c r="GE31" s="197"/>
      <c r="GF31" s="197"/>
      <c r="GG31" s="197"/>
      <c r="GH31" s="197"/>
      <c r="GI31" s="197"/>
      <c r="GJ31" s="197"/>
      <c r="GK31" s="197"/>
      <c r="GL31" s="197"/>
      <c r="GM31" s="197"/>
      <c r="GN31" s="197"/>
      <c r="GO31" s="197"/>
      <c r="GP31" s="197"/>
      <c r="GQ31" s="197"/>
      <c r="GR31" s="197"/>
      <c r="GS31" s="197"/>
      <c r="GT31" s="197"/>
      <c r="GU31" s="197"/>
      <c r="GV31" s="197"/>
      <c r="GW31" s="197"/>
      <c r="GX31" s="197"/>
      <c r="GY31" s="197"/>
      <c r="GZ31" s="197"/>
      <c r="HA31" s="197"/>
      <c r="HB31" s="197"/>
      <c r="HC31" s="197"/>
      <c r="HD31" s="197"/>
      <c r="HE31" s="197"/>
      <c r="HF31" s="197"/>
      <c r="HG31" s="197"/>
      <c r="HH31" s="197"/>
      <c r="HI31" s="197"/>
      <c r="HJ31" s="197"/>
      <c r="HK31" s="197"/>
      <c r="HL31" s="197"/>
      <c r="HM31" s="197"/>
      <c r="HN31" s="197"/>
      <c r="HO31" s="197"/>
      <c r="HP31" s="197"/>
      <c r="HQ31" s="197"/>
      <c r="HR31" s="197"/>
      <c r="HS31" s="197"/>
      <c r="HT31" s="197"/>
      <c r="HU31" s="197"/>
      <c r="HV31" s="197"/>
      <c r="HW31" s="197"/>
      <c r="HX31" s="197"/>
      <c r="HY31" s="197"/>
      <c r="HZ31" s="197"/>
      <c r="IA31" s="197"/>
      <c r="IB31" s="197"/>
      <c r="IC31" s="197"/>
      <c r="ID31" s="197"/>
      <c r="IE31" s="197"/>
      <c r="IF31" s="197"/>
      <c r="IG31" s="197"/>
      <c r="IH31" s="197"/>
      <c r="II31" s="197"/>
      <c r="IJ31" s="197"/>
      <c r="IK31" s="197"/>
      <c r="IL31" s="197"/>
      <c r="IM31" s="197"/>
      <c r="IN31" s="197"/>
      <c r="IO31" s="197"/>
      <c r="IP31" s="197"/>
      <c r="IQ31" s="197"/>
      <c r="IR31" s="197"/>
      <c r="IS31" s="197"/>
      <c r="IT31" s="197"/>
      <c r="IU31" s="197"/>
      <c r="IV31" s="197"/>
      <c r="IW31" s="197"/>
      <c r="IX31" s="197"/>
      <c r="IY31" s="197"/>
      <c r="IZ31" s="197"/>
      <c r="JA31" s="197"/>
      <c r="JB31" s="197"/>
      <c r="JC31" s="197"/>
      <c r="JD31" s="197"/>
      <c r="JE31" s="197"/>
      <c r="JF31" s="197"/>
      <c r="JG31" s="197"/>
      <c r="JH31" s="197"/>
      <c r="JI31" s="197"/>
      <c r="JJ31" s="197"/>
      <c r="JK31" s="197"/>
      <c r="JL31" s="197"/>
      <c r="JM31" s="197"/>
      <c r="JN31" s="197"/>
      <c r="JO31" s="197"/>
      <c r="JP31" s="197"/>
      <c r="JQ31" s="197"/>
      <c r="JR31" s="197"/>
      <c r="JS31" s="197"/>
      <c r="JT31" s="197"/>
      <c r="JU31" s="197"/>
      <c r="JV31" s="197"/>
      <c r="JW31" s="197"/>
      <c r="JX31" s="197"/>
      <c r="JY31" s="197"/>
      <c r="JZ31" s="197"/>
      <c r="KA31" s="197"/>
      <c r="KB31" s="197"/>
      <c r="KC31" s="197"/>
      <c r="KD31" s="197"/>
      <c r="KE31" s="197"/>
      <c r="KF31" s="197"/>
      <c r="KG31" s="197"/>
      <c r="KH31" s="197"/>
      <c r="KI31" s="197"/>
      <c r="KJ31" s="197"/>
      <c r="KK31" s="197"/>
      <c r="KL31" s="197"/>
      <c r="KM31" s="197"/>
      <c r="KN31" s="197"/>
      <c r="KO31" s="197"/>
      <c r="KP31" s="197"/>
      <c r="KQ31" s="197"/>
      <c r="KR31" s="197"/>
      <c r="KS31" s="197"/>
      <c r="KT31" s="197"/>
      <c r="KU31" s="197"/>
      <c r="KV31" s="197"/>
      <c r="KW31" s="197"/>
      <c r="KX31" s="197"/>
      <c r="KY31" s="197"/>
      <c r="KZ31" s="197"/>
      <c r="LA31" s="197"/>
      <c r="LB31" s="197"/>
      <c r="LC31" s="197"/>
      <c r="LD31" s="197"/>
      <c r="LE31" s="197"/>
      <c r="LF31" s="197"/>
      <c r="LG31" s="197"/>
      <c r="LH31" s="197"/>
      <c r="LI31" s="197"/>
      <c r="LJ31" s="197"/>
      <c r="LK31" s="197"/>
      <c r="LL31" s="197"/>
      <c r="LM31" s="197"/>
      <c r="LN31" s="197"/>
      <c r="LO31" s="197"/>
      <c r="LP31" s="197"/>
      <c r="LQ31" s="197"/>
      <c r="LR31" s="197"/>
      <c r="LS31" s="197"/>
      <c r="LT31" s="197"/>
      <c r="LU31" s="197"/>
      <c r="LV31" s="197"/>
      <c r="LW31" s="197"/>
      <c r="LX31" s="197"/>
      <c r="LY31" s="197"/>
      <c r="LZ31" s="197"/>
      <c r="MA31" s="197"/>
      <c r="MB31" s="197"/>
    </row>
    <row r="32" spans="1:340" ht="12">
      <c r="B32" s="303" t="s">
        <v>161</v>
      </c>
      <c r="C32" s="1132"/>
      <c r="D32" s="325" t="s">
        <v>346</v>
      </c>
      <c r="E32" s="311" t="s">
        <v>164</v>
      </c>
      <c r="F32" s="547">
        <f>$J$6</f>
        <v>3</v>
      </c>
      <c r="G32" s="313"/>
      <c r="H32" s="312"/>
      <c r="I32" s="323"/>
      <c r="J32" s="1339">
        <v>1322331.0449999999</v>
      </c>
      <c r="K32" s="315">
        <f>F32*J32</f>
        <v>3966993.1349999998</v>
      </c>
    </row>
    <row r="33" spans="1:340" s="198" customFormat="1" ht="12">
      <c r="A33" s="197"/>
      <c r="B33" s="502"/>
      <c r="C33" s="1135"/>
      <c r="D33" s="478" t="s">
        <v>160</v>
      </c>
      <c r="E33" s="503"/>
      <c r="F33" s="504"/>
      <c r="G33" s="505"/>
      <c r="H33" s="504"/>
      <c r="I33" s="506"/>
      <c r="J33" s="497"/>
      <c r="K33" s="501">
        <f>SUM(K32:K32)</f>
        <v>3966993.1349999998</v>
      </c>
      <c r="L33" s="197"/>
      <c r="M33" s="197"/>
      <c r="N33" s="197"/>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c r="BR33" s="197"/>
      <c r="BS33" s="197"/>
      <c r="BT33" s="197"/>
      <c r="BU33" s="197"/>
      <c r="BV33" s="197"/>
      <c r="BW33" s="197"/>
      <c r="BX33" s="197"/>
      <c r="BY33" s="197"/>
      <c r="BZ33" s="197"/>
      <c r="CA33" s="197"/>
      <c r="CB33" s="197"/>
      <c r="CC33" s="197"/>
      <c r="CD33" s="197"/>
      <c r="CE33" s="197"/>
      <c r="CF33" s="197"/>
      <c r="CG33" s="197"/>
      <c r="CH33" s="197"/>
      <c r="CI33" s="197"/>
      <c r="CJ33" s="197"/>
      <c r="CK33" s="197"/>
      <c r="CL33" s="197"/>
      <c r="CM33" s="197"/>
      <c r="CN33" s="197"/>
      <c r="CO33" s="197"/>
      <c r="CP33" s="197"/>
      <c r="CQ33" s="197"/>
      <c r="CR33" s="197"/>
      <c r="CS33" s="197"/>
      <c r="CT33" s="197"/>
      <c r="CU33" s="197"/>
      <c r="CV33" s="197"/>
      <c r="CW33" s="197"/>
      <c r="CX33" s="197"/>
      <c r="CY33" s="197"/>
      <c r="CZ33" s="197"/>
      <c r="DA33" s="197"/>
      <c r="DB33" s="197"/>
      <c r="DC33" s="197"/>
      <c r="DD33" s="197"/>
      <c r="DE33" s="197"/>
      <c r="DF33" s="197"/>
      <c r="DG33" s="197"/>
      <c r="DH33" s="197"/>
      <c r="DI33" s="197"/>
      <c r="DJ33" s="197"/>
      <c r="DK33" s="197"/>
      <c r="DL33" s="197"/>
      <c r="DM33" s="197"/>
      <c r="DN33" s="197"/>
      <c r="DO33" s="197"/>
      <c r="DP33" s="197"/>
      <c r="DQ33" s="197"/>
      <c r="DR33" s="197"/>
      <c r="DS33" s="197"/>
      <c r="DT33" s="197"/>
      <c r="DU33" s="197"/>
      <c r="DV33" s="197"/>
      <c r="DW33" s="197"/>
      <c r="DX33" s="197"/>
      <c r="DY33" s="197"/>
      <c r="DZ33" s="197"/>
      <c r="EA33" s="197"/>
      <c r="EB33" s="197"/>
      <c r="EC33" s="197"/>
      <c r="ED33" s="197"/>
      <c r="EE33" s="197"/>
      <c r="EF33" s="197"/>
      <c r="EG33" s="197"/>
      <c r="EH33" s="197"/>
      <c r="EI33" s="197"/>
      <c r="EJ33" s="197"/>
      <c r="EK33" s="197"/>
      <c r="EL33" s="197"/>
      <c r="EM33" s="197"/>
      <c r="EN33" s="197"/>
      <c r="EO33" s="197"/>
      <c r="EP33" s="197"/>
      <c r="EQ33" s="197"/>
      <c r="ER33" s="197"/>
      <c r="ES33" s="197"/>
      <c r="ET33" s="197"/>
      <c r="EU33" s="197"/>
      <c r="EV33" s="197"/>
      <c r="EW33" s="197"/>
      <c r="EX33" s="197"/>
      <c r="EY33" s="197"/>
      <c r="EZ33" s="197"/>
      <c r="FA33" s="197"/>
      <c r="FB33" s="197"/>
      <c r="FC33" s="197"/>
      <c r="FD33" s="197"/>
      <c r="FE33" s="197"/>
      <c r="FF33" s="197"/>
      <c r="FG33" s="197"/>
      <c r="FH33" s="197"/>
      <c r="FI33" s="197"/>
      <c r="FJ33" s="197"/>
      <c r="FK33" s="197"/>
      <c r="FL33" s="197"/>
      <c r="FM33" s="197"/>
      <c r="FN33" s="197"/>
      <c r="FO33" s="197"/>
      <c r="FP33" s="197"/>
      <c r="FQ33" s="197"/>
      <c r="FR33" s="197"/>
      <c r="FS33" s="197"/>
      <c r="FT33" s="197"/>
      <c r="FU33" s="197"/>
      <c r="FV33" s="197"/>
      <c r="FW33" s="197"/>
      <c r="FX33" s="197"/>
      <c r="FY33" s="197"/>
      <c r="FZ33" s="197"/>
      <c r="GA33" s="197"/>
      <c r="GB33" s="197"/>
      <c r="GC33" s="197"/>
      <c r="GD33" s="197"/>
      <c r="GE33" s="197"/>
      <c r="GF33" s="197"/>
      <c r="GG33" s="197"/>
      <c r="GH33" s="197"/>
      <c r="GI33" s="197"/>
      <c r="GJ33" s="197"/>
      <c r="GK33" s="197"/>
      <c r="GL33" s="197"/>
      <c r="GM33" s="197"/>
      <c r="GN33" s="197"/>
      <c r="GO33" s="197"/>
      <c r="GP33" s="197"/>
      <c r="GQ33" s="197"/>
      <c r="GR33" s="197"/>
      <c r="GS33" s="197"/>
      <c r="GT33" s="197"/>
      <c r="GU33" s="197"/>
      <c r="GV33" s="197"/>
      <c r="GW33" s="197"/>
      <c r="GX33" s="197"/>
      <c r="GY33" s="197"/>
      <c r="GZ33" s="197"/>
      <c r="HA33" s="197"/>
      <c r="HB33" s="197"/>
      <c r="HC33" s="197"/>
      <c r="HD33" s="197"/>
      <c r="HE33" s="197"/>
      <c r="HF33" s="197"/>
      <c r="HG33" s="197"/>
      <c r="HH33" s="197"/>
      <c r="HI33" s="197"/>
      <c r="HJ33" s="197"/>
      <c r="HK33" s="197"/>
      <c r="HL33" s="197"/>
      <c r="HM33" s="197"/>
      <c r="HN33" s="197"/>
      <c r="HO33" s="197"/>
      <c r="HP33" s="197"/>
      <c r="HQ33" s="197"/>
      <c r="HR33" s="197"/>
      <c r="HS33" s="197"/>
      <c r="HT33" s="197"/>
      <c r="HU33" s="197"/>
      <c r="HV33" s="197"/>
      <c r="HW33" s="197"/>
      <c r="HX33" s="197"/>
      <c r="HY33" s="197"/>
      <c r="HZ33" s="197"/>
      <c r="IA33" s="197"/>
      <c r="IB33" s="197"/>
      <c r="IC33" s="197"/>
      <c r="ID33" s="197"/>
      <c r="IE33" s="197"/>
      <c r="IF33" s="197"/>
      <c r="IG33" s="197"/>
      <c r="IH33" s="197"/>
      <c r="II33" s="197"/>
      <c r="IJ33" s="197"/>
      <c r="IK33" s="197"/>
      <c r="IL33" s="197"/>
      <c r="IM33" s="197"/>
      <c r="IN33" s="197"/>
      <c r="IO33" s="197"/>
      <c r="IP33" s="197"/>
      <c r="IQ33" s="197"/>
      <c r="IR33" s="197"/>
      <c r="IS33" s="197"/>
      <c r="IT33" s="197"/>
      <c r="IU33" s="197"/>
      <c r="IV33" s="197"/>
      <c r="IW33" s="197"/>
      <c r="IX33" s="197"/>
      <c r="IY33" s="197"/>
      <c r="IZ33" s="197"/>
      <c r="JA33" s="197"/>
      <c r="JB33" s="197"/>
      <c r="JC33" s="197"/>
      <c r="JD33" s="197"/>
      <c r="JE33" s="197"/>
      <c r="JF33" s="197"/>
      <c r="JG33" s="197"/>
      <c r="JH33" s="197"/>
      <c r="JI33" s="197"/>
      <c r="JJ33" s="197"/>
      <c r="JK33" s="197"/>
      <c r="JL33" s="197"/>
      <c r="JM33" s="197"/>
      <c r="JN33" s="197"/>
      <c r="JO33" s="197"/>
      <c r="JP33" s="197"/>
      <c r="JQ33" s="197"/>
      <c r="JR33" s="197"/>
      <c r="JS33" s="197"/>
      <c r="JT33" s="197"/>
      <c r="JU33" s="197"/>
      <c r="JV33" s="197"/>
      <c r="JW33" s="197"/>
      <c r="JX33" s="197"/>
      <c r="JY33" s="197"/>
      <c r="JZ33" s="197"/>
      <c r="KA33" s="197"/>
      <c r="KB33" s="197"/>
      <c r="KC33" s="197"/>
      <c r="KD33" s="197"/>
      <c r="KE33" s="197"/>
      <c r="KF33" s="197"/>
      <c r="KG33" s="197"/>
      <c r="KH33" s="197"/>
      <c r="KI33" s="197"/>
      <c r="KJ33" s="197"/>
      <c r="KK33" s="197"/>
      <c r="KL33" s="197"/>
      <c r="KM33" s="197"/>
      <c r="KN33" s="197"/>
      <c r="KO33" s="197"/>
      <c r="KP33" s="197"/>
      <c r="KQ33" s="197"/>
      <c r="KR33" s="197"/>
      <c r="KS33" s="197"/>
      <c r="KT33" s="197"/>
      <c r="KU33" s="197"/>
      <c r="KV33" s="197"/>
      <c r="KW33" s="197"/>
      <c r="KX33" s="197"/>
      <c r="KY33" s="197"/>
      <c r="KZ33" s="197"/>
      <c r="LA33" s="197"/>
      <c r="LB33" s="197"/>
      <c r="LC33" s="197"/>
      <c r="LD33" s="197"/>
      <c r="LE33" s="197"/>
      <c r="LF33" s="197"/>
      <c r="LG33" s="197"/>
      <c r="LH33" s="197"/>
      <c r="LI33" s="197"/>
      <c r="LJ33" s="197"/>
      <c r="LK33" s="197"/>
      <c r="LL33" s="197"/>
      <c r="LM33" s="197"/>
      <c r="LN33" s="197"/>
      <c r="LO33" s="197"/>
      <c r="LP33" s="197"/>
      <c r="LQ33" s="197"/>
      <c r="LR33" s="197"/>
      <c r="LS33" s="197"/>
      <c r="LT33" s="197"/>
      <c r="LU33" s="197"/>
      <c r="LV33" s="197"/>
      <c r="LW33" s="197"/>
      <c r="LX33" s="197"/>
      <c r="LY33" s="197"/>
      <c r="LZ33" s="197"/>
      <c r="MA33" s="197"/>
      <c r="MB33" s="197"/>
    </row>
    <row r="34" spans="1:340" ht="12">
      <c r="B34" s="284"/>
      <c r="C34" s="1136"/>
      <c r="D34" s="285"/>
      <c r="E34" s="286"/>
      <c r="F34" s="286"/>
      <c r="G34" s="287"/>
      <c r="H34" s="286"/>
      <c r="I34" s="288"/>
      <c r="J34" s="289"/>
      <c r="K34" s="290"/>
    </row>
    <row r="35" spans="1:340" s="198" customFormat="1" ht="12">
      <c r="A35" s="197"/>
      <c r="B35" s="633">
        <v>4</v>
      </c>
      <c r="C35" s="1133"/>
      <c r="D35" s="634" t="s">
        <v>159</v>
      </c>
      <c r="E35" s="635"/>
      <c r="F35" s="635"/>
      <c r="G35" s="636"/>
      <c r="H35" s="635"/>
      <c r="I35" s="637"/>
      <c r="J35" s="638"/>
      <c r="K35" s="639"/>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c r="BR35" s="197"/>
      <c r="BS35" s="197"/>
      <c r="BT35" s="197"/>
      <c r="BU35" s="197"/>
      <c r="BV35" s="197"/>
      <c r="BW35" s="197"/>
      <c r="BX35" s="197"/>
      <c r="BY35" s="197"/>
      <c r="BZ35" s="197"/>
      <c r="CA35" s="197"/>
      <c r="CB35" s="197"/>
      <c r="CC35" s="197"/>
      <c r="CD35" s="197"/>
      <c r="CE35" s="197"/>
      <c r="CF35" s="197"/>
      <c r="CG35" s="197"/>
      <c r="CH35" s="197"/>
      <c r="CI35" s="197"/>
      <c r="CJ35" s="197"/>
      <c r="CK35" s="197"/>
      <c r="CL35" s="197"/>
      <c r="CM35" s="197"/>
      <c r="CN35" s="197"/>
      <c r="CO35" s="197"/>
      <c r="CP35" s="197"/>
      <c r="CQ35" s="197"/>
      <c r="CR35" s="197"/>
      <c r="CS35" s="197"/>
      <c r="CT35" s="197"/>
      <c r="CU35" s="197"/>
      <c r="CV35" s="197"/>
      <c r="CW35" s="197"/>
      <c r="CX35" s="197"/>
      <c r="CY35" s="197"/>
      <c r="CZ35" s="197"/>
      <c r="DA35" s="197"/>
      <c r="DB35" s="197"/>
      <c r="DC35" s="197"/>
      <c r="DD35" s="197"/>
      <c r="DE35" s="197"/>
      <c r="DF35" s="197"/>
      <c r="DG35" s="197"/>
      <c r="DH35" s="197"/>
      <c r="DI35" s="197"/>
      <c r="DJ35" s="197"/>
      <c r="DK35" s="197"/>
      <c r="DL35" s="197"/>
      <c r="DM35" s="197"/>
      <c r="DN35" s="197"/>
      <c r="DO35" s="197"/>
      <c r="DP35" s="197"/>
      <c r="DQ35" s="197"/>
      <c r="DR35" s="197"/>
      <c r="DS35" s="197"/>
      <c r="DT35" s="197"/>
      <c r="DU35" s="197"/>
      <c r="DV35" s="197"/>
      <c r="DW35" s="197"/>
      <c r="DX35" s="197"/>
      <c r="DY35" s="197"/>
      <c r="DZ35" s="197"/>
      <c r="EA35" s="197"/>
      <c r="EB35" s="197"/>
      <c r="EC35" s="197"/>
      <c r="ED35" s="197"/>
      <c r="EE35" s="197"/>
      <c r="EF35" s="197"/>
      <c r="EG35" s="197"/>
      <c r="EH35" s="197"/>
      <c r="EI35" s="197"/>
      <c r="EJ35" s="197"/>
      <c r="EK35" s="197"/>
      <c r="EL35" s="197"/>
      <c r="EM35" s="197"/>
      <c r="EN35" s="197"/>
      <c r="EO35" s="197"/>
      <c r="EP35" s="197"/>
      <c r="EQ35" s="197"/>
      <c r="ER35" s="197"/>
      <c r="ES35" s="197"/>
      <c r="ET35" s="197"/>
      <c r="EU35" s="197"/>
      <c r="EV35" s="197"/>
      <c r="EW35" s="197"/>
      <c r="EX35" s="197"/>
      <c r="EY35" s="197"/>
      <c r="EZ35" s="197"/>
      <c r="FA35" s="197"/>
      <c r="FB35" s="197"/>
      <c r="FC35" s="197"/>
      <c r="FD35" s="197"/>
      <c r="FE35" s="197"/>
      <c r="FF35" s="197"/>
      <c r="FG35" s="197"/>
      <c r="FH35" s="197"/>
      <c r="FI35" s="197"/>
      <c r="FJ35" s="197"/>
      <c r="FK35" s="197"/>
      <c r="FL35" s="197"/>
      <c r="FM35" s="197"/>
      <c r="FN35" s="197"/>
      <c r="FO35" s="197"/>
      <c r="FP35" s="197"/>
      <c r="FQ35" s="197"/>
      <c r="FR35" s="197"/>
      <c r="FS35" s="197"/>
      <c r="FT35" s="197"/>
      <c r="FU35" s="197"/>
      <c r="FV35" s="197"/>
      <c r="FW35" s="197"/>
      <c r="FX35" s="197"/>
      <c r="FY35" s="197"/>
      <c r="FZ35" s="197"/>
      <c r="GA35" s="197"/>
      <c r="GB35" s="197"/>
      <c r="GC35" s="197"/>
      <c r="GD35" s="197"/>
      <c r="GE35" s="197"/>
      <c r="GF35" s="197"/>
      <c r="GG35" s="197"/>
      <c r="GH35" s="197"/>
      <c r="GI35" s="197"/>
      <c r="GJ35" s="197"/>
      <c r="GK35" s="197"/>
      <c r="GL35" s="197"/>
      <c r="GM35" s="197"/>
      <c r="GN35" s="197"/>
      <c r="GO35" s="197"/>
      <c r="GP35" s="197"/>
      <c r="GQ35" s="197"/>
      <c r="GR35" s="197"/>
      <c r="GS35" s="197"/>
      <c r="GT35" s="197"/>
      <c r="GU35" s="197"/>
      <c r="GV35" s="197"/>
      <c r="GW35" s="197"/>
      <c r="GX35" s="197"/>
      <c r="GY35" s="197"/>
      <c r="GZ35" s="197"/>
      <c r="HA35" s="197"/>
      <c r="HB35" s="197"/>
      <c r="HC35" s="197"/>
      <c r="HD35" s="197"/>
      <c r="HE35" s="197"/>
      <c r="HF35" s="197"/>
      <c r="HG35" s="197"/>
      <c r="HH35" s="197"/>
      <c r="HI35" s="197"/>
      <c r="HJ35" s="197"/>
      <c r="HK35" s="197"/>
      <c r="HL35" s="197"/>
      <c r="HM35" s="197"/>
      <c r="HN35" s="197"/>
      <c r="HO35" s="197"/>
      <c r="HP35" s="197"/>
      <c r="HQ35" s="197"/>
      <c r="HR35" s="197"/>
      <c r="HS35" s="197"/>
      <c r="HT35" s="197"/>
      <c r="HU35" s="197"/>
      <c r="HV35" s="197"/>
      <c r="HW35" s="197"/>
      <c r="HX35" s="197"/>
      <c r="HY35" s="197"/>
      <c r="HZ35" s="197"/>
      <c r="IA35" s="197"/>
      <c r="IB35" s="197"/>
      <c r="IC35" s="197"/>
      <c r="ID35" s="197"/>
      <c r="IE35" s="197"/>
      <c r="IF35" s="197"/>
      <c r="IG35" s="197"/>
      <c r="IH35" s="197"/>
      <c r="II35" s="197"/>
      <c r="IJ35" s="197"/>
      <c r="IK35" s="197"/>
      <c r="IL35" s="197"/>
      <c r="IM35" s="197"/>
      <c r="IN35" s="197"/>
      <c r="IO35" s="197"/>
      <c r="IP35" s="197"/>
      <c r="IQ35" s="197"/>
      <c r="IR35" s="197"/>
      <c r="IS35" s="197"/>
      <c r="IT35" s="197"/>
      <c r="IU35" s="197"/>
      <c r="IV35" s="197"/>
      <c r="IW35" s="197"/>
      <c r="IX35" s="197"/>
      <c r="IY35" s="197"/>
      <c r="IZ35" s="197"/>
      <c r="JA35" s="197"/>
      <c r="JB35" s="197"/>
      <c r="JC35" s="197"/>
      <c r="JD35" s="197"/>
      <c r="JE35" s="197"/>
      <c r="JF35" s="197"/>
      <c r="JG35" s="197"/>
      <c r="JH35" s="197"/>
      <c r="JI35" s="197"/>
      <c r="JJ35" s="197"/>
      <c r="JK35" s="197"/>
      <c r="JL35" s="197"/>
      <c r="JM35" s="197"/>
      <c r="JN35" s="197"/>
      <c r="JO35" s="197"/>
      <c r="JP35" s="197"/>
      <c r="JQ35" s="197"/>
      <c r="JR35" s="197"/>
      <c r="JS35" s="197"/>
      <c r="JT35" s="197"/>
      <c r="JU35" s="197"/>
      <c r="JV35" s="197"/>
      <c r="JW35" s="197"/>
      <c r="JX35" s="197"/>
      <c r="JY35" s="197"/>
      <c r="JZ35" s="197"/>
      <c r="KA35" s="197"/>
      <c r="KB35" s="197"/>
      <c r="KC35" s="197"/>
      <c r="KD35" s="197"/>
      <c r="KE35" s="197"/>
      <c r="KF35" s="197"/>
      <c r="KG35" s="197"/>
      <c r="KH35" s="197"/>
      <c r="KI35" s="197"/>
      <c r="KJ35" s="197"/>
      <c r="KK35" s="197"/>
      <c r="KL35" s="197"/>
      <c r="KM35" s="197"/>
      <c r="KN35" s="197"/>
      <c r="KO35" s="197"/>
      <c r="KP35" s="197"/>
      <c r="KQ35" s="197"/>
      <c r="KR35" s="197"/>
      <c r="KS35" s="197"/>
      <c r="KT35" s="197"/>
      <c r="KU35" s="197"/>
      <c r="KV35" s="197"/>
      <c r="KW35" s="197"/>
      <c r="KX35" s="197"/>
      <c r="KY35" s="197"/>
      <c r="KZ35" s="197"/>
      <c r="LA35" s="197"/>
      <c r="LB35" s="197"/>
      <c r="LC35" s="197"/>
      <c r="LD35" s="197"/>
      <c r="LE35" s="197"/>
      <c r="LF35" s="197"/>
      <c r="LG35" s="197"/>
      <c r="LH35" s="197"/>
      <c r="LI35" s="197"/>
      <c r="LJ35" s="197"/>
      <c r="LK35" s="197"/>
      <c r="LL35" s="197"/>
      <c r="LM35" s="197"/>
      <c r="LN35" s="197"/>
      <c r="LO35" s="197"/>
      <c r="LP35" s="197"/>
      <c r="LQ35" s="197"/>
      <c r="LR35" s="197"/>
      <c r="LS35" s="197"/>
      <c r="LT35" s="197"/>
      <c r="LU35" s="197"/>
      <c r="LV35" s="197"/>
      <c r="LW35" s="197"/>
      <c r="LX35" s="197"/>
      <c r="LY35" s="197"/>
      <c r="LZ35" s="197"/>
      <c r="MA35" s="197"/>
      <c r="MB35" s="197"/>
    </row>
    <row r="36" spans="1:340" ht="22.8">
      <c r="B36" s="303">
        <v>4.0999999999999996</v>
      </c>
      <c r="C36" s="1132"/>
      <c r="D36" s="310" t="s">
        <v>345</v>
      </c>
      <c r="E36" s="311" t="s">
        <v>164</v>
      </c>
      <c r="F36" s="547">
        <v>1</v>
      </c>
      <c r="G36" s="313"/>
      <c r="H36" s="312"/>
      <c r="I36" s="323"/>
      <c r="J36" s="1339">
        <f>+ENSAYOS!I55</f>
        <v>86868481.690899998</v>
      </c>
      <c r="K36" s="315">
        <f>F36*J36</f>
        <v>86868481.690899998</v>
      </c>
    </row>
    <row r="37" spans="1:340" ht="12">
      <c r="B37" s="303">
        <v>4.2</v>
      </c>
      <c r="C37" s="1132"/>
      <c r="D37" s="325" t="s">
        <v>158</v>
      </c>
      <c r="E37" s="311" t="s">
        <v>164</v>
      </c>
      <c r="F37" s="547">
        <v>1</v>
      </c>
      <c r="G37" s="313"/>
      <c r="H37" s="312"/>
      <c r="I37" s="323"/>
      <c r="J37" s="1339">
        <v>241237.7272773108</v>
      </c>
      <c r="K37" s="315">
        <f>F37*J37</f>
        <v>241237.7272773108</v>
      </c>
    </row>
    <row r="38" spans="1:340" ht="12">
      <c r="B38" s="303">
        <v>4.3</v>
      </c>
      <c r="C38" s="1132"/>
      <c r="D38" s="310" t="s">
        <v>157</v>
      </c>
      <c r="E38" s="311" t="s">
        <v>155</v>
      </c>
      <c r="F38" s="547">
        <v>1</v>
      </c>
      <c r="G38" s="313"/>
      <c r="H38" s="312"/>
      <c r="I38" s="323"/>
      <c r="J38" s="1339">
        <v>3500000</v>
      </c>
      <c r="K38" s="315">
        <f>F38*J38</f>
        <v>3500000</v>
      </c>
      <c r="N38" s="548"/>
    </row>
    <row r="39" spans="1:340" ht="22.8">
      <c r="B39" s="303">
        <v>4.4000000000000004</v>
      </c>
      <c r="C39" s="1132"/>
      <c r="D39" s="310" t="s">
        <v>360</v>
      </c>
      <c r="E39" s="311" t="s">
        <v>164</v>
      </c>
      <c r="F39" s="547">
        <f>$J$6</f>
        <v>3</v>
      </c>
      <c r="G39" s="313"/>
      <c r="H39" s="314"/>
      <c r="I39" s="326"/>
      <c r="J39" s="1339">
        <v>1500000</v>
      </c>
      <c r="K39" s="315">
        <f>F39*J39</f>
        <v>4500000</v>
      </c>
    </row>
    <row r="40" spans="1:340" ht="22.8">
      <c r="B40" s="303">
        <v>4.5</v>
      </c>
      <c r="C40" s="1132"/>
      <c r="D40" s="310" t="s">
        <v>477</v>
      </c>
      <c r="E40" s="311" t="s">
        <v>164</v>
      </c>
      <c r="F40" s="547">
        <f t="shared" ref="F40" si="6">$J$6</f>
        <v>3</v>
      </c>
      <c r="G40" s="313"/>
      <c r="H40" s="314"/>
      <c r="I40" s="326"/>
      <c r="J40" s="1339">
        <v>7000000</v>
      </c>
      <c r="K40" s="315">
        <f>F40*J40</f>
        <v>21000000</v>
      </c>
    </row>
    <row r="41" spans="1:340" ht="12">
      <c r="B41" s="382"/>
      <c r="C41" s="1132"/>
      <c r="D41" s="383"/>
      <c r="E41" s="384"/>
      <c r="F41" s="547"/>
      <c r="G41" s="385"/>
      <c r="H41" s="388"/>
      <c r="I41" s="386"/>
      <c r="J41" s="385"/>
      <c r="K41" s="387"/>
    </row>
    <row r="42" spans="1:340" s="198" customFormat="1" ht="12">
      <c r="A42" s="197"/>
      <c r="B42" s="477"/>
      <c r="C42" s="1128"/>
      <c r="D42" s="478" t="s">
        <v>154</v>
      </c>
      <c r="E42" s="483"/>
      <c r="F42" s="483"/>
      <c r="G42" s="484"/>
      <c r="H42" s="483"/>
      <c r="I42" s="485"/>
      <c r="J42" s="507"/>
      <c r="K42" s="501">
        <f>SUM(K36:K41)</f>
        <v>116109719.41817731</v>
      </c>
      <c r="L42" s="197"/>
      <c r="M42" s="197"/>
      <c r="N42" s="548"/>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c r="BR42" s="197"/>
      <c r="BS42" s="197"/>
      <c r="BT42" s="197"/>
      <c r="BU42" s="197"/>
      <c r="BV42" s="197"/>
      <c r="BW42" s="197"/>
      <c r="BX42" s="197"/>
      <c r="BY42" s="197"/>
      <c r="BZ42" s="197"/>
      <c r="CA42" s="197"/>
      <c r="CB42" s="197"/>
      <c r="CC42" s="197"/>
      <c r="CD42" s="197"/>
      <c r="CE42" s="197"/>
      <c r="CF42" s="197"/>
      <c r="CG42" s="197"/>
      <c r="CH42" s="197"/>
      <c r="CI42" s="197"/>
      <c r="CJ42" s="197"/>
      <c r="CK42" s="197"/>
      <c r="CL42" s="197"/>
      <c r="CM42" s="197"/>
      <c r="CN42" s="197"/>
      <c r="CO42" s="197"/>
      <c r="CP42" s="197"/>
      <c r="CQ42" s="197"/>
      <c r="CR42" s="197"/>
      <c r="CS42" s="197"/>
      <c r="CT42" s="197"/>
      <c r="CU42" s="197"/>
      <c r="CV42" s="197"/>
      <c r="CW42" s="197"/>
      <c r="CX42" s="197"/>
      <c r="CY42" s="197"/>
      <c r="CZ42" s="197"/>
      <c r="DA42" s="197"/>
      <c r="DB42" s="197"/>
      <c r="DC42" s="197"/>
      <c r="DD42" s="197"/>
      <c r="DE42" s="197"/>
      <c r="DF42" s="197"/>
      <c r="DG42" s="197"/>
      <c r="DH42" s="197"/>
      <c r="DI42" s="197"/>
      <c r="DJ42" s="197"/>
      <c r="DK42" s="197"/>
      <c r="DL42" s="197"/>
      <c r="DM42" s="197"/>
      <c r="DN42" s="197"/>
      <c r="DO42" s="197"/>
      <c r="DP42" s="197"/>
      <c r="DQ42" s="197"/>
      <c r="DR42" s="197"/>
      <c r="DS42" s="197"/>
      <c r="DT42" s="197"/>
      <c r="DU42" s="197"/>
      <c r="DV42" s="197"/>
      <c r="DW42" s="197"/>
      <c r="DX42" s="197"/>
      <c r="DY42" s="197"/>
      <c r="DZ42" s="197"/>
      <c r="EA42" s="197"/>
      <c r="EB42" s="197"/>
      <c r="EC42" s="197"/>
      <c r="ED42" s="197"/>
      <c r="EE42" s="197"/>
      <c r="EF42" s="197"/>
      <c r="EG42" s="197"/>
      <c r="EH42" s="197"/>
      <c r="EI42" s="197"/>
      <c r="EJ42" s="197"/>
      <c r="EK42" s="197"/>
      <c r="EL42" s="197"/>
      <c r="EM42" s="197"/>
      <c r="EN42" s="197"/>
      <c r="EO42" s="197"/>
      <c r="EP42" s="197"/>
      <c r="EQ42" s="197"/>
      <c r="ER42" s="197"/>
      <c r="ES42" s="197"/>
      <c r="ET42" s="197"/>
      <c r="EU42" s="197"/>
      <c r="EV42" s="197"/>
      <c r="EW42" s="197"/>
      <c r="EX42" s="197"/>
      <c r="EY42" s="197"/>
      <c r="EZ42" s="197"/>
      <c r="FA42" s="197"/>
      <c r="FB42" s="197"/>
      <c r="FC42" s="197"/>
      <c r="FD42" s="197"/>
      <c r="FE42" s="197"/>
      <c r="FF42" s="197"/>
      <c r="FG42" s="197"/>
      <c r="FH42" s="197"/>
      <c r="FI42" s="197"/>
      <c r="FJ42" s="197"/>
      <c r="FK42" s="197"/>
      <c r="FL42" s="197"/>
      <c r="FM42" s="197"/>
      <c r="FN42" s="197"/>
      <c r="FO42" s="197"/>
      <c r="FP42" s="197"/>
      <c r="FQ42" s="197"/>
      <c r="FR42" s="197"/>
      <c r="FS42" s="197"/>
      <c r="FT42" s="197"/>
      <c r="FU42" s="197"/>
      <c r="FV42" s="197"/>
      <c r="FW42" s="197"/>
      <c r="FX42" s="197"/>
      <c r="FY42" s="197"/>
      <c r="FZ42" s="197"/>
      <c r="GA42" s="197"/>
      <c r="GB42" s="197"/>
      <c r="GC42" s="197"/>
      <c r="GD42" s="197"/>
      <c r="GE42" s="197"/>
      <c r="GF42" s="197"/>
      <c r="GG42" s="197"/>
      <c r="GH42" s="197"/>
      <c r="GI42" s="197"/>
      <c r="GJ42" s="197"/>
      <c r="GK42" s="197"/>
      <c r="GL42" s="197"/>
      <c r="GM42" s="197"/>
      <c r="GN42" s="197"/>
      <c r="GO42" s="197"/>
      <c r="GP42" s="197"/>
      <c r="GQ42" s="197"/>
      <c r="GR42" s="197"/>
      <c r="GS42" s="197"/>
      <c r="GT42" s="197"/>
      <c r="GU42" s="197"/>
      <c r="GV42" s="197"/>
      <c r="GW42" s="197"/>
      <c r="GX42" s="197"/>
      <c r="GY42" s="197"/>
      <c r="GZ42" s="197"/>
      <c r="HA42" s="197"/>
      <c r="HB42" s="197"/>
      <c r="HC42" s="197"/>
      <c r="HD42" s="197"/>
      <c r="HE42" s="197"/>
      <c r="HF42" s="197"/>
      <c r="HG42" s="197"/>
      <c r="HH42" s="197"/>
      <c r="HI42" s="197"/>
      <c r="HJ42" s="197"/>
      <c r="HK42" s="197"/>
      <c r="HL42" s="197"/>
      <c r="HM42" s="197"/>
      <c r="HN42" s="197"/>
      <c r="HO42" s="197"/>
      <c r="HP42" s="197"/>
      <c r="HQ42" s="197"/>
      <c r="HR42" s="197"/>
      <c r="HS42" s="197"/>
      <c r="HT42" s="197"/>
      <c r="HU42" s="197"/>
      <c r="HV42" s="197"/>
      <c r="HW42" s="197"/>
      <c r="HX42" s="197"/>
      <c r="HY42" s="197"/>
      <c r="HZ42" s="197"/>
      <c r="IA42" s="197"/>
      <c r="IB42" s="197"/>
      <c r="IC42" s="197"/>
      <c r="ID42" s="197"/>
      <c r="IE42" s="197"/>
      <c r="IF42" s="197"/>
      <c r="IG42" s="197"/>
      <c r="IH42" s="197"/>
      <c r="II42" s="197"/>
      <c r="IJ42" s="197"/>
      <c r="IK42" s="197"/>
      <c r="IL42" s="197"/>
      <c r="IM42" s="197"/>
      <c r="IN42" s="197"/>
      <c r="IO42" s="197"/>
      <c r="IP42" s="197"/>
      <c r="IQ42" s="197"/>
      <c r="IR42" s="197"/>
      <c r="IS42" s="197"/>
      <c r="IT42" s="197"/>
      <c r="IU42" s="197"/>
      <c r="IV42" s="197"/>
      <c r="IW42" s="197"/>
      <c r="IX42" s="197"/>
      <c r="IY42" s="197"/>
      <c r="IZ42" s="197"/>
      <c r="JA42" s="197"/>
      <c r="JB42" s="197"/>
      <c r="JC42" s="197"/>
      <c r="JD42" s="197"/>
      <c r="JE42" s="197"/>
      <c r="JF42" s="197"/>
      <c r="JG42" s="197"/>
      <c r="JH42" s="197"/>
      <c r="JI42" s="197"/>
      <c r="JJ42" s="197"/>
      <c r="JK42" s="197"/>
      <c r="JL42" s="197"/>
      <c r="JM42" s="197"/>
      <c r="JN42" s="197"/>
      <c r="JO42" s="197"/>
      <c r="JP42" s="197"/>
      <c r="JQ42" s="197"/>
      <c r="JR42" s="197"/>
      <c r="JS42" s="197"/>
      <c r="JT42" s="197"/>
      <c r="JU42" s="197"/>
      <c r="JV42" s="197"/>
      <c r="JW42" s="197"/>
      <c r="JX42" s="197"/>
      <c r="JY42" s="197"/>
      <c r="JZ42" s="197"/>
      <c r="KA42" s="197"/>
      <c r="KB42" s="197"/>
      <c r="KC42" s="197"/>
      <c r="KD42" s="197"/>
      <c r="KE42" s="197"/>
      <c r="KF42" s="197"/>
      <c r="KG42" s="197"/>
      <c r="KH42" s="197"/>
      <c r="KI42" s="197"/>
      <c r="KJ42" s="197"/>
      <c r="KK42" s="197"/>
      <c r="KL42" s="197"/>
      <c r="KM42" s="197"/>
      <c r="KN42" s="197"/>
      <c r="KO42" s="197"/>
      <c r="KP42" s="197"/>
      <c r="KQ42" s="197"/>
      <c r="KR42" s="197"/>
      <c r="KS42" s="197"/>
      <c r="KT42" s="197"/>
      <c r="KU42" s="197"/>
      <c r="KV42" s="197"/>
      <c r="KW42" s="197"/>
      <c r="KX42" s="197"/>
      <c r="KY42" s="197"/>
      <c r="KZ42" s="197"/>
      <c r="LA42" s="197"/>
      <c r="LB42" s="197"/>
      <c r="LC42" s="197"/>
      <c r="LD42" s="197"/>
      <c r="LE42" s="197"/>
      <c r="LF42" s="197"/>
      <c r="LG42" s="197"/>
      <c r="LH42" s="197"/>
      <c r="LI42" s="197"/>
      <c r="LJ42" s="197"/>
      <c r="LK42" s="197"/>
      <c r="LL42" s="197"/>
      <c r="LM42" s="197"/>
      <c r="LN42" s="197"/>
      <c r="LO42" s="197"/>
      <c r="LP42" s="197"/>
      <c r="LQ42" s="197"/>
      <c r="LR42" s="197"/>
      <c r="LS42" s="197"/>
      <c r="LT42" s="197"/>
      <c r="LU42" s="197"/>
      <c r="LV42" s="197"/>
      <c r="LW42" s="197"/>
      <c r="LX42" s="197"/>
      <c r="LY42" s="197"/>
      <c r="LZ42" s="197"/>
      <c r="MA42" s="197"/>
      <c r="MB42" s="197"/>
    </row>
    <row r="43" spans="1:340" ht="12">
      <c r="B43" s="284"/>
      <c r="C43" s="1136"/>
      <c r="D43" s="285"/>
      <c r="E43" s="286"/>
      <c r="F43" s="286"/>
      <c r="G43" s="287"/>
      <c r="H43" s="286"/>
      <c r="I43" s="288"/>
      <c r="J43" s="289"/>
      <c r="K43" s="290"/>
      <c r="M43" s="548"/>
    </row>
    <row r="44" spans="1:340" s="198" customFormat="1" ht="24" customHeight="1">
      <c r="A44" s="197"/>
      <c r="B44" s="633">
        <v>5</v>
      </c>
      <c r="C44" s="1133"/>
      <c r="D44" s="634" t="s">
        <v>191</v>
      </c>
      <c r="E44" s="635"/>
      <c r="F44" s="635"/>
      <c r="G44" s="636"/>
      <c r="H44" s="635"/>
      <c r="I44" s="637"/>
      <c r="J44" s="1000">
        <f>SUM(J46:J54)</f>
        <v>0.19500000000000001</v>
      </c>
      <c r="K44" s="993">
        <f>+J44*K6</f>
        <v>339852815.05500001</v>
      </c>
      <c r="L44" s="197"/>
      <c r="M44" s="713"/>
      <c r="N44" s="548"/>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c r="AV44" s="197"/>
      <c r="AW44" s="197"/>
      <c r="AX44" s="197"/>
      <c r="AY44" s="197"/>
      <c r="AZ44" s="197"/>
      <c r="BA44" s="197"/>
      <c r="BB44" s="197"/>
      <c r="BC44" s="197"/>
      <c r="BD44" s="197"/>
      <c r="BE44" s="197"/>
      <c r="BF44" s="197"/>
      <c r="BG44" s="197"/>
      <c r="BH44" s="197"/>
      <c r="BI44" s="197"/>
      <c r="BJ44" s="197"/>
      <c r="BK44" s="197"/>
      <c r="BL44" s="197"/>
      <c r="BM44" s="197"/>
      <c r="BN44" s="197"/>
      <c r="BO44" s="197"/>
      <c r="BP44" s="197"/>
      <c r="BQ44" s="197"/>
      <c r="BR44" s="197"/>
      <c r="BS44" s="197"/>
      <c r="BT44" s="197"/>
      <c r="BU44" s="197"/>
      <c r="BV44" s="197"/>
      <c r="BW44" s="197"/>
      <c r="BX44" s="197"/>
      <c r="BY44" s="197"/>
      <c r="BZ44" s="197"/>
      <c r="CA44" s="197"/>
      <c r="CB44" s="197"/>
      <c r="CC44" s="197"/>
      <c r="CD44" s="197"/>
      <c r="CE44" s="197"/>
      <c r="CF44" s="197"/>
      <c r="CG44" s="197"/>
      <c r="CH44" s="197"/>
      <c r="CI44" s="197"/>
      <c r="CJ44" s="197"/>
      <c r="CK44" s="197"/>
      <c r="CL44" s="197"/>
      <c r="CM44" s="197"/>
      <c r="CN44" s="197"/>
      <c r="CO44" s="197"/>
      <c r="CP44" s="197"/>
      <c r="CQ44" s="197"/>
      <c r="CR44" s="197"/>
      <c r="CS44" s="197"/>
      <c r="CT44" s="197"/>
      <c r="CU44" s="197"/>
      <c r="CV44" s="197"/>
      <c r="CW44" s="197"/>
      <c r="CX44" s="197"/>
      <c r="CY44" s="197"/>
      <c r="CZ44" s="197"/>
      <c r="DA44" s="197"/>
      <c r="DB44" s="197"/>
      <c r="DC44" s="197"/>
      <c r="DD44" s="197"/>
      <c r="DE44" s="197"/>
      <c r="DF44" s="197"/>
      <c r="DG44" s="197"/>
      <c r="DH44" s="197"/>
      <c r="DI44" s="197"/>
      <c r="DJ44" s="197"/>
      <c r="DK44" s="197"/>
      <c r="DL44" s="197"/>
      <c r="DM44" s="197"/>
      <c r="DN44" s="197"/>
      <c r="DO44" s="197"/>
      <c r="DP44" s="197"/>
      <c r="DQ44" s="197"/>
      <c r="DR44" s="197"/>
      <c r="DS44" s="197"/>
      <c r="DT44" s="197"/>
      <c r="DU44" s="197"/>
      <c r="DV44" s="197"/>
      <c r="DW44" s="197"/>
      <c r="DX44" s="197"/>
      <c r="DY44" s="197"/>
      <c r="DZ44" s="197"/>
      <c r="EA44" s="197"/>
      <c r="EB44" s="197"/>
      <c r="EC44" s="197"/>
      <c r="ED44" s="197"/>
      <c r="EE44" s="197"/>
      <c r="EF44" s="197"/>
      <c r="EG44" s="197"/>
      <c r="EH44" s="197"/>
      <c r="EI44" s="197"/>
      <c r="EJ44" s="197"/>
      <c r="EK44" s="197"/>
      <c r="EL44" s="197"/>
      <c r="EM44" s="197"/>
      <c r="EN44" s="197"/>
      <c r="EO44" s="197"/>
      <c r="EP44" s="197"/>
      <c r="EQ44" s="197"/>
      <c r="ER44" s="197"/>
      <c r="ES44" s="197"/>
      <c r="ET44" s="197"/>
      <c r="EU44" s="197"/>
      <c r="EV44" s="197"/>
      <c r="EW44" s="197"/>
      <c r="EX44" s="197"/>
      <c r="EY44" s="197"/>
      <c r="EZ44" s="197"/>
      <c r="FA44" s="197"/>
      <c r="FB44" s="197"/>
      <c r="FC44" s="197"/>
      <c r="FD44" s="197"/>
      <c r="FE44" s="197"/>
      <c r="FF44" s="197"/>
      <c r="FG44" s="197"/>
      <c r="FH44" s="197"/>
      <c r="FI44" s="197"/>
      <c r="FJ44" s="197"/>
      <c r="FK44" s="197"/>
      <c r="FL44" s="197"/>
      <c r="FM44" s="197"/>
      <c r="FN44" s="197"/>
      <c r="FO44" s="197"/>
      <c r="FP44" s="197"/>
      <c r="FQ44" s="197"/>
      <c r="FR44" s="197"/>
      <c r="FS44" s="197"/>
      <c r="FT44" s="197"/>
      <c r="FU44" s="197"/>
      <c r="FV44" s="197"/>
      <c r="FW44" s="197"/>
      <c r="FX44" s="197"/>
      <c r="FY44" s="197"/>
      <c r="FZ44" s="197"/>
      <c r="GA44" s="197"/>
      <c r="GB44" s="197"/>
      <c r="GC44" s="197"/>
      <c r="GD44" s="197"/>
      <c r="GE44" s="197"/>
      <c r="GF44" s="197"/>
      <c r="GG44" s="197"/>
      <c r="GH44" s="197"/>
      <c r="GI44" s="197"/>
      <c r="GJ44" s="197"/>
      <c r="GK44" s="197"/>
      <c r="GL44" s="197"/>
      <c r="GM44" s="197"/>
      <c r="GN44" s="197"/>
      <c r="GO44" s="197"/>
      <c r="GP44" s="197"/>
      <c r="GQ44" s="197"/>
      <c r="GR44" s="197"/>
      <c r="GS44" s="197"/>
      <c r="GT44" s="197"/>
      <c r="GU44" s="197"/>
      <c r="GV44" s="197"/>
      <c r="GW44" s="197"/>
      <c r="GX44" s="197"/>
      <c r="GY44" s="197"/>
      <c r="GZ44" s="197"/>
      <c r="HA44" s="197"/>
      <c r="HB44" s="197"/>
      <c r="HC44" s="197"/>
      <c r="HD44" s="197"/>
      <c r="HE44" s="197"/>
      <c r="HF44" s="197"/>
      <c r="HG44" s="197"/>
      <c r="HH44" s="197"/>
      <c r="HI44" s="197"/>
      <c r="HJ44" s="197"/>
      <c r="HK44" s="197"/>
      <c r="HL44" s="197"/>
      <c r="HM44" s="197"/>
      <c r="HN44" s="197"/>
      <c r="HO44" s="197"/>
      <c r="HP44" s="197"/>
      <c r="HQ44" s="197"/>
      <c r="HR44" s="197"/>
      <c r="HS44" s="197"/>
      <c r="HT44" s="197"/>
      <c r="HU44" s="197"/>
      <c r="HV44" s="197"/>
      <c r="HW44" s="197"/>
      <c r="HX44" s="197"/>
      <c r="HY44" s="197"/>
      <c r="HZ44" s="197"/>
      <c r="IA44" s="197"/>
      <c r="IB44" s="197"/>
      <c r="IC44" s="197"/>
      <c r="ID44" s="197"/>
      <c r="IE44" s="197"/>
      <c r="IF44" s="197"/>
      <c r="IG44" s="197"/>
      <c r="IH44" s="197"/>
      <c r="II44" s="197"/>
      <c r="IJ44" s="197"/>
      <c r="IK44" s="197"/>
      <c r="IL44" s="197"/>
      <c r="IM44" s="197"/>
      <c r="IN44" s="197"/>
      <c r="IO44" s="197"/>
      <c r="IP44" s="197"/>
      <c r="IQ44" s="197"/>
      <c r="IR44" s="197"/>
      <c r="IS44" s="197"/>
      <c r="IT44" s="197"/>
      <c r="IU44" s="197"/>
      <c r="IV44" s="197"/>
      <c r="IW44" s="197"/>
      <c r="IX44" s="197"/>
      <c r="IY44" s="197"/>
      <c r="IZ44" s="197"/>
      <c r="JA44" s="197"/>
      <c r="JB44" s="197"/>
      <c r="JC44" s="197"/>
      <c r="JD44" s="197"/>
      <c r="JE44" s="197"/>
      <c r="JF44" s="197"/>
      <c r="JG44" s="197"/>
      <c r="JH44" s="197"/>
      <c r="JI44" s="197"/>
      <c r="JJ44" s="197"/>
      <c r="JK44" s="197"/>
      <c r="JL44" s="197"/>
      <c r="JM44" s="197"/>
      <c r="JN44" s="197"/>
      <c r="JO44" s="197"/>
      <c r="JP44" s="197"/>
      <c r="JQ44" s="197"/>
      <c r="JR44" s="197"/>
      <c r="JS44" s="197"/>
      <c r="JT44" s="197"/>
      <c r="JU44" s="197"/>
      <c r="JV44" s="197"/>
      <c r="JW44" s="197"/>
      <c r="JX44" s="197"/>
      <c r="JY44" s="197"/>
      <c r="JZ44" s="197"/>
      <c r="KA44" s="197"/>
      <c r="KB44" s="197"/>
      <c r="KC44" s="197"/>
      <c r="KD44" s="197"/>
      <c r="KE44" s="197"/>
      <c r="KF44" s="197"/>
      <c r="KG44" s="197"/>
      <c r="KH44" s="197"/>
      <c r="KI44" s="197"/>
      <c r="KJ44" s="197"/>
      <c r="KK44" s="197"/>
      <c r="KL44" s="197"/>
      <c r="KM44" s="197"/>
      <c r="KN44" s="197"/>
      <c r="KO44" s="197"/>
      <c r="KP44" s="197"/>
      <c r="KQ44" s="197"/>
      <c r="KR44" s="197"/>
      <c r="KS44" s="197"/>
      <c r="KT44" s="197"/>
      <c r="KU44" s="197"/>
      <c r="KV44" s="197"/>
      <c r="KW44" s="197"/>
      <c r="KX44" s="197"/>
      <c r="KY44" s="197"/>
      <c r="KZ44" s="197"/>
      <c r="LA44" s="197"/>
      <c r="LB44" s="197"/>
      <c r="LC44" s="197"/>
      <c r="LD44" s="197"/>
      <c r="LE44" s="197"/>
      <c r="LF44" s="197"/>
      <c r="LG44" s="197"/>
      <c r="LH44" s="197"/>
      <c r="LI44" s="197"/>
      <c r="LJ44" s="197"/>
      <c r="LK44" s="197"/>
      <c r="LL44" s="197"/>
      <c r="LM44" s="197"/>
      <c r="LN44" s="197"/>
      <c r="LO44" s="197"/>
      <c r="LP44" s="197"/>
      <c r="LQ44" s="197"/>
      <c r="LR44" s="197"/>
      <c r="LS44" s="197"/>
      <c r="LT44" s="197"/>
      <c r="LU44" s="197"/>
      <c r="LV44" s="197"/>
      <c r="LW44" s="197"/>
      <c r="LX44" s="197"/>
      <c r="LY44" s="197"/>
      <c r="LZ44" s="197"/>
      <c r="MA44" s="197"/>
      <c r="MB44" s="197"/>
    </row>
    <row r="45" spans="1:340" s="198" customFormat="1" ht="12">
      <c r="A45" s="197"/>
      <c r="B45" s="994"/>
      <c r="C45" s="1133"/>
      <c r="D45" s="999"/>
      <c r="E45" s="995"/>
      <c r="F45" s="995"/>
      <c r="G45" s="996"/>
      <c r="H45" s="995"/>
      <c r="I45" s="995"/>
      <c r="J45" s="997"/>
      <c r="K45" s="998"/>
      <c r="L45" s="197"/>
      <c r="M45" s="197"/>
      <c r="N45" s="548"/>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c r="AW45" s="197"/>
      <c r="AX45" s="197"/>
      <c r="AY45" s="197"/>
      <c r="AZ45" s="197"/>
      <c r="BA45" s="197"/>
      <c r="BB45" s="197"/>
      <c r="BC45" s="197"/>
      <c r="BD45" s="197"/>
      <c r="BE45" s="197"/>
      <c r="BF45" s="197"/>
      <c r="BG45" s="197"/>
      <c r="BH45" s="197"/>
      <c r="BI45" s="197"/>
      <c r="BJ45" s="197"/>
      <c r="BK45" s="197"/>
      <c r="BL45" s="197"/>
      <c r="BM45" s="197"/>
      <c r="BN45" s="197"/>
      <c r="BO45" s="197"/>
      <c r="BP45" s="197"/>
      <c r="BQ45" s="197"/>
      <c r="BR45" s="197"/>
      <c r="BS45" s="197"/>
      <c r="BT45" s="197"/>
      <c r="BU45" s="197"/>
      <c r="BV45" s="197"/>
      <c r="BW45" s="197"/>
      <c r="BX45" s="197"/>
      <c r="BY45" s="197"/>
      <c r="BZ45" s="197"/>
      <c r="CA45" s="197"/>
      <c r="CB45" s="197"/>
      <c r="CC45" s="197"/>
      <c r="CD45" s="197"/>
      <c r="CE45" s="197"/>
      <c r="CF45" s="197"/>
      <c r="CG45" s="197"/>
      <c r="CH45" s="197"/>
      <c r="CI45" s="197"/>
      <c r="CJ45" s="197"/>
      <c r="CK45" s="197"/>
      <c r="CL45" s="197"/>
      <c r="CM45" s="197"/>
      <c r="CN45" s="197"/>
      <c r="CO45" s="197"/>
      <c r="CP45" s="197"/>
      <c r="CQ45" s="197"/>
      <c r="CR45" s="197"/>
      <c r="CS45" s="197"/>
      <c r="CT45" s="197"/>
      <c r="CU45" s="197"/>
      <c r="CV45" s="197"/>
      <c r="CW45" s="197"/>
      <c r="CX45" s="197"/>
      <c r="CY45" s="197"/>
      <c r="CZ45" s="197"/>
      <c r="DA45" s="197"/>
      <c r="DB45" s="197"/>
      <c r="DC45" s="197"/>
      <c r="DD45" s="197"/>
      <c r="DE45" s="197"/>
      <c r="DF45" s="197"/>
      <c r="DG45" s="197"/>
      <c r="DH45" s="197"/>
      <c r="DI45" s="197"/>
      <c r="DJ45" s="197"/>
      <c r="DK45" s="197"/>
      <c r="DL45" s="197"/>
      <c r="DM45" s="197"/>
      <c r="DN45" s="197"/>
      <c r="DO45" s="197"/>
      <c r="DP45" s="197"/>
      <c r="DQ45" s="197"/>
      <c r="DR45" s="197"/>
      <c r="DS45" s="197"/>
      <c r="DT45" s="197"/>
      <c r="DU45" s="197"/>
      <c r="DV45" s="197"/>
      <c r="DW45" s="197"/>
      <c r="DX45" s="197"/>
      <c r="DY45" s="197"/>
      <c r="DZ45" s="197"/>
      <c r="EA45" s="197"/>
      <c r="EB45" s="197"/>
      <c r="EC45" s="197"/>
      <c r="ED45" s="197"/>
      <c r="EE45" s="197"/>
      <c r="EF45" s="197"/>
      <c r="EG45" s="197"/>
      <c r="EH45" s="197"/>
      <c r="EI45" s="197"/>
      <c r="EJ45" s="197"/>
      <c r="EK45" s="197"/>
      <c r="EL45" s="197"/>
      <c r="EM45" s="197"/>
      <c r="EN45" s="197"/>
      <c r="EO45" s="197"/>
      <c r="EP45" s="197"/>
      <c r="EQ45" s="197"/>
      <c r="ER45" s="197"/>
      <c r="ES45" s="197"/>
      <c r="ET45" s="197"/>
      <c r="EU45" s="197"/>
      <c r="EV45" s="197"/>
      <c r="EW45" s="197"/>
      <c r="EX45" s="197"/>
      <c r="EY45" s="197"/>
      <c r="EZ45" s="197"/>
      <c r="FA45" s="197"/>
      <c r="FB45" s="197"/>
      <c r="FC45" s="197"/>
      <c r="FD45" s="197"/>
      <c r="FE45" s="197"/>
      <c r="FF45" s="197"/>
      <c r="FG45" s="197"/>
      <c r="FH45" s="197"/>
      <c r="FI45" s="197"/>
      <c r="FJ45" s="197"/>
      <c r="FK45" s="197"/>
      <c r="FL45" s="197"/>
      <c r="FM45" s="197"/>
      <c r="FN45" s="197"/>
      <c r="FO45" s="197"/>
      <c r="FP45" s="197"/>
      <c r="FQ45" s="197"/>
      <c r="FR45" s="197"/>
      <c r="FS45" s="197"/>
      <c r="FT45" s="197"/>
      <c r="FU45" s="197"/>
      <c r="FV45" s="197"/>
      <c r="FW45" s="197"/>
      <c r="FX45" s="197"/>
      <c r="FY45" s="197"/>
      <c r="FZ45" s="197"/>
      <c r="GA45" s="197"/>
      <c r="GB45" s="197"/>
      <c r="GC45" s="197"/>
      <c r="GD45" s="197"/>
      <c r="GE45" s="197"/>
      <c r="GF45" s="197"/>
      <c r="GG45" s="197"/>
      <c r="GH45" s="197"/>
      <c r="GI45" s="197"/>
      <c r="GJ45" s="197"/>
      <c r="GK45" s="197"/>
      <c r="GL45" s="197"/>
      <c r="GM45" s="197"/>
      <c r="GN45" s="197"/>
      <c r="GO45" s="197"/>
      <c r="GP45" s="197"/>
      <c r="GQ45" s="197"/>
      <c r="GR45" s="197"/>
      <c r="GS45" s="197"/>
      <c r="GT45" s="197"/>
      <c r="GU45" s="197"/>
      <c r="GV45" s="197"/>
      <c r="GW45" s="197"/>
      <c r="GX45" s="197"/>
      <c r="GY45" s="197"/>
      <c r="GZ45" s="197"/>
      <c r="HA45" s="197"/>
      <c r="HB45" s="197"/>
      <c r="HC45" s="197"/>
      <c r="HD45" s="197"/>
      <c r="HE45" s="197"/>
      <c r="HF45" s="197"/>
      <c r="HG45" s="197"/>
      <c r="HH45" s="197"/>
      <c r="HI45" s="197"/>
      <c r="HJ45" s="197"/>
      <c r="HK45" s="197"/>
      <c r="HL45" s="197"/>
      <c r="HM45" s="197"/>
      <c r="HN45" s="197"/>
      <c r="HO45" s="197"/>
      <c r="HP45" s="197"/>
      <c r="HQ45" s="197"/>
      <c r="HR45" s="197"/>
      <c r="HS45" s="197"/>
      <c r="HT45" s="197"/>
      <c r="HU45" s="197"/>
      <c r="HV45" s="197"/>
      <c r="HW45" s="197"/>
      <c r="HX45" s="197"/>
      <c r="HY45" s="197"/>
      <c r="HZ45" s="197"/>
      <c r="IA45" s="197"/>
      <c r="IB45" s="197"/>
      <c r="IC45" s="197"/>
      <c r="ID45" s="197"/>
      <c r="IE45" s="197"/>
      <c r="IF45" s="197"/>
      <c r="IG45" s="197"/>
      <c r="IH45" s="197"/>
      <c r="II45" s="197"/>
      <c r="IJ45" s="197"/>
      <c r="IK45" s="197"/>
      <c r="IL45" s="197"/>
      <c r="IM45" s="197"/>
      <c r="IN45" s="197"/>
      <c r="IO45" s="197"/>
      <c r="IP45" s="197"/>
      <c r="IQ45" s="197"/>
      <c r="IR45" s="197"/>
      <c r="IS45" s="197"/>
      <c r="IT45" s="197"/>
      <c r="IU45" s="197"/>
      <c r="IV45" s="197"/>
      <c r="IW45" s="197"/>
      <c r="IX45" s="197"/>
      <c r="IY45" s="197"/>
      <c r="IZ45" s="197"/>
      <c r="JA45" s="197"/>
      <c r="JB45" s="197"/>
      <c r="JC45" s="197"/>
      <c r="JD45" s="197"/>
      <c r="JE45" s="197"/>
      <c r="JF45" s="197"/>
      <c r="JG45" s="197"/>
      <c r="JH45" s="197"/>
      <c r="JI45" s="197"/>
      <c r="JJ45" s="197"/>
      <c r="JK45" s="197"/>
      <c r="JL45" s="197"/>
      <c r="JM45" s="197"/>
      <c r="JN45" s="197"/>
      <c r="JO45" s="197"/>
      <c r="JP45" s="197"/>
      <c r="JQ45" s="197"/>
      <c r="JR45" s="197"/>
      <c r="JS45" s="197"/>
      <c r="JT45" s="197"/>
      <c r="JU45" s="197"/>
      <c r="JV45" s="197"/>
      <c r="JW45" s="197"/>
      <c r="JX45" s="197"/>
      <c r="JY45" s="197"/>
      <c r="JZ45" s="197"/>
      <c r="KA45" s="197"/>
      <c r="KB45" s="197"/>
      <c r="KC45" s="197"/>
      <c r="KD45" s="197"/>
      <c r="KE45" s="197"/>
      <c r="KF45" s="197"/>
      <c r="KG45" s="197"/>
      <c r="KH45" s="197"/>
      <c r="KI45" s="197"/>
      <c r="KJ45" s="197"/>
      <c r="KK45" s="197"/>
      <c r="KL45" s="197"/>
      <c r="KM45" s="197"/>
      <c r="KN45" s="197"/>
      <c r="KO45" s="197"/>
      <c r="KP45" s="197"/>
      <c r="KQ45" s="197"/>
      <c r="KR45" s="197"/>
      <c r="KS45" s="197"/>
      <c r="KT45" s="197"/>
      <c r="KU45" s="197"/>
      <c r="KV45" s="197"/>
      <c r="KW45" s="197"/>
      <c r="KX45" s="197"/>
      <c r="KY45" s="197"/>
      <c r="KZ45" s="197"/>
      <c r="LA45" s="197"/>
      <c r="LB45" s="197"/>
      <c r="LC45" s="197"/>
      <c r="LD45" s="197"/>
      <c r="LE45" s="197"/>
      <c r="LF45" s="197"/>
      <c r="LG45" s="197"/>
      <c r="LH45" s="197"/>
      <c r="LI45" s="197"/>
      <c r="LJ45" s="197"/>
      <c r="LK45" s="197"/>
      <c r="LL45" s="197"/>
      <c r="LM45" s="197"/>
      <c r="LN45" s="197"/>
      <c r="LO45" s="197"/>
      <c r="LP45" s="197"/>
      <c r="LQ45" s="197"/>
      <c r="LR45" s="197"/>
      <c r="LS45" s="197"/>
      <c r="LT45" s="197"/>
      <c r="LU45" s="197"/>
      <c r="LV45" s="197"/>
      <c r="LW45" s="197"/>
      <c r="LX45" s="197"/>
      <c r="LY45" s="197"/>
      <c r="LZ45" s="197"/>
      <c r="MA45" s="197"/>
      <c r="MB45" s="197"/>
    </row>
    <row r="46" spans="1:340" s="198" customFormat="1" ht="12">
      <c r="A46" s="197"/>
      <c r="B46" s="994"/>
      <c r="C46" s="1133"/>
      <c r="D46" s="1354" t="s">
        <v>759</v>
      </c>
      <c r="E46" s="995"/>
      <c r="F46" s="995"/>
      <c r="G46" s="996"/>
      <c r="H46" s="995"/>
      <c r="I46" s="995"/>
      <c r="J46" s="997">
        <f>0.015</f>
        <v>1.4999999999999999E-2</v>
      </c>
      <c r="K46" s="998">
        <f>+J46*$K$6</f>
        <v>26142524.234999999</v>
      </c>
      <c r="L46" s="197"/>
      <c r="M46" s="197"/>
      <c r="N46" s="548"/>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c r="BR46" s="197"/>
      <c r="BS46" s="197"/>
      <c r="BT46" s="197"/>
      <c r="BU46" s="197"/>
      <c r="BV46" s="197"/>
      <c r="BW46" s="197"/>
      <c r="BX46" s="197"/>
      <c r="BY46" s="197"/>
      <c r="BZ46" s="197"/>
      <c r="CA46" s="197"/>
      <c r="CB46" s="197"/>
      <c r="CC46" s="197"/>
      <c r="CD46" s="197"/>
      <c r="CE46" s="197"/>
      <c r="CF46" s="197"/>
      <c r="CG46" s="197"/>
      <c r="CH46" s="197"/>
      <c r="CI46" s="197"/>
      <c r="CJ46" s="197"/>
      <c r="CK46" s="197"/>
      <c r="CL46" s="197"/>
      <c r="CM46" s="197"/>
      <c r="CN46" s="197"/>
      <c r="CO46" s="197"/>
      <c r="CP46" s="197"/>
      <c r="CQ46" s="197"/>
      <c r="CR46" s="197"/>
      <c r="CS46" s="197"/>
      <c r="CT46" s="197"/>
      <c r="CU46" s="197"/>
      <c r="CV46" s="197"/>
      <c r="CW46" s="197"/>
      <c r="CX46" s="197"/>
      <c r="CY46" s="197"/>
      <c r="CZ46" s="197"/>
      <c r="DA46" s="197"/>
      <c r="DB46" s="197"/>
      <c r="DC46" s="197"/>
      <c r="DD46" s="197"/>
      <c r="DE46" s="197"/>
      <c r="DF46" s="197"/>
      <c r="DG46" s="197"/>
      <c r="DH46" s="197"/>
      <c r="DI46" s="197"/>
      <c r="DJ46" s="197"/>
      <c r="DK46" s="197"/>
      <c r="DL46" s="197"/>
      <c r="DM46" s="197"/>
      <c r="DN46" s="197"/>
      <c r="DO46" s="197"/>
      <c r="DP46" s="197"/>
      <c r="DQ46" s="197"/>
      <c r="DR46" s="197"/>
      <c r="DS46" s="197"/>
      <c r="DT46" s="197"/>
      <c r="DU46" s="197"/>
      <c r="DV46" s="197"/>
      <c r="DW46" s="197"/>
      <c r="DX46" s="197"/>
      <c r="DY46" s="197"/>
      <c r="DZ46" s="197"/>
      <c r="EA46" s="197"/>
      <c r="EB46" s="197"/>
      <c r="EC46" s="197"/>
      <c r="ED46" s="197"/>
      <c r="EE46" s="197"/>
      <c r="EF46" s="197"/>
      <c r="EG46" s="197"/>
      <c r="EH46" s="197"/>
      <c r="EI46" s="197"/>
      <c r="EJ46" s="197"/>
      <c r="EK46" s="197"/>
      <c r="EL46" s="197"/>
      <c r="EM46" s="197"/>
      <c r="EN46" s="197"/>
      <c r="EO46" s="197"/>
      <c r="EP46" s="197"/>
      <c r="EQ46" s="197"/>
      <c r="ER46" s="197"/>
      <c r="ES46" s="197"/>
      <c r="ET46" s="197"/>
      <c r="EU46" s="197"/>
      <c r="EV46" s="197"/>
      <c r="EW46" s="197"/>
      <c r="EX46" s="197"/>
      <c r="EY46" s="197"/>
      <c r="EZ46" s="197"/>
      <c r="FA46" s="197"/>
      <c r="FB46" s="197"/>
      <c r="FC46" s="197"/>
      <c r="FD46" s="197"/>
      <c r="FE46" s="197"/>
      <c r="FF46" s="197"/>
      <c r="FG46" s="197"/>
      <c r="FH46" s="197"/>
      <c r="FI46" s="197"/>
      <c r="FJ46" s="197"/>
      <c r="FK46" s="197"/>
      <c r="FL46" s="197"/>
      <c r="FM46" s="197"/>
      <c r="FN46" s="197"/>
      <c r="FO46" s="197"/>
      <c r="FP46" s="197"/>
      <c r="FQ46" s="197"/>
      <c r="FR46" s="197"/>
      <c r="FS46" s="197"/>
      <c r="FT46" s="197"/>
      <c r="FU46" s="197"/>
      <c r="FV46" s="197"/>
      <c r="FW46" s="197"/>
      <c r="FX46" s="197"/>
      <c r="FY46" s="197"/>
      <c r="FZ46" s="197"/>
      <c r="GA46" s="197"/>
      <c r="GB46" s="197"/>
      <c r="GC46" s="197"/>
      <c r="GD46" s="197"/>
      <c r="GE46" s="197"/>
      <c r="GF46" s="197"/>
      <c r="GG46" s="197"/>
      <c r="GH46" s="197"/>
      <c r="GI46" s="197"/>
      <c r="GJ46" s="197"/>
      <c r="GK46" s="197"/>
      <c r="GL46" s="197"/>
      <c r="GM46" s="197"/>
      <c r="GN46" s="197"/>
      <c r="GO46" s="197"/>
      <c r="GP46" s="197"/>
      <c r="GQ46" s="197"/>
      <c r="GR46" s="197"/>
      <c r="GS46" s="197"/>
      <c r="GT46" s="197"/>
      <c r="GU46" s="197"/>
      <c r="GV46" s="197"/>
      <c r="GW46" s="197"/>
      <c r="GX46" s="197"/>
      <c r="GY46" s="197"/>
      <c r="GZ46" s="197"/>
      <c r="HA46" s="197"/>
      <c r="HB46" s="197"/>
      <c r="HC46" s="197"/>
      <c r="HD46" s="197"/>
      <c r="HE46" s="197"/>
      <c r="HF46" s="197"/>
      <c r="HG46" s="197"/>
      <c r="HH46" s="197"/>
      <c r="HI46" s="197"/>
      <c r="HJ46" s="197"/>
      <c r="HK46" s="197"/>
      <c r="HL46" s="197"/>
      <c r="HM46" s="197"/>
      <c r="HN46" s="197"/>
      <c r="HO46" s="197"/>
      <c r="HP46" s="197"/>
      <c r="HQ46" s="197"/>
      <c r="HR46" s="197"/>
      <c r="HS46" s="197"/>
      <c r="HT46" s="197"/>
      <c r="HU46" s="197"/>
      <c r="HV46" s="197"/>
      <c r="HW46" s="197"/>
      <c r="HX46" s="197"/>
      <c r="HY46" s="197"/>
      <c r="HZ46" s="197"/>
      <c r="IA46" s="197"/>
      <c r="IB46" s="197"/>
      <c r="IC46" s="197"/>
      <c r="ID46" s="197"/>
      <c r="IE46" s="197"/>
      <c r="IF46" s="197"/>
      <c r="IG46" s="197"/>
      <c r="IH46" s="197"/>
      <c r="II46" s="197"/>
      <c r="IJ46" s="197"/>
      <c r="IK46" s="197"/>
      <c r="IL46" s="197"/>
      <c r="IM46" s="197"/>
      <c r="IN46" s="197"/>
      <c r="IO46" s="197"/>
      <c r="IP46" s="197"/>
      <c r="IQ46" s="197"/>
      <c r="IR46" s="197"/>
      <c r="IS46" s="197"/>
      <c r="IT46" s="197"/>
      <c r="IU46" s="197"/>
      <c r="IV46" s="197"/>
      <c r="IW46" s="197"/>
      <c r="IX46" s="197"/>
      <c r="IY46" s="197"/>
      <c r="IZ46" s="197"/>
      <c r="JA46" s="197"/>
      <c r="JB46" s="197"/>
      <c r="JC46" s="197"/>
      <c r="JD46" s="197"/>
      <c r="JE46" s="197"/>
      <c r="JF46" s="197"/>
      <c r="JG46" s="197"/>
      <c r="JH46" s="197"/>
      <c r="JI46" s="197"/>
      <c r="JJ46" s="197"/>
      <c r="JK46" s="197"/>
      <c r="JL46" s="197"/>
      <c r="JM46" s="197"/>
      <c r="JN46" s="197"/>
      <c r="JO46" s="197"/>
      <c r="JP46" s="197"/>
      <c r="JQ46" s="197"/>
      <c r="JR46" s="197"/>
      <c r="JS46" s="197"/>
      <c r="JT46" s="197"/>
      <c r="JU46" s="197"/>
      <c r="JV46" s="197"/>
      <c r="JW46" s="197"/>
      <c r="JX46" s="197"/>
      <c r="JY46" s="197"/>
      <c r="JZ46" s="197"/>
      <c r="KA46" s="197"/>
      <c r="KB46" s="197"/>
      <c r="KC46" s="197"/>
      <c r="KD46" s="197"/>
      <c r="KE46" s="197"/>
      <c r="KF46" s="197"/>
      <c r="KG46" s="197"/>
      <c r="KH46" s="197"/>
      <c r="KI46" s="197"/>
      <c r="KJ46" s="197"/>
      <c r="KK46" s="197"/>
      <c r="KL46" s="197"/>
      <c r="KM46" s="197"/>
      <c r="KN46" s="197"/>
      <c r="KO46" s="197"/>
      <c r="KP46" s="197"/>
      <c r="KQ46" s="197"/>
      <c r="KR46" s="197"/>
      <c r="KS46" s="197"/>
      <c r="KT46" s="197"/>
      <c r="KU46" s="197"/>
      <c r="KV46" s="197"/>
      <c r="KW46" s="197"/>
      <c r="KX46" s="197"/>
      <c r="KY46" s="197"/>
      <c r="KZ46" s="197"/>
      <c r="LA46" s="197"/>
      <c r="LB46" s="197"/>
      <c r="LC46" s="197"/>
      <c r="LD46" s="197"/>
      <c r="LE46" s="197"/>
      <c r="LF46" s="197"/>
      <c r="LG46" s="197"/>
      <c r="LH46" s="197"/>
      <c r="LI46" s="197"/>
      <c r="LJ46" s="197"/>
      <c r="LK46" s="197"/>
      <c r="LL46" s="197"/>
      <c r="LM46" s="197"/>
      <c r="LN46" s="197"/>
      <c r="LO46" s="197"/>
      <c r="LP46" s="197"/>
      <c r="LQ46" s="197"/>
      <c r="LR46" s="197"/>
      <c r="LS46" s="197"/>
      <c r="LT46" s="197"/>
      <c r="LU46" s="197"/>
      <c r="LV46" s="197"/>
      <c r="LW46" s="197"/>
      <c r="LX46" s="197"/>
      <c r="LY46" s="197"/>
      <c r="LZ46" s="197"/>
      <c r="MA46" s="197"/>
      <c r="MB46" s="197"/>
    </row>
    <row r="47" spans="1:340" s="198" customFormat="1" ht="12">
      <c r="A47" s="197"/>
      <c r="B47" s="994"/>
      <c r="C47" s="1133"/>
      <c r="D47" s="1354" t="s">
        <v>710</v>
      </c>
      <c r="E47" s="995"/>
      <c r="F47" s="995"/>
      <c r="G47" s="996"/>
      <c r="H47" s="995"/>
      <c r="I47" s="995"/>
      <c r="J47" s="997">
        <f>0.04</f>
        <v>0.04</v>
      </c>
      <c r="K47" s="998">
        <f t="shared" ref="K47:K48" si="7">+J47*$K$6</f>
        <v>69713397.960000008</v>
      </c>
      <c r="L47" s="197"/>
      <c r="M47" s="197"/>
      <c r="N47" s="548"/>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c r="BR47" s="197"/>
      <c r="BS47" s="197"/>
      <c r="BT47" s="197"/>
      <c r="BU47" s="197"/>
      <c r="BV47" s="197"/>
      <c r="BW47" s="197"/>
      <c r="BX47" s="197"/>
      <c r="BY47" s="197"/>
      <c r="BZ47" s="197"/>
      <c r="CA47" s="197"/>
      <c r="CB47" s="197"/>
      <c r="CC47" s="197"/>
      <c r="CD47" s="197"/>
      <c r="CE47" s="197"/>
      <c r="CF47" s="197"/>
      <c r="CG47" s="197"/>
      <c r="CH47" s="197"/>
      <c r="CI47" s="197"/>
      <c r="CJ47" s="197"/>
      <c r="CK47" s="197"/>
      <c r="CL47" s="197"/>
      <c r="CM47" s="197"/>
      <c r="CN47" s="197"/>
      <c r="CO47" s="197"/>
      <c r="CP47" s="197"/>
      <c r="CQ47" s="197"/>
      <c r="CR47" s="197"/>
      <c r="CS47" s="197"/>
      <c r="CT47" s="197"/>
      <c r="CU47" s="197"/>
      <c r="CV47" s="197"/>
      <c r="CW47" s="197"/>
      <c r="CX47" s="197"/>
      <c r="CY47" s="197"/>
      <c r="CZ47" s="197"/>
      <c r="DA47" s="197"/>
      <c r="DB47" s="197"/>
      <c r="DC47" s="197"/>
      <c r="DD47" s="197"/>
      <c r="DE47" s="197"/>
      <c r="DF47" s="197"/>
      <c r="DG47" s="197"/>
      <c r="DH47" s="197"/>
      <c r="DI47" s="197"/>
      <c r="DJ47" s="197"/>
      <c r="DK47" s="197"/>
      <c r="DL47" s="197"/>
      <c r="DM47" s="197"/>
      <c r="DN47" s="197"/>
      <c r="DO47" s="197"/>
      <c r="DP47" s="197"/>
      <c r="DQ47" s="197"/>
      <c r="DR47" s="197"/>
      <c r="DS47" s="197"/>
      <c r="DT47" s="197"/>
      <c r="DU47" s="197"/>
      <c r="DV47" s="197"/>
      <c r="DW47" s="197"/>
      <c r="DX47" s="197"/>
      <c r="DY47" s="197"/>
      <c r="DZ47" s="197"/>
      <c r="EA47" s="197"/>
      <c r="EB47" s="197"/>
      <c r="EC47" s="197"/>
      <c r="ED47" s="197"/>
      <c r="EE47" s="197"/>
      <c r="EF47" s="197"/>
      <c r="EG47" s="197"/>
      <c r="EH47" s="197"/>
      <c r="EI47" s="197"/>
      <c r="EJ47" s="197"/>
      <c r="EK47" s="197"/>
      <c r="EL47" s="197"/>
      <c r="EM47" s="197"/>
      <c r="EN47" s="197"/>
      <c r="EO47" s="197"/>
      <c r="EP47" s="197"/>
      <c r="EQ47" s="197"/>
      <c r="ER47" s="197"/>
      <c r="ES47" s="197"/>
      <c r="ET47" s="197"/>
      <c r="EU47" s="197"/>
      <c r="EV47" s="197"/>
      <c r="EW47" s="197"/>
      <c r="EX47" s="197"/>
      <c r="EY47" s="197"/>
      <c r="EZ47" s="197"/>
      <c r="FA47" s="197"/>
      <c r="FB47" s="197"/>
      <c r="FC47" s="197"/>
      <c r="FD47" s="197"/>
      <c r="FE47" s="197"/>
      <c r="FF47" s="197"/>
      <c r="FG47" s="197"/>
      <c r="FH47" s="197"/>
      <c r="FI47" s="197"/>
      <c r="FJ47" s="197"/>
      <c r="FK47" s="197"/>
      <c r="FL47" s="197"/>
      <c r="FM47" s="197"/>
      <c r="FN47" s="197"/>
      <c r="FO47" s="197"/>
      <c r="FP47" s="197"/>
      <c r="FQ47" s="197"/>
      <c r="FR47" s="197"/>
      <c r="FS47" s="197"/>
      <c r="FT47" s="197"/>
      <c r="FU47" s="197"/>
      <c r="FV47" s="197"/>
      <c r="FW47" s="197"/>
      <c r="FX47" s="197"/>
      <c r="FY47" s="197"/>
      <c r="FZ47" s="197"/>
      <c r="GA47" s="197"/>
      <c r="GB47" s="197"/>
      <c r="GC47" s="197"/>
      <c r="GD47" s="197"/>
      <c r="GE47" s="197"/>
      <c r="GF47" s="197"/>
      <c r="GG47" s="197"/>
      <c r="GH47" s="197"/>
      <c r="GI47" s="197"/>
      <c r="GJ47" s="197"/>
      <c r="GK47" s="197"/>
      <c r="GL47" s="197"/>
      <c r="GM47" s="197"/>
      <c r="GN47" s="197"/>
      <c r="GO47" s="197"/>
      <c r="GP47" s="197"/>
      <c r="GQ47" s="197"/>
      <c r="GR47" s="197"/>
      <c r="GS47" s="197"/>
      <c r="GT47" s="197"/>
      <c r="GU47" s="197"/>
      <c r="GV47" s="197"/>
      <c r="GW47" s="197"/>
      <c r="GX47" s="197"/>
      <c r="GY47" s="197"/>
      <c r="GZ47" s="197"/>
      <c r="HA47" s="197"/>
      <c r="HB47" s="197"/>
      <c r="HC47" s="197"/>
      <c r="HD47" s="197"/>
      <c r="HE47" s="197"/>
      <c r="HF47" s="197"/>
      <c r="HG47" s="197"/>
      <c r="HH47" s="197"/>
      <c r="HI47" s="197"/>
      <c r="HJ47" s="197"/>
      <c r="HK47" s="197"/>
      <c r="HL47" s="197"/>
      <c r="HM47" s="197"/>
      <c r="HN47" s="197"/>
      <c r="HO47" s="197"/>
      <c r="HP47" s="197"/>
      <c r="HQ47" s="197"/>
      <c r="HR47" s="197"/>
      <c r="HS47" s="197"/>
      <c r="HT47" s="197"/>
      <c r="HU47" s="197"/>
      <c r="HV47" s="197"/>
      <c r="HW47" s="197"/>
      <c r="HX47" s="197"/>
      <c r="HY47" s="197"/>
      <c r="HZ47" s="197"/>
      <c r="IA47" s="197"/>
      <c r="IB47" s="197"/>
      <c r="IC47" s="197"/>
      <c r="ID47" s="197"/>
      <c r="IE47" s="197"/>
      <c r="IF47" s="197"/>
      <c r="IG47" s="197"/>
      <c r="IH47" s="197"/>
      <c r="II47" s="197"/>
      <c r="IJ47" s="197"/>
      <c r="IK47" s="197"/>
      <c r="IL47" s="197"/>
      <c r="IM47" s="197"/>
      <c r="IN47" s="197"/>
      <c r="IO47" s="197"/>
      <c r="IP47" s="197"/>
      <c r="IQ47" s="197"/>
      <c r="IR47" s="197"/>
      <c r="IS47" s="197"/>
      <c r="IT47" s="197"/>
      <c r="IU47" s="197"/>
      <c r="IV47" s="197"/>
      <c r="IW47" s="197"/>
      <c r="IX47" s="197"/>
      <c r="IY47" s="197"/>
      <c r="IZ47" s="197"/>
      <c r="JA47" s="197"/>
      <c r="JB47" s="197"/>
      <c r="JC47" s="197"/>
      <c r="JD47" s="197"/>
      <c r="JE47" s="197"/>
      <c r="JF47" s="197"/>
      <c r="JG47" s="197"/>
      <c r="JH47" s="197"/>
      <c r="JI47" s="197"/>
      <c r="JJ47" s="197"/>
      <c r="JK47" s="197"/>
      <c r="JL47" s="197"/>
      <c r="JM47" s="197"/>
      <c r="JN47" s="197"/>
      <c r="JO47" s="197"/>
      <c r="JP47" s="197"/>
      <c r="JQ47" s="197"/>
      <c r="JR47" s="197"/>
      <c r="JS47" s="197"/>
      <c r="JT47" s="197"/>
      <c r="JU47" s="197"/>
      <c r="JV47" s="197"/>
      <c r="JW47" s="197"/>
      <c r="JX47" s="197"/>
      <c r="JY47" s="197"/>
      <c r="JZ47" s="197"/>
      <c r="KA47" s="197"/>
      <c r="KB47" s="197"/>
      <c r="KC47" s="197"/>
      <c r="KD47" s="197"/>
      <c r="KE47" s="197"/>
      <c r="KF47" s="197"/>
      <c r="KG47" s="197"/>
      <c r="KH47" s="197"/>
      <c r="KI47" s="197"/>
      <c r="KJ47" s="197"/>
      <c r="KK47" s="197"/>
      <c r="KL47" s="197"/>
      <c r="KM47" s="197"/>
      <c r="KN47" s="197"/>
      <c r="KO47" s="197"/>
      <c r="KP47" s="197"/>
      <c r="KQ47" s="197"/>
      <c r="KR47" s="197"/>
      <c r="KS47" s="197"/>
      <c r="KT47" s="197"/>
      <c r="KU47" s="197"/>
      <c r="KV47" s="197"/>
      <c r="KW47" s="197"/>
      <c r="KX47" s="197"/>
      <c r="KY47" s="197"/>
      <c r="KZ47" s="197"/>
      <c r="LA47" s="197"/>
      <c r="LB47" s="197"/>
      <c r="LC47" s="197"/>
      <c r="LD47" s="197"/>
      <c r="LE47" s="197"/>
      <c r="LF47" s="197"/>
      <c r="LG47" s="197"/>
      <c r="LH47" s="197"/>
      <c r="LI47" s="197"/>
      <c r="LJ47" s="197"/>
      <c r="LK47" s="197"/>
      <c r="LL47" s="197"/>
      <c r="LM47" s="197"/>
      <c r="LN47" s="197"/>
      <c r="LO47" s="197"/>
      <c r="LP47" s="197"/>
      <c r="LQ47" s="197"/>
      <c r="LR47" s="197"/>
      <c r="LS47" s="197"/>
      <c r="LT47" s="197"/>
      <c r="LU47" s="197"/>
      <c r="LV47" s="197"/>
      <c r="LW47" s="197"/>
      <c r="LX47" s="197"/>
      <c r="LY47" s="197"/>
      <c r="LZ47" s="197"/>
      <c r="MA47" s="197"/>
      <c r="MB47" s="197"/>
    </row>
    <row r="48" spans="1:340" s="198" customFormat="1" ht="12">
      <c r="A48" s="197"/>
      <c r="B48" s="994"/>
      <c r="C48" s="1133"/>
      <c r="D48" s="1354" t="s">
        <v>760</v>
      </c>
      <c r="E48" s="995"/>
      <c r="F48" s="995"/>
      <c r="G48" s="996"/>
      <c r="H48" s="995"/>
      <c r="I48" s="995"/>
      <c r="J48" s="997">
        <f>0.02</f>
        <v>0.02</v>
      </c>
      <c r="K48" s="998">
        <f t="shared" si="7"/>
        <v>34856698.980000004</v>
      </c>
      <c r="L48" s="197"/>
      <c r="M48" s="197"/>
      <c r="N48" s="548"/>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c r="BR48" s="197"/>
      <c r="BS48" s="197"/>
      <c r="BT48" s="197"/>
      <c r="BU48" s="197"/>
      <c r="BV48" s="197"/>
      <c r="BW48" s="197"/>
      <c r="BX48" s="197"/>
      <c r="BY48" s="197"/>
      <c r="BZ48" s="197"/>
      <c r="CA48" s="197"/>
      <c r="CB48" s="197"/>
      <c r="CC48" s="197"/>
      <c r="CD48" s="197"/>
      <c r="CE48" s="197"/>
      <c r="CF48" s="197"/>
      <c r="CG48" s="197"/>
      <c r="CH48" s="197"/>
      <c r="CI48" s="197"/>
      <c r="CJ48" s="197"/>
      <c r="CK48" s="197"/>
      <c r="CL48" s="197"/>
      <c r="CM48" s="197"/>
      <c r="CN48" s="197"/>
      <c r="CO48" s="197"/>
      <c r="CP48" s="197"/>
      <c r="CQ48" s="197"/>
      <c r="CR48" s="197"/>
      <c r="CS48" s="197"/>
      <c r="CT48" s="197"/>
      <c r="CU48" s="197"/>
      <c r="CV48" s="197"/>
      <c r="CW48" s="197"/>
      <c r="CX48" s="197"/>
      <c r="CY48" s="197"/>
      <c r="CZ48" s="197"/>
      <c r="DA48" s="197"/>
      <c r="DB48" s="197"/>
      <c r="DC48" s="197"/>
      <c r="DD48" s="197"/>
      <c r="DE48" s="197"/>
      <c r="DF48" s="197"/>
      <c r="DG48" s="197"/>
      <c r="DH48" s="197"/>
      <c r="DI48" s="197"/>
      <c r="DJ48" s="197"/>
      <c r="DK48" s="197"/>
      <c r="DL48" s="197"/>
      <c r="DM48" s="197"/>
      <c r="DN48" s="197"/>
      <c r="DO48" s="197"/>
      <c r="DP48" s="197"/>
      <c r="DQ48" s="197"/>
      <c r="DR48" s="197"/>
      <c r="DS48" s="197"/>
      <c r="DT48" s="197"/>
      <c r="DU48" s="197"/>
      <c r="DV48" s="197"/>
      <c r="DW48" s="197"/>
      <c r="DX48" s="197"/>
      <c r="DY48" s="197"/>
      <c r="DZ48" s="197"/>
      <c r="EA48" s="197"/>
      <c r="EB48" s="197"/>
      <c r="EC48" s="197"/>
      <c r="ED48" s="197"/>
      <c r="EE48" s="197"/>
      <c r="EF48" s="197"/>
      <c r="EG48" s="197"/>
      <c r="EH48" s="197"/>
      <c r="EI48" s="197"/>
      <c r="EJ48" s="197"/>
      <c r="EK48" s="197"/>
      <c r="EL48" s="197"/>
      <c r="EM48" s="197"/>
      <c r="EN48" s="197"/>
      <c r="EO48" s="197"/>
      <c r="EP48" s="197"/>
      <c r="EQ48" s="197"/>
      <c r="ER48" s="197"/>
      <c r="ES48" s="197"/>
      <c r="ET48" s="197"/>
      <c r="EU48" s="197"/>
      <c r="EV48" s="197"/>
      <c r="EW48" s="197"/>
      <c r="EX48" s="197"/>
      <c r="EY48" s="197"/>
      <c r="EZ48" s="197"/>
      <c r="FA48" s="197"/>
      <c r="FB48" s="197"/>
      <c r="FC48" s="197"/>
      <c r="FD48" s="197"/>
      <c r="FE48" s="197"/>
      <c r="FF48" s="197"/>
      <c r="FG48" s="197"/>
      <c r="FH48" s="197"/>
      <c r="FI48" s="197"/>
      <c r="FJ48" s="197"/>
      <c r="FK48" s="197"/>
      <c r="FL48" s="197"/>
      <c r="FM48" s="197"/>
      <c r="FN48" s="197"/>
      <c r="FO48" s="197"/>
      <c r="FP48" s="197"/>
      <c r="FQ48" s="197"/>
      <c r="FR48" s="197"/>
      <c r="FS48" s="197"/>
      <c r="FT48" s="197"/>
      <c r="FU48" s="197"/>
      <c r="FV48" s="197"/>
      <c r="FW48" s="197"/>
      <c r="FX48" s="197"/>
      <c r="FY48" s="197"/>
      <c r="FZ48" s="197"/>
      <c r="GA48" s="197"/>
      <c r="GB48" s="197"/>
      <c r="GC48" s="197"/>
      <c r="GD48" s="197"/>
      <c r="GE48" s="197"/>
      <c r="GF48" s="197"/>
      <c r="GG48" s="197"/>
      <c r="GH48" s="197"/>
      <c r="GI48" s="197"/>
      <c r="GJ48" s="197"/>
      <c r="GK48" s="197"/>
      <c r="GL48" s="197"/>
      <c r="GM48" s="197"/>
      <c r="GN48" s="197"/>
      <c r="GO48" s="197"/>
      <c r="GP48" s="197"/>
      <c r="GQ48" s="197"/>
      <c r="GR48" s="197"/>
      <c r="GS48" s="197"/>
      <c r="GT48" s="197"/>
      <c r="GU48" s="197"/>
      <c r="GV48" s="197"/>
      <c r="GW48" s="197"/>
      <c r="GX48" s="197"/>
      <c r="GY48" s="197"/>
      <c r="GZ48" s="197"/>
      <c r="HA48" s="197"/>
      <c r="HB48" s="197"/>
      <c r="HC48" s="197"/>
      <c r="HD48" s="197"/>
      <c r="HE48" s="197"/>
      <c r="HF48" s="197"/>
      <c r="HG48" s="197"/>
      <c r="HH48" s="197"/>
      <c r="HI48" s="197"/>
      <c r="HJ48" s="197"/>
      <c r="HK48" s="197"/>
      <c r="HL48" s="197"/>
      <c r="HM48" s="197"/>
      <c r="HN48" s="197"/>
      <c r="HO48" s="197"/>
      <c r="HP48" s="197"/>
      <c r="HQ48" s="197"/>
      <c r="HR48" s="197"/>
      <c r="HS48" s="197"/>
      <c r="HT48" s="197"/>
      <c r="HU48" s="197"/>
      <c r="HV48" s="197"/>
      <c r="HW48" s="197"/>
      <c r="HX48" s="197"/>
      <c r="HY48" s="197"/>
      <c r="HZ48" s="197"/>
      <c r="IA48" s="197"/>
      <c r="IB48" s="197"/>
      <c r="IC48" s="197"/>
      <c r="ID48" s="197"/>
      <c r="IE48" s="197"/>
      <c r="IF48" s="197"/>
      <c r="IG48" s="197"/>
      <c r="IH48" s="197"/>
      <c r="II48" s="197"/>
      <c r="IJ48" s="197"/>
      <c r="IK48" s="197"/>
      <c r="IL48" s="197"/>
      <c r="IM48" s="197"/>
      <c r="IN48" s="197"/>
      <c r="IO48" s="197"/>
      <c r="IP48" s="197"/>
      <c r="IQ48" s="197"/>
      <c r="IR48" s="197"/>
      <c r="IS48" s="197"/>
      <c r="IT48" s="197"/>
      <c r="IU48" s="197"/>
      <c r="IV48" s="197"/>
      <c r="IW48" s="197"/>
      <c r="IX48" s="197"/>
      <c r="IY48" s="197"/>
      <c r="IZ48" s="197"/>
      <c r="JA48" s="197"/>
      <c r="JB48" s="197"/>
      <c r="JC48" s="197"/>
      <c r="JD48" s="197"/>
      <c r="JE48" s="197"/>
      <c r="JF48" s="197"/>
      <c r="JG48" s="197"/>
      <c r="JH48" s="197"/>
      <c r="JI48" s="197"/>
      <c r="JJ48" s="197"/>
      <c r="JK48" s="197"/>
      <c r="JL48" s="197"/>
      <c r="JM48" s="197"/>
      <c r="JN48" s="197"/>
      <c r="JO48" s="197"/>
      <c r="JP48" s="197"/>
      <c r="JQ48" s="197"/>
      <c r="JR48" s="197"/>
      <c r="JS48" s="197"/>
      <c r="JT48" s="197"/>
      <c r="JU48" s="197"/>
      <c r="JV48" s="197"/>
      <c r="JW48" s="197"/>
      <c r="JX48" s="197"/>
      <c r="JY48" s="197"/>
      <c r="JZ48" s="197"/>
      <c r="KA48" s="197"/>
      <c r="KB48" s="197"/>
      <c r="KC48" s="197"/>
      <c r="KD48" s="197"/>
      <c r="KE48" s="197"/>
      <c r="KF48" s="197"/>
      <c r="KG48" s="197"/>
      <c r="KH48" s="197"/>
      <c r="KI48" s="197"/>
      <c r="KJ48" s="197"/>
      <c r="KK48" s="197"/>
      <c r="KL48" s="197"/>
      <c r="KM48" s="197"/>
      <c r="KN48" s="197"/>
      <c r="KO48" s="197"/>
      <c r="KP48" s="197"/>
      <c r="KQ48" s="197"/>
      <c r="KR48" s="197"/>
      <c r="KS48" s="197"/>
      <c r="KT48" s="197"/>
      <c r="KU48" s="197"/>
      <c r="KV48" s="197"/>
      <c r="KW48" s="197"/>
      <c r="KX48" s="197"/>
      <c r="KY48" s="197"/>
      <c r="KZ48" s="197"/>
      <c r="LA48" s="197"/>
      <c r="LB48" s="197"/>
      <c r="LC48" s="197"/>
      <c r="LD48" s="197"/>
      <c r="LE48" s="197"/>
      <c r="LF48" s="197"/>
      <c r="LG48" s="197"/>
      <c r="LH48" s="197"/>
      <c r="LI48" s="197"/>
      <c r="LJ48" s="197"/>
      <c r="LK48" s="197"/>
      <c r="LL48" s="197"/>
      <c r="LM48" s="197"/>
      <c r="LN48" s="197"/>
      <c r="LO48" s="197"/>
      <c r="LP48" s="197"/>
      <c r="LQ48" s="197"/>
      <c r="LR48" s="197"/>
      <c r="LS48" s="197"/>
      <c r="LT48" s="197"/>
      <c r="LU48" s="197"/>
      <c r="LV48" s="197"/>
      <c r="LW48" s="197"/>
      <c r="LX48" s="197"/>
      <c r="LY48" s="197"/>
      <c r="LZ48" s="197"/>
      <c r="MA48" s="197"/>
      <c r="MB48" s="197"/>
    </row>
    <row r="49" spans="1:340" s="198" customFormat="1" ht="22.8">
      <c r="A49" s="197"/>
      <c r="B49" s="994"/>
      <c r="C49" s="1133"/>
      <c r="D49" s="1354" t="s">
        <v>761</v>
      </c>
      <c r="E49" s="995"/>
      <c r="F49" s="995"/>
      <c r="G49" s="996"/>
      <c r="H49" s="995"/>
      <c r="I49" s="995"/>
      <c r="J49" s="997">
        <f>0.02</f>
        <v>0.02</v>
      </c>
      <c r="K49" s="998">
        <f>+J49*$K$6</f>
        <v>34856698.980000004</v>
      </c>
      <c r="L49" s="197"/>
      <c r="M49" s="197"/>
      <c r="N49" s="1338"/>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c r="BR49" s="197"/>
      <c r="BS49" s="197"/>
      <c r="BT49" s="197"/>
      <c r="BU49" s="197"/>
      <c r="BV49" s="197"/>
      <c r="BW49" s="197"/>
      <c r="BX49" s="197"/>
      <c r="BY49" s="197"/>
      <c r="BZ49" s="197"/>
      <c r="CA49" s="197"/>
      <c r="CB49" s="197"/>
      <c r="CC49" s="197"/>
      <c r="CD49" s="197"/>
      <c r="CE49" s="197"/>
      <c r="CF49" s="197"/>
      <c r="CG49" s="197"/>
      <c r="CH49" s="197"/>
      <c r="CI49" s="197"/>
      <c r="CJ49" s="197"/>
      <c r="CK49" s="197"/>
      <c r="CL49" s="197"/>
      <c r="CM49" s="197"/>
      <c r="CN49" s="197"/>
      <c r="CO49" s="197"/>
      <c r="CP49" s="197"/>
      <c r="CQ49" s="197"/>
      <c r="CR49" s="197"/>
      <c r="CS49" s="197"/>
      <c r="CT49" s="197"/>
      <c r="CU49" s="197"/>
      <c r="CV49" s="197"/>
      <c r="CW49" s="197"/>
      <c r="CX49" s="197"/>
      <c r="CY49" s="197"/>
      <c r="CZ49" s="197"/>
      <c r="DA49" s="197"/>
      <c r="DB49" s="197"/>
      <c r="DC49" s="197"/>
      <c r="DD49" s="197"/>
      <c r="DE49" s="197"/>
      <c r="DF49" s="197"/>
      <c r="DG49" s="197"/>
      <c r="DH49" s="197"/>
      <c r="DI49" s="197"/>
      <c r="DJ49" s="197"/>
      <c r="DK49" s="197"/>
      <c r="DL49" s="197"/>
      <c r="DM49" s="197"/>
      <c r="DN49" s="197"/>
      <c r="DO49" s="197"/>
      <c r="DP49" s="197"/>
      <c r="DQ49" s="197"/>
      <c r="DR49" s="197"/>
      <c r="DS49" s="197"/>
      <c r="DT49" s="197"/>
      <c r="DU49" s="197"/>
      <c r="DV49" s="197"/>
      <c r="DW49" s="197"/>
      <c r="DX49" s="197"/>
      <c r="DY49" s="197"/>
      <c r="DZ49" s="197"/>
      <c r="EA49" s="197"/>
      <c r="EB49" s="197"/>
      <c r="EC49" s="197"/>
      <c r="ED49" s="197"/>
      <c r="EE49" s="197"/>
      <c r="EF49" s="197"/>
      <c r="EG49" s="197"/>
      <c r="EH49" s="197"/>
      <c r="EI49" s="197"/>
      <c r="EJ49" s="197"/>
      <c r="EK49" s="197"/>
      <c r="EL49" s="197"/>
      <c r="EM49" s="197"/>
      <c r="EN49" s="197"/>
      <c r="EO49" s="197"/>
      <c r="EP49" s="197"/>
      <c r="EQ49" s="197"/>
      <c r="ER49" s="197"/>
      <c r="ES49" s="197"/>
      <c r="ET49" s="197"/>
      <c r="EU49" s="197"/>
      <c r="EV49" s="197"/>
      <c r="EW49" s="197"/>
      <c r="EX49" s="197"/>
      <c r="EY49" s="197"/>
      <c r="EZ49" s="197"/>
      <c r="FA49" s="197"/>
      <c r="FB49" s="197"/>
      <c r="FC49" s="197"/>
      <c r="FD49" s="197"/>
      <c r="FE49" s="197"/>
      <c r="FF49" s="197"/>
      <c r="FG49" s="197"/>
      <c r="FH49" s="197"/>
      <c r="FI49" s="197"/>
      <c r="FJ49" s="197"/>
      <c r="FK49" s="197"/>
      <c r="FL49" s="197"/>
      <c r="FM49" s="197"/>
      <c r="FN49" s="197"/>
      <c r="FO49" s="197"/>
      <c r="FP49" s="197"/>
      <c r="FQ49" s="197"/>
      <c r="FR49" s="197"/>
      <c r="FS49" s="197"/>
      <c r="FT49" s="197"/>
      <c r="FU49" s="197"/>
      <c r="FV49" s="197"/>
      <c r="FW49" s="197"/>
      <c r="FX49" s="197"/>
      <c r="FY49" s="197"/>
      <c r="FZ49" s="197"/>
      <c r="GA49" s="197"/>
      <c r="GB49" s="197"/>
      <c r="GC49" s="197"/>
      <c r="GD49" s="197"/>
      <c r="GE49" s="197"/>
      <c r="GF49" s="197"/>
      <c r="GG49" s="197"/>
      <c r="GH49" s="197"/>
      <c r="GI49" s="197"/>
      <c r="GJ49" s="197"/>
      <c r="GK49" s="197"/>
      <c r="GL49" s="197"/>
      <c r="GM49" s="197"/>
      <c r="GN49" s="197"/>
      <c r="GO49" s="197"/>
      <c r="GP49" s="197"/>
      <c r="GQ49" s="197"/>
      <c r="GR49" s="197"/>
      <c r="GS49" s="197"/>
      <c r="GT49" s="197"/>
      <c r="GU49" s="197"/>
      <c r="GV49" s="197"/>
      <c r="GW49" s="197"/>
      <c r="GX49" s="197"/>
      <c r="GY49" s="197"/>
      <c r="GZ49" s="197"/>
      <c r="HA49" s="197"/>
      <c r="HB49" s="197"/>
      <c r="HC49" s="197"/>
      <c r="HD49" s="197"/>
      <c r="HE49" s="197"/>
      <c r="HF49" s="197"/>
      <c r="HG49" s="197"/>
      <c r="HH49" s="197"/>
      <c r="HI49" s="197"/>
      <c r="HJ49" s="197"/>
      <c r="HK49" s="197"/>
      <c r="HL49" s="197"/>
      <c r="HM49" s="197"/>
      <c r="HN49" s="197"/>
      <c r="HO49" s="197"/>
      <c r="HP49" s="197"/>
      <c r="HQ49" s="197"/>
      <c r="HR49" s="197"/>
      <c r="HS49" s="197"/>
      <c r="HT49" s="197"/>
      <c r="HU49" s="197"/>
      <c r="HV49" s="197"/>
      <c r="HW49" s="197"/>
      <c r="HX49" s="197"/>
      <c r="HY49" s="197"/>
      <c r="HZ49" s="197"/>
      <c r="IA49" s="197"/>
      <c r="IB49" s="197"/>
      <c r="IC49" s="197"/>
      <c r="ID49" s="197"/>
      <c r="IE49" s="197"/>
      <c r="IF49" s="197"/>
      <c r="IG49" s="197"/>
      <c r="IH49" s="197"/>
      <c r="II49" s="197"/>
      <c r="IJ49" s="197"/>
      <c r="IK49" s="197"/>
      <c r="IL49" s="197"/>
      <c r="IM49" s="197"/>
      <c r="IN49" s="197"/>
      <c r="IO49" s="197"/>
      <c r="IP49" s="197"/>
      <c r="IQ49" s="197"/>
      <c r="IR49" s="197"/>
      <c r="IS49" s="197"/>
      <c r="IT49" s="197"/>
      <c r="IU49" s="197"/>
      <c r="IV49" s="197"/>
      <c r="IW49" s="197"/>
      <c r="IX49" s="197"/>
      <c r="IY49" s="197"/>
      <c r="IZ49" s="197"/>
      <c r="JA49" s="197"/>
      <c r="JB49" s="197"/>
      <c r="JC49" s="197"/>
      <c r="JD49" s="197"/>
      <c r="JE49" s="197"/>
      <c r="JF49" s="197"/>
      <c r="JG49" s="197"/>
      <c r="JH49" s="197"/>
      <c r="JI49" s="197"/>
      <c r="JJ49" s="197"/>
      <c r="JK49" s="197"/>
      <c r="JL49" s="197"/>
      <c r="JM49" s="197"/>
      <c r="JN49" s="197"/>
      <c r="JO49" s="197"/>
      <c r="JP49" s="197"/>
      <c r="JQ49" s="197"/>
      <c r="JR49" s="197"/>
      <c r="JS49" s="197"/>
      <c r="JT49" s="197"/>
      <c r="JU49" s="197"/>
      <c r="JV49" s="197"/>
      <c r="JW49" s="197"/>
      <c r="JX49" s="197"/>
      <c r="JY49" s="197"/>
      <c r="JZ49" s="197"/>
      <c r="KA49" s="197"/>
      <c r="KB49" s="197"/>
      <c r="KC49" s="197"/>
      <c r="KD49" s="197"/>
      <c r="KE49" s="197"/>
      <c r="KF49" s="197"/>
      <c r="KG49" s="197"/>
      <c r="KH49" s="197"/>
      <c r="KI49" s="197"/>
      <c r="KJ49" s="197"/>
      <c r="KK49" s="197"/>
      <c r="KL49" s="197"/>
      <c r="KM49" s="197"/>
      <c r="KN49" s="197"/>
      <c r="KO49" s="197"/>
      <c r="KP49" s="197"/>
      <c r="KQ49" s="197"/>
      <c r="KR49" s="197"/>
      <c r="KS49" s="197"/>
      <c r="KT49" s="197"/>
      <c r="KU49" s="197"/>
      <c r="KV49" s="197"/>
      <c r="KW49" s="197"/>
      <c r="KX49" s="197"/>
      <c r="KY49" s="197"/>
      <c r="KZ49" s="197"/>
      <c r="LA49" s="197"/>
      <c r="LB49" s="197"/>
      <c r="LC49" s="197"/>
      <c r="LD49" s="197"/>
      <c r="LE49" s="197"/>
      <c r="LF49" s="197"/>
      <c r="LG49" s="197"/>
      <c r="LH49" s="197"/>
      <c r="LI49" s="197"/>
      <c r="LJ49" s="197"/>
      <c r="LK49" s="197"/>
      <c r="LL49" s="197"/>
      <c r="LM49" s="197"/>
      <c r="LN49" s="197"/>
      <c r="LO49" s="197"/>
      <c r="LP49" s="197"/>
      <c r="LQ49" s="197"/>
      <c r="LR49" s="197"/>
      <c r="LS49" s="197"/>
      <c r="LT49" s="197"/>
      <c r="LU49" s="197"/>
      <c r="LV49" s="197"/>
      <c r="LW49" s="197"/>
      <c r="LX49" s="197"/>
      <c r="LY49" s="197"/>
      <c r="LZ49" s="197"/>
      <c r="MA49" s="197"/>
      <c r="MB49" s="197"/>
    </row>
    <row r="50" spans="1:340" s="198" customFormat="1" ht="22.8">
      <c r="A50" s="197"/>
      <c r="B50" s="994"/>
      <c r="C50" s="1133"/>
      <c r="D50" s="1354" t="s">
        <v>762</v>
      </c>
      <c r="E50" s="995"/>
      <c r="F50" s="995"/>
      <c r="G50" s="996"/>
      <c r="H50" s="995"/>
      <c r="I50" s="995"/>
      <c r="J50" s="997">
        <f>0.02</f>
        <v>0.02</v>
      </c>
      <c r="K50" s="998">
        <f>+J50*$K$6</f>
        <v>34856698.980000004</v>
      </c>
      <c r="L50" s="197"/>
      <c r="M50" s="197"/>
      <c r="N50" s="548"/>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c r="BR50" s="197"/>
      <c r="BS50" s="197"/>
      <c r="BT50" s="197"/>
      <c r="BU50" s="197"/>
      <c r="BV50" s="197"/>
      <c r="BW50" s="197"/>
      <c r="BX50" s="197"/>
      <c r="BY50" s="197"/>
      <c r="BZ50" s="197"/>
      <c r="CA50" s="197"/>
      <c r="CB50" s="197"/>
      <c r="CC50" s="197"/>
      <c r="CD50" s="197"/>
      <c r="CE50" s="197"/>
      <c r="CF50" s="197"/>
      <c r="CG50" s="197"/>
      <c r="CH50" s="197"/>
      <c r="CI50" s="197"/>
      <c r="CJ50" s="197"/>
      <c r="CK50" s="197"/>
      <c r="CL50" s="197"/>
      <c r="CM50" s="197"/>
      <c r="CN50" s="197"/>
      <c r="CO50" s="197"/>
      <c r="CP50" s="197"/>
      <c r="CQ50" s="197"/>
      <c r="CR50" s="197"/>
      <c r="CS50" s="197"/>
      <c r="CT50" s="197"/>
      <c r="CU50" s="197"/>
      <c r="CV50" s="197"/>
      <c r="CW50" s="197"/>
      <c r="CX50" s="197"/>
      <c r="CY50" s="197"/>
      <c r="CZ50" s="197"/>
      <c r="DA50" s="197"/>
      <c r="DB50" s="197"/>
      <c r="DC50" s="197"/>
      <c r="DD50" s="197"/>
      <c r="DE50" s="197"/>
      <c r="DF50" s="197"/>
      <c r="DG50" s="197"/>
      <c r="DH50" s="197"/>
      <c r="DI50" s="197"/>
      <c r="DJ50" s="197"/>
      <c r="DK50" s="197"/>
      <c r="DL50" s="197"/>
      <c r="DM50" s="197"/>
      <c r="DN50" s="197"/>
      <c r="DO50" s="197"/>
      <c r="DP50" s="197"/>
      <c r="DQ50" s="197"/>
      <c r="DR50" s="197"/>
      <c r="DS50" s="197"/>
      <c r="DT50" s="197"/>
      <c r="DU50" s="197"/>
      <c r="DV50" s="197"/>
      <c r="DW50" s="197"/>
      <c r="DX50" s="197"/>
      <c r="DY50" s="197"/>
      <c r="DZ50" s="197"/>
      <c r="EA50" s="197"/>
      <c r="EB50" s="197"/>
      <c r="EC50" s="197"/>
      <c r="ED50" s="197"/>
      <c r="EE50" s="197"/>
      <c r="EF50" s="197"/>
      <c r="EG50" s="197"/>
      <c r="EH50" s="197"/>
      <c r="EI50" s="197"/>
      <c r="EJ50" s="197"/>
      <c r="EK50" s="197"/>
      <c r="EL50" s="197"/>
      <c r="EM50" s="197"/>
      <c r="EN50" s="197"/>
      <c r="EO50" s="197"/>
      <c r="EP50" s="197"/>
      <c r="EQ50" s="197"/>
      <c r="ER50" s="197"/>
      <c r="ES50" s="197"/>
      <c r="ET50" s="197"/>
      <c r="EU50" s="197"/>
      <c r="EV50" s="197"/>
      <c r="EW50" s="197"/>
      <c r="EX50" s="197"/>
      <c r="EY50" s="197"/>
      <c r="EZ50" s="197"/>
      <c r="FA50" s="197"/>
      <c r="FB50" s="197"/>
      <c r="FC50" s="197"/>
      <c r="FD50" s="197"/>
      <c r="FE50" s="197"/>
      <c r="FF50" s="197"/>
      <c r="FG50" s="197"/>
      <c r="FH50" s="197"/>
      <c r="FI50" s="197"/>
      <c r="FJ50" s="197"/>
      <c r="FK50" s="197"/>
      <c r="FL50" s="197"/>
      <c r="FM50" s="197"/>
      <c r="FN50" s="197"/>
      <c r="FO50" s="197"/>
      <c r="FP50" s="197"/>
      <c r="FQ50" s="197"/>
      <c r="FR50" s="197"/>
      <c r="FS50" s="197"/>
      <c r="FT50" s="197"/>
      <c r="FU50" s="197"/>
      <c r="FV50" s="197"/>
      <c r="FW50" s="197"/>
      <c r="FX50" s="197"/>
      <c r="FY50" s="197"/>
      <c r="FZ50" s="197"/>
      <c r="GA50" s="197"/>
      <c r="GB50" s="197"/>
      <c r="GC50" s="197"/>
      <c r="GD50" s="197"/>
      <c r="GE50" s="197"/>
      <c r="GF50" s="197"/>
      <c r="GG50" s="197"/>
      <c r="GH50" s="197"/>
      <c r="GI50" s="197"/>
      <c r="GJ50" s="197"/>
      <c r="GK50" s="197"/>
      <c r="GL50" s="197"/>
      <c r="GM50" s="197"/>
      <c r="GN50" s="197"/>
      <c r="GO50" s="197"/>
      <c r="GP50" s="197"/>
      <c r="GQ50" s="197"/>
      <c r="GR50" s="197"/>
      <c r="GS50" s="197"/>
      <c r="GT50" s="197"/>
      <c r="GU50" s="197"/>
      <c r="GV50" s="197"/>
      <c r="GW50" s="197"/>
      <c r="GX50" s="197"/>
      <c r="GY50" s="197"/>
      <c r="GZ50" s="197"/>
      <c r="HA50" s="197"/>
      <c r="HB50" s="197"/>
      <c r="HC50" s="197"/>
      <c r="HD50" s="197"/>
      <c r="HE50" s="197"/>
      <c r="HF50" s="197"/>
      <c r="HG50" s="197"/>
      <c r="HH50" s="197"/>
      <c r="HI50" s="197"/>
      <c r="HJ50" s="197"/>
      <c r="HK50" s="197"/>
      <c r="HL50" s="197"/>
      <c r="HM50" s="197"/>
      <c r="HN50" s="197"/>
      <c r="HO50" s="197"/>
      <c r="HP50" s="197"/>
      <c r="HQ50" s="197"/>
      <c r="HR50" s="197"/>
      <c r="HS50" s="197"/>
      <c r="HT50" s="197"/>
      <c r="HU50" s="197"/>
      <c r="HV50" s="197"/>
      <c r="HW50" s="197"/>
      <c r="HX50" s="197"/>
      <c r="HY50" s="197"/>
      <c r="HZ50" s="197"/>
      <c r="IA50" s="197"/>
      <c r="IB50" s="197"/>
      <c r="IC50" s="197"/>
      <c r="ID50" s="197"/>
      <c r="IE50" s="197"/>
      <c r="IF50" s="197"/>
      <c r="IG50" s="197"/>
      <c r="IH50" s="197"/>
      <c r="II50" s="197"/>
      <c r="IJ50" s="197"/>
      <c r="IK50" s="197"/>
      <c r="IL50" s="197"/>
      <c r="IM50" s="197"/>
      <c r="IN50" s="197"/>
      <c r="IO50" s="197"/>
      <c r="IP50" s="197"/>
      <c r="IQ50" s="197"/>
      <c r="IR50" s="197"/>
      <c r="IS50" s="197"/>
      <c r="IT50" s="197"/>
      <c r="IU50" s="197"/>
      <c r="IV50" s="197"/>
      <c r="IW50" s="197"/>
      <c r="IX50" s="197"/>
      <c r="IY50" s="197"/>
      <c r="IZ50" s="197"/>
      <c r="JA50" s="197"/>
      <c r="JB50" s="197"/>
      <c r="JC50" s="197"/>
      <c r="JD50" s="197"/>
      <c r="JE50" s="197"/>
      <c r="JF50" s="197"/>
      <c r="JG50" s="197"/>
      <c r="JH50" s="197"/>
      <c r="JI50" s="197"/>
      <c r="JJ50" s="197"/>
      <c r="JK50" s="197"/>
      <c r="JL50" s="197"/>
      <c r="JM50" s="197"/>
      <c r="JN50" s="197"/>
      <c r="JO50" s="197"/>
      <c r="JP50" s="197"/>
      <c r="JQ50" s="197"/>
      <c r="JR50" s="197"/>
      <c r="JS50" s="197"/>
      <c r="JT50" s="197"/>
      <c r="JU50" s="197"/>
      <c r="JV50" s="197"/>
      <c r="JW50" s="197"/>
      <c r="JX50" s="197"/>
      <c r="JY50" s="197"/>
      <c r="JZ50" s="197"/>
      <c r="KA50" s="197"/>
      <c r="KB50" s="197"/>
      <c r="KC50" s="197"/>
      <c r="KD50" s="197"/>
      <c r="KE50" s="197"/>
      <c r="KF50" s="197"/>
      <c r="KG50" s="197"/>
      <c r="KH50" s="197"/>
      <c r="KI50" s="197"/>
      <c r="KJ50" s="197"/>
      <c r="KK50" s="197"/>
      <c r="KL50" s="197"/>
      <c r="KM50" s="197"/>
      <c r="KN50" s="197"/>
      <c r="KO50" s="197"/>
      <c r="KP50" s="197"/>
      <c r="KQ50" s="197"/>
      <c r="KR50" s="197"/>
      <c r="KS50" s="197"/>
      <c r="KT50" s="197"/>
      <c r="KU50" s="197"/>
      <c r="KV50" s="197"/>
      <c r="KW50" s="197"/>
      <c r="KX50" s="197"/>
      <c r="KY50" s="197"/>
      <c r="KZ50" s="197"/>
      <c r="LA50" s="197"/>
      <c r="LB50" s="197"/>
      <c r="LC50" s="197"/>
      <c r="LD50" s="197"/>
      <c r="LE50" s="197"/>
      <c r="LF50" s="197"/>
      <c r="LG50" s="197"/>
      <c r="LH50" s="197"/>
      <c r="LI50" s="197"/>
      <c r="LJ50" s="197"/>
      <c r="LK50" s="197"/>
      <c r="LL50" s="197"/>
      <c r="LM50" s="197"/>
      <c r="LN50" s="197"/>
      <c r="LO50" s="197"/>
      <c r="LP50" s="197"/>
      <c r="LQ50" s="197"/>
      <c r="LR50" s="197"/>
      <c r="LS50" s="197"/>
      <c r="LT50" s="197"/>
      <c r="LU50" s="197"/>
      <c r="LV50" s="197"/>
      <c r="LW50" s="197"/>
      <c r="LX50" s="197"/>
      <c r="LY50" s="197"/>
      <c r="LZ50" s="197"/>
      <c r="MA50" s="197"/>
      <c r="MB50" s="197"/>
    </row>
    <row r="51" spans="1:340" s="198" customFormat="1" ht="12">
      <c r="A51" s="197"/>
      <c r="B51" s="994"/>
      <c r="C51" s="1133"/>
      <c r="D51" s="1354" t="s">
        <v>770</v>
      </c>
      <c r="E51" s="995"/>
      <c r="F51" s="995"/>
      <c r="G51" s="996"/>
      <c r="H51" s="995"/>
      <c r="I51" s="995"/>
      <c r="J51" s="997">
        <f>0.015</f>
        <v>1.4999999999999999E-2</v>
      </c>
      <c r="K51" s="998">
        <f>+J51*$K$6</f>
        <v>26142524.234999999</v>
      </c>
      <c r="L51" s="197"/>
      <c r="M51" s="197"/>
      <c r="N51" s="548"/>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c r="BR51" s="197"/>
      <c r="BS51" s="197"/>
      <c r="BT51" s="197"/>
      <c r="BU51" s="197"/>
      <c r="BV51" s="197"/>
      <c r="BW51" s="197"/>
      <c r="BX51" s="197"/>
      <c r="BY51" s="197"/>
      <c r="BZ51" s="197"/>
      <c r="CA51" s="197"/>
      <c r="CB51" s="197"/>
      <c r="CC51" s="197"/>
      <c r="CD51" s="197"/>
      <c r="CE51" s="197"/>
      <c r="CF51" s="197"/>
      <c r="CG51" s="197"/>
      <c r="CH51" s="197"/>
      <c r="CI51" s="197"/>
      <c r="CJ51" s="197"/>
      <c r="CK51" s="197"/>
      <c r="CL51" s="197"/>
      <c r="CM51" s="197"/>
      <c r="CN51" s="197"/>
      <c r="CO51" s="197"/>
      <c r="CP51" s="197"/>
      <c r="CQ51" s="197"/>
      <c r="CR51" s="197"/>
      <c r="CS51" s="197"/>
      <c r="CT51" s="197"/>
      <c r="CU51" s="197"/>
      <c r="CV51" s="197"/>
      <c r="CW51" s="197"/>
      <c r="CX51" s="197"/>
      <c r="CY51" s="197"/>
      <c r="CZ51" s="197"/>
      <c r="DA51" s="197"/>
      <c r="DB51" s="197"/>
      <c r="DC51" s="197"/>
      <c r="DD51" s="197"/>
      <c r="DE51" s="197"/>
      <c r="DF51" s="197"/>
      <c r="DG51" s="197"/>
      <c r="DH51" s="197"/>
      <c r="DI51" s="197"/>
      <c r="DJ51" s="197"/>
      <c r="DK51" s="197"/>
      <c r="DL51" s="197"/>
      <c r="DM51" s="197"/>
      <c r="DN51" s="197"/>
      <c r="DO51" s="197"/>
      <c r="DP51" s="197"/>
      <c r="DQ51" s="197"/>
      <c r="DR51" s="197"/>
      <c r="DS51" s="197"/>
      <c r="DT51" s="197"/>
      <c r="DU51" s="197"/>
      <c r="DV51" s="197"/>
      <c r="DW51" s="197"/>
      <c r="DX51" s="197"/>
      <c r="DY51" s="197"/>
      <c r="DZ51" s="197"/>
      <c r="EA51" s="197"/>
      <c r="EB51" s="197"/>
      <c r="EC51" s="197"/>
      <c r="ED51" s="197"/>
      <c r="EE51" s="197"/>
      <c r="EF51" s="197"/>
      <c r="EG51" s="197"/>
      <c r="EH51" s="197"/>
      <c r="EI51" s="197"/>
      <c r="EJ51" s="197"/>
      <c r="EK51" s="197"/>
      <c r="EL51" s="197"/>
      <c r="EM51" s="197"/>
      <c r="EN51" s="197"/>
      <c r="EO51" s="197"/>
      <c r="EP51" s="197"/>
      <c r="EQ51" s="197"/>
      <c r="ER51" s="197"/>
      <c r="ES51" s="197"/>
      <c r="ET51" s="197"/>
      <c r="EU51" s="197"/>
      <c r="EV51" s="197"/>
      <c r="EW51" s="197"/>
      <c r="EX51" s="197"/>
      <c r="EY51" s="197"/>
      <c r="EZ51" s="197"/>
      <c r="FA51" s="197"/>
      <c r="FB51" s="197"/>
      <c r="FC51" s="197"/>
      <c r="FD51" s="197"/>
      <c r="FE51" s="197"/>
      <c r="FF51" s="197"/>
      <c r="FG51" s="197"/>
      <c r="FH51" s="197"/>
      <c r="FI51" s="197"/>
      <c r="FJ51" s="197"/>
      <c r="FK51" s="197"/>
      <c r="FL51" s="197"/>
      <c r="FM51" s="197"/>
      <c r="FN51" s="197"/>
      <c r="FO51" s="197"/>
      <c r="FP51" s="197"/>
      <c r="FQ51" s="197"/>
      <c r="FR51" s="197"/>
      <c r="FS51" s="197"/>
      <c r="FT51" s="197"/>
      <c r="FU51" s="197"/>
      <c r="FV51" s="197"/>
      <c r="FW51" s="197"/>
      <c r="FX51" s="197"/>
      <c r="FY51" s="197"/>
      <c r="FZ51" s="197"/>
      <c r="GA51" s="197"/>
      <c r="GB51" s="197"/>
      <c r="GC51" s="197"/>
      <c r="GD51" s="197"/>
      <c r="GE51" s="197"/>
      <c r="GF51" s="197"/>
      <c r="GG51" s="197"/>
      <c r="GH51" s="197"/>
      <c r="GI51" s="197"/>
      <c r="GJ51" s="197"/>
      <c r="GK51" s="197"/>
      <c r="GL51" s="197"/>
      <c r="GM51" s="197"/>
      <c r="GN51" s="197"/>
      <c r="GO51" s="197"/>
      <c r="GP51" s="197"/>
      <c r="GQ51" s="197"/>
      <c r="GR51" s="197"/>
      <c r="GS51" s="197"/>
      <c r="GT51" s="197"/>
      <c r="GU51" s="197"/>
      <c r="GV51" s="197"/>
      <c r="GW51" s="197"/>
      <c r="GX51" s="197"/>
      <c r="GY51" s="197"/>
      <c r="GZ51" s="197"/>
      <c r="HA51" s="197"/>
      <c r="HB51" s="197"/>
      <c r="HC51" s="197"/>
      <c r="HD51" s="197"/>
      <c r="HE51" s="197"/>
      <c r="HF51" s="197"/>
      <c r="HG51" s="197"/>
      <c r="HH51" s="197"/>
      <c r="HI51" s="197"/>
      <c r="HJ51" s="197"/>
      <c r="HK51" s="197"/>
      <c r="HL51" s="197"/>
      <c r="HM51" s="197"/>
      <c r="HN51" s="197"/>
      <c r="HO51" s="197"/>
      <c r="HP51" s="197"/>
      <c r="HQ51" s="197"/>
      <c r="HR51" s="197"/>
      <c r="HS51" s="197"/>
      <c r="HT51" s="197"/>
      <c r="HU51" s="197"/>
      <c r="HV51" s="197"/>
      <c r="HW51" s="197"/>
      <c r="HX51" s="197"/>
      <c r="HY51" s="197"/>
      <c r="HZ51" s="197"/>
      <c r="IA51" s="197"/>
      <c r="IB51" s="197"/>
      <c r="IC51" s="197"/>
      <c r="ID51" s="197"/>
      <c r="IE51" s="197"/>
      <c r="IF51" s="197"/>
      <c r="IG51" s="197"/>
      <c r="IH51" s="197"/>
      <c r="II51" s="197"/>
      <c r="IJ51" s="197"/>
      <c r="IK51" s="197"/>
      <c r="IL51" s="197"/>
      <c r="IM51" s="197"/>
      <c r="IN51" s="197"/>
      <c r="IO51" s="197"/>
      <c r="IP51" s="197"/>
      <c r="IQ51" s="197"/>
      <c r="IR51" s="197"/>
      <c r="IS51" s="197"/>
      <c r="IT51" s="197"/>
      <c r="IU51" s="197"/>
      <c r="IV51" s="197"/>
      <c r="IW51" s="197"/>
      <c r="IX51" s="197"/>
      <c r="IY51" s="197"/>
      <c r="IZ51" s="197"/>
      <c r="JA51" s="197"/>
      <c r="JB51" s="197"/>
      <c r="JC51" s="197"/>
      <c r="JD51" s="197"/>
      <c r="JE51" s="197"/>
      <c r="JF51" s="197"/>
      <c r="JG51" s="197"/>
      <c r="JH51" s="197"/>
      <c r="JI51" s="197"/>
      <c r="JJ51" s="197"/>
      <c r="JK51" s="197"/>
      <c r="JL51" s="197"/>
      <c r="JM51" s="197"/>
      <c r="JN51" s="197"/>
      <c r="JO51" s="197"/>
      <c r="JP51" s="197"/>
      <c r="JQ51" s="197"/>
      <c r="JR51" s="197"/>
      <c r="JS51" s="197"/>
      <c r="JT51" s="197"/>
      <c r="JU51" s="197"/>
      <c r="JV51" s="197"/>
      <c r="JW51" s="197"/>
      <c r="JX51" s="197"/>
      <c r="JY51" s="197"/>
      <c r="JZ51" s="197"/>
      <c r="KA51" s="197"/>
      <c r="KB51" s="197"/>
      <c r="KC51" s="197"/>
      <c r="KD51" s="197"/>
      <c r="KE51" s="197"/>
      <c r="KF51" s="197"/>
      <c r="KG51" s="197"/>
      <c r="KH51" s="197"/>
      <c r="KI51" s="197"/>
      <c r="KJ51" s="197"/>
      <c r="KK51" s="197"/>
      <c r="KL51" s="197"/>
      <c r="KM51" s="197"/>
      <c r="KN51" s="197"/>
      <c r="KO51" s="197"/>
      <c r="KP51" s="197"/>
      <c r="KQ51" s="197"/>
      <c r="KR51" s="197"/>
      <c r="KS51" s="197"/>
      <c r="KT51" s="197"/>
      <c r="KU51" s="197"/>
      <c r="KV51" s="197"/>
      <c r="KW51" s="197"/>
      <c r="KX51" s="197"/>
      <c r="KY51" s="197"/>
      <c r="KZ51" s="197"/>
      <c r="LA51" s="197"/>
      <c r="LB51" s="197"/>
      <c r="LC51" s="197"/>
      <c r="LD51" s="197"/>
      <c r="LE51" s="197"/>
      <c r="LF51" s="197"/>
      <c r="LG51" s="197"/>
      <c r="LH51" s="197"/>
      <c r="LI51" s="197"/>
      <c r="LJ51" s="197"/>
      <c r="LK51" s="197"/>
      <c r="LL51" s="197"/>
      <c r="LM51" s="197"/>
      <c r="LN51" s="197"/>
      <c r="LO51" s="197"/>
      <c r="LP51" s="197"/>
      <c r="LQ51" s="197"/>
      <c r="LR51" s="197"/>
      <c r="LS51" s="197"/>
      <c r="LT51" s="197"/>
      <c r="LU51" s="197"/>
      <c r="LV51" s="197"/>
      <c r="LW51" s="197"/>
      <c r="LX51" s="197"/>
      <c r="LY51" s="197"/>
      <c r="LZ51" s="197"/>
      <c r="MA51" s="197"/>
      <c r="MB51" s="197"/>
    </row>
    <row r="52" spans="1:340" s="198" customFormat="1" ht="22.8">
      <c r="A52" s="197"/>
      <c r="B52" s="1389"/>
      <c r="C52" s="1133"/>
      <c r="D52" s="1390" t="s">
        <v>800</v>
      </c>
      <c r="E52" s="995"/>
      <c r="F52" s="995"/>
      <c r="G52" s="996"/>
      <c r="H52" s="995"/>
      <c r="I52" s="995"/>
      <c r="J52" s="997">
        <v>0.02</v>
      </c>
      <c r="K52" s="998">
        <f>J52*K6</f>
        <v>34856698.980000004</v>
      </c>
      <c r="L52" s="197"/>
      <c r="M52" s="197"/>
      <c r="N52" s="548"/>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c r="BR52" s="197"/>
      <c r="BS52" s="197"/>
      <c r="BT52" s="197"/>
      <c r="BU52" s="197"/>
      <c r="BV52" s="197"/>
      <c r="BW52" s="197"/>
      <c r="BX52" s="197"/>
      <c r="BY52" s="197"/>
      <c r="BZ52" s="197"/>
      <c r="CA52" s="197"/>
      <c r="CB52" s="197"/>
      <c r="CC52" s="197"/>
      <c r="CD52" s="197"/>
      <c r="CE52" s="197"/>
      <c r="CF52" s="197"/>
      <c r="CG52" s="197"/>
      <c r="CH52" s="197"/>
      <c r="CI52" s="197"/>
      <c r="CJ52" s="197"/>
      <c r="CK52" s="197"/>
      <c r="CL52" s="197"/>
      <c r="CM52" s="197"/>
      <c r="CN52" s="197"/>
      <c r="CO52" s="197"/>
      <c r="CP52" s="197"/>
      <c r="CQ52" s="197"/>
      <c r="CR52" s="197"/>
      <c r="CS52" s="197"/>
      <c r="CT52" s="197"/>
      <c r="CU52" s="197"/>
      <c r="CV52" s="197"/>
      <c r="CW52" s="197"/>
      <c r="CX52" s="197"/>
      <c r="CY52" s="197"/>
      <c r="CZ52" s="197"/>
      <c r="DA52" s="197"/>
      <c r="DB52" s="197"/>
      <c r="DC52" s="197"/>
      <c r="DD52" s="197"/>
      <c r="DE52" s="197"/>
      <c r="DF52" s="197"/>
      <c r="DG52" s="197"/>
      <c r="DH52" s="197"/>
      <c r="DI52" s="197"/>
      <c r="DJ52" s="197"/>
      <c r="DK52" s="197"/>
      <c r="DL52" s="197"/>
      <c r="DM52" s="197"/>
      <c r="DN52" s="197"/>
      <c r="DO52" s="197"/>
      <c r="DP52" s="197"/>
      <c r="DQ52" s="197"/>
      <c r="DR52" s="197"/>
      <c r="DS52" s="197"/>
      <c r="DT52" s="197"/>
      <c r="DU52" s="197"/>
      <c r="DV52" s="197"/>
      <c r="DW52" s="197"/>
      <c r="DX52" s="197"/>
      <c r="DY52" s="197"/>
      <c r="DZ52" s="197"/>
      <c r="EA52" s="197"/>
      <c r="EB52" s="197"/>
      <c r="EC52" s="197"/>
      <c r="ED52" s="197"/>
      <c r="EE52" s="197"/>
      <c r="EF52" s="197"/>
      <c r="EG52" s="197"/>
      <c r="EH52" s="197"/>
      <c r="EI52" s="197"/>
      <c r="EJ52" s="197"/>
      <c r="EK52" s="197"/>
      <c r="EL52" s="197"/>
      <c r="EM52" s="197"/>
      <c r="EN52" s="197"/>
      <c r="EO52" s="197"/>
      <c r="EP52" s="197"/>
      <c r="EQ52" s="197"/>
      <c r="ER52" s="197"/>
      <c r="ES52" s="197"/>
      <c r="ET52" s="197"/>
      <c r="EU52" s="197"/>
      <c r="EV52" s="197"/>
      <c r="EW52" s="197"/>
      <c r="EX52" s="197"/>
      <c r="EY52" s="197"/>
      <c r="EZ52" s="197"/>
      <c r="FA52" s="197"/>
      <c r="FB52" s="197"/>
      <c r="FC52" s="197"/>
      <c r="FD52" s="197"/>
      <c r="FE52" s="197"/>
      <c r="FF52" s="197"/>
      <c r="FG52" s="197"/>
      <c r="FH52" s="197"/>
      <c r="FI52" s="197"/>
      <c r="FJ52" s="197"/>
      <c r="FK52" s="197"/>
      <c r="FL52" s="197"/>
      <c r="FM52" s="197"/>
      <c r="FN52" s="197"/>
      <c r="FO52" s="197"/>
      <c r="FP52" s="197"/>
      <c r="FQ52" s="197"/>
      <c r="FR52" s="197"/>
      <c r="FS52" s="197"/>
      <c r="FT52" s="197"/>
      <c r="FU52" s="197"/>
      <c r="FV52" s="197"/>
      <c r="FW52" s="197"/>
      <c r="FX52" s="197"/>
      <c r="FY52" s="197"/>
      <c r="FZ52" s="197"/>
      <c r="GA52" s="197"/>
      <c r="GB52" s="197"/>
      <c r="GC52" s="197"/>
      <c r="GD52" s="197"/>
      <c r="GE52" s="197"/>
      <c r="GF52" s="197"/>
      <c r="GG52" s="197"/>
      <c r="GH52" s="197"/>
      <c r="GI52" s="197"/>
      <c r="GJ52" s="197"/>
      <c r="GK52" s="197"/>
      <c r="GL52" s="197"/>
      <c r="GM52" s="197"/>
      <c r="GN52" s="197"/>
      <c r="GO52" s="197"/>
      <c r="GP52" s="197"/>
      <c r="GQ52" s="197"/>
      <c r="GR52" s="197"/>
      <c r="GS52" s="197"/>
      <c r="GT52" s="197"/>
      <c r="GU52" s="197"/>
      <c r="GV52" s="197"/>
      <c r="GW52" s="197"/>
      <c r="GX52" s="197"/>
      <c r="GY52" s="197"/>
      <c r="GZ52" s="197"/>
      <c r="HA52" s="197"/>
      <c r="HB52" s="197"/>
      <c r="HC52" s="197"/>
      <c r="HD52" s="197"/>
      <c r="HE52" s="197"/>
      <c r="HF52" s="197"/>
      <c r="HG52" s="197"/>
      <c r="HH52" s="197"/>
      <c r="HI52" s="197"/>
      <c r="HJ52" s="197"/>
      <c r="HK52" s="197"/>
      <c r="HL52" s="197"/>
      <c r="HM52" s="197"/>
      <c r="HN52" s="197"/>
      <c r="HO52" s="197"/>
      <c r="HP52" s="197"/>
      <c r="HQ52" s="197"/>
      <c r="HR52" s="197"/>
      <c r="HS52" s="197"/>
      <c r="HT52" s="197"/>
      <c r="HU52" s="197"/>
      <c r="HV52" s="197"/>
      <c r="HW52" s="197"/>
      <c r="HX52" s="197"/>
      <c r="HY52" s="197"/>
      <c r="HZ52" s="197"/>
      <c r="IA52" s="197"/>
      <c r="IB52" s="197"/>
      <c r="IC52" s="197"/>
      <c r="ID52" s="197"/>
      <c r="IE52" s="197"/>
      <c r="IF52" s="197"/>
      <c r="IG52" s="197"/>
      <c r="IH52" s="197"/>
      <c r="II52" s="197"/>
      <c r="IJ52" s="197"/>
      <c r="IK52" s="197"/>
      <c r="IL52" s="197"/>
      <c r="IM52" s="197"/>
      <c r="IN52" s="197"/>
      <c r="IO52" s="197"/>
      <c r="IP52" s="197"/>
      <c r="IQ52" s="197"/>
      <c r="IR52" s="197"/>
      <c r="IS52" s="197"/>
      <c r="IT52" s="197"/>
      <c r="IU52" s="197"/>
      <c r="IV52" s="197"/>
      <c r="IW52" s="197"/>
      <c r="IX52" s="197"/>
      <c r="IY52" s="197"/>
      <c r="IZ52" s="197"/>
      <c r="JA52" s="197"/>
      <c r="JB52" s="197"/>
      <c r="JC52" s="197"/>
      <c r="JD52" s="197"/>
      <c r="JE52" s="197"/>
      <c r="JF52" s="197"/>
      <c r="JG52" s="197"/>
      <c r="JH52" s="197"/>
      <c r="JI52" s="197"/>
      <c r="JJ52" s="197"/>
      <c r="JK52" s="197"/>
      <c r="JL52" s="197"/>
      <c r="JM52" s="197"/>
      <c r="JN52" s="197"/>
      <c r="JO52" s="197"/>
      <c r="JP52" s="197"/>
      <c r="JQ52" s="197"/>
      <c r="JR52" s="197"/>
      <c r="JS52" s="197"/>
      <c r="JT52" s="197"/>
      <c r="JU52" s="197"/>
      <c r="JV52" s="197"/>
      <c r="JW52" s="197"/>
      <c r="JX52" s="197"/>
      <c r="JY52" s="197"/>
      <c r="JZ52" s="197"/>
      <c r="KA52" s="197"/>
      <c r="KB52" s="197"/>
      <c r="KC52" s="197"/>
      <c r="KD52" s="197"/>
      <c r="KE52" s="197"/>
      <c r="KF52" s="197"/>
      <c r="KG52" s="197"/>
      <c r="KH52" s="197"/>
      <c r="KI52" s="197"/>
      <c r="KJ52" s="197"/>
      <c r="KK52" s="197"/>
      <c r="KL52" s="197"/>
      <c r="KM52" s="197"/>
      <c r="KN52" s="197"/>
      <c r="KO52" s="197"/>
      <c r="KP52" s="197"/>
      <c r="KQ52" s="197"/>
      <c r="KR52" s="197"/>
      <c r="KS52" s="197"/>
      <c r="KT52" s="197"/>
      <c r="KU52" s="197"/>
      <c r="KV52" s="197"/>
      <c r="KW52" s="197"/>
      <c r="KX52" s="197"/>
      <c r="KY52" s="197"/>
      <c r="KZ52" s="197"/>
      <c r="LA52" s="197"/>
      <c r="LB52" s="197"/>
      <c r="LC52" s="197"/>
      <c r="LD52" s="197"/>
      <c r="LE52" s="197"/>
      <c r="LF52" s="197"/>
      <c r="LG52" s="197"/>
      <c r="LH52" s="197"/>
      <c r="LI52" s="197"/>
      <c r="LJ52" s="197"/>
      <c r="LK52" s="197"/>
      <c r="LL52" s="197"/>
      <c r="LM52" s="197"/>
      <c r="LN52" s="197"/>
      <c r="LO52" s="197"/>
      <c r="LP52" s="197"/>
      <c r="LQ52" s="197"/>
      <c r="LR52" s="197"/>
      <c r="LS52" s="197"/>
      <c r="LT52" s="197"/>
      <c r="LU52" s="197"/>
      <c r="LV52" s="197"/>
      <c r="LW52" s="197"/>
      <c r="LX52" s="197"/>
      <c r="LY52" s="197"/>
      <c r="LZ52" s="197"/>
      <c r="MA52" s="197"/>
      <c r="MB52" s="197"/>
    </row>
    <row r="53" spans="1:340" s="198" customFormat="1" ht="22.8">
      <c r="A53" s="197"/>
      <c r="B53" s="1389"/>
      <c r="C53" s="1133"/>
      <c r="D53" s="1390" t="s">
        <v>801</v>
      </c>
      <c r="E53" s="995"/>
      <c r="F53" s="995"/>
      <c r="G53" s="996"/>
      <c r="H53" s="995"/>
      <c r="I53" s="995"/>
      <c r="J53" s="1421">
        <v>4.4999999999999998E-2</v>
      </c>
      <c r="K53" s="998">
        <f>J53*K6</f>
        <v>78427572.704999998</v>
      </c>
      <c r="L53" s="197"/>
      <c r="M53" s="197"/>
      <c r="N53" s="548"/>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c r="BR53" s="197"/>
      <c r="BS53" s="197"/>
      <c r="BT53" s="197"/>
      <c r="BU53" s="197"/>
      <c r="BV53" s="197"/>
      <c r="BW53" s="197"/>
      <c r="BX53" s="197"/>
      <c r="BY53" s="197"/>
      <c r="BZ53" s="197"/>
      <c r="CA53" s="197"/>
      <c r="CB53" s="197"/>
      <c r="CC53" s="197"/>
      <c r="CD53" s="197"/>
      <c r="CE53" s="197"/>
      <c r="CF53" s="197"/>
      <c r="CG53" s="197"/>
      <c r="CH53" s="197"/>
      <c r="CI53" s="197"/>
      <c r="CJ53" s="197"/>
      <c r="CK53" s="197"/>
      <c r="CL53" s="197"/>
      <c r="CM53" s="197"/>
      <c r="CN53" s="197"/>
      <c r="CO53" s="197"/>
      <c r="CP53" s="197"/>
      <c r="CQ53" s="197"/>
      <c r="CR53" s="197"/>
      <c r="CS53" s="197"/>
      <c r="CT53" s="197"/>
      <c r="CU53" s="197"/>
      <c r="CV53" s="197"/>
      <c r="CW53" s="197"/>
      <c r="CX53" s="197"/>
      <c r="CY53" s="197"/>
      <c r="CZ53" s="197"/>
      <c r="DA53" s="197"/>
      <c r="DB53" s="197"/>
      <c r="DC53" s="197"/>
      <c r="DD53" s="197"/>
      <c r="DE53" s="197"/>
      <c r="DF53" s="197"/>
      <c r="DG53" s="197"/>
      <c r="DH53" s="197"/>
      <c r="DI53" s="197"/>
      <c r="DJ53" s="197"/>
      <c r="DK53" s="197"/>
      <c r="DL53" s="197"/>
      <c r="DM53" s="197"/>
      <c r="DN53" s="197"/>
      <c r="DO53" s="197"/>
      <c r="DP53" s="197"/>
      <c r="DQ53" s="197"/>
      <c r="DR53" s="197"/>
      <c r="DS53" s="197"/>
      <c r="DT53" s="197"/>
      <c r="DU53" s="197"/>
      <c r="DV53" s="197"/>
      <c r="DW53" s="197"/>
      <c r="DX53" s="197"/>
      <c r="DY53" s="197"/>
      <c r="DZ53" s="197"/>
      <c r="EA53" s="197"/>
      <c r="EB53" s="197"/>
      <c r="EC53" s="197"/>
      <c r="ED53" s="197"/>
      <c r="EE53" s="197"/>
      <c r="EF53" s="197"/>
      <c r="EG53" s="197"/>
      <c r="EH53" s="197"/>
      <c r="EI53" s="197"/>
      <c r="EJ53" s="197"/>
      <c r="EK53" s="197"/>
      <c r="EL53" s="197"/>
      <c r="EM53" s="197"/>
      <c r="EN53" s="197"/>
      <c r="EO53" s="197"/>
      <c r="EP53" s="197"/>
      <c r="EQ53" s="197"/>
      <c r="ER53" s="197"/>
      <c r="ES53" s="197"/>
      <c r="ET53" s="197"/>
      <c r="EU53" s="197"/>
      <c r="EV53" s="197"/>
      <c r="EW53" s="197"/>
      <c r="EX53" s="197"/>
      <c r="EY53" s="197"/>
      <c r="EZ53" s="197"/>
      <c r="FA53" s="197"/>
      <c r="FB53" s="197"/>
      <c r="FC53" s="197"/>
      <c r="FD53" s="197"/>
      <c r="FE53" s="197"/>
      <c r="FF53" s="197"/>
      <c r="FG53" s="197"/>
      <c r="FH53" s="197"/>
      <c r="FI53" s="197"/>
      <c r="FJ53" s="197"/>
      <c r="FK53" s="197"/>
      <c r="FL53" s="197"/>
      <c r="FM53" s="197"/>
      <c r="FN53" s="197"/>
      <c r="FO53" s="197"/>
      <c r="FP53" s="197"/>
      <c r="FQ53" s="197"/>
      <c r="FR53" s="197"/>
      <c r="FS53" s="197"/>
      <c r="FT53" s="197"/>
      <c r="FU53" s="197"/>
      <c r="FV53" s="197"/>
      <c r="FW53" s="197"/>
      <c r="FX53" s="197"/>
      <c r="FY53" s="197"/>
      <c r="FZ53" s="197"/>
      <c r="GA53" s="197"/>
      <c r="GB53" s="197"/>
      <c r="GC53" s="197"/>
      <c r="GD53" s="197"/>
      <c r="GE53" s="197"/>
      <c r="GF53" s="197"/>
      <c r="GG53" s="197"/>
      <c r="GH53" s="197"/>
      <c r="GI53" s="197"/>
      <c r="GJ53" s="197"/>
      <c r="GK53" s="197"/>
      <c r="GL53" s="197"/>
      <c r="GM53" s="197"/>
      <c r="GN53" s="197"/>
      <c r="GO53" s="197"/>
      <c r="GP53" s="197"/>
      <c r="GQ53" s="197"/>
      <c r="GR53" s="197"/>
      <c r="GS53" s="197"/>
      <c r="GT53" s="197"/>
      <c r="GU53" s="197"/>
      <c r="GV53" s="197"/>
      <c r="GW53" s="197"/>
      <c r="GX53" s="197"/>
      <c r="GY53" s="197"/>
      <c r="GZ53" s="197"/>
      <c r="HA53" s="197"/>
      <c r="HB53" s="197"/>
      <c r="HC53" s="197"/>
      <c r="HD53" s="197"/>
      <c r="HE53" s="197"/>
      <c r="HF53" s="197"/>
      <c r="HG53" s="197"/>
      <c r="HH53" s="197"/>
      <c r="HI53" s="197"/>
      <c r="HJ53" s="197"/>
      <c r="HK53" s="197"/>
      <c r="HL53" s="197"/>
      <c r="HM53" s="197"/>
      <c r="HN53" s="197"/>
      <c r="HO53" s="197"/>
      <c r="HP53" s="197"/>
      <c r="HQ53" s="197"/>
      <c r="HR53" s="197"/>
      <c r="HS53" s="197"/>
      <c r="HT53" s="197"/>
      <c r="HU53" s="197"/>
      <c r="HV53" s="197"/>
      <c r="HW53" s="197"/>
      <c r="HX53" s="197"/>
      <c r="HY53" s="197"/>
      <c r="HZ53" s="197"/>
      <c r="IA53" s="197"/>
      <c r="IB53" s="197"/>
      <c r="IC53" s="197"/>
      <c r="ID53" s="197"/>
      <c r="IE53" s="197"/>
      <c r="IF53" s="197"/>
      <c r="IG53" s="197"/>
      <c r="IH53" s="197"/>
      <c r="II53" s="197"/>
      <c r="IJ53" s="197"/>
      <c r="IK53" s="197"/>
      <c r="IL53" s="197"/>
      <c r="IM53" s="197"/>
      <c r="IN53" s="197"/>
      <c r="IO53" s="197"/>
      <c r="IP53" s="197"/>
      <c r="IQ53" s="197"/>
      <c r="IR53" s="197"/>
      <c r="IS53" s="197"/>
      <c r="IT53" s="197"/>
      <c r="IU53" s="197"/>
      <c r="IV53" s="197"/>
      <c r="IW53" s="197"/>
      <c r="IX53" s="197"/>
      <c r="IY53" s="197"/>
      <c r="IZ53" s="197"/>
      <c r="JA53" s="197"/>
      <c r="JB53" s="197"/>
      <c r="JC53" s="197"/>
      <c r="JD53" s="197"/>
      <c r="JE53" s="197"/>
      <c r="JF53" s="197"/>
      <c r="JG53" s="197"/>
      <c r="JH53" s="197"/>
      <c r="JI53" s="197"/>
      <c r="JJ53" s="197"/>
      <c r="JK53" s="197"/>
      <c r="JL53" s="197"/>
      <c r="JM53" s="197"/>
      <c r="JN53" s="197"/>
      <c r="JO53" s="197"/>
      <c r="JP53" s="197"/>
      <c r="JQ53" s="197"/>
      <c r="JR53" s="197"/>
      <c r="JS53" s="197"/>
      <c r="JT53" s="197"/>
      <c r="JU53" s="197"/>
      <c r="JV53" s="197"/>
      <c r="JW53" s="197"/>
      <c r="JX53" s="197"/>
      <c r="JY53" s="197"/>
      <c r="JZ53" s="197"/>
      <c r="KA53" s="197"/>
      <c r="KB53" s="197"/>
      <c r="KC53" s="197"/>
      <c r="KD53" s="197"/>
      <c r="KE53" s="197"/>
      <c r="KF53" s="197"/>
      <c r="KG53" s="197"/>
      <c r="KH53" s="197"/>
      <c r="KI53" s="197"/>
      <c r="KJ53" s="197"/>
      <c r="KK53" s="197"/>
      <c r="KL53" s="197"/>
      <c r="KM53" s="197"/>
      <c r="KN53" s="197"/>
      <c r="KO53" s="197"/>
      <c r="KP53" s="197"/>
      <c r="KQ53" s="197"/>
      <c r="KR53" s="197"/>
      <c r="KS53" s="197"/>
      <c r="KT53" s="197"/>
      <c r="KU53" s="197"/>
      <c r="KV53" s="197"/>
      <c r="KW53" s="197"/>
      <c r="KX53" s="197"/>
      <c r="KY53" s="197"/>
      <c r="KZ53" s="197"/>
      <c r="LA53" s="197"/>
      <c r="LB53" s="197"/>
      <c r="LC53" s="197"/>
      <c r="LD53" s="197"/>
      <c r="LE53" s="197"/>
      <c r="LF53" s="197"/>
      <c r="LG53" s="197"/>
      <c r="LH53" s="197"/>
      <c r="LI53" s="197"/>
      <c r="LJ53" s="197"/>
      <c r="LK53" s="197"/>
      <c r="LL53" s="197"/>
      <c r="LM53" s="197"/>
      <c r="LN53" s="197"/>
      <c r="LO53" s="197"/>
      <c r="LP53" s="197"/>
      <c r="LQ53" s="197"/>
      <c r="LR53" s="197"/>
      <c r="LS53" s="197"/>
      <c r="LT53" s="197"/>
      <c r="LU53" s="197"/>
      <c r="LV53" s="197"/>
      <c r="LW53" s="197"/>
      <c r="LX53" s="197"/>
      <c r="LY53" s="197"/>
      <c r="LZ53" s="197"/>
      <c r="MA53" s="197"/>
      <c r="MB53" s="197"/>
    </row>
    <row r="54" spans="1:340" ht="12">
      <c r="B54" s="477"/>
      <c r="C54" s="1128"/>
      <c r="D54" s="1355"/>
      <c r="E54" s="483"/>
      <c r="F54" s="508"/>
      <c r="G54" s="484"/>
      <c r="H54" s="483"/>
      <c r="I54" s="485"/>
      <c r="J54" s="1356"/>
      <c r="K54" s="509"/>
      <c r="M54" s="605"/>
      <c r="N54" s="1157"/>
    </row>
    <row r="55" spans="1:340" ht="6.75" customHeight="1">
      <c r="B55" s="1357"/>
      <c r="C55" s="1128"/>
      <c r="D55" s="1358"/>
      <c r="E55" s="1359"/>
      <c r="F55" s="1360"/>
      <c r="G55" s="1361"/>
      <c r="H55" s="1359"/>
      <c r="I55" s="1359"/>
      <c r="J55" s="1362"/>
      <c r="K55" s="1363"/>
      <c r="M55" s="605"/>
      <c r="N55" s="1157"/>
    </row>
    <row r="56" spans="1:340" s="198" customFormat="1" ht="14.25" customHeight="1">
      <c r="A56" s="197"/>
      <c r="B56" s="477"/>
      <c r="C56" s="1128"/>
      <c r="D56" s="478" t="s">
        <v>153</v>
      </c>
      <c r="E56" s="483"/>
      <c r="F56" s="508"/>
      <c r="G56" s="484"/>
      <c r="H56" s="483"/>
      <c r="I56" s="485"/>
      <c r="J56" s="696">
        <f>+K56/K6</f>
        <v>0.32286437419766123</v>
      </c>
      <c r="K56" s="509">
        <f>+K44+K42+K33+K23+K29</f>
        <v>562699315.13869786</v>
      </c>
      <c r="L56" s="570"/>
      <c r="M56" s="570"/>
      <c r="N56" s="228"/>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c r="BR56" s="197"/>
      <c r="BS56" s="197"/>
      <c r="BT56" s="197"/>
      <c r="BU56" s="197"/>
      <c r="BV56" s="197"/>
      <c r="BW56" s="197"/>
      <c r="BX56" s="197"/>
      <c r="BY56" s="197"/>
      <c r="BZ56" s="197"/>
      <c r="CA56" s="197"/>
      <c r="CB56" s="197"/>
      <c r="CC56" s="197"/>
      <c r="CD56" s="197"/>
      <c r="CE56" s="197"/>
      <c r="CF56" s="197"/>
      <c r="CG56" s="197"/>
      <c r="CH56" s="197"/>
      <c r="CI56" s="197"/>
      <c r="CJ56" s="197"/>
      <c r="CK56" s="197"/>
      <c r="CL56" s="197"/>
      <c r="CM56" s="197"/>
      <c r="CN56" s="197"/>
      <c r="CO56" s="197"/>
      <c r="CP56" s="197"/>
      <c r="CQ56" s="197"/>
      <c r="CR56" s="197"/>
      <c r="CS56" s="197"/>
      <c r="CT56" s="197"/>
      <c r="CU56" s="197"/>
      <c r="CV56" s="197"/>
      <c r="CW56" s="197"/>
      <c r="CX56" s="197"/>
      <c r="CY56" s="197"/>
      <c r="CZ56" s="197"/>
      <c r="DA56" s="197"/>
      <c r="DB56" s="197"/>
      <c r="DC56" s="197"/>
      <c r="DD56" s="197"/>
      <c r="DE56" s="197"/>
      <c r="DF56" s="197"/>
      <c r="DG56" s="197"/>
      <c r="DH56" s="197"/>
      <c r="DI56" s="197"/>
      <c r="DJ56" s="197"/>
      <c r="DK56" s="197"/>
      <c r="DL56" s="197"/>
      <c r="DM56" s="197"/>
      <c r="DN56" s="197"/>
      <c r="DO56" s="197"/>
      <c r="DP56" s="197"/>
      <c r="DQ56" s="197"/>
      <c r="DR56" s="197"/>
      <c r="DS56" s="197"/>
      <c r="DT56" s="197"/>
      <c r="DU56" s="197"/>
      <c r="DV56" s="197"/>
      <c r="DW56" s="197"/>
      <c r="DX56" s="197"/>
      <c r="DY56" s="197"/>
      <c r="DZ56" s="197"/>
      <c r="EA56" s="197"/>
      <c r="EB56" s="197"/>
      <c r="EC56" s="197"/>
      <c r="ED56" s="197"/>
      <c r="EE56" s="197"/>
      <c r="EF56" s="197"/>
      <c r="EG56" s="197"/>
      <c r="EH56" s="197"/>
      <c r="EI56" s="197"/>
      <c r="EJ56" s="197"/>
      <c r="EK56" s="197"/>
      <c r="EL56" s="197"/>
      <c r="EM56" s="197"/>
      <c r="EN56" s="197"/>
      <c r="EO56" s="197"/>
      <c r="EP56" s="197"/>
      <c r="EQ56" s="197"/>
      <c r="ER56" s="197"/>
      <c r="ES56" s="197"/>
      <c r="ET56" s="197"/>
      <c r="EU56" s="197"/>
      <c r="EV56" s="197"/>
      <c r="EW56" s="197"/>
      <c r="EX56" s="197"/>
      <c r="EY56" s="197"/>
      <c r="EZ56" s="197"/>
      <c r="FA56" s="197"/>
      <c r="FB56" s="197"/>
      <c r="FC56" s="197"/>
      <c r="FD56" s="197"/>
      <c r="FE56" s="197"/>
      <c r="FF56" s="197"/>
      <c r="FG56" s="197"/>
      <c r="FH56" s="197"/>
      <c r="FI56" s="197"/>
      <c r="FJ56" s="197"/>
      <c r="FK56" s="197"/>
      <c r="FL56" s="197"/>
      <c r="FM56" s="197"/>
      <c r="FN56" s="197"/>
      <c r="FO56" s="197"/>
      <c r="FP56" s="197"/>
      <c r="FQ56" s="197"/>
      <c r="FR56" s="197"/>
      <c r="FS56" s="197"/>
      <c r="FT56" s="197"/>
      <c r="FU56" s="197"/>
      <c r="FV56" s="197"/>
      <c r="FW56" s="197"/>
      <c r="FX56" s="197"/>
      <c r="FY56" s="197"/>
      <c r="FZ56" s="197"/>
      <c r="GA56" s="197"/>
      <c r="GB56" s="197"/>
      <c r="GC56" s="197"/>
      <c r="GD56" s="197"/>
      <c r="GE56" s="197"/>
      <c r="GF56" s="197"/>
      <c r="GG56" s="197"/>
      <c r="GH56" s="197"/>
      <c r="GI56" s="197"/>
      <c r="GJ56" s="197"/>
      <c r="GK56" s="197"/>
      <c r="GL56" s="197"/>
      <c r="GM56" s="197"/>
      <c r="GN56" s="197"/>
      <c r="GO56" s="197"/>
      <c r="GP56" s="197"/>
      <c r="GQ56" s="197"/>
      <c r="GR56" s="197"/>
      <c r="GS56" s="197"/>
      <c r="GT56" s="197"/>
      <c r="GU56" s="197"/>
      <c r="GV56" s="197"/>
      <c r="GW56" s="197"/>
      <c r="GX56" s="197"/>
      <c r="GY56" s="197"/>
      <c r="GZ56" s="197"/>
      <c r="HA56" s="197"/>
      <c r="HB56" s="197"/>
      <c r="HC56" s="197"/>
      <c r="HD56" s="197"/>
      <c r="HE56" s="197"/>
      <c r="HF56" s="197"/>
      <c r="HG56" s="197"/>
      <c r="HH56" s="197"/>
      <c r="HI56" s="197"/>
      <c r="HJ56" s="197"/>
      <c r="HK56" s="197"/>
      <c r="HL56" s="197"/>
      <c r="HM56" s="197"/>
      <c r="HN56" s="197"/>
      <c r="HO56" s="197"/>
      <c r="HP56" s="197"/>
      <c r="HQ56" s="197"/>
      <c r="HR56" s="197"/>
      <c r="HS56" s="197"/>
      <c r="HT56" s="197"/>
      <c r="HU56" s="197"/>
      <c r="HV56" s="197"/>
      <c r="HW56" s="197"/>
      <c r="HX56" s="197"/>
      <c r="HY56" s="197"/>
      <c r="HZ56" s="197"/>
      <c r="IA56" s="197"/>
      <c r="IB56" s="197"/>
      <c r="IC56" s="197"/>
      <c r="ID56" s="197"/>
      <c r="IE56" s="197"/>
      <c r="IF56" s="197"/>
      <c r="IG56" s="197"/>
      <c r="IH56" s="197"/>
      <c r="II56" s="197"/>
      <c r="IJ56" s="197"/>
      <c r="IK56" s="197"/>
      <c r="IL56" s="197"/>
      <c r="IM56" s="197"/>
      <c r="IN56" s="197"/>
      <c r="IO56" s="197"/>
      <c r="IP56" s="197"/>
      <c r="IQ56" s="197"/>
      <c r="IR56" s="197"/>
      <c r="IS56" s="197"/>
      <c r="IT56" s="197"/>
      <c r="IU56" s="197"/>
      <c r="IV56" s="197"/>
      <c r="IW56" s="197"/>
      <c r="IX56" s="197"/>
      <c r="IY56" s="197"/>
      <c r="IZ56" s="197"/>
      <c r="JA56" s="197"/>
      <c r="JB56" s="197"/>
      <c r="JC56" s="197"/>
      <c r="JD56" s="197"/>
      <c r="JE56" s="197"/>
      <c r="JF56" s="197"/>
      <c r="JG56" s="197"/>
      <c r="JH56" s="197"/>
      <c r="JI56" s="197"/>
      <c r="JJ56" s="197"/>
      <c r="JK56" s="197"/>
      <c r="JL56" s="197"/>
      <c r="JM56" s="197"/>
      <c r="JN56" s="197"/>
      <c r="JO56" s="197"/>
      <c r="JP56" s="197"/>
      <c r="JQ56" s="197"/>
      <c r="JR56" s="197"/>
      <c r="JS56" s="197"/>
      <c r="JT56" s="197"/>
      <c r="JU56" s="197"/>
      <c r="JV56" s="197"/>
      <c r="JW56" s="197"/>
      <c r="JX56" s="197"/>
      <c r="JY56" s="197"/>
      <c r="JZ56" s="197"/>
      <c r="KA56" s="197"/>
      <c r="KB56" s="197"/>
      <c r="KC56" s="197"/>
      <c r="KD56" s="197"/>
      <c r="KE56" s="197"/>
      <c r="KF56" s="197"/>
      <c r="KG56" s="197"/>
      <c r="KH56" s="197"/>
      <c r="KI56" s="197"/>
      <c r="KJ56" s="197"/>
      <c r="KK56" s="197"/>
      <c r="KL56" s="197"/>
      <c r="KM56" s="197"/>
      <c r="KN56" s="197"/>
      <c r="KO56" s="197"/>
      <c r="KP56" s="197"/>
      <c r="KQ56" s="197"/>
      <c r="KR56" s="197"/>
      <c r="KS56" s="197"/>
      <c r="KT56" s="197"/>
      <c r="KU56" s="197"/>
      <c r="KV56" s="197"/>
      <c r="KW56" s="197"/>
      <c r="KX56" s="197"/>
      <c r="KY56" s="197"/>
      <c r="KZ56" s="197"/>
      <c r="LA56" s="197"/>
      <c r="LB56" s="197"/>
      <c r="LC56" s="197"/>
      <c r="LD56" s="197"/>
      <c r="LE56" s="197"/>
      <c r="LF56" s="197"/>
      <c r="LG56" s="197"/>
      <c r="LH56" s="197"/>
      <c r="LI56" s="197"/>
      <c r="LJ56" s="197"/>
      <c r="LK56" s="197"/>
      <c r="LL56" s="197"/>
      <c r="LM56" s="197"/>
      <c r="LN56" s="197"/>
      <c r="LO56" s="197"/>
      <c r="LP56" s="197"/>
      <c r="LQ56" s="197"/>
      <c r="LR56" s="197"/>
      <c r="LS56" s="197"/>
      <c r="LT56" s="197"/>
      <c r="LU56" s="197"/>
      <c r="LV56" s="197"/>
      <c r="LW56" s="197"/>
      <c r="LX56" s="197"/>
      <c r="LY56" s="197"/>
      <c r="LZ56" s="197"/>
      <c r="MA56" s="197"/>
      <c r="MB56" s="197"/>
    </row>
    <row r="57" spans="1:340" s="198" customFormat="1" ht="12">
      <c r="A57" s="197"/>
      <c r="B57" s="477"/>
      <c r="C57" s="1128"/>
      <c r="D57" s="478" t="s">
        <v>32</v>
      </c>
      <c r="E57" s="483"/>
      <c r="F57" s="508"/>
      <c r="G57" s="484"/>
      <c r="H57" s="483"/>
      <c r="I57" s="485"/>
      <c r="J57" s="696">
        <v>0.01</v>
      </c>
      <c r="K57" s="509">
        <f>J57*K6</f>
        <v>17428349.490000002</v>
      </c>
      <c r="L57" s="228"/>
      <c r="M57" s="228"/>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c r="BR57" s="197"/>
      <c r="BS57" s="197"/>
      <c r="BT57" s="197"/>
      <c r="BU57" s="197"/>
      <c r="BV57" s="197"/>
      <c r="BW57" s="197"/>
      <c r="BX57" s="197"/>
      <c r="BY57" s="197"/>
      <c r="BZ57" s="197"/>
      <c r="CA57" s="197"/>
      <c r="CB57" s="197"/>
      <c r="CC57" s="197"/>
      <c r="CD57" s="197"/>
      <c r="CE57" s="197"/>
      <c r="CF57" s="197"/>
      <c r="CG57" s="197"/>
      <c r="CH57" s="197"/>
      <c r="CI57" s="197"/>
      <c r="CJ57" s="197"/>
      <c r="CK57" s="197"/>
      <c r="CL57" s="197"/>
      <c r="CM57" s="197"/>
      <c r="CN57" s="197"/>
      <c r="CO57" s="197"/>
      <c r="CP57" s="197"/>
      <c r="CQ57" s="197"/>
      <c r="CR57" s="197"/>
      <c r="CS57" s="197"/>
      <c r="CT57" s="197"/>
      <c r="CU57" s="197"/>
      <c r="CV57" s="197"/>
      <c r="CW57" s="197"/>
      <c r="CX57" s="197"/>
      <c r="CY57" s="197"/>
      <c r="CZ57" s="197"/>
      <c r="DA57" s="197"/>
      <c r="DB57" s="197"/>
      <c r="DC57" s="197"/>
      <c r="DD57" s="197"/>
      <c r="DE57" s="197"/>
      <c r="DF57" s="197"/>
      <c r="DG57" s="197"/>
      <c r="DH57" s="197"/>
      <c r="DI57" s="197"/>
      <c r="DJ57" s="197"/>
      <c r="DK57" s="197"/>
      <c r="DL57" s="197"/>
      <c r="DM57" s="197"/>
      <c r="DN57" s="197"/>
      <c r="DO57" s="197"/>
      <c r="DP57" s="197"/>
      <c r="DQ57" s="197"/>
      <c r="DR57" s="197"/>
      <c r="DS57" s="197"/>
      <c r="DT57" s="197"/>
      <c r="DU57" s="197"/>
      <c r="DV57" s="197"/>
      <c r="DW57" s="197"/>
      <c r="DX57" s="197"/>
      <c r="DY57" s="197"/>
      <c r="DZ57" s="197"/>
      <c r="EA57" s="197"/>
      <c r="EB57" s="197"/>
      <c r="EC57" s="197"/>
      <c r="ED57" s="197"/>
      <c r="EE57" s="197"/>
      <c r="EF57" s="197"/>
      <c r="EG57" s="197"/>
      <c r="EH57" s="197"/>
      <c r="EI57" s="197"/>
      <c r="EJ57" s="197"/>
      <c r="EK57" s="197"/>
      <c r="EL57" s="197"/>
      <c r="EM57" s="197"/>
      <c r="EN57" s="197"/>
      <c r="EO57" s="197"/>
      <c r="EP57" s="197"/>
      <c r="EQ57" s="197"/>
      <c r="ER57" s="197"/>
      <c r="ES57" s="197"/>
      <c r="ET57" s="197"/>
      <c r="EU57" s="197"/>
      <c r="EV57" s="197"/>
      <c r="EW57" s="197"/>
      <c r="EX57" s="197"/>
      <c r="EY57" s="197"/>
      <c r="EZ57" s="197"/>
      <c r="FA57" s="197"/>
      <c r="FB57" s="197"/>
      <c r="FC57" s="197"/>
      <c r="FD57" s="197"/>
      <c r="FE57" s="197"/>
      <c r="FF57" s="197"/>
      <c r="FG57" s="197"/>
      <c r="FH57" s="197"/>
      <c r="FI57" s="197"/>
      <c r="FJ57" s="197"/>
      <c r="FK57" s="197"/>
      <c r="FL57" s="197"/>
      <c r="FM57" s="197"/>
      <c r="FN57" s="197"/>
      <c r="FO57" s="197"/>
      <c r="FP57" s="197"/>
      <c r="FQ57" s="197"/>
      <c r="FR57" s="197"/>
      <c r="FS57" s="197"/>
      <c r="FT57" s="197"/>
      <c r="FU57" s="197"/>
      <c r="FV57" s="197"/>
      <c r="FW57" s="197"/>
      <c r="FX57" s="197"/>
      <c r="FY57" s="197"/>
      <c r="FZ57" s="197"/>
      <c r="GA57" s="197"/>
      <c r="GB57" s="197"/>
      <c r="GC57" s="197"/>
      <c r="GD57" s="197"/>
      <c r="GE57" s="197"/>
      <c r="GF57" s="197"/>
      <c r="GG57" s="197"/>
      <c r="GH57" s="197"/>
      <c r="GI57" s="197"/>
      <c r="GJ57" s="197"/>
      <c r="GK57" s="197"/>
      <c r="GL57" s="197"/>
      <c r="GM57" s="197"/>
      <c r="GN57" s="197"/>
      <c r="GO57" s="197"/>
      <c r="GP57" s="197"/>
      <c r="GQ57" s="197"/>
      <c r="GR57" s="197"/>
      <c r="GS57" s="197"/>
      <c r="GT57" s="197"/>
      <c r="GU57" s="197"/>
      <c r="GV57" s="197"/>
      <c r="GW57" s="197"/>
      <c r="GX57" s="197"/>
      <c r="GY57" s="197"/>
      <c r="GZ57" s="197"/>
      <c r="HA57" s="197"/>
      <c r="HB57" s="197"/>
      <c r="HC57" s="197"/>
      <c r="HD57" s="197"/>
      <c r="HE57" s="197"/>
      <c r="HF57" s="197"/>
      <c r="HG57" s="197"/>
      <c r="HH57" s="197"/>
      <c r="HI57" s="197"/>
      <c r="HJ57" s="197"/>
      <c r="HK57" s="197"/>
      <c r="HL57" s="197"/>
      <c r="HM57" s="197"/>
      <c r="HN57" s="197"/>
      <c r="HO57" s="197"/>
      <c r="HP57" s="197"/>
      <c r="HQ57" s="197"/>
      <c r="HR57" s="197"/>
      <c r="HS57" s="197"/>
      <c r="HT57" s="197"/>
      <c r="HU57" s="197"/>
      <c r="HV57" s="197"/>
      <c r="HW57" s="197"/>
      <c r="HX57" s="197"/>
      <c r="HY57" s="197"/>
      <c r="HZ57" s="197"/>
      <c r="IA57" s="197"/>
      <c r="IB57" s="197"/>
      <c r="IC57" s="197"/>
      <c r="ID57" s="197"/>
      <c r="IE57" s="197"/>
      <c r="IF57" s="197"/>
      <c r="IG57" s="197"/>
      <c r="IH57" s="197"/>
      <c r="II57" s="197"/>
      <c r="IJ57" s="197"/>
      <c r="IK57" s="197"/>
      <c r="IL57" s="197"/>
      <c r="IM57" s="197"/>
      <c r="IN57" s="197"/>
      <c r="IO57" s="197"/>
      <c r="IP57" s="197"/>
      <c r="IQ57" s="197"/>
      <c r="IR57" s="197"/>
      <c r="IS57" s="197"/>
      <c r="IT57" s="197"/>
      <c r="IU57" s="197"/>
      <c r="IV57" s="197"/>
      <c r="IW57" s="197"/>
      <c r="IX57" s="197"/>
      <c r="IY57" s="197"/>
      <c r="IZ57" s="197"/>
      <c r="JA57" s="197"/>
      <c r="JB57" s="197"/>
      <c r="JC57" s="197"/>
      <c r="JD57" s="197"/>
      <c r="JE57" s="197"/>
      <c r="JF57" s="197"/>
      <c r="JG57" s="197"/>
      <c r="JH57" s="197"/>
      <c r="JI57" s="197"/>
      <c r="JJ57" s="197"/>
      <c r="JK57" s="197"/>
      <c r="JL57" s="197"/>
      <c r="JM57" s="197"/>
      <c r="JN57" s="197"/>
      <c r="JO57" s="197"/>
      <c r="JP57" s="197"/>
      <c r="JQ57" s="197"/>
      <c r="JR57" s="197"/>
      <c r="JS57" s="197"/>
      <c r="JT57" s="197"/>
      <c r="JU57" s="197"/>
      <c r="JV57" s="197"/>
      <c r="JW57" s="197"/>
      <c r="JX57" s="197"/>
      <c r="JY57" s="197"/>
      <c r="JZ57" s="197"/>
      <c r="KA57" s="197"/>
      <c r="KB57" s="197"/>
      <c r="KC57" s="197"/>
      <c r="KD57" s="197"/>
      <c r="KE57" s="197"/>
      <c r="KF57" s="197"/>
      <c r="KG57" s="197"/>
      <c r="KH57" s="197"/>
      <c r="KI57" s="197"/>
      <c r="KJ57" s="197"/>
      <c r="KK57" s="197"/>
      <c r="KL57" s="197"/>
      <c r="KM57" s="197"/>
      <c r="KN57" s="197"/>
      <c r="KO57" s="197"/>
      <c r="KP57" s="197"/>
      <c r="KQ57" s="197"/>
      <c r="KR57" s="197"/>
      <c r="KS57" s="197"/>
      <c r="KT57" s="197"/>
      <c r="KU57" s="197"/>
      <c r="KV57" s="197"/>
      <c r="KW57" s="197"/>
      <c r="KX57" s="197"/>
      <c r="KY57" s="197"/>
      <c r="KZ57" s="197"/>
      <c r="LA57" s="197"/>
      <c r="LB57" s="197"/>
      <c r="LC57" s="197"/>
      <c r="LD57" s="197"/>
      <c r="LE57" s="197"/>
      <c r="LF57" s="197"/>
      <c r="LG57" s="197"/>
      <c r="LH57" s="197"/>
      <c r="LI57" s="197"/>
      <c r="LJ57" s="197"/>
      <c r="LK57" s="197"/>
      <c r="LL57" s="197"/>
      <c r="LM57" s="197"/>
      <c r="LN57" s="197"/>
      <c r="LO57" s="197"/>
      <c r="LP57" s="197"/>
      <c r="LQ57" s="197"/>
      <c r="LR57" s="197"/>
      <c r="LS57" s="197"/>
      <c r="LT57" s="197"/>
      <c r="LU57" s="197"/>
      <c r="LV57" s="197"/>
      <c r="LW57" s="197"/>
      <c r="LX57" s="197"/>
      <c r="LY57" s="197"/>
      <c r="LZ57" s="197"/>
      <c r="MA57" s="197"/>
      <c r="MB57" s="197"/>
    </row>
    <row r="58" spans="1:340" s="198" customFormat="1" ht="12">
      <c r="A58" s="197"/>
      <c r="B58" s="477"/>
      <c r="C58" s="1128"/>
      <c r="D58" s="478" t="s">
        <v>31</v>
      </c>
      <c r="E58" s="483"/>
      <c r="F58" s="508"/>
      <c r="G58" s="484"/>
      <c r="H58" s="483"/>
      <c r="I58" s="485"/>
      <c r="J58" s="696">
        <v>0.05</v>
      </c>
      <c r="K58" s="509">
        <f>J58*K6</f>
        <v>87141747.450000003</v>
      </c>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c r="BR58" s="197"/>
      <c r="BS58" s="197"/>
      <c r="BT58" s="197"/>
      <c r="BU58" s="197"/>
      <c r="BV58" s="197"/>
      <c r="BW58" s="197"/>
      <c r="BX58" s="197"/>
      <c r="BY58" s="197"/>
      <c r="BZ58" s="197"/>
      <c r="CA58" s="197"/>
      <c r="CB58" s="197"/>
      <c r="CC58" s="197"/>
      <c r="CD58" s="197"/>
      <c r="CE58" s="197"/>
      <c r="CF58" s="197"/>
      <c r="CG58" s="197"/>
      <c r="CH58" s="197"/>
      <c r="CI58" s="197"/>
      <c r="CJ58" s="197"/>
      <c r="CK58" s="197"/>
      <c r="CL58" s="197"/>
      <c r="CM58" s="197"/>
      <c r="CN58" s="197"/>
      <c r="CO58" s="197"/>
      <c r="CP58" s="197"/>
      <c r="CQ58" s="197"/>
      <c r="CR58" s="197"/>
      <c r="CS58" s="197"/>
      <c r="CT58" s="197"/>
      <c r="CU58" s="197"/>
      <c r="CV58" s="197"/>
      <c r="CW58" s="197"/>
      <c r="CX58" s="197"/>
      <c r="CY58" s="197"/>
      <c r="CZ58" s="197"/>
      <c r="DA58" s="197"/>
      <c r="DB58" s="197"/>
      <c r="DC58" s="197"/>
      <c r="DD58" s="197"/>
      <c r="DE58" s="197"/>
      <c r="DF58" s="197"/>
      <c r="DG58" s="197"/>
      <c r="DH58" s="197"/>
      <c r="DI58" s="197"/>
      <c r="DJ58" s="197"/>
      <c r="DK58" s="197"/>
      <c r="DL58" s="197"/>
      <c r="DM58" s="197"/>
      <c r="DN58" s="197"/>
      <c r="DO58" s="197"/>
      <c r="DP58" s="197"/>
      <c r="DQ58" s="197"/>
      <c r="DR58" s="197"/>
      <c r="DS58" s="197"/>
      <c r="DT58" s="197"/>
      <c r="DU58" s="197"/>
      <c r="DV58" s="197"/>
      <c r="DW58" s="197"/>
      <c r="DX58" s="197"/>
      <c r="DY58" s="197"/>
      <c r="DZ58" s="197"/>
      <c r="EA58" s="197"/>
      <c r="EB58" s="197"/>
      <c r="EC58" s="197"/>
      <c r="ED58" s="197"/>
      <c r="EE58" s="197"/>
      <c r="EF58" s="197"/>
      <c r="EG58" s="197"/>
      <c r="EH58" s="197"/>
      <c r="EI58" s="197"/>
      <c r="EJ58" s="197"/>
      <c r="EK58" s="197"/>
      <c r="EL58" s="197"/>
      <c r="EM58" s="197"/>
      <c r="EN58" s="197"/>
      <c r="EO58" s="197"/>
      <c r="EP58" s="197"/>
      <c r="EQ58" s="197"/>
      <c r="ER58" s="197"/>
      <c r="ES58" s="197"/>
      <c r="ET58" s="197"/>
      <c r="EU58" s="197"/>
      <c r="EV58" s="197"/>
      <c r="EW58" s="197"/>
      <c r="EX58" s="197"/>
      <c r="EY58" s="197"/>
      <c r="EZ58" s="197"/>
      <c r="FA58" s="197"/>
      <c r="FB58" s="197"/>
      <c r="FC58" s="197"/>
      <c r="FD58" s="197"/>
      <c r="FE58" s="197"/>
      <c r="FF58" s="197"/>
      <c r="FG58" s="197"/>
      <c r="FH58" s="197"/>
      <c r="FI58" s="197"/>
      <c r="FJ58" s="197"/>
      <c r="FK58" s="197"/>
      <c r="FL58" s="197"/>
      <c r="FM58" s="197"/>
      <c r="FN58" s="197"/>
      <c r="FO58" s="197"/>
      <c r="FP58" s="197"/>
      <c r="FQ58" s="197"/>
      <c r="FR58" s="197"/>
      <c r="FS58" s="197"/>
      <c r="FT58" s="197"/>
      <c r="FU58" s="197"/>
      <c r="FV58" s="197"/>
      <c r="FW58" s="197"/>
      <c r="FX58" s="197"/>
      <c r="FY58" s="197"/>
      <c r="FZ58" s="197"/>
      <c r="GA58" s="197"/>
      <c r="GB58" s="197"/>
      <c r="GC58" s="197"/>
      <c r="GD58" s="197"/>
      <c r="GE58" s="197"/>
      <c r="GF58" s="197"/>
      <c r="GG58" s="197"/>
      <c r="GH58" s="197"/>
      <c r="GI58" s="197"/>
      <c r="GJ58" s="197"/>
      <c r="GK58" s="197"/>
      <c r="GL58" s="197"/>
      <c r="GM58" s="197"/>
      <c r="GN58" s="197"/>
      <c r="GO58" s="197"/>
      <c r="GP58" s="197"/>
      <c r="GQ58" s="197"/>
      <c r="GR58" s="197"/>
      <c r="GS58" s="197"/>
      <c r="GT58" s="197"/>
      <c r="GU58" s="197"/>
      <c r="GV58" s="197"/>
      <c r="GW58" s="197"/>
      <c r="GX58" s="197"/>
      <c r="GY58" s="197"/>
      <c r="GZ58" s="197"/>
      <c r="HA58" s="197"/>
      <c r="HB58" s="197"/>
      <c r="HC58" s="197"/>
      <c r="HD58" s="197"/>
      <c r="HE58" s="197"/>
      <c r="HF58" s="197"/>
      <c r="HG58" s="197"/>
      <c r="HH58" s="197"/>
      <c r="HI58" s="197"/>
      <c r="HJ58" s="197"/>
      <c r="HK58" s="197"/>
      <c r="HL58" s="197"/>
      <c r="HM58" s="197"/>
      <c r="HN58" s="197"/>
      <c r="HO58" s="197"/>
      <c r="HP58" s="197"/>
      <c r="HQ58" s="197"/>
      <c r="HR58" s="197"/>
      <c r="HS58" s="197"/>
      <c r="HT58" s="197"/>
      <c r="HU58" s="197"/>
      <c r="HV58" s="197"/>
      <c r="HW58" s="197"/>
      <c r="HX58" s="197"/>
      <c r="HY58" s="197"/>
      <c r="HZ58" s="197"/>
      <c r="IA58" s="197"/>
      <c r="IB58" s="197"/>
      <c r="IC58" s="197"/>
      <c r="ID58" s="197"/>
      <c r="IE58" s="197"/>
      <c r="IF58" s="197"/>
      <c r="IG58" s="197"/>
      <c r="IH58" s="197"/>
      <c r="II58" s="197"/>
      <c r="IJ58" s="197"/>
      <c r="IK58" s="197"/>
      <c r="IL58" s="197"/>
      <c r="IM58" s="197"/>
      <c r="IN58" s="197"/>
      <c r="IO58" s="197"/>
      <c r="IP58" s="197"/>
      <c r="IQ58" s="197"/>
      <c r="IR58" s="197"/>
      <c r="IS58" s="197"/>
      <c r="IT58" s="197"/>
      <c r="IU58" s="197"/>
      <c r="IV58" s="197"/>
      <c r="IW58" s="197"/>
      <c r="IX58" s="197"/>
      <c r="IY58" s="197"/>
      <c r="IZ58" s="197"/>
      <c r="JA58" s="197"/>
      <c r="JB58" s="197"/>
      <c r="JC58" s="197"/>
      <c r="JD58" s="197"/>
      <c r="JE58" s="197"/>
      <c r="JF58" s="197"/>
      <c r="JG58" s="197"/>
      <c r="JH58" s="197"/>
      <c r="JI58" s="197"/>
      <c r="JJ58" s="197"/>
      <c r="JK58" s="197"/>
      <c r="JL58" s="197"/>
      <c r="JM58" s="197"/>
      <c r="JN58" s="197"/>
      <c r="JO58" s="197"/>
      <c r="JP58" s="197"/>
      <c r="JQ58" s="197"/>
      <c r="JR58" s="197"/>
      <c r="JS58" s="197"/>
      <c r="JT58" s="197"/>
      <c r="JU58" s="197"/>
      <c r="JV58" s="197"/>
      <c r="JW58" s="197"/>
      <c r="JX58" s="197"/>
      <c r="JY58" s="197"/>
      <c r="JZ58" s="197"/>
      <c r="KA58" s="197"/>
      <c r="KB58" s="197"/>
      <c r="KC58" s="197"/>
      <c r="KD58" s="197"/>
      <c r="KE58" s="197"/>
      <c r="KF58" s="197"/>
      <c r="KG58" s="197"/>
      <c r="KH58" s="197"/>
      <c r="KI58" s="197"/>
      <c r="KJ58" s="197"/>
      <c r="KK58" s="197"/>
      <c r="KL58" s="197"/>
      <c r="KM58" s="197"/>
      <c r="KN58" s="197"/>
      <c r="KO58" s="197"/>
      <c r="KP58" s="197"/>
      <c r="KQ58" s="197"/>
      <c r="KR58" s="197"/>
      <c r="KS58" s="197"/>
      <c r="KT58" s="197"/>
      <c r="KU58" s="197"/>
      <c r="KV58" s="197"/>
      <c r="KW58" s="197"/>
      <c r="KX58" s="197"/>
      <c r="KY58" s="197"/>
      <c r="KZ58" s="197"/>
      <c r="LA58" s="197"/>
      <c r="LB58" s="197"/>
      <c r="LC58" s="197"/>
      <c r="LD58" s="197"/>
      <c r="LE58" s="197"/>
      <c r="LF58" s="197"/>
      <c r="LG58" s="197"/>
      <c r="LH58" s="197"/>
      <c r="LI58" s="197"/>
      <c r="LJ58" s="197"/>
      <c r="LK58" s="197"/>
      <c r="LL58" s="197"/>
      <c r="LM58" s="197"/>
      <c r="LN58" s="197"/>
      <c r="LO58" s="197"/>
      <c r="LP58" s="197"/>
      <c r="LQ58" s="197"/>
      <c r="LR58" s="197"/>
      <c r="LS58" s="197"/>
      <c r="LT58" s="197"/>
      <c r="LU58" s="197"/>
      <c r="LV58" s="197"/>
      <c r="LW58" s="197"/>
      <c r="LX58" s="197"/>
      <c r="LY58" s="197"/>
      <c r="LZ58" s="197"/>
      <c r="MA58" s="197"/>
      <c r="MB58" s="197"/>
    </row>
    <row r="59" spans="1:340" ht="12">
      <c r="B59" s="477"/>
      <c r="C59" s="1128"/>
      <c r="D59" s="482"/>
      <c r="E59" s="483"/>
      <c r="F59" s="483"/>
      <c r="G59" s="484"/>
      <c r="H59" s="483"/>
      <c r="I59" s="485"/>
      <c r="J59" s="696"/>
      <c r="K59" s="487"/>
      <c r="M59" s="713"/>
    </row>
    <row r="60" spans="1:340" s="198" customFormat="1" ht="12">
      <c r="A60" s="197"/>
      <c r="B60" s="477"/>
      <c r="C60" s="1128"/>
      <c r="D60" s="478" t="s">
        <v>152</v>
      </c>
      <c r="E60" s="483"/>
      <c r="F60" s="483"/>
      <c r="G60" s="484"/>
      <c r="H60" s="483"/>
      <c r="I60" s="485"/>
      <c r="J60" s="1397">
        <f>K60/K6</f>
        <v>0.38286437419766128</v>
      </c>
      <c r="K60" s="509">
        <f>SUM(K56:K59)</f>
        <v>667269412.07869792</v>
      </c>
      <c r="L60" s="197"/>
      <c r="M60" s="713"/>
      <c r="N60" s="1196"/>
      <c r="O60" s="1156"/>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c r="BR60" s="197"/>
      <c r="BS60" s="197"/>
      <c r="BT60" s="197"/>
      <c r="BU60" s="197"/>
      <c r="BV60" s="197"/>
      <c r="BW60" s="197"/>
      <c r="BX60" s="197"/>
      <c r="BY60" s="197"/>
      <c r="BZ60" s="197"/>
      <c r="CA60" s="197"/>
      <c r="CB60" s="197"/>
      <c r="CC60" s="197"/>
      <c r="CD60" s="197"/>
      <c r="CE60" s="197"/>
      <c r="CF60" s="197"/>
      <c r="CG60" s="197"/>
      <c r="CH60" s="197"/>
      <c r="CI60" s="197"/>
      <c r="CJ60" s="197"/>
      <c r="CK60" s="197"/>
      <c r="CL60" s="197"/>
      <c r="CM60" s="197"/>
      <c r="CN60" s="197"/>
      <c r="CO60" s="197"/>
      <c r="CP60" s="197"/>
      <c r="CQ60" s="197"/>
      <c r="CR60" s="197"/>
      <c r="CS60" s="197"/>
      <c r="CT60" s="197"/>
      <c r="CU60" s="197"/>
      <c r="CV60" s="197"/>
      <c r="CW60" s="197"/>
      <c r="CX60" s="197"/>
      <c r="CY60" s="197"/>
      <c r="CZ60" s="197"/>
      <c r="DA60" s="197"/>
      <c r="DB60" s="197"/>
      <c r="DC60" s="197"/>
      <c r="DD60" s="197"/>
      <c r="DE60" s="197"/>
      <c r="DF60" s="197"/>
      <c r="DG60" s="197"/>
      <c r="DH60" s="197"/>
      <c r="DI60" s="197"/>
      <c r="DJ60" s="197"/>
      <c r="DK60" s="197"/>
      <c r="DL60" s="197"/>
      <c r="DM60" s="197"/>
      <c r="DN60" s="197"/>
      <c r="DO60" s="197"/>
      <c r="DP60" s="197"/>
      <c r="DQ60" s="197"/>
      <c r="DR60" s="197"/>
      <c r="DS60" s="197"/>
      <c r="DT60" s="197"/>
      <c r="DU60" s="197"/>
      <c r="DV60" s="197"/>
      <c r="DW60" s="197"/>
      <c r="DX60" s="197"/>
      <c r="DY60" s="197"/>
      <c r="DZ60" s="197"/>
      <c r="EA60" s="197"/>
      <c r="EB60" s="197"/>
      <c r="EC60" s="197"/>
      <c r="ED60" s="197"/>
      <c r="EE60" s="197"/>
      <c r="EF60" s="197"/>
      <c r="EG60" s="197"/>
      <c r="EH60" s="197"/>
      <c r="EI60" s="197"/>
      <c r="EJ60" s="197"/>
      <c r="EK60" s="197"/>
      <c r="EL60" s="197"/>
      <c r="EM60" s="197"/>
      <c r="EN60" s="197"/>
      <c r="EO60" s="197"/>
      <c r="EP60" s="197"/>
      <c r="EQ60" s="197"/>
      <c r="ER60" s="197"/>
      <c r="ES60" s="197"/>
      <c r="ET60" s="197"/>
      <c r="EU60" s="197"/>
      <c r="EV60" s="197"/>
      <c r="EW60" s="197"/>
      <c r="EX60" s="197"/>
      <c r="EY60" s="197"/>
      <c r="EZ60" s="197"/>
      <c r="FA60" s="197"/>
      <c r="FB60" s="197"/>
      <c r="FC60" s="197"/>
      <c r="FD60" s="197"/>
      <c r="FE60" s="197"/>
      <c r="FF60" s="197"/>
      <c r="FG60" s="197"/>
      <c r="FH60" s="197"/>
      <c r="FI60" s="197"/>
      <c r="FJ60" s="197"/>
      <c r="FK60" s="197"/>
      <c r="FL60" s="197"/>
      <c r="FM60" s="197"/>
      <c r="FN60" s="197"/>
      <c r="FO60" s="197"/>
      <c r="FP60" s="197"/>
      <c r="FQ60" s="197"/>
      <c r="FR60" s="197"/>
      <c r="FS60" s="197"/>
      <c r="FT60" s="197"/>
      <c r="FU60" s="197"/>
      <c r="FV60" s="197"/>
      <c r="FW60" s="197"/>
      <c r="FX60" s="197"/>
      <c r="FY60" s="197"/>
      <c r="FZ60" s="197"/>
      <c r="GA60" s="197"/>
      <c r="GB60" s="197"/>
      <c r="GC60" s="197"/>
      <c r="GD60" s="197"/>
      <c r="GE60" s="197"/>
      <c r="GF60" s="197"/>
      <c r="GG60" s="197"/>
      <c r="GH60" s="197"/>
      <c r="GI60" s="197"/>
      <c r="GJ60" s="197"/>
      <c r="GK60" s="197"/>
      <c r="GL60" s="197"/>
      <c r="GM60" s="197"/>
      <c r="GN60" s="197"/>
      <c r="GO60" s="197"/>
      <c r="GP60" s="197"/>
      <c r="GQ60" s="197"/>
      <c r="GR60" s="197"/>
      <c r="GS60" s="197"/>
      <c r="GT60" s="197"/>
      <c r="GU60" s="197"/>
      <c r="GV60" s="197"/>
      <c r="GW60" s="197"/>
      <c r="GX60" s="197"/>
      <c r="GY60" s="197"/>
      <c r="GZ60" s="197"/>
      <c r="HA60" s="197"/>
      <c r="HB60" s="197"/>
      <c r="HC60" s="197"/>
      <c r="HD60" s="197"/>
      <c r="HE60" s="197"/>
      <c r="HF60" s="197"/>
      <c r="HG60" s="197"/>
      <c r="HH60" s="197"/>
      <c r="HI60" s="197"/>
      <c r="HJ60" s="197"/>
      <c r="HK60" s="197"/>
      <c r="HL60" s="197"/>
      <c r="HM60" s="197"/>
      <c r="HN60" s="197"/>
      <c r="HO60" s="197"/>
      <c r="HP60" s="197"/>
      <c r="HQ60" s="197"/>
      <c r="HR60" s="197"/>
      <c r="HS60" s="197"/>
      <c r="HT60" s="197"/>
      <c r="HU60" s="197"/>
      <c r="HV60" s="197"/>
      <c r="HW60" s="197"/>
      <c r="HX60" s="197"/>
      <c r="HY60" s="197"/>
      <c r="HZ60" s="197"/>
      <c r="IA60" s="197"/>
      <c r="IB60" s="197"/>
      <c r="IC60" s="197"/>
      <c r="ID60" s="197"/>
      <c r="IE60" s="197"/>
      <c r="IF60" s="197"/>
      <c r="IG60" s="197"/>
      <c r="IH60" s="197"/>
      <c r="II60" s="197"/>
      <c r="IJ60" s="197"/>
      <c r="IK60" s="197"/>
      <c r="IL60" s="197"/>
      <c r="IM60" s="197"/>
      <c r="IN60" s="197"/>
      <c r="IO60" s="197"/>
      <c r="IP60" s="197"/>
      <c r="IQ60" s="197"/>
      <c r="IR60" s="197"/>
      <c r="IS60" s="197"/>
      <c r="IT60" s="197"/>
      <c r="IU60" s="197"/>
      <c r="IV60" s="197"/>
      <c r="IW60" s="197"/>
      <c r="IX60" s="197"/>
      <c r="IY60" s="197"/>
      <c r="IZ60" s="197"/>
      <c r="JA60" s="197"/>
      <c r="JB60" s="197"/>
      <c r="JC60" s="197"/>
      <c r="JD60" s="197"/>
      <c r="JE60" s="197"/>
      <c r="JF60" s="197"/>
      <c r="JG60" s="197"/>
      <c r="JH60" s="197"/>
      <c r="JI60" s="197"/>
      <c r="JJ60" s="197"/>
      <c r="JK60" s="197"/>
      <c r="JL60" s="197"/>
      <c r="JM60" s="197"/>
      <c r="JN60" s="197"/>
      <c r="JO60" s="197"/>
      <c r="JP60" s="197"/>
      <c r="JQ60" s="197"/>
      <c r="JR60" s="197"/>
      <c r="JS60" s="197"/>
      <c r="JT60" s="197"/>
      <c r="JU60" s="197"/>
      <c r="JV60" s="197"/>
      <c r="JW60" s="197"/>
      <c r="JX60" s="197"/>
      <c r="JY60" s="197"/>
      <c r="JZ60" s="197"/>
      <c r="KA60" s="197"/>
      <c r="KB60" s="197"/>
      <c r="KC60" s="197"/>
      <c r="KD60" s="197"/>
      <c r="KE60" s="197"/>
      <c r="KF60" s="197"/>
      <c r="KG60" s="197"/>
      <c r="KH60" s="197"/>
      <c r="KI60" s="197"/>
      <c r="KJ60" s="197"/>
      <c r="KK60" s="197"/>
      <c r="KL60" s="197"/>
      <c r="KM60" s="197"/>
      <c r="KN60" s="197"/>
      <c r="KO60" s="197"/>
      <c r="KP60" s="197"/>
      <c r="KQ60" s="197"/>
      <c r="KR60" s="197"/>
      <c r="KS60" s="197"/>
      <c r="KT60" s="197"/>
      <c r="KU60" s="197"/>
      <c r="KV60" s="197"/>
      <c r="KW60" s="197"/>
      <c r="KX60" s="197"/>
      <c r="KY60" s="197"/>
      <c r="KZ60" s="197"/>
      <c r="LA60" s="197"/>
      <c r="LB60" s="197"/>
      <c r="LC60" s="197"/>
      <c r="LD60" s="197"/>
      <c r="LE60" s="197"/>
      <c r="LF60" s="197"/>
      <c r="LG60" s="197"/>
      <c r="LH60" s="197"/>
      <c r="LI60" s="197"/>
      <c r="LJ60" s="197"/>
      <c r="LK60" s="197"/>
      <c r="LL60" s="197"/>
      <c r="LM60" s="197"/>
      <c r="LN60" s="197"/>
      <c r="LO60" s="197"/>
      <c r="LP60" s="197"/>
      <c r="LQ60" s="197"/>
      <c r="LR60" s="197"/>
      <c r="LS60" s="197"/>
      <c r="LT60" s="197"/>
      <c r="LU60" s="197"/>
      <c r="LV60" s="197"/>
      <c r="LW60" s="197"/>
      <c r="LX60" s="197"/>
      <c r="LY60" s="197"/>
      <c r="LZ60" s="197"/>
      <c r="MA60" s="197"/>
      <c r="MB60" s="197"/>
    </row>
    <row r="61" spans="1:340" ht="12.6" thickBot="1">
      <c r="B61" s="327"/>
      <c r="C61" s="1137"/>
      <c r="D61" s="328"/>
      <c r="E61" s="329"/>
      <c r="F61" s="329"/>
      <c r="G61" s="330"/>
      <c r="H61" s="329"/>
      <c r="I61" s="331"/>
      <c r="J61" s="332"/>
      <c r="K61" s="333"/>
      <c r="N61" s="1138"/>
    </row>
    <row r="62" spans="1:340" ht="12">
      <c r="B62" s="334"/>
      <c r="C62" s="334"/>
      <c r="D62" s="335"/>
      <c r="E62" s="335"/>
      <c r="F62" s="335"/>
      <c r="G62" s="336"/>
      <c r="H62" s="335"/>
      <c r="I62" s="335"/>
      <c r="J62" s="336"/>
      <c r="K62" s="337"/>
    </row>
    <row r="63" spans="1:340" ht="12.75" customHeight="1">
      <c r="B63" s="197"/>
      <c r="C63" s="197"/>
      <c r="D63" s="197"/>
      <c r="E63" s="197"/>
      <c r="F63" s="197"/>
      <c r="G63" s="197"/>
      <c r="H63" s="197"/>
      <c r="I63" s="197"/>
      <c r="J63" s="197"/>
      <c r="K63" s="197"/>
      <c r="N63" s="1199"/>
    </row>
    <row r="64" spans="1:340" ht="13.8">
      <c r="B64" s="334"/>
      <c r="C64" s="334"/>
      <c r="D64" s="338"/>
      <c r="E64" s="338"/>
      <c r="F64" s="335"/>
      <c r="G64" s="336"/>
      <c r="H64" s="335"/>
      <c r="I64" s="335"/>
      <c r="J64" s="336"/>
      <c r="K64" s="337"/>
    </row>
    <row r="65" spans="1:11" ht="13.8">
      <c r="B65" s="334"/>
      <c r="C65" s="334"/>
      <c r="D65" s="338"/>
      <c r="E65" s="338"/>
      <c r="F65" s="335"/>
      <c r="G65" s="336"/>
      <c r="H65" s="335"/>
      <c r="I65" s="335"/>
      <c r="J65" s="336"/>
      <c r="K65" s="337"/>
    </row>
    <row r="66" spans="1:11" ht="13.8">
      <c r="B66" s="334"/>
      <c r="C66" s="334"/>
      <c r="D66" s="338"/>
      <c r="E66" s="338"/>
      <c r="F66" s="335"/>
      <c r="G66" s="336"/>
      <c r="H66" s="335"/>
      <c r="I66" s="335"/>
      <c r="J66" s="336"/>
      <c r="K66" s="337"/>
    </row>
    <row r="67" spans="1:11" ht="13.8">
      <c r="B67" s="334"/>
      <c r="C67" s="334"/>
      <c r="D67" s="338"/>
      <c r="E67" s="338"/>
      <c r="F67" s="335"/>
      <c r="G67" s="336"/>
      <c r="H67" s="335"/>
      <c r="I67" s="335"/>
      <c r="J67" s="336"/>
      <c r="K67" s="337"/>
    </row>
    <row r="68" spans="1:11" ht="13.8">
      <c r="B68" s="334"/>
      <c r="C68" s="334"/>
      <c r="D68" s="338"/>
      <c r="E68" s="338"/>
      <c r="F68" s="335"/>
      <c r="G68" s="336"/>
      <c r="H68" s="335"/>
      <c r="I68" s="335"/>
      <c r="J68" s="336"/>
      <c r="K68" s="1159"/>
    </row>
    <row r="69" spans="1:11" ht="13.8">
      <c r="B69" s="334"/>
      <c r="C69" s="334"/>
      <c r="D69" s="338"/>
      <c r="E69" s="338"/>
      <c r="F69" s="335"/>
      <c r="G69" s="336"/>
      <c r="H69" s="335"/>
      <c r="I69" s="335"/>
      <c r="J69" s="336"/>
      <c r="K69" s="337"/>
    </row>
    <row r="70" spans="1:11" ht="13.8">
      <c r="B70" s="334"/>
      <c r="C70" s="334"/>
      <c r="D70" s="338"/>
      <c r="E70" s="338"/>
      <c r="F70" s="335"/>
      <c r="G70" s="336"/>
      <c r="H70" s="335"/>
      <c r="I70" s="335"/>
      <c r="J70" s="336"/>
      <c r="K70" s="337"/>
    </row>
    <row r="71" spans="1:11" ht="13.8">
      <c r="B71" s="1090"/>
      <c r="C71" s="1090"/>
      <c r="D71" s="1091"/>
      <c r="E71" s="1091"/>
      <c r="F71" s="335"/>
      <c r="G71" s="336"/>
      <c r="H71" s="335"/>
      <c r="I71" s="335"/>
      <c r="J71" s="336"/>
      <c r="K71" s="337"/>
    </row>
    <row r="72" spans="1:11">
      <c r="A72" s="334"/>
      <c r="B72" s="552" t="str">
        <f>+PRESUPUESTO!B52</f>
        <v>JESUS EDUARDO ROBLES SMITH</v>
      </c>
      <c r="C72" s="552"/>
      <c r="D72" s="334"/>
      <c r="E72" s="334"/>
      <c r="F72" s="334"/>
      <c r="G72" s="334"/>
      <c r="H72" s="334"/>
      <c r="I72" s="334"/>
      <c r="J72" s="334"/>
      <c r="K72" s="337"/>
    </row>
    <row r="73" spans="1:11">
      <c r="A73" s="334"/>
      <c r="B73" s="551" t="str">
        <f>+PRESUPUESTO!B53</f>
        <v>INGENIERO CIVIL</v>
      </c>
      <c r="C73" s="551"/>
      <c r="D73" s="334"/>
      <c r="E73" s="334"/>
      <c r="F73" s="334"/>
      <c r="G73" s="334"/>
      <c r="H73" s="334"/>
      <c r="I73" s="334"/>
      <c r="J73" s="334"/>
      <c r="K73" s="337"/>
    </row>
    <row r="74" spans="1:11">
      <c r="A74" s="334"/>
      <c r="B74" s="551" t="str">
        <f>+PRESUPUESTO!B54</f>
        <v>M.P. 25202-316144 CND</v>
      </c>
      <c r="C74" s="551"/>
      <c r="D74" s="334"/>
      <c r="E74" s="334"/>
      <c r="F74" s="334"/>
      <c r="G74" s="334"/>
      <c r="H74" s="334"/>
      <c r="I74" s="334"/>
      <c r="J74" s="334"/>
      <c r="K74" s="337"/>
    </row>
    <row r="75" spans="1:11" ht="15">
      <c r="B75" s="334"/>
      <c r="C75" s="334"/>
      <c r="D75" s="225"/>
      <c r="E75" s="335"/>
      <c r="F75" s="335"/>
      <c r="G75" s="336"/>
      <c r="H75" s="335"/>
      <c r="I75" s="335"/>
      <c r="J75" s="336"/>
      <c r="K75" s="337"/>
    </row>
  </sheetData>
  <sheetProtection formatCells="0" formatColumns="0" formatRows="0" insertColumns="0" insertRows="0" insertHyperlinks="0" deleteColumns="0" deleteRows="0" sort="0" autoFilter="0" pivotTables="0"/>
  <mergeCells count="3">
    <mergeCell ref="B2:K2"/>
    <mergeCell ref="H5:K5"/>
    <mergeCell ref="B3:K4"/>
  </mergeCells>
  <phoneticPr fontId="135" type="noConversion"/>
  <printOptions horizontalCentered="1"/>
  <pageMargins left="0.70866141732283472" right="0.70866141732283472" top="0.74803149606299213" bottom="0.74803149606299213" header="0.31496062992125984" footer="0.31496062992125984"/>
  <pageSetup scale="52" fitToHeight="0" orientation="portrait" r:id="rId1"/>
  <ignoredErrors>
    <ignoredError sqref="J47"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2">
    <pageSetUpPr fitToPage="1"/>
  </sheetPr>
  <dimension ref="A1:O50"/>
  <sheetViews>
    <sheetView view="pageBreakPreview" topLeftCell="A9" zoomScale="90" zoomScaleNormal="90" zoomScaleSheetLayoutView="90" workbookViewId="0">
      <selection activeCell="G11" sqref="G11"/>
    </sheetView>
  </sheetViews>
  <sheetFormatPr baseColWidth="10" defaultColWidth="10.88671875" defaultRowHeight="10.199999999999999"/>
  <cols>
    <col min="1" max="1" width="3" style="233" customWidth="1"/>
    <col min="2" max="2" width="7.88671875" style="233" customWidth="1"/>
    <col min="3" max="3" width="56.88671875" style="233" bestFit="1" customWidth="1"/>
    <col min="4" max="4" width="21.88671875" style="233" customWidth="1"/>
    <col min="5" max="5" width="11.88671875" style="233" customWidth="1"/>
    <col min="6" max="7" width="11.33203125" style="233" customWidth="1"/>
    <col min="8" max="8" width="19" style="233" customWidth="1"/>
    <col min="9" max="9" width="14.5546875" style="233" bestFit="1" customWidth="1"/>
    <col min="10" max="10" width="14.5546875" style="233" customWidth="1"/>
    <col min="11" max="12" width="14.5546875" style="233" bestFit="1" customWidth="1"/>
    <col min="13" max="13" width="4.5546875" style="233" customWidth="1"/>
    <col min="14" max="14" width="17.5546875" style="233" bestFit="1" customWidth="1"/>
    <col min="15" max="15" width="16.44140625" style="233" bestFit="1" customWidth="1"/>
    <col min="16" max="219" width="10.88671875" style="233"/>
    <col min="220" max="220" width="9.5546875" style="233" customWidth="1"/>
    <col min="221" max="221" width="41.109375" style="233" customWidth="1"/>
    <col min="222" max="222" width="8" style="233" customWidth="1"/>
    <col min="223" max="223" width="10.5546875" style="233" customWidth="1"/>
    <col min="224" max="231" width="3.5546875" style="233" customWidth="1"/>
    <col min="232" max="232" width="3.109375" style="233" customWidth="1"/>
    <col min="233" max="243" width="3.5546875" style="233" customWidth="1"/>
    <col min="244" max="475" width="10.88671875" style="233"/>
    <col min="476" max="476" width="9.5546875" style="233" customWidth="1"/>
    <col min="477" max="477" width="41.109375" style="233" customWidth="1"/>
    <col min="478" max="478" width="8" style="233" customWidth="1"/>
    <col min="479" max="479" width="10.5546875" style="233" customWidth="1"/>
    <col min="480" max="487" width="3.5546875" style="233" customWidth="1"/>
    <col min="488" max="488" width="3.109375" style="233" customWidth="1"/>
    <col min="489" max="499" width="3.5546875" style="233" customWidth="1"/>
    <col min="500" max="731" width="10.88671875" style="233"/>
    <col min="732" max="732" width="9.5546875" style="233" customWidth="1"/>
    <col min="733" max="733" width="41.109375" style="233" customWidth="1"/>
    <col min="734" max="734" width="8" style="233" customWidth="1"/>
    <col min="735" max="735" width="10.5546875" style="233" customWidth="1"/>
    <col min="736" max="743" width="3.5546875" style="233" customWidth="1"/>
    <col min="744" max="744" width="3.109375" style="233" customWidth="1"/>
    <col min="745" max="755" width="3.5546875" style="233" customWidth="1"/>
    <col min="756" max="987" width="10.88671875" style="233"/>
    <col min="988" max="988" width="9.5546875" style="233" customWidth="1"/>
    <col min="989" max="989" width="41.109375" style="233" customWidth="1"/>
    <col min="990" max="990" width="8" style="233" customWidth="1"/>
    <col min="991" max="991" width="10.5546875" style="233" customWidth="1"/>
    <col min="992" max="999" width="3.5546875" style="233" customWidth="1"/>
    <col min="1000" max="1000" width="3.109375" style="233" customWidth="1"/>
    <col min="1001" max="1011" width="3.5546875" style="233" customWidth="1"/>
    <col min="1012" max="1243" width="10.88671875" style="233"/>
    <col min="1244" max="1244" width="9.5546875" style="233" customWidth="1"/>
    <col min="1245" max="1245" width="41.109375" style="233" customWidth="1"/>
    <col min="1246" max="1246" width="8" style="233" customWidth="1"/>
    <col min="1247" max="1247" width="10.5546875" style="233" customWidth="1"/>
    <col min="1248" max="1255" width="3.5546875" style="233" customWidth="1"/>
    <col min="1256" max="1256" width="3.109375" style="233" customWidth="1"/>
    <col min="1257" max="1267" width="3.5546875" style="233" customWidth="1"/>
    <col min="1268" max="1499" width="10.88671875" style="233"/>
    <col min="1500" max="1500" width="9.5546875" style="233" customWidth="1"/>
    <col min="1501" max="1501" width="41.109375" style="233" customWidth="1"/>
    <col min="1502" max="1502" width="8" style="233" customWidth="1"/>
    <col min="1503" max="1503" width="10.5546875" style="233" customWidth="1"/>
    <col min="1504" max="1511" width="3.5546875" style="233" customWidth="1"/>
    <col min="1512" max="1512" width="3.109375" style="233" customWidth="1"/>
    <col min="1513" max="1523" width="3.5546875" style="233" customWidth="1"/>
    <col min="1524" max="1755" width="10.88671875" style="233"/>
    <col min="1756" max="1756" width="9.5546875" style="233" customWidth="1"/>
    <col min="1757" max="1757" width="41.109375" style="233" customWidth="1"/>
    <col min="1758" max="1758" width="8" style="233" customWidth="1"/>
    <col min="1759" max="1759" width="10.5546875" style="233" customWidth="1"/>
    <col min="1760" max="1767" width="3.5546875" style="233" customWidth="1"/>
    <col min="1768" max="1768" width="3.109375" style="233" customWidth="1"/>
    <col min="1769" max="1779" width="3.5546875" style="233" customWidth="1"/>
    <col min="1780" max="2011" width="10.88671875" style="233"/>
    <col min="2012" max="2012" width="9.5546875" style="233" customWidth="1"/>
    <col min="2013" max="2013" width="41.109375" style="233" customWidth="1"/>
    <col min="2014" max="2014" width="8" style="233" customWidth="1"/>
    <col min="2015" max="2015" width="10.5546875" style="233" customWidth="1"/>
    <col min="2016" max="2023" width="3.5546875" style="233" customWidth="1"/>
    <col min="2024" max="2024" width="3.109375" style="233" customWidth="1"/>
    <col min="2025" max="2035" width="3.5546875" style="233" customWidth="1"/>
    <col min="2036" max="2267" width="10.88671875" style="233"/>
    <col min="2268" max="2268" width="9.5546875" style="233" customWidth="1"/>
    <col min="2269" max="2269" width="41.109375" style="233" customWidth="1"/>
    <col min="2270" max="2270" width="8" style="233" customWidth="1"/>
    <col min="2271" max="2271" width="10.5546875" style="233" customWidth="1"/>
    <col min="2272" max="2279" width="3.5546875" style="233" customWidth="1"/>
    <col min="2280" max="2280" width="3.109375" style="233" customWidth="1"/>
    <col min="2281" max="2291" width="3.5546875" style="233" customWidth="1"/>
    <col min="2292" max="2523" width="10.88671875" style="233"/>
    <col min="2524" max="2524" width="9.5546875" style="233" customWidth="1"/>
    <col min="2525" max="2525" width="41.109375" style="233" customWidth="1"/>
    <col min="2526" max="2526" width="8" style="233" customWidth="1"/>
    <col min="2527" max="2527" width="10.5546875" style="233" customWidth="1"/>
    <col min="2528" max="2535" width="3.5546875" style="233" customWidth="1"/>
    <col min="2536" max="2536" width="3.109375" style="233" customWidth="1"/>
    <col min="2537" max="2547" width="3.5546875" style="233" customWidth="1"/>
    <col min="2548" max="2779" width="10.88671875" style="233"/>
    <col min="2780" max="2780" width="9.5546875" style="233" customWidth="1"/>
    <col min="2781" max="2781" width="41.109375" style="233" customWidth="1"/>
    <col min="2782" max="2782" width="8" style="233" customWidth="1"/>
    <col min="2783" max="2783" width="10.5546875" style="233" customWidth="1"/>
    <col min="2784" max="2791" width="3.5546875" style="233" customWidth="1"/>
    <col min="2792" max="2792" width="3.109375" style="233" customWidth="1"/>
    <col min="2793" max="2803" width="3.5546875" style="233" customWidth="1"/>
    <col min="2804" max="3035" width="10.88671875" style="233"/>
    <col min="3036" max="3036" width="9.5546875" style="233" customWidth="1"/>
    <col min="3037" max="3037" width="41.109375" style="233" customWidth="1"/>
    <col min="3038" max="3038" width="8" style="233" customWidth="1"/>
    <col min="3039" max="3039" width="10.5546875" style="233" customWidth="1"/>
    <col min="3040" max="3047" width="3.5546875" style="233" customWidth="1"/>
    <col min="3048" max="3048" width="3.109375" style="233" customWidth="1"/>
    <col min="3049" max="3059" width="3.5546875" style="233" customWidth="1"/>
    <col min="3060" max="3291" width="10.88671875" style="233"/>
    <col min="3292" max="3292" width="9.5546875" style="233" customWidth="1"/>
    <col min="3293" max="3293" width="41.109375" style="233" customWidth="1"/>
    <col min="3294" max="3294" width="8" style="233" customWidth="1"/>
    <col min="3295" max="3295" width="10.5546875" style="233" customWidth="1"/>
    <col min="3296" max="3303" width="3.5546875" style="233" customWidth="1"/>
    <col min="3304" max="3304" width="3.109375" style="233" customWidth="1"/>
    <col min="3305" max="3315" width="3.5546875" style="233" customWidth="1"/>
    <col min="3316" max="3547" width="10.88671875" style="233"/>
    <col min="3548" max="3548" width="9.5546875" style="233" customWidth="1"/>
    <col min="3549" max="3549" width="41.109375" style="233" customWidth="1"/>
    <col min="3550" max="3550" width="8" style="233" customWidth="1"/>
    <col min="3551" max="3551" width="10.5546875" style="233" customWidth="1"/>
    <col min="3552" max="3559" width="3.5546875" style="233" customWidth="1"/>
    <col min="3560" max="3560" width="3.109375" style="233" customWidth="1"/>
    <col min="3561" max="3571" width="3.5546875" style="233" customWidth="1"/>
    <col min="3572" max="3803" width="10.88671875" style="233"/>
    <col min="3804" max="3804" width="9.5546875" style="233" customWidth="1"/>
    <col min="3805" max="3805" width="41.109375" style="233" customWidth="1"/>
    <col min="3806" max="3806" width="8" style="233" customWidth="1"/>
    <col min="3807" max="3807" width="10.5546875" style="233" customWidth="1"/>
    <col min="3808" max="3815" width="3.5546875" style="233" customWidth="1"/>
    <col min="3816" max="3816" width="3.109375" style="233" customWidth="1"/>
    <col min="3817" max="3827" width="3.5546875" style="233" customWidth="1"/>
    <col min="3828" max="4059" width="10.88671875" style="233"/>
    <col min="4060" max="4060" width="9.5546875" style="233" customWidth="1"/>
    <col min="4061" max="4061" width="41.109375" style="233" customWidth="1"/>
    <col min="4062" max="4062" width="8" style="233" customWidth="1"/>
    <col min="4063" max="4063" width="10.5546875" style="233" customWidth="1"/>
    <col min="4064" max="4071" width="3.5546875" style="233" customWidth="1"/>
    <col min="4072" max="4072" width="3.109375" style="233" customWidth="1"/>
    <col min="4073" max="4083" width="3.5546875" style="233" customWidth="1"/>
    <col min="4084" max="4315" width="10.88671875" style="233"/>
    <col min="4316" max="4316" width="9.5546875" style="233" customWidth="1"/>
    <col min="4317" max="4317" width="41.109375" style="233" customWidth="1"/>
    <col min="4318" max="4318" width="8" style="233" customWidth="1"/>
    <col min="4319" max="4319" width="10.5546875" style="233" customWidth="1"/>
    <col min="4320" max="4327" width="3.5546875" style="233" customWidth="1"/>
    <col min="4328" max="4328" width="3.109375" style="233" customWidth="1"/>
    <col min="4329" max="4339" width="3.5546875" style="233" customWidth="1"/>
    <col min="4340" max="4571" width="10.88671875" style="233"/>
    <col min="4572" max="4572" width="9.5546875" style="233" customWidth="1"/>
    <col min="4573" max="4573" width="41.109375" style="233" customWidth="1"/>
    <col min="4574" max="4574" width="8" style="233" customWidth="1"/>
    <col min="4575" max="4575" width="10.5546875" style="233" customWidth="1"/>
    <col min="4576" max="4583" width="3.5546875" style="233" customWidth="1"/>
    <col min="4584" max="4584" width="3.109375" style="233" customWidth="1"/>
    <col min="4585" max="4595" width="3.5546875" style="233" customWidth="1"/>
    <col min="4596" max="4827" width="10.88671875" style="233"/>
    <col min="4828" max="4828" width="9.5546875" style="233" customWidth="1"/>
    <col min="4829" max="4829" width="41.109375" style="233" customWidth="1"/>
    <col min="4830" max="4830" width="8" style="233" customWidth="1"/>
    <col min="4831" max="4831" width="10.5546875" style="233" customWidth="1"/>
    <col min="4832" max="4839" width="3.5546875" style="233" customWidth="1"/>
    <col min="4840" max="4840" width="3.109375" style="233" customWidth="1"/>
    <col min="4841" max="4851" width="3.5546875" style="233" customWidth="1"/>
    <col min="4852" max="5083" width="10.88671875" style="233"/>
    <col min="5084" max="5084" width="9.5546875" style="233" customWidth="1"/>
    <col min="5085" max="5085" width="41.109375" style="233" customWidth="1"/>
    <col min="5086" max="5086" width="8" style="233" customWidth="1"/>
    <col min="5087" max="5087" width="10.5546875" style="233" customWidth="1"/>
    <col min="5088" max="5095" width="3.5546875" style="233" customWidth="1"/>
    <col min="5096" max="5096" width="3.109375" style="233" customWidth="1"/>
    <col min="5097" max="5107" width="3.5546875" style="233" customWidth="1"/>
    <col min="5108" max="5339" width="10.88671875" style="233"/>
    <col min="5340" max="5340" width="9.5546875" style="233" customWidth="1"/>
    <col min="5341" max="5341" width="41.109375" style="233" customWidth="1"/>
    <col min="5342" max="5342" width="8" style="233" customWidth="1"/>
    <col min="5343" max="5343" width="10.5546875" style="233" customWidth="1"/>
    <col min="5344" max="5351" width="3.5546875" style="233" customWidth="1"/>
    <col min="5352" max="5352" width="3.109375" style="233" customWidth="1"/>
    <col min="5353" max="5363" width="3.5546875" style="233" customWidth="1"/>
    <col min="5364" max="5595" width="10.88671875" style="233"/>
    <col min="5596" max="5596" width="9.5546875" style="233" customWidth="1"/>
    <col min="5597" max="5597" width="41.109375" style="233" customWidth="1"/>
    <col min="5598" max="5598" width="8" style="233" customWidth="1"/>
    <col min="5599" max="5599" width="10.5546875" style="233" customWidth="1"/>
    <col min="5600" max="5607" width="3.5546875" style="233" customWidth="1"/>
    <col min="5608" max="5608" width="3.109375" style="233" customWidth="1"/>
    <col min="5609" max="5619" width="3.5546875" style="233" customWidth="1"/>
    <col min="5620" max="5851" width="10.88671875" style="233"/>
    <col min="5852" max="5852" width="9.5546875" style="233" customWidth="1"/>
    <col min="5853" max="5853" width="41.109375" style="233" customWidth="1"/>
    <col min="5854" max="5854" width="8" style="233" customWidth="1"/>
    <col min="5855" max="5855" width="10.5546875" style="233" customWidth="1"/>
    <col min="5856" max="5863" width="3.5546875" style="233" customWidth="1"/>
    <col min="5864" max="5864" width="3.109375" style="233" customWidth="1"/>
    <col min="5865" max="5875" width="3.5546875" style="233" customWidth="1"/>
    <col min="5876" max="6107" width="10.88671875" style="233"/>
    <col min="6108" max="6108" width="9.5546875" style="233" customWidth="1"/>
    <col min="6109" max="6109" width="41.109375" style="233" customWidth="1"/>
    <col min="6110" max="6110" width="8" style="233" customWidth="1"/>
    <col min="6111" max="6111" width="10.5546875" style="233" customWidth="1"/>
    <col min="6112" max="6119" width="3.5546875" style="233" customWidth="1"/>
    <col min="6120" max="6120" width="3.109375" style="233" customWidth="1"/>
    <col min="6121" max="6131" width="3.5546875" style="233" customWidth="1"/>
    <col min="6132" max="6363" width="10.88671875" style="233"/>
    <col min="6364" max="6364" width="9.5546875" style="233" customWidth="1"/>
    <col min="6365" max="6365" width="41.109375" style="233" customWidth="1"/>
    <col min="6366" max="6366" width="8" style="233" customWidth="1"/>
    <col min="6367" max="6367" width="10.5546875" style="233" customWidth="1"/>
    <col min="6368" max="6375" width="3.5546875" style="233" customWidth="1"/>
    <col min="6376" max="6376" width="3.109375" style="233" customWidth="1"/>
    <col min="6377" max="6387" width="3.5546875" style="233" customWidth="1"/>
    <col min="6388" max="6619" width="10.88671875" style="233"/>
    <col min="6620" max="6620" width="9.5546875" style="233" customWidth="1"/>
    <col min="6621" max="6621" width="41.109375" style="233" customWidth="1"/>
    <col min="6622" max="6622" width="8" style="233" customWidth="1"/>
    <col min="6623" max="6623" width="10.5546875" style="233" customWidth="1"/>
    <col min="6624" max="6631" width="3.5546875" style="233" customWidth="1"/>
    <col min="6632" max="6632" width="3.109375" style="233" customWidth="1"/>
    <col min="6633" max="6643" width="3.5546875" style="233" customWidth="1"/>
    <col min="6644" max="6875" width="10.88671875" style="233"/>
    <col min="6876" max="6876" width="9.5546875" style="233" customWidth="1"/>
    <col min="6877" max="6877" width="41.109375" style="233" customWidth="1"/>
    <col min="6878" max="6878" width="8" style="233" customWidth="1"/>
    <col min="6879" max="6879" width="10.5546875" style="233" customWidth="1"/>
    <col min="6880" max="6887" width="3.5546875" style="233" customWidth="1"/>
    <col min="6888" max="6888" width="3.109375" style="233" customWidth="1"/>
    <col min="6889" max="6899" width="3.5546875" style="233" customWidth="1"/>
    <col min="6900" max="7131" width="10.88671875" style="233"/>
    <col min="7132" max="7132" width="9.5546875" style="233" customWidth="1"/>
    <col min="7133" max="7133" width="41.109375" style="233" customWidth="1"/>
    <col min="7134" max="7134" width="8" style="233" customWidth="1"/>
    <col min="7135" max="7135" width="10.5546875" style="233" customWidth="1"/>
    <col min="7136" max="7143" width="3.5546875" style="233" customWidth="1"/>
    <col min="7144" max="7144" width="3.109375" style="233" customWidth="1"/>
    <col min="7145" max="7155" width="3.5546875" style="233" customWidth="1"/>
    <col min="7156" max="7387" width="10.88671875" style="233"/>
    <col min="7388" max="7388" width="9.5546875" style="233" customWidth="1"/>
    <col min="7389" max="7389" width="41.109375" style="233" customWidth="1"/>
    <col min="7390" max="7390" width="8" style="233" customWidth="1"/>
    <col min="7391" max="7391" width="10.5546875" style="233" customWidth="1"/>
    <col min="7392" max="7399" width="3.5546875" style="233" customWidth="1"/>
    <col min="7400" max="7400" width="3.109375" style="233" customWidth="1"/>
    <col min="7401" max="7411" width="3.5546875" style="233" customWidth="1"/>
    <col min="7412" max="7643" width="10.88671875" style="233"/>
    <col min="7644" max="7644" width="9.5546875" style="233" customWidth="1"/>
    <col min="7645" max="7645" width="41.109375" style="233" customWidth="1"/>
    <col min="7646" max="7646" width="8" style="233" customWidth="1"/>
    <col min="7647" max="7647" width="10.5546875" style="233" customWidth="1"/>
    <col min="7648" max="7655" width="3.5546875" style="233" customWidth="1"/>
    <col min="7656" max="7656" width="3.109375" style="233" customWidth="1"/>
    <col min="7657" max="7667" width="3.5546875" style="233" customWidth="1"/>
    <col min="7668" max="7899" width="10.88671875" style="233"/>
    <col min="7900" max="7900" width="9.5546875" style="233" customWidth="1"/>
    <col min="7901" max="7901" width="41.109375" style="233" customWidth="1"/>
    <col min="7902" max="7902" width="8" style="233" customWidth="1"/>
    <col min="7903" max="7903" width="10.5546875" style="233" customWidth="1"/>
    <col min="7904" max="7911" width="3.5546875" style="233" customWidth="1"/>
    <col min="7912" max="7912" width="3.109375" style="233" customWidth="1"/>
    <col min="7913" max="7923" width="3.5546875" style="233" customWidth="1"/>
    <col min="7924" max="8155" width="10.88671875" style="233"/>
    <col min="8156" max="8156" width="9.5546875" style="233" customWidth="1"/>
    <col min="8157" max="8157" width="41.109375" style="233" customWidth="1"/>
    <col min="8158" max="8158" width="8" style="233" customWidth="1"/>
    <col min="8159" max="8159" width="10.5546875" style="233" customWidth="1"/>
    <col min="8160" max="8167" width="3.5546875" style="233" customWidth="1"/>
    <col min="8168" max="8168" width="3.109375" style="233" customWidth="1"/>
    <col min="8169" max="8179" width="3.5546875" style="233" customWidth="1"/>
    <col min="8180" max="8411" width="10.88671875" style="233"/>
    <col min="8412" max="8412" width="9.5546875" style="233" customWidth="1"/>
    <col min="8413" max="8413" width="41.109375" style="233" customWidth="1"/>
    <col min="8414" max="8414" width="8" style="233" customWidth="1"/>
    <col min="8415" max="8415" width="10.5546875" style="233" customWidth="1"/>
    <col min="8416" max="8423" width="3.5546875" style="233" customWidth="1"/>
    <col min="8424" max="8424" width="3.109375" style="233" customWidth="1"/>
    <col min="8425" max="8435" width="3.5546875" style="233" customWidth="1"/>
    <col min="8436" max="8667" width="10.88671875" style="233"/>
    <col min="8668" max="8668" width="9.5546875" style="233" customWidth="1"/>
    <col min="8669" max="8669" width="41.109375" style="233" customWidth="1"/>
    <col min="8670" max="8670" width="8" style="233" customWidth="1"/>
    <col min="8671" max="8671" width="10.5546875" style="233" customWidth="1"/>
    <col min="8672" max="8679" width="3.5546875" style="233" customWidth="1"/>
    <col min="8680" max="8680" width="3.109375" style="233" customWidth="1"/>
    <col min="8681" max="8691" width="3.5546875" style="233" customWidth="1"/>
    <col min="8692" max="8923" width="10.88671875" style="233"/>
    <col min="8924" max="8924" width="9.5546875" style="233" customWidth="1"/>
    <col min="8925" max="8925" width="41.109375" style="233" customWidth="1"/>
    <col min="8926" max="8926" width="8" style="233" customWidth="1"/>
    <col min="8927" max="8927" width="10.5546875" style="233" customWidth="1"/>
    <col min="8928" max="8935" width="3.5546875" style="233" customWidth="1"/>
    <col min="8936" max="8936" width="3.109375" style="233" customWidth="1"/>
    <col min="8937" max="8947" width="3.5546875" style="233" customWidth="1"/>
    <col min="8948" max="9179" width="10.88671875" style="233"/>
    <col min="9180" max="9180" width="9.5546875" style="233" customWidth="1"/>
    <col min="9181" max="9181" width="41.109375" style="233" customWidth="1"/>
    <col min="9182" max="9182" width="8" style="233" customWidth="1"/>
    <col min="9183" max="9183" width="10.5546875" style="233" customWidth="1"/>
    <col min="9184" max="9191" width="3.5546875" style="233" customWidth="1"/>
    <col min="9192" max="9192" width="3.109375" style="233" customWidth="1"/>
    <col min="9193" max="9203" width="3.5546875" style="233" customWidth="1"/>
    <col min="9204" max="9435" width="10.88671875" style="233"/>
    <col min="9436" max="9436" width="9.5546875" style="233" customWidth="1"/>
    <col min="9437" max="9437" width="41.109375" style="233" customWidth="1"/>
    <col min="9438" max="9438" width="8" style="233" customWidth="1"/>
    <col min="9439" max="9439" width="10.5546875" style="233" customWidth="1"/>
    <col min="9440" max="9447" width="3.5546875" style="233" customWidth="1"/>
    <col min="9448" max="9448" width="3.109375" style="233" customWidth="1"/>
    <col min="9449" max="9459" width="3.5546875" style="233" customWidth="1"/>
    <col min="9460" max="9691" width="10.88671875" style="233"/>
    <col min="9692" max="9692" width="9.5546875" style="233" customWidth="1"/>
    <col min="9693" max="9693" width="41.109375" style="233" customWidth="1"/>
    <col min="9694" max="9694" width="8" style="233" customWidth="1"/>
    <col min="9695" max="9695" width="10.5546875" style="233" customWidth="1"/>
    <col min="9696" max="9703" width="3.5546875" style="233" customWidth="1"/>
    <col min="9704" max="9704" width="3.109375" style="233" customWidth="1"/>
    <col min="9705" max="9715" width="3.5546875" style="233" customWidth="1"/>
    <col min="9716" max="9947" width="10.88671875" style="233"/>
    <col min="9948" max="9948" width="9.5546875" style="233" customWidth="1"/>
    <col min="9949" max="9949" width="41.109375" style="233" customWidth="1"/>
    <col min="9950" max="9950" width="8" style="233" customWidth="1"/>
    <col min="9951" max="9951" width="10.5546875" style="233" customWidth="1"/>
    <col min="9952" max="9959" width="3.5546875" style="233" customWidth="1"/>
    <col min="9960" max="9960" width="3.109375" style="233" customWidth="1"/>
    <col min="9961" max="9971" width="3.5546875" style="233" customWidth="1"/>
    <col min="9972" max="10203" width="10.88671875" style="233"/>
    <col min="10204" max="10204" width="9.5546875" style="233" customWidth="1"/>
    <col min="10205" max="10205" width="41.109375" style="233" customWidth="1"/>
    <col min="10206" max="10206" width="8" style="233" customWidth="1"/>
    <col min="10207" max="10207" width="10.5546875" style="233" customWidth="1"/>
    <col min="10208" max="10215" width="3.5546875" style="233" customWidth="1"/>
    <col min="10216" max="10216" width="3.109375" style="233" customWidth="1"/>
    <col min="10217" max="10227" width="3.5546875" style="233" customWidth="1"/>
    <col min="10228" max="10459" width="10.88671875" style="233"/>
    <col min="10460" max="10460" width="9.5546875" style="233" customWidth="1"/>
    <col min="10461" max="10461" width="41.109375" style="233" customWidth="1"/>
    <col min="10462" max="10462" width="8" style="233" customWidth="1"/>
    <col min="10463" max="10463" width="10.5546875" style="233" customWidth="1"/>
    <col min="10464" max="10471" width="3.5546875" style="233" customWidth="1"/>
    <col min="10472" max="10472" width="3.109375" style="233" customWidth="1"/>
    <col min="10473" max="10483" width="3.5546875" style="233" customWidth="1"/>
    <col min="10484" max="10715" width="10.88671875" style="233"/>
    <col min="10716" max="10716" width="9.5546875" style="233" customWidth="1"/>
    <col min="10717" max="10717" width="41.109375" style="233" customWidth="1"/>
    <col min="10718" max="10718" width="8" style="233" customWidth="1"/>
    <col min="10719" max="10719" width="10.5546875" style="233" customWidth="1"/>
    <col min="10720" max="10727" width="3.5546875" style="233" customWidth="1"/>
    <col min="10728" max="10728" width="3.109375" style="233" customWidth="1"/>
    <col min="10729" max="10739" width="3.5546875" style="233" customWidth="1"/>
    <col min="10740" max="10971" width="10.88671875" style="233"/>
    <col min="10972" max="10972" width="9.5546875" style="233" customWidth="1"/>
    <col min="10973" max="10973" width="41.109375" style="233" customWidth="1"/>
    <col min="10974" max="10974" width="8" style="233" customWidth="1"/>
    <col min="10975" max="10975" width="10.5546875" style="233" customWidth="1"/>
    <col min="10976" max="10983" width="3.5546875" style="233" customWidth="1"/>
    <col min="10984" max="10984" width="3.109375" style="233" customWidth="1"/>
    <col min="10985" max="10995" width="3.5546875" style="233" customWidth="1"/>
    <col min="10996" max="11227" width="10.88671875" style="233"/>
    <col min="11228" max="11228" width="9.5546875" style="233" customWidth="1"/>
    <col min="11229" max="11229" width="41.109375" style="233" customWidth="1"/>
    <col min="11230" max="11230" width="8" style="233" customWidth="1"/>
    <col min="11231" max="11231" width="10.5546875" style="233" customWidth="1"/>
    <col min="11232" max="11239" width="3.5546875" style="233" customWidth="1"/>
    <col min="11240" max="11240" width="3.109375" style="233" customWidth="1"/>
    <col min="11241" max="11251" width="3.5546875" style="233" customWidth="1"/>
    <col min="11252" max="11483" width="10.88671875" style="233"/>
    <col min="11484" max="11484" width="9.5546875" style="233" customWidth="1"/>
    <col min="11485" max="11485" width="41.109375" style="233" customWidth="1"/>
    <col min="11486" max="11486" width="8" style="233" customWidth="1"/>
    <col min="11487" max="11487" width="10.5546875" style="233" customWidth="1"/>
    <col min="11488" max="11495" width="3.5546875" style="233" customWidth="1"/>
    <col min="11496" max="11496" width="3.109375" style="233" customWidth="1"/>
    <col min="11497" max="11507" width="3.5546875" style="233" customWidth="1"/>
    <col min="11508" max="11739" width="10.88671875" style="233"/>
    <col min="11740" max="11740" width="9.5546875" style="233" customWidth="1"/>
    <col min="11741" max="11741" width="41.109375" style="233" customWidth="1"/>
    <col min="11742" max="11742" width="8" style="233" customWidth="1"/>
    <col min="11743" max="11743" width="10.5546875" style="233" customWidth="1"/>
    <col min="11744" max="11751" width="3.5546875" style="233" customWidth="1"/>
    <col min="11752" max="11752" width="3.109375" style="233" customWidth="1"/>
    <col min="11753" max="11763" width="3.5546875" style="233" customWidth="1"/>
    <col min="11764" max="11995" width="10.88671875" style="233"/>
    <col min="11996" max="11996" width="9.5546875" style="233" customWidth="1"/>
    <col min="11997" max="11997" width="41.109375" style="233" customWidth="1"/>
    <col min="11998" max="11998" width="8" style="233" customWidth="1"/>
    <col min="11999" max="11999" width="10.5546875" style="233" customWidth="1"/>
    <col min="12000" max="12007" width="3.5546875" style="233" customWidth="1"/>
    <col min="12008" max="12008" width="3.109375" style="233" customWidth="1"/>
    <col min="12009" max="12019" width="3.5546875" style="233" customWidth="1"/>
    <col min="12020" max="12251" width="10.88671875" style="233"/>
    <col min="12252" max="12252" width="9.5546875" style="233" customWidth="1"/>
    <col min="12253" max="12253" width="41.109375" style="233" customWidth="1"/>
    <col min="12254" max="12254" width="8" style="233" customWidth="1"/>
    <col min="12255" max="12255" width="10.5546875" style="233" customWidth="1"/>
    <col min="12256" max="12263" width="3.5546875" style="233" customWidth="1"/>
    <col min="12264" max="12264" width="3.109375" style="233" customWidth="1"/>
    <col min="12265" max="12275" width="3.5546875" style="233" customWidth="1"/>
    <col min="12276" max="12507" width="10.88671875" style="233"/>
    <col min="12508" max="12508" width="9.5546875" style="233" customWidth="1"/>
    <col min="12509" max="12509" width="41.109375" style="233" customWidth="1"/>
    <col min="12510" max="12510" width="8" style="233" customWidth="1"/>
    <col min="12511" max="12511" width="10.5546875" style="233" customWidth="1"/>
    <col min="12512" max="12519" width="3.5546875" style="233" customWidth="1"/>
    <col min="12520" max="12520" width="3.109375" style="233" customWidth="1"/>
    <col min="12521" max="12531" width="3.5546875" style="233" customWidth="1"/>
    <col min="12532" max="12763" width="10.88671875" style="233"/>
    <col min="12764" max="12764" width="9.5546875" style="233" customWidth="1"/>
    <col min="12765" max="12765" width="41.109375" style="233" customWidth="1"/>
    <col min="12766" max="12766" width="8" style="233" customWidth="1"/>
    <col min="12767" max="12767" width="10.5546875" style="233" customWidth="1"/>
    <col min="12768" max="12775" width="3.5546875" style="233" customWidth="1"/>
    <col min="12776" max="12776" width="3.109375" style="233" customWidth="1"/>
    <col min="12777" max="12787" width="3.5546875" style="233" customWidth="1"/>
    <col min="12788" max="13019" width="10.88671875" style="233"/>
    <col min="13020" max="13020" width="9.5546875" style="233" customWidth="1"/>
    <col min="13021" max="13021" width="41.109375" style="233" customWidth="1"/>
    <col min="13022" max="13022" width="8" style="233" customWidth="1"/>
    <col min="13023" max="13023" width="10.5546875" style="233" customWidth="1"/>
    <col min="13024" max="13031" width="3.5546875" style="233" customWidth="1"/>
    <col min="13032" max="13032" width="3.109375" style="233" customWidth="1"/>
    <col min="13033" max="13043" width="3.5546875" style="233" customWidth="1"/>
    <col min="13044" max="13275" width="10.88671875" style="233"/>
    <col min="13276" max="13276" width="9.5546875" style="233" customWidth="1"/>
    <col min="13277" max="13277" width="41.109375" style="233" customWidth="1"/>
    <col min="13278" max="13278" width="8" style="233" customWidth="1"/>
    <col min="13279" max="13279" width="10.5546875" style="233" customWidth="1"/>
    <col min="13280" max="13287" width="3.5546875" style="233" customWidth="1"/>
    <col min="13288" max="13288" width="3.109375" style="233" customWidth="1"/>
    <col min="13289" max="13299" width="3.5546875" style="233" customWidth="1"/>
    <col min="13300" max="13531" width="10.88671875" style="233"/>
    <col min="13532" max="13532" width="9.5546875" style="233" customWidth="1"/>
    <col min="13533" max="13533" width="41.109375" style="233" customWidth="1"/>
    <col min="13534" max="13534" width="8" style="233" customWidth="1"/>
    <col min="13535" max="13535" width="10.5546875" style="233" customWidth="1"/>
    <col min="13536" max="13543" width="3.5546875" style="233" customWidth="1"/>
    <col min="13544" max="13544" width="3.109375" style="233" customWidth="1"/>
    <col min="13545" max="13555" width="3.5546875" style="233" customWidth="1"/>
    <col min="13556" max="13787" width="10.88671875" style="233"/>
    <col min="13788" max="13788" width="9.5546875" style="233" customWidth="1"/>
    <col min="13789" max="13789" width="41.109375" style="233" customWidth="1"/>
    <col min="13790" max="13790" width="8" style="233" customWidth="1"/>
    <col min="13791" max="13791" width="10.5546875" style="233" customWidth="1"/>
    <col min="13792" max="13799" width="3.5546875" style="233" customWidth="1"/>
    <col min="13800" max="13800" width="3.109375" style="233" customWidth="1"/>
    <col min="13801" max="13811" width="3.5546875" style="233" customWidth="1"/>
    <col min="13812" max="14043" width="10.88671875" style="233"/>
    <col min="14044" max="14044" width="9.5546875" style="233" customWidth="1"/>
    <col min="14045" max="14045" width="41.109375" style="233" customWidth="1"/>
    <col min="14046" max="14046" width="8" style="233" customWidth="1"/>
    <col min="14047" max="14047" width="10.5546875" style="233" customWidth="1"/>
    <col min="14048" max="14055" width="3.5546875" style="233" customWidth="1"/>
    <col min="14056" max="14056" width="3.109375" style="233" customWidth="1"/>
    <col min="14057" max="14067" width="3.5546875" style="233" customWidth="1"/>
    <col min="14068" max="14299" width="10.88671875" style="233"/>
    <col min="14300" max="14300" width="9.5546875" style="233" customWidth="1"/>
    <col min="14301" max="14301" width="41.109375" style="233" customWidth="1"/>
    <col min="14302" max="14302" width="8" style="233" customWidth="1"/>
    <col min="14303" max="14303" width="10.5546875" style="233" customWidth="1"/>
    <col min="14304" max="14311" width="3.5546875" style="233" customWidth="1"/>
    <col min="14312" max="14312" width="3.109375" style="233" customWidth="1"/>
    <col min="14313" max="14323" width="3.5546875" style="233" customWidth="1"/>
    <col min="14324" max="14555" width="10.88671875" style="233"/>
    <col min="14556" max="14556" width="9.5546875" style="233" customWidth="1"/>
    <col min="14557" max="14557" width="41.109375" style="233" customWidth="1"/>
    <col min="14558" max="14558" width="8" style="233" customWidth="1"/>
    <col min="14559" max="14559" width="10.5546875" style="233" customWidth="1"/>
    <col min="14560" max="14567" width="3.5546875" style="233" customWidth="1"/>
    <col min="14568" max="14568" width="3.109375" style="233" customWidth="1"/>
    <col min="14569" max="14579" width="3.5546875" style="233" customWidth="1"/>
    <col min="14580" max="14811" width="10.88671875" style="233"/>
    <col min="14812" max="14812" width="9.5546875" style="233" customWidth="1"/>
    <col min="14813" max="14813" width="41.109375" style="233" customWidth="1"/>
    <col min="14814" max="14814" width="8" style="233" customWidth="1"/>
    <col min="14815" max="14815" width="10.5546875" style="233" customWidth="1"/>
    <col min="14816" max="14823" width="3.5546875" style="233" customWidth="1"/>
    <col min="14824" max="14824" width="3.109375" style="233" customWidth="1"/>
    <col min="14825" max="14835" width="3.5546875" style="233" customWidth="1"/>
    <col min="14836" max="15067" width="10.88671875" style="233"/>
    <col min="15068" max="15068" width="9.5546875" style="233" customWidth="1"/>
    <col min="15069" max="15069" width="41.109375" style="233" customWidth="1"/>
    <col min="15070" max="15070" width="8" style="233" customWidth="1"/>
    <col min="15071" max="15071" width="10.5546875" style="233" customWidth="1"/>
    <col min="15072" max="15079" width="3.5546875" style="233" customWidth="1"/>
    <col min="15080" max="15080" width="3.109375" style="233" customWidth="1"/>
    <col min="15081" max="15091" width="3.5546875" style="233" customWidth="1"/>
    <col min="15092" max="15323" width="10.88671875" style="233"/>
    <col min="15324" max="15324" width="9.5546875" style="233" customWidth="1"/>
    <col min="15325" max="15325" width="41.109375" style="233" customWidth="1"/>
    <col min="15326" max="15326" width="8" style="233" customWidth="1"/>
    <col min="15327" max="15327" width="10.5546875" style="233" customWidth="1"/>
    <col min="15328" max="15335" width="3.5546875" style="233" customWidth="1"/>
    <col min="15336" max="15336" width="3.109375" style="233" customWidth="1"/>
    <col min="15337" max="15347" width="3.5546875" style="233" customWidth="1"/>
    <col min="15348" max="15579" width="10.88671875" style="233"/>
    <col min="15580" max="15580" width="9.5546875" style="233" customWidth="1"/>
    <col min="15581" max="15581" width="41.109375" style="233" customWidth="1"/>
    <col min="15582" max="15582" width="8" style="233" customWidth="1"/>
    <col min="15583" max="15583" width="10.5546875" style="233" customWidth="1"/>
    <col min="15584" max="15591" width="3.5546875" style="233" customWidth="1"/>
    <col min="15592" max="15592" width="3.109375" style="233" customWidth="1"/>
    <col min="15593" max="15603" width="3.5546875" style="233" customWidth="1"/>
    <col min="15604" max="15835" width="10.88671875" style="233"/>
    <col min="15836" max="15836" width="9.5546875" style="233" customWidth="1"/>
    <col min="15837" max="15837" width="41.109375" style="233" customWidth="1"/>
    <col min="15838" max="15838" width="8" style="233" customWidth="1"/>
    <col min="15839" max="15839" width="10.5546875" style="233" customWidth="1"/>
    <col min="15840" max="15847" width="3.5546875" style="233" customWidth="1"/>
    <col min="15848" max="15848" width="3.109375" style="233" customWidth="1"/>
    <col min="15849" max="15859" width="3.5546875" style="233" customWidth="1"/>
    <col min="15860" max="16091" width="10.88671875" style="233"/>
    <col min="16092" max="16092" width="9.5546875" style="233" customWidth="1"/>
    <col min="16093" max="16093" width="41.109375" style="233" customWidth="1"/>
    <col min="16094" max="16094" width="8" style="233" customWidth="1"/>
    <col min="16095" max="16095" width="10.5546875" style="233" customWidth="1"/>
    <col min="16096" max="16103" width="3.5546875" style="233" customWidth="1"/>
    <col min="16104" max="16104" width="3.109375" style="233" customWidth="1"/>
    <col min="16105" max="16115" width="3.5546875" style="233" customWidth="1"/>
    <col min="16116" max="16384" width="10.88671875" style="233"/>
  </cols>
  <sheetData>
    <row r="1" spans="2:15" ht="10.8" thickBot="1"/>
    <row r="2" spans="2:15" ht="38.25" customHeight="1" thickBot="1">
      <c r="B2" s="1559" t="str">
        <f>+PRESUPUESTO!D2</f>
        <v>"MEJORAMIENTO VIAL MEDIANTE LA CONSTRUCCIÓN DE PAVIMENTO RÍGIDO DE LA PRIMERA ETAPA DE LA VÍA QUE COMUNICA A LA VEREDA PONDORES EN EL CORREGIMIENTO DE CONEJO, MUNICIPIO DE FONSECA - DEPARTAMENTO DE LA GUAJIRA."</v>
      </c>
      <c r="C2" s="1560"/>
      <c r="D2" s="1560"/>
      <c r="E2" s="1560"/>
      <c r="F2" s="1560"/>
      <c r="G2" s="1560"/>
      <c r="H2" s="1560"/>
      <c r="I2" s="1560"/>
      <c r="J2" s="1560"/>
      <c r="K2" s="1560"/>
      <c r="L2" s="1561"/>
    </row>
    <row r="3" spans="2:15" ht="14.4" thickBot="1">
      <c r="B3" s="1562" t="s">
        <v>349</v>
      </c>
      <c r="C3" s="1563"/>
      <c r="D3" s="1563"/>
      <c r="E3" s="1563"/>
      <c r="F3" s="1563"/>
      <c r="G3" s="1563"/>
      <c r="H3" s="1563"/>
      <c r="I3" s="1563"/>
      <c r="J3" s="1563"/>
      <c r="K3" s="1563"/>
      <c r="L3" s="1564"/>
    </row>
    <row r="4" spans="2:15" ht="10.8" thickBot="1">
      <c r="B4" s="234"/>
      <c r="C4" s="234"/>
      <c r="D4" s="234"/>
      <c r="E4" s="234"/>
      <c r="F4" s="234"/>
      <c r="G4" s="234"/>
    </row>
    <row r="5" spans="2:15" s="129" customFormat="1" ht="14.4" thickBot="1">
      <c r="B5" s="1565" t="s">
        <v>270</v>
      </c>
      <c r="C5" s="1567" t="s">
        <v>350</v>
      </c>
      <c r="D5" s="1569" t="s">
        <v>351</v>
      </c>
      <c r="E5" s="1571" t="s">
        <v>352</v>
      </c>
      <c r="F5" s="1572"/>
      <c r="G5" s="1572"/>
      <c r="H5" s="1572"/>
      <c r="I5" s="1572"/>
      <c r="J5" s="1572"/>
      <c r="K5" s="1572"/>
      <c r="L5" s="1573"/>
    </row>
    <row r="6" spans="2:15" s="234" customFormat="1" ht="10.8" thickBot="1">
      <c r="B6" s="1566"/>
      <c r="C6" s="1568"/>
      <c r="D6" s="1570"/>
      <c r="E6" s="920" t="s">
        <v>226</v>
      </c>
      <c r="F6" s="1322" t="s">
        <v>227</v>
      </c>
      <c r="G6" s="1322" t="s">
        <v>228</v>
      </c>
      <c r="H6" s="920" t="s">
        <v>229</v>
      </c>
      <c r="I6" s="1322" t="s">
        <v>230</v>
      </c>
      <c r="J6" s="1322" t="s">
        <v>533</v>
      </c>
      <c r="K6" s="920" t="s">
        <v>526</v>
      </c>
      <c r="L6" s="1322" t="s">
        <v>923</v>
      </c>
    </row>
    <row r="7" spans="2:15" ht="11.4">
      <c r="B7" s="875"/>
      <c r="C7" s="876" t="s">
        <v>397</v>
      </c>
      <c r="D7" s="877"/>
      <c r="E7" s="878"/>
      <c r="F7" s="879"/>
      <c r="G7" s="879"/>
      <c r="H7" s="880"/>
      <c r="I7" s="880"/>
      <c r="J7" s="880"/>
      <c r="K7" s="880"/>
      <c r="L7" s="914"/>
      <c r="N7" s="657"/>
      <c r="O7" s="699"/>
    </row>
    <row r="8" spans="2:15" ht="11.4">
      <c r="B8" s="913">
        <f>+PRESUPUESTO!B10</f>
        <v>1</v>
      </c>
      <c r="C8" s="912" t="s">
        <v>560</v>
      </c>
      <c r="D8" s="1074">
        <f>+PRESUPUESTO!H14</f>
        <v>63921999</v>
      </c>
      <c r="E8" s="1075"/>
      <c r="F8" s="880"/>
      <c r="G8" s="880"/>
      <c r="H8" s="880"/>
      <c r="I8" s="880"/>
      <c r="J8" s="880"/>
      <c r="K8" s="880"/>
      <c r="L8" s="914"/>
      <c r="N8" s="657"/>
      <c r="O8" s="699"/>
    </row>
    <row r="9" spans="2:15" ht="11.4">
      <c r="B9" s="1184" t="str">
        <f>+PRESUPUESTO!B11</f>
        <v>1,1</v>
      </c>
      <c r="C9" s="1185" t="str">
        <f>+PRESUPUESTO!D11</f>
        <v>Desmonte y limpieza en zonas no boscosas</v>
      </c>
      <c r="D9" s="1186">
        <f>+PRESUPUESTO!H11</f>
        <v>1102524</v>
      </c>
      <c r="E9" s="1075"/>
      <c r="F9" s="880"/>
      <c r="G9" s="880"/>
      <c r="H9" s="939">
        <f>+$D$9/1</f>
        <v>1102524</v>
      </c>
      <c r="I9" s="939"/>
      <c r="J9" s="880"/>
      <c r="K9" s="880"/>
      <c r="L9" s="914"/>
      <c r="N9" s="657"/>
      <c r="O9" s="699"/>
    </row>
    <row r="10" spans="2:15" ht="11.4">
      <c r="B10" s="911" t="str">
        <f>+PRESUPUESTO!B12</f>
        <v>1,2</v>
      </c>
      <c r="C10" s="876" t="str">
        <f>+PRESUPUESTO!D12</f>
        <v>Excavaciones en material común de la explanación y canales</v>
      </c>
      <c r="D10" s="1186">
        <f>+PRESUPUESTO!H12</f>
        <v>26974575</v>
      </c>
      <c r="E10" s="1075"/>
      <c r="F10" s="880"/>
      <c r="G10" s="880"/>
      <c r="H10" s="939">
        <f>$D$10/1</f>
        <v>26974575</v>
      </c>
      <c r="I10" s="939"/>
      <c r="J10" s="880"/>
      <c r="K10" s="880"/>
      <c r="L10" s="914"/>
      <c r="N10" s="657"/>
      <c r="O10" s="699"/>
    </row>
    <row r="11" spans="2:15" ht="20.399999999999999">
      <c r="B11" s="911" t="str">
        <f>+PRESUPUESTO!B13</f>
        <v>1,3</v>
      </c>
      <c r="C11" s="876" t="str">
        <f>+PRESUPUESTO!D13</f>
        <v>Transporte de materiales provenientes de la excavación de la explanación, canales y préstamos para distancias mayores de mil metros (1000 m)</v>
      </c>
      <c r="D11" s="1186">
        <f>+PRESUPUESTO!H13</f>
        <v>35844900</v>
      </c>
      <c r="E11" s="1075"/>
      <c r="F11" s="880"/>
      <c r="G11" s="880"/>
      <c r="H11" s="939">
        <f>$D$11/1</f>
        <v>35844900</v>
      </c>
      <c r="I11" s="939"/>
      <c r="J11" s="939"/>
      <c r="K11" s="939"/>
      <c r="L11" s="915"/>
      <c r="N11" s="657"/>
      <c r="O11" s="699"/>
    </row>
    <row r="12" spans="2:15" ht="11.4">
      <c r="B12" s="1318">
        <f>+PRESUPUESTO!B16</f>
        <v>2</v>
      </c>
      <c r="C12" s="1323" t="str">
        <f>+PRESUPUESTO!C16</f>
        <v>PAVIMENTACIÓN EN CONCRETO HIDRAULICO</v>
      </c>
      <c r="D12" s="1319">
        <f>+PRESUPUESTO!H20</f>
        <v>1662564770</v>
      </c>
      <c r="E12" s="937"/>
      <c r="F12" s="938"/>
      <c r="G12" s="938"/>
      <c r="H12" s="939"/>
      <c r="I12" s="939"/>
      <c r="J12" s="939"/>
      <c r="K12" s="939"/>
      <c r="L12" s="915"/>
      <c r="N12" s="657"/>
      <c r="O12" s="699"/>
    </row>
    <row r="13" spans="2:15" ht="11.4">
      <c r="B13" s="1324" t="str">
        <f>+PRESUPUESTO!B17</f>
        <v>2,1</v>
      </c>
      <c r="C13" s="652" t="str">
        <f>+PRESUPUESTO!D17</f>
        <v>Terraplenes</v>
      </c>
      <c r="D13" s="1320">
        <f>+PRESUPUESTO!H17</f>
        <v>30774098</v>
      </c>
      <c r="E13" s="937"/>
      <c r="F13" s="938"/>
      <c r="G13" s="938"/>
      <c r="H13" s="939">
        <f>D13/1</f>
        <v>30774098</v>
      </c>
      <c r="I13" s="939"/>
      <c r="J13" s="939"/>
      <c r="K13" s="939"/>
      <c r="L13" s="915"/>
      <c r="N13" s="657"/>
      <c r="O13" s="699"/>
    </row>
    <row r="14" spans="2:15" ht="11.4">
      <c r="B14" s="1324" t="str">
        <f>+PRESUPUESTO!B18</f>
        <v>2,2</v>
      </c>
      <c r="C14" s="652" t="str">
        <f>+PRESUPUESTO!D18</f>
        <v>Sub Base Granular tipo C</v>
      </c>
      <c r="D14" s="1320">
        <f>+PRESUPUESTO!H18</f>
        <v>192924672</v>
      </c>
      <c r="E14" s="937"/>
      <c r="F14" s="938"/>
      <c r="G14" s="938"/>
      <c r="H14" s="939">
        <f t="shared" ref="H14" si="0">D14/2</f>
        <v>96462336</v>
      </c>
      <c r="I14" s="939">
        <f>D14/2</f>
        <v>96462336</v>
      </c>
      <c r="J14" s="939"/>
      <c r="K14" s="939"/>
      <c r="L14" s="915"/>
      <c r="N14" s="657"/>
      <c r="O14" s="699"/>
    </row>
    <row r="15" spans="2:15" ht="11.4">
      <c r="B15" s="1324" t="str">
        <f>+PRESUPUESTO!B19</f>
        <v>2,3</v>
      </c>
      <c r="C15" s="652" t="str">
        <f>+PRESUPUESTO!D19</f>
        <v>Placa de pavimento en concreto hidráulico MR2=4,0 Mpa (40Kg/cm2)</v>
      </c>
      <c r="D15" s="1320">
        <f>+PRESUPUESTO!H19</f>
        <v>1438866000</v>
      </c>
      <c r="E15" s="937"/>
      <c r="F15" s="938"/>
      <c r="G15" s="938"/>
      <c r="H15" s="939">
        <f>D15/2</f>
        <v>719433000</v>
      </c>
      <c r="I15" s="939">
        <f>D15/2</f>
        <v>719433000</v>
      </c>
      <c r="J15" s="939"/>
      <c r="K15" s="939"/>
      <c r="L15" s="915"/>
      <c r="N15" s="657"/>
      <c r="O15" s="699"/>
    </row>
    <row r="16" spans="2:15" ht="11.4">
      <c r="B16" s="1318">
        <f>+PRESUPUESTO!B22</f>
        <v>3</v>
      </c>
      <c r="C16" s="1325" t="str">
        <f>+PRESUPUESTO!C22</f>
        <v>SEÑALIZACION DEFINITIVA</v>
      </c>
      <c r="D16" s="1278">
        <f>+PRESUPUESTO!H26</f>
        <v>16348180</v>
      </c>
      <c r="E16" s="937"/>
      <c r="F16" s="938"/>
      <c r="G16" s="938"/>
      <c r="H16" s="939"/>
      <c r="I16" s="939"/>
      <c r="J16" s="939"/>
      <c r="K16" s="939"/>
      <c r="L16" s="915"/>
      <c r="N16" s="657"/>
      <c r="O16" s="699"/>
    </row>
    <row r="17" spans="1:15" ht="11.4">
      <c r="B17" s="1324" t="str">
        <f>+PRESUPUESTO!B23</f>
        <v>3,1</v>
      </c>
      <c r="C17" s="940" t="str">
        <f>PRESUPUESTO!D23</f>
        <v>Señal vertical de transito Tipo II (1,2*0,4) con lámina retroreflectiva</v>
      </c>
      <c r="D17" s="941">
        <f>+PRESUPUESTO!H23</f>
        <v>10669878</v>
      </c>
      <c r="E17" s="917"/>
      <c r="F17" s="918"/>
      <c r="G17" s="918"/>
      <c r="H17" s="939"/>
      <c r="I17" s="939">
        <f>D17/1</f>
        <v>10669878</v>
      </c>
      <c r="J17" s="939"/>
      <c r="K17" s="939"/>
      <c r="L17" s="915"/>
      <c r="N17" s="657"/>
      <c r="O17" s="699"/>
    </row>
    <row r="18" spans="1:15" ht="11.4">
      <c r="B18" s="1324" t="str">
        <f>+PRESUPUESTO!B24</f>
        <v>3,2</v>
      </c>
      <c r="C18" s="940" t="str">
        <f>PRESUPUESTO!D24</f>
        <v>Linea de demarcacion con pintura en frio</v>
      </c>
      <c r="D18" s="941">
        <f>+PRESUPUESTO!H24</f>
        <v>3596982</v>
      </c>
      <c r="E18" s="937"/>
      <c r="F18" s="938"/>
      <c r="G18" s="938"/>
      <c r="H18" s="939"/>
      <c r="I18" s="939">
        <f t="shared" ref="I18:I19" si="1">D18/1</f>
        <v>3596982</v>
      </c>
      <c r="J18" s="939"/>
      <c r="K18" s="939"/>
      <c r="L18" s="915"/>
      <c r="N18" s="657"/>
      <c r="O18" s="699"/>
    </row>
    <row r="19" spans="1:15" ht="11.4">
      <c r="B19" s="1324" t="str">
        <f>+PRESUPUESTO!B25</f>
        <v>3,3</v>
      </c>
      <c r="C19" s="940" t="str">
        <f>PRESUPUESTO!D25</f>
        <v>Tachas reflectivas</v>
      </c>
      <c r="D19" s="941">
        <f>+PRESUPUESTO!H25</f>
        <v>2081319.9999999998</v>
      </c>
      <c r="E19" s="937"/>
      <c r="F19" s="938"/>
      <c r="G19" s="938"/>
      <c r="H19" s="939"/>
      <c r="I19" s="939">
        <f t="shared" si="1"/>
        <v>2081319.9999999998</v>
      </c>
      <c r="J19" s="939"/>
      <c r="K19" s="939"/>
      <c r="L19" s="915"/>
      <c r="N19" s="657"/>
      <c r="O19" s="699"/>
    </row>
    <row r="20" spans="1:15" ht="12" thickBot="1">
      <c r="B20" s="919"/>
      <c r="C20" s="1326" t="s">
        <v>353</v>
      </c>
      <c r="D20" s="1327"/>
      <c r="E20" s="1328"/>
      <c r="F20" s="1329"/>
      <c r="G20" s="1329"/>
      <c r="H20" s="1330"/>
      <c r="I20" s="1331"/>
      <c r="J20" s="1331"/>
      <c r="K20" s="1332"/>
      <c r="L20" s="1332"/>
      <c r="N20" s="657"/>
      <c r="O20" s="699"/>
    </row>
    <row r="21" spans="1:15" ht="12" thickBot="1">
      <c r="B21" s="518"/>
      <c r="C21" s="519"/>
      <c r="D21" s="520"/>
      <c r="E21" s="701"/>
      <c r="F21" s="739"/>
      <c r="G21" s="739"/>
      <c r="H21" s="743"/>
      <c r="I21" s="704"/>
      <c r="J21" s="704"/>
      <c r="K21" s="704"/>
      <c r="L21" s="704"/>
      <c r="N21" s="657"/>
      <c r="O21" s="699"/>
    </row>
    <row r="22" spans="1:15" ht="12" thickBot="1">
      <c r="B22" s="521"/>
      <c r="C22" s="522" t="s">
        <v>358</v>
      </c>
      <c r="D22" s="587">
        <f>PRESUPUESTO!H31</f>
        <v>667269411</v>
      </c>
      <c r="E22" s="702"/>
      <c r="F22" s="741"/>
      <c r="G22" s="741"/>
      <c r="H22" s="744">
        <f>+$D$22/2</f>
        <v>333634705.5</v>
      </c>
      <c r="I22" s="744">
        <f>+$D$22/2</f>
        <v>333634705.5</v>
      </c>
      <c r="J22" s="744"/>
      <c r="K22" s="744"/>
      <c r="L22" s="744"/>
      <c r="N22" s="657"/>
      <c r="O22" s="699"/>
    </row>
    <row r="23" spans="1:15" ht="12" thickBot="1">
      <c r="B23" s="518"/>
      <c r="C23" s="519"/>
      <c r="D23" s="588"/>
      <c r="E23" s="703"/>
      <c r="F23" s="739"/>
      <c r="G23" s="739"/>
      <c r="H23" s="704"/>
      <c r="I23" s="704"/>
      <c r="J23" s="704"/>
      <c r="K23" s="704"/>
      <c r="L23" s="704"/>
      <c r="N23" s="657"/>
      <c r="O23" s="699"/>
    </row>
    <row r="24" spans="1:15" ht="11.4">
      <c r="B24" s="523"/>
      <c r="C24" s="524" t="s">
        <v>354</v>
      </c>
      <c r="D24" s="589">
        <f>+PRESUPUESTO!H36</f>
        <v>2410104360</v>
      </c>
      <c r="E24" s="700"/>
      <c r="F24" s="738"/>
      <c r="G24" s="738"/>
      <c r="H24" s="745">
        <f>+SUM(H7:H22)</f>
        <v>1244226138.5</v>
      </c>
      <c r="I24" s="745">
        <f t="shared" ref="I24:L24" si="2">+SUM(I7:I22)</f>
        <v>1165878221.5</v>
      </c>
      <c r="J24" s="745">
        <f t="shared" si="2"/>
        <v>0</v>
      </c>
      <c r="K24" s="745">
        <f t="shared" si="2"/>
        <v>0</v>
      </c>
      <c r="L24" s="745">
        <f t="shared" si="2"/>
        <v>0</v>
      </c>
      <c r="N24" s="657"/>
      <c r="O24" s="699"/>
    </row>
    <row r="25" spans="1:15" ht="11.4">
      <c r="B25" s="921"/>
      <c r="C25" s="922" t="s">
        <v>355</v>
      </c>
      <c r="D25" s="916">
        <f>+PRESUPUESTO!H38</f>
        <v>249042198</v>
      </c>
      <c r="E25" s="923"/>
      <c r="F25" s="924"/>
      <c r="G25" s="924"/>
      <c r="H25" s="925">
        <f>+$D$25/2</f>
        <v>124521099</v>
      </c>
      <c r="I25" s="925">
        <f>+$D$25/2</f>
        <v>124521099</v>
      </c>
      <c r="J25" s="925"/>
      <c r="K25" s="925"/>
      <c r="L25" s="925"/>
      <c r="N25" s="657"/>
      <c r="O25" s="699"/>
    </row>
    <row r="26" spans="1:15" ht="11.4">
      <c r="B26" s="921"/>
      <c r="C26" s="922" t="s">
        <v>419</v>
      </c>
      <c r="D26" s="916">
        <f>+PRESUPUESTO!H40</f>
        <v>79730280</v>
      </c>
      <c r="E26" s="923"/>
      <c r="F26" s="924"/>
      <c r="G26" s="924"/>
      <c r="H26" s="923">
        <f>+$D$26/2</f>
        <v>39865140</v>
      </c>
      <c r="I26" s="923">
        <f>+$D$26/2</f>
        <v>39865140</v>
      </c>
      <c r="J26" s="923"/>
      <c r="K26" s="923"/>
      <c r="L26" s="925"/>
      <c r="N26" s="657"/>
      <c r="O26" s="699"/>
    </row>
    <row r="27" spans="1:15" ht="11.4">
      <c r="B27" s="1276"/>
      <c r="C27" s="1277" t="str">
        <f>+PRESUPUESTO!B41</f>
        <v>CARACTERIZACIÓN VIAL</v>
      </c>
      <c r="D27" s="1278">
        <f>+PRESUPUESTO!H41</f>
        <v>9734435</v>
      </c>
      <c r="E27" s="1279"/>
      <c r="F27" s="1280"/>
      <c r="G27" s="1280"/>
      <c r="H27" s="1279"/>
      <c r="I27" s="1279"/>
      <c r="J27" s="1279">
        <f>D27/1</f>
        <v>9734435</v>
      </c>
      <c r="K27" s="1279"/>
      <c r="L27" s="925"/>
      <c r="N27" s="657"/>
      <c r="O27" s="699"/>
    </row>
    <row r="28" spans="1:15" ht="11.4">
      <c r="B28" s="921"/>
      <c r="C28" s="922" t="s">
        <v>356</v>
      </c>
      <c r="D28" s="916">
        <f>+PRESUPUESTO!H42</f>
        <v>101909240</v>
      </c>
      <c r="E28" s="923"/>
      <c r="F28" s="924"/>
      <c r="G28" s="924"/>
      <c r="H28" s="925">
        <f>+$D$28/2</f>
        <v>50954620</v>
      </c>
      <c r="I28" s="925">
        <f>+$D$28/2</f>
        <v>50954620</v>
      </c>
      <c r="J28" s="925"/>
      <c r="K28" s="925"/>
      <c r="L28" s="925"/>
      <c r="N28" s="657"/>
      <c r="O28" s="699"/>
    </row>
    <row r="29" spans="1:15" ht="12" thickBot="1">
      <c r="B29" s="835"/>
      <c r="C29" s="926"/>
      <c r="D29" s="927"/>
      <c r="E29" s="928"/>
      <c r="F29" s="929"/>
      <c r="G29" s="929"/>
      <c r="H29" s="930">
        <f>+$D$29/4</f>
        <v>0</v>
      </c>
      <c r="I29" s="930">
        <f t="shared" ref="I29:K29" si="3">+$D$29/4</f>
        <v>0</v>
      </c>
      <c r="J29" s="930">
        <f t="shared" si="3"/>
        <v>0</v>
      </c>
      <c r="K29" s="930">
        <f t="shared" si="3"/>
        <v>0</v>
      </c>
      <c r="L29" s="930"/>
      <c r="N29" s="657"/>
      <c r="O29" s="699"/>
    </row>
    <row r="30" spans="1:15" ht="12" thickBot="1">
      <c r="B30" s="518"/>
      <c r="C30" s="519"/>
      <c r="D30" s="520"/>
      <c r="E30" s="704"/>
      <c r="F30" s="740"/>
      <c r="G30" s="740"/>
      <c r="H30" s="704"/>
      <c r="I30" s="704"/>
      <c r="J30" s="704"/>
      <c r="K30" s="704"/>
      <c r="L30" s="704"/>
      <c r="N30" s="657"/>
      <c r="O30" s="699"/>
    </row>
    <row r="31" spans="1:15" ht="13.8" thickBot="1">
      <c r="B31" s="521"/>
      <c r="C31" s="525" t="s">
        <v>357</v>
      </c>
      <c r="D31" s="1341">
        <f>+PRESUPUESTO!H45</f>
        <v>2895156993</v>
      </c>
      <c r="E31" s="705">
        <f t="shared" ref="E31:L31" si="4">SUM(E24:E29)</f>
        <v>0</v>
      </c>
      <c r="F31" s="742">
        <f t="shared" si="4"/>
        <v>0</v>
      </c>
      <c r="G31" s="742">
        <f t="shared" ref="G31" si="5">SUM(G24:G29)</f>
        <v>0</v>
      </c>
      <c r="H31" s="744">
        <f t="shared" si="4"/>
        <v>1459566997.5</v>
      </c>
      <c r="I31" s="744">
        <f t="shared" si="4"/>
        <v>1381219080.5</v>
      </c>
      <c r="J31" s="744">
        <f t="shared" si="4"/>
        <v>9734435</v>
      </c>
      <c r="K31" s="744">
        <f t="shared" si="4"/>
        <v>0</v>
      </c>
      <c r="L31" s="744">
        <f t="shared" si="4"/>
        <v>0</v>
      </c>
      <c r="N31" s="657"/>
      <c r="O31" s="699"/>
    </row>
    <row r="32" spans="1:15">
      <c r="A32" s="404"/>
      <c r="B32" s="404"/>
      <c r="C32" s="404"/>
      <c r="D32" s="404"/>
      <c r="E32" s="404"/>
      <c r="F32" s="404"/>
      <c r="G32" s="404"/>
      <c r="H32" s="404"/>
      <c r="I32" s="404"/>
      <c r="J32" s="404"/>
      <c r="K32" s="404"/>
      <c r="L32" s="404"/>
    </row>
    <row r="33" spans="1:12">
      <c r="A33" s="404"/>
      <c r="B33" s="1558"/>
      <c r="C33" s="1558"/>
      <c r="D33" s="1558"/>
      <c r="E33" s="1558"/>
      <c r="F33" s="1558"/>
      <c r="G33" s="1558"/>
      <c r="H33" s="1558"/>
      <c r="I33" s="1558"/>
      <c r="J33" s="1558"/>
      <c r="K33" s="1558"/>
      <c r="L33" s="1558"/>
    </row>
    <row r="34" spans="1:12">
      <c r="B34" s="404"/>
      <c r="C34" s="404"/>
      <c r="D34" s="404"/>
      <c r="E34" s="404"/>
      <c r="F34" s="404"/>
      <c r="G34" s="404"/>
      <c r="H34" s="1402"/>
      <c r="I34" s="404"/>
      <c r="J34" s="404"/>
      <c r="K34" s="404"/>
      <c r="L34" s="404"/>
    </row>
    <row r="35" spans="1:12">
      <c r="B35" s="404"/>
      <c r="C35" s="404"/>
      <c r="D35" s="404"/>
      <c r="E35" s="404"/>
      <c r="F35" s="404"/>
      <c r="G35" s="404"/>
      <c r="H35" s="404"/>
      <c r="I35" s="404"/>
      <c r="J35" s="404"/>
      <c r="K35" s="404"/>
      <c r="L35" s="404"/>
    </row>
    <row r="36" spans="1:12">
      <c r="B36" s="404"/>
      <c r="C36" s="404"/>
      <c r="D36" s="404"/>
      <c r="E36" s="404"/>
      <c r="F36" s="404"/>
      <c r="G36" s="404"/>
      <c r="H36" s="404"/>
      <c r="I36" s="404"/>
      <c r="J36" s="404"/>
      <c r="K36" s="404"/>
      <c r="L36" s="404"/>
    </row>
    <row r="37" spans="1:12">
      <c r="B37" s="404"/>
      <c r="C37" s="404"/>
      <c r="D37" s="404"/>
      <c r="E37" s="404"/>
      <c r="F37" s="404"/>
      <c r="G37" s="404"/>
      <c r="H37" s="404"/>
      <c r="I37" s="404"/>
      <c r="J37" s="404"/>
      <c r="K37" s="404"/>
      <c r="L37" s="404"/>
    </row>
    <row r="38" spans="1:12">
      <c r="B38" s="404"/>
      <c r="C38" s="404"/>
      <c r="D38" s="404"/>
      <c r="E38" s="404"/>
      <c r="F38" s="404"/>
      <c r="G38" s="404"/>
      <c r="H38" s="404"/>
      <c r="I38" s="404"/>
      <c r="J38" s="404"/>
      <c r="K38" s="404"/>
      <c r="L38" s="404"/>
    </row>
    <row r="39" spans="1:12">
      <c r="B39" s="404"/>
      <c r="C39" s="404"/>
      <c r="D39" s="404"/>
      <c r="E39" s="235"/>
      <c r="F39" s="235"/>
      <c r="G39" s="235"/>
      <c r="H39" s="931"/>
      <c r="I39" s="931"/>
      <c r="J39" s="931"/>
      <c r="K39" s="235"/>
      <c r="L39" s="235"/>
    </row>
    <row r="40" spans="1:12">
      <c r="D40" s="236"/>
    </row>
    <row r="41" spans="1:12">
      <c r="B41" s="1088"/>
      <c r="C41" s="1088"/>
    </row>
    <row r="42" spans="1:12" ht="15.6">
      <c r="B42" s="550" t="str">
        <f>+PRESUPUESTO!B52</f>
        <v>JESUS EDUARDO ROBLES SMITH</v>
      </c>
    </row>
    <row r="43" spans="1:12" ht="15.6">
      <c r="B43" s="549" t="str">
        <f>+PRESUPUESTO!B53</f>
        <v>INGENIERO CIVIL</v>
      </c>
      <c r="C43" s="239"/>
      <c r="D43" s="239"/>
    </row>
    <row r="44" spans="1:12" ht="15">
      <c r="B44" s="549" t="str">
        <f>+PRESUPUESTO!B54</f>
        <v>M.P. 25202-316144 CND</v>
      </c>
      <c r="C44" s="240"/>
      <c r="D44" s="240"/>
    </row>
    <row r="45" spans="1:12" ht="15">
      <c r="C45" s="240"/>
      <c r="D45" s="240"/>
    </row>
    <row r="48" spans="1:12" ht="13.2">
      <c r="B48" s="134"/>
      <c r="C48" s="134"/>
      <c r="D48" s="134"/>
      <c r="E48" s="134"/>
      <c r="F48" s="134"/>
      <c r="G48" s="134"/>
      <c r="H48" s="134"/>
      <c r="I48" s="134"/>
      <c r="J48" s="134"/>
      <c r="K48" s="134"/>
      <c r="L48" s="134"/>
    </row>
    <row r="49" spans="2:12" ht="13.2">
      <c r="B49" s="105"/>
      <c r="C49" s="105"/>
      <c r="D49" s="105"/>
      <c r="E49" s="105"/>
      <c r="F49" s="105"/>
      <c r="G49" s="105"/>
      <c r="H49" s="105"/>
      <c r="I49" s="105"/>
      <c r="J49" s="105"/>
      <c r="K49" s="105"/>
      <c r="L49" s="105"/>
    </row>
    <row r="50" spans="2:12" ht="13.2">
      <c r="B50" s="105"/>
      <c r="C50" s="105"/>
      <c r="D50" s="105"/>
      <c r="E50" s="105"/>
      <c r="F50" s="105"/>
      <c r="G50" s="105"/>
      <c r="H50" s="105"/>
      <c r="I50" s="105"/>
      <c r="J50" s="105"/>
      <c r="K50" s="105"/>
      <c r="L50" s="105"/>
    </row>
  </sheetData>
  <mergeCells count="7">
    <mergeCell ref="B33:L33"/>
    <mergeCell ref="B2:L2"/>
    <mergeCell ref="B3:L3"/>
    <mergeCell ref="B5:B6"/>
    <mergeCell ref="C5:C6"/>
    <mergeCell ref="D5:D6"/>
    <mergeCell ref="E5:L5"/>
  </mergeCells>
  <phoneticPr fontId="76" type="noConversion"/>
  <conditionalFormatting sqref="E7:L31">
    <cfRule type="cellIs" dxfId="9" priority="1" operator="between">
      <formula>1</formula>
      <formula>10000000000</formula>
    </cfRule>
  </conditionalFormatting>
  <printOptions horizontalCentered="1" verticalCentered="1"/>
  <pageMargins left="0.70866141732283472" right="0.70866141732283472" top="0.74803149606299213" bottom="0.74803149606299213" header="0.31496062992125984" footer="0.31496062992125984"/>
  <pageSetup scale="5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B1:S243"/>
  <sheetViews>
    <sheetView view="pageBreakPreview" topLeftCell="A182" zoomScale="70" zoomScaleNormal="70" zoomScaleSheetLayoutView="70" workbookViewId="0">
      <selection activeCell="F124" sqref="F124"/>
    </sheetView>
  </sheetViews>
  <sheetFormatPr baseColWidth="10" defaultColWidth="11.44140625" defaultRowHeight="13.2"/>
  <cols>
    <col min="1" max="1" width="3.44140625" customWidth="1"/>
    <col min="2" max="2" width="36.88671875" bestFit="1" customWidth="1"/>
    <col min="3" max="3" width="12.88671875" customWidth="1"/>
    <col min="4" max="4" width="12.5546875" customWidth="1"/>
    <col min="5" max="6" width="13.44140625" customWidth="1"/>
    <col min="7" max="7" width="13.5546875" customWidth="1"/>
    <col min="8" max="8" width="17.109375" bestFit="1" customWidth="1"/>
    <col min="9" max="9" width="13.44140625" customWidth="1"/>
    <col min="10" max="10" width="16.5546875" customWidth="1"/>
    <col min="11" max="11" width="14" customWidth="1"/>
    <col min="12" max="12" width="17.44140625" customWidth="1"/>
    <col min="13" max="13" width="18.88671875" customWidth="1"/>
    <col min="14" max="14" width="19.109375" customWidth="1"/>
    <col min="15" max="15" width="16" customWidth="1"/>
    <col min="16" max="16" width="22.109375" customWidth="1"/>
    <col min="17" max="17" width="13.44140625" customWidth="1"/>
    <col min="18" max="18" width="47.44140625" customWidth="1"/>
    <col min="19" max="19" width="3.44140625" customWidth="1"/>
  </cols>
  <sheetData>
    <row r="1" spans="2:19" ht="13.8" thickBot="1"/>
    <row r="2" spans="2:19" ht="28.5" customHeight="1" thickBot="1">
      <c r="B2" s="620" t="s">
        <v>137</v>
      </c>
      <c r="C2" s="1694" t="str">
        <f>+PRESUPUESTO!D2</f>
        <v>"MEJORAMIENTO VIAL MEDIANTE LA CONSTRUCCIÓN DE PAVIMENTO RÍGIDO DE LA PRIMERA ETAPA DE LA VÍA QUE COMUNICA A LA VEREDA PONDORES EN EL CORREGIMIENTO DE CONEJO, MUNICIPIO DE FONSECA - DEPARTAMENTO DE LA GUAJIRA."</v>
      </c>
      <c r="D2" s="1695"/>
      <c r="E2" s="1695"/>
      <c r="F2" s="1695"/>
      <c r="G2" s="1695"/>
      <c r="H2" s="1695"/>
      <c r="I2" s="1695"/>
      <c r="J2" s="1695"/>
      <c r="K2" s="1695"/>
      <c r="L2" s="1695"/>
      <c r="M2" s="1695"/>
      <c r="N2" s="1695"/>
      <c r="O2" s="1695"/>
      <c r="P2" s="1695"/>
      <c r="Q2" s="1695"/>
      <c r="R2" s="1696"/>
    </row>
    <row r="3" spans="2:19" ht="13.8" thickBot="1"/>
    <row r="4" spans="2:19" ht="35.25" customHeight="1" thickBot="1">
      <c r="B4" s="645" t="s">
        <v>527</v>
      </c>
      <c r="C4" s="821" t="s">
        <v>407</v>
      </c>
      <c r="D4" s="646" t="s">
        <v>364</v>
      </c>
      <c r="E4" s="646" t="s">
        <v>398</v>
      </c>
      <c r="F4" s="711" t="s">
        <v>142</v>
      </c>
      <c r="G4" s="708"/>
      <c r="H4" s="708"/>
      <c r="I4" s="708"/>
      <c r="J4" s="708"/>
      <c r="K4" s="708"/>
      <c r="L4" s="708"/>
      <c r="M4" s="708"/>
      <c r="N4" s="708"/>
      <c r="O4" s="708"/>
      <c r="P4" s="708"/>
      <c r="Q4" s="708"/>
      <c r="R4" s="708"/>
      <c r="S4" s="708"/>
    </row>
    <row r="5" spans="2:19">
      <c r="B5" s="647"/>
      <c r="C5" s="822"/>
      <c r="D5" s="644"/>
      <c r="E5" s="644"/>
      <c r="F5" s="712"/>
      <c r="H5" s="129"/>
      <c r="J5" s="1013"/>
    </row>
    <row r="6" spans="2:19" ht="15" thickBot="1">
      <c r="B6" s="1294" t="s">
        <v>736</v>
      </c>
      <c r="C6" s="1291" t="s">
        <v>528</v>
      </c>
      <c r="D6" s="1292" t="s">
        <v>803</v>
      </c>
      <c r="E6" s="1292" t="s">
        <v>772</v>
      </c>
      <c r="F6" s="1293">
        <v>853</v>
      </c>
      <c r="G6" s="709"/>
      <c r="H6" s="129"/>
      <c r="I6" s="709"/>
      <c r="J6" s="709"/>
      <c r="K6" s="707"/>
      <c r="L6" s="710"/>
      <c r="M6" s="710"/>
      <c r="N6" s="707"/>
      <c r="O6" s="707"/>
      <c r="P6" s="707"/>
      <c r="Q6" s="707"/>
      <c r="R6" s="710"/>
      <c r="S6" s="706"/>
    </row>
    <row r="7" spans="2:19" ht="14.4">
      <c r="B7" s="885"/>
      <c r="C7" s="885"/>
      <c r="D7" s="120"/>
      <c r="E7" s="120"/>
      <c r="F7" s="885"/>
      <c r="G7" s="709"/>
      <c r="H7" s="710"/>
      <c r="I7" s="709"/>
      <c r="J7" s="709"/>
      <c r="K7" s="707"/>
      <c r="L7" s="710"/>
      <c r="M7" s="710"/>
      <c r="N7" s="707"/>
      <c r="O7" s="707"/>
      <c r="P7" s="707"/>
      <c r="Q7" s="707"/>
      <c r="R7" s="710"/>
      <c r="S7" s="706"/>
    </row>
    <row r="8" spans="2:19" ht="14.4">
      <c r="B8" s="885"/>
      <c r="C8" s="885"/>
      <c r="D8" s="120"/>
      <c r="E8" s="120"/>
      <c r="F8" s="885"/>
      <c r="G8" s="709"/>
      <c r="H8" s="1194"/>
      <c r="I8" s="709"/>
      <c r="J8" s="709"/>
      <c r="K8" s="707"/>
      <c r="L8" s="710"/>
      <c r="M8" s="710"/>
      <c r="N8" s="707"/>
      <c r="O8" s="707"/>
      <c r="P8" s="707"/>
      <c r="Q8" s="707"/>
      <c r="R8" s="710"/>
      <c r="S8" s="706"/>
    </row>
    <row r="9" spans="2:19" ht="15" thickBot="1">
      <c r="B9" s="885"/>
      <c r="C9" s="885"/>
      <c r="D9" s="885"/>
      <c r="E9" s="885"/>
      <c r="F9" s="885"/>
      <c r="G9" s="709"/>
      <c r="H9" s="710"/>
      <c r="I9" s="709"/>
      <c r="J9" s="709"/>
      <c r="K9" s="707"/>
      <c r="L9" s="710"/>
      <c r="M9" s="710"/>
      <c r="N9" s="707"/>
      <c r="O9" s="707"/>
      <c r="P9" s="707"/>
      <c r="Q9" s="707"/>
      <c r="R9" s="710"/>
      <c r="S9" s="706"/>
    </row>
    <row r="10" spans="2:19" ht="14.4">
      <c r="B10" s="885"/>
      <c r="C10" s="885"/>
      <c r="D10" s="885"/>
      <c r="E10" s="1700" t="s">
        <v>544</v>
      </c>
      <c r="F10" s="1697">
        <f>+SUM(F6)</f>
        <v>853</v>
      </c>
      <c r="G10" s="709"/>
      <c r="H10" s="1703" t="s">
        <v>558</v>
      </c>
      <c r="I10" s="1703">
        <f>6</f>
        <v>6</v>
      </c>
      <c r="J10" s="709"/>
      <c r="K10" s="707"/>
      <c r="L10" s="710"/>
      <c r="M10" s="710"/>
      <c r="N10" s="707"/>
      <c r="O10" s="707"/>
      <c r="P10" s="707"/>
      <c r="Q10" s="707"/>
      <c r="R10" s="710"/>
      <c r="S10" s="706"/>
    </row>
    <row r="11" spans="2:19" ht="15" thickBot="1">
      <c r="B11" s="1055"/>
      <c r="C11" s="885"/>
      <c r="D11" s="885"/>
      <c r="E11" s="1701"/>
      <c r="F11" s="1698"/>
      <c r="G11" s="709"/>
      <c r="H11" s="1704"/>
      <c r="I11" s="1704"/>
      <c r="J11" s="709"/>
      <c r="K11" s="707"/>
      <c r="L11" s="710"/>
      <c r="M11" s="710"/>
      <c r="N11" s="707"/>
      <c r="O11" s="707"/>
      <c r="P11" s="707"/>
      <c r="Q11" s="707"/>
      <c r="R11" s="710"/>
      <c r="S11" s="706"/>
    </row>
    <row r="12" spans="2:19" ht="14.4">
      <c r="B12" s="1055"/>
      <c r="C12" s="885"/>
      <c r="D12" s="885"/>
      <c r="E12" s="120"/>
      <c r="F12" s="885"/>
      <c r="G12" s="709"/>
      <c r="H12" s="710"/>
      <c r="I12" s="709"/>
      <c r="J12" s="709"/>
      <c r="K12" s="707"/>
      <c r="L12" s="710"/>
      <c r="M12" s="710"/>
      <c r="N12" s="707"/>
      <c r="O12" s="707"/>
      <c r="P12" s="707"/>
      <c r="Q12" s="707"/>
      <c r="R12" s="710"/>
      <c r="S12" s="706"/>
    </row>
    <row r="13" spans="2:19" ht="15" thickBot="1">
      <c r="B13" s="1055"/>
      <c r="C13" s="885"/>
      <c r="D13" s="885"/>
      <c r="E13" s="120"/>
      <c r="F13" s="885"/>
      <c r="G13" s="709"/>
      <c r="H13" s="710"/>
      <c r="I13" s="709"/>
      <c r="J13" s="709"/>
      <c r="K13" s="707"/>
      <c r="L13" s="710"/>
      <c r="M13" s="710"/>
      <c r="N13" s="707"/>
      <c r="O13" s="707"/>
      <c r="P13" s="707"/>
      <c r="Q13" s="707"/>
      <c r="R13" s="710"/>
      <c r="S13" s="706"/>
    </row>
    <row r="14" spans="2:19" ht="14.4">
      <c r="B14" s="1692" t="s">
        <v>138</v>
      </c>
      <c r="C14" s="1693"/>
      <c r="D14" s="1626">
        <f>+PRESUPUESTO!C11</f>
        <v>200.2</v>
      </c>
      <c r="E14" s="1627"/>
      <c r="F14" s="1627"/>
      <c r="G14" s="1627"/>
      <c r="H14" s="1627"/>
      <c r="I14" s="1627"/>
      <c r="J14" s="1627"/>
      <c r="K14" s="1627"/>
      <c r="L14" s="1627"/>
      <c r="M14" s="1627"/>
      <c r="N14" s="1627"/>
      <c r="O14" s="1627"/>
      <c r="P14" s="1627"/>
      <c r="Q14" s="1628"/>
      <c r="R14" s="710"/>
      <c r="S14" s="706"/>
    </row>
    <row r="15" spans="2:19" ht="14.4">
      <c r="B15" s="1610" t="s">
        <v>139</v>
      </c>
      <c r="C15" s="1611"/>
      <c r="D15" s="1601" t="str">
        <f>+PRESUPUESTO!D11</f>
        <v>Desmonte y limpieza en zonas no boscosas</v>
      </c>
      <c r="E15" s="1602"/>
      <c r="F15" s="1602"/>
      <c r="G15" s="1602"/>
      <c r="H15" s="1602"/>
      <c r="I15" s="1602"/>
      <c r="J15" s="1602"/>
      <c r="K15" s="1602"/>
      <c r="L15" s="1602"/>
      <c r="M15" s="1602"/>
      <c r="N15" s="1602"/>
      <c r="O15" s="1602"/>
      <c r="P15" s="1602"/>
      <c r="Q15" s="1603"/>
      <c r="R15" s="710"/>
      <c r="S15" s="706"/>
    </row>
    <row r="16" spans="2:19" ht="14.4">
      <c r="B16" s="1610" t="s">
        <v>140</v>
      </c>
      <c r="C16" s="1611"/>
      <c r="D16" s="1601" t="str">
        <f>+PRESUPUESTO!E11</f>
        <v>HA</v>
      </c>
      <c r="E16" s="1602"/>
      <c r="F16" s="1602"/>
      <c r="G16" s="1602"/>
      <c r="H16" s="1602"/>
      <c r="I16" s="1602"/>
      <c r="J16" s="1602"/>
      <c r="K16" s="1602"/>
      <c r="L16" s="1602"/>
      <c r="M16" s="1602"/>
      <c r="N16" s="1602"/>
      <c r="O16" s="1602"/>
      <c r="P16" s="1602"/>
      <c r="Q16" s="1603"/>
      <c r="R16" s="710"/>
      <c r="S16" s="706"/>
    </row>
    <row r="17" spans="2:19" ht="26.1" customHeight="1">
      <c r="B17" s="1587"/>
      <c r="C17" s="1588"/>
      <c r="D17" s="1588"/>
      <c r="E17" s="1588"/>
      <c r="F17" s="1588"/>
      <c r="G17" s="1588"/>
      <c r="H17" s="1588"/>
      <c r="I17" s="1588"/>
      <c r="J17" s="1588"/>
      <c r="K17" s="1588"/>
      <c r="L17" s="1588"/>
      <c r="M17" s="1588"/>
      <c r="N17" s="1588"/>
      <c r="O17" s="1588"/>
      <c r="P17" s="1588"/>
      <c r="Q17" s="1589"/>
      <c r="R17" s="710"/>
      <c r="S17" s="706"/>
    </row>
    <row r="18" spans="2:19" ht="26.4">
      <c r="B18" s="1612" t="s">
        <v>141</v>
      </c>
      <c r="C18" s="1613"/>
      <c r="D18" s="1613"/>
      <c r="E18" s="1613"/>
      <c r="F18" s="1613"/>
      <c r="G18" s="1613"/>
      <c r="H18" s="1613"/>
      <c r="I18" s="1613"/>
      <c r="J18" s="1614"/>
      <c r="K18" s="1009" t="s">
        <v>142</v>
      </c>
      <c r="L18" s="1009" t="s">
        <v>435</v>
      </c>
      <c r="M18" s="1009" t="s">
        <v>144</v>
      </c>
      <c r="N18" s="1009" t="s">
        <v>451</v>
      </c>
      <c r="O18" s="1652"/>
      <c r="P18" s="1653"/>
      <c r="Q18" s="1057" t="s">
        <v>145</v>
      </c>
      <c r="R18" s="710"/>
      <c r="S18" s="706"/>
    </row>
    <row r="19" spans="2:19" ht="14.4" customHeight="1">
      <c r="B19" s="1578" t="s">
        <v>528</v>
      </c>
      <c r="C19" s="1579"/>
      <c r="D19" s="1579"/>
      <c r="E19" s="1579"/>
      <c r="F19" s="1579"/>
      <c r="G19" s="1579"/>
      <c r="H19" s="1579"/>
      <c r="I19" s="1579"/>
      <c r="J19" s="1580"/>
      <c r="K19" s="1010">
        <f>+F10</f>
        <v>853</v>
      </c>
      <c r="L19" s="1010">
        <f>3</f>
        <v>3</v>
      </c>
      <c r="M19" s="1011">
        <f>+K19*L19</f>
        <v>2559</v>
      </c>
      <c r="N19" s="1168">
        <f>2</f>
        <v>2</v>
      </c>
      <c r="O19" s="1680"/>
      <c r="P19" s="1681"/>
      <c r="Q19" s="908">
        <f>+M19*N19</f>
        <v>5118</v>
      </c>
      <c r="R19" s="710"/>
      <c r="S19" s="706"/>
    </row>
    <row r="20" spans="2:19" ht="14.4" customHeight="1">
      <c r="B20" s="1578"/>
      <c r="C20" s="1579"/>
      <c r="D20" s="1579"/>
      <c r="E20" s="1579"/>
      <c r="F20" s="1579"/>
      <c r="G20" s="1579"/>
      <c r="H20" s="1579"/>
      <c r="I20" s="1579"/>
      <c r="J20" s="1580"/>
      <c r="K20" s="1011"/>
      <c r="L20" s="1010"/>
      <c r="M20" s="1011"/>
      <c r="N20" s="1168"/>
      <c r="O20" s="1680"/>
      <c r="P20" s="1681"/>
      <c r="Q20" s="908"/>
      <c r="R20" s="710"/>
      <c r="S20" s="706"/>
    </row>
    <row r="21" spans="2:19" ht="14.4" customHeight="1">
      <c r="B21" s="1578"/>
      <c r="C21" s="1579"/>
      <c r="D21" s="1579"/>
      <c r="E21" s="1579"/>
      <c r="F21" s="1579"/>
      <c r="G21" s="1579"/>
      <c r="H21" s="1579"/>
      <c r="I21" s="1579"/>
      <c r="J21" s="1580"/>
      <c r="K21" s="1011"/>
      <c r="L21" s="1010"/>
      <c r="M21" s="1011"/>
      <c r="N21" s="1168"/>
      <c r="O21" s="1680"/>
      <c r="P21" s="1681"/>
      <c r="Q21" s="908"/>
      <c r="R21" s="710"/>
      <c r="S21" s="706"/>
    </row>
    <row r="22" spans="2:19" ht="14.4" customHeight="1" thickBot="1">
      <c r="B22" s="1161"/>
      <c r="C22" s="1162"/>
      <c r="D22" s="1162"/>
      <c r="E22" s="1162"/>
      <c r="F22" s="1162"/>
      <c r="G22" s="1162"/>
      <c r="H22" s="1162"/>
      <c r="I22" s="1162"/>
      <c r="J22" s="1162"/>
      <c r="K22" s="1165"/>
      <c r="L22" s="1165"/>
      <c r="M22" s="1165"/>
      <c r="N22" s="1166"/>
      <c r="O22" s="1708" t="s">
        <v>365</v>
      </c>
      <c r="P22" s="1708"/>
      <c r="Q22" s="1167">
        <f>SUM(Q19:Q21)</f>
        <v>5118</v>
      </c>
      <c r="R22" s="710"/>
      <c r="S22" s="706"/>
    </row>
    <row r="23" spans="2:19" ht="14.4" customHeight="1" thickBot="1">
      <c r="B23" s="1654" t="s">
        <v>365</v>
      </c>
      <c r="C23" s="1655"/>
      <c r="D23" s="1655"/>
      <c r="E23" s="1655"/>
      <c r="F23" s="1655"/>
      <c r="G23" s="1655"/>
      <c r="H23" s="1655"/>
      <c r="I23" s="1655"/>
      <c r="J23" s="1655"/>
      <c r="K23" s="1655"/>
      <c r="L23" s="1655"/>
      <c r="M23" s="1655"/>
      <c r="N23" s="1655"/>
      <c r="O23" s="1655"/>
      <c r="P23" s="1656"/>
      <c r="Q23" s="935">
        <f>ROUND(Q22/10000,0)</f>
        <v>1</v>
      </c>
      <c r="R23" s="710"/>
      <c r="S23" s="706"/>
    </row>
    <row r="24" spans="2:19" ht="14.4" customHeight="1">
      <c r="B24" s="1055"/>
      <c r="C24" s="885"/>
      <c r="D24" s="885"/>
      <c r="E24" s="120"/>
      <c r="F24" s="885"/>
      <c r="G24" s="709"/>
      <c r="H24" s="710"/>
      <c r="I24" s="709"/>
      <c r="J24" s="709"/>
      <c r="K24" s="707"/>
      <c r="L24" s="710"/>
      <c r="M24" s="710"/>
      <c r="N24" s="707"/>
      <c r="O24" s="707"/>
      <c r="P24" s="707"/>
      <c r="Q24" s="707"/>
      <c r="R24" s="710"/>
      <c r="S24" s="706"/>
    </row>
    <row r="25" spans="2:19" ht="14.4" customHeight="1">
      <c r="B25" s="1055"/>
      <c r="C25" s="885"/>
      <c r="D25" s="885"/>
      <c r="E25" s="120"/>
      <c r="F25" s="885"/>
      <c r="G25" s="709"/>
      <c r="H25" s="710"/>
      <c r="I25" s="709"/>
      <c r="J25" s="709"/>
      <c r="K25" s="707"/>
      <c r="L25" s="710"/>
      <c r="M25" s="710"/>
      <c r="N25" s="707"/>
      <c r="O25" s="707"/>
      <c r="P25" s="707"/>
      <c r="Q25" s="707"/>
      <c r="R25" s="710"/>
      <c r="S25" s="706"/>
    </row>
    <row r="26" spans="2:19" ht="15" thickBot="1">
      <c r="B26" s="1055"/>
      <c r="C26" s="885"/>
      <c r="D26" s="885"/>
      <c r="E26" s="120"/>
      <c r="F26" s="885"/>
      <c r="G26" s="709"/>
      <c r="H26" s="710"/>
      <c r="I26" s="709"/>
      <c r="J26" s="709"/>
      <c r="K26" s="707"/>
      <c r="L26" s="710"/>
      <c r="M26" s="710"/>
      <c r="N26" s="707"/>
      <c r="O26" s="707"/>
      <c r="P26" s="707"/>
      <c r="Q26" s="707"/>
      <c r="R26" s="710"/>
      <c r="S26" s="706"/>
    </row>
    <row r="27" spans="2:19" ht="14.4">
      <c r="B27" s="1692" t="s">
        <v>138</v>
      </c>
      <c r="C27" s="1693"/>
      <c r="D27" s="1626" t="str">
        <f>+PRESUPUESTO!C12</f>
        <v>210.2.2</v>
      </c>
      <c r="E27" s="1627"/>
      <c r="F27" s="1627"/>
      <c r="G27" s="1627"/>
      <c r="H27" s="1627"/>
      <c r="I27" s="1627"/>
      <c r="J27" s="1627"/>
      <c r="K27" s="1627"/>
      <c r="L27" s="1627"/>
      <c r="M27" s="1627"/>
      <c r="N27" s="1627"/>
      <c r="O27" s="1627"/>
      <c r="P27" s="1627"/>
      <c r="Q27" s="1628"/>
      <c r="R27" s="710"/>
      <c r="S27" s="706"/>
    </row>
    <row r="28" spans="2:19" ht="14.4">
      <c r="B28" s="1610" t="s">
        <v>139</v>
      </c>
      <c r="C28" s="1611"/>
      <c r="D28" s="1601" t="str">
        <f>+PRESUPUESTO!D12</f>
        <v>Excavaciones en material común de la explanación y canales</v>
      </c>
      <c r="E28" s="1602"/>
      <c r="F28" s="1602"/>
      <c r="G28" s="1602"/>
      <c r="H28" s="1602"/>
      <c r="I28" s="1602"/>
      <c r="J28" s="1602"/>
      <c r="K28" s="1602"/>
      <c r="L28" s="1602"/>
      <c r="M28" s="1602"/>
      <c r="N28" s="1602"/>
      <c r="O28" s="1602"/>
      <c r="P28" s="1602"/>
      <c r="Q28" s="1603"/>
      <c r="R28" s="710"/>
      <c r="S28" s="706"/>
    </row>
    <row r="29" spans="2:19" ht="14.4">
      <c r="B29" s="1610" t="s">
        <v>140</v>
      </c>
      <c r="C29" s="1611"/>
      <c r="D29" s="1601" t="str">
        <f>+PRESUPUESTO!E12</f>
        <v>M3</v>
      </c>
      <c r="E29" s="1602"/>
      <c r="F29" s="1602"/>
      <c r="G29" s="1602"/>
      <c r="H29" s="1602"/>
      <c r="I29" s="1602"/>
      <c r="J29" s="1602"/>
      <c r="K29" s="1602"/>
      <c r="L29" s="1602"/>
      <c r="M29" s="1602"/>
      <c r="N29" s="1602"/>
      <c r="O29" s="1602"/>
      <c r="P29" s="1602"/>
      <c r="Q29" s="1603"/>
      <c r="R29" s="710"/>
      <c r="S29" s="706"/>
    </row>
    <row r="30" spans="2:19" ht="14.4">
      <c r="B30" s="1587"/>
      <c r="C30" s="1588"/>
      <c r="D30" s="1588"/>
      <c r="E30" s="1588"/>
      <c r="F30" s="1588"/>
      <c r="G30" s="1588"/>
      <c r="H30" s="1588"/>
      <c r="I30" s="1588"/>
      <c r="J30" s="1588"/>
      <c r="K30" s="1588"/>
      <c r="L30" s="1588"/>
      <c r="M30" s="1588"/>
      <c r="N30" s="1588"/>
      <c r="O30" s="1588"/>
      <c r="P30" s="1588"/>
      <c r="Q30" s="1589"/>
      <c r="R30" s="710"/>
      <c r="S30" s="706"/>
    </row>
    <row r="31" spans="2:19" ht="26.4">
      <c r="B31" s="1612" t="s">
        <v>141</v>
      </c>
      <c r="C31" s="1613"/>
      <c r="D31" s="1613"/>
      <c r="E31" s="1613"/>
      <c r="F31" s="1613"/>
      <c r="G31" s="1613"/>
      <c r="H31" s="1613"/>
      <c r="I31" s="1613"/>
      <c r="J31" s="1614"/>
      <c r="K31" s="1009"/>
      <c r="L31" s="1009"/>
      <c r="M31" s="1009"/>
      <c r="N31" s="1009"/>
      <c r="O31" s="1652" t="s">
        <v>573</v>
      </c>
      <c r="P31" s="1653"/>
      <c r="Q31" s="1057" t="s">
        <v>145</v>
      </c>
      <c r="R31" s="710"/>
      <c r="S31" s="706"/>
    </row>
    <row r="32" spans="2:19" ht="15" customHeight="1">
      <c r="B32" s="1578" t="s">
        <v>576</v>
      </c>
      <c r="C32" s="1579"/>
      <c r="D32" s="1579"/>
      <c r="E32" s="1579"/>
      <c r="F32" s="1579"/>
      <c r="G32" s="1579"/>
      <c r="H32" s="1579"/>
      <c r="I32" s="1579"/>
      <c r="J32" s="1580"/>
      <c r="K32" s="1009"/>
      <c r="L32" s="1009"/>
      <c r="M32" s="1009"/>
      <c r="N32" s="1010"/>
      <c r="O32" s="1680">
        <f>'CORTE Y RELL'!E91</f>
        <v>1515.41</v>
      </c>
      <c r="P32" s="1681"/>
      <c r="Q32" s="908">
        <f>+O32</f>
        <v>1515.41</v>
      </c>
      <c r="R32" s="710"/>
      <c r="S32" s="706"/>
    </row>
    <row r="33" spans="2:19" ht="15" customHeight="1">
      <c r="B33" s="1677"/>
      <c r="C33" s="1678"/>
      <c r="D33" s="1678"/>
      <c r="E33" s="1678"/>
      <c r="F33" s="1678"/>
      <c r="G33" s="1678"/>
      <c r="H33" s="1678"/>
      <c r="I33" s="1678"/>
      <c r="J33" s="1679"/>
      <c r="K33" s="1009"/>
      <c r="L33" s="1009"/>
      <c r="M33" s="1009"/>
      <c r="N33" s="1010"/>
      <c r="O33" s="1680"/>
      <c r="P33" s="1681"/>
      <c r="Q33" s="908"/>
      <c r="R33" s="710"/>
      <c r="S33" s="706"/>
    </row>
    <row r="34" spans="2:19" ht="15" customHeight="1">
      <c r="B34" s="1581" t="s">
        <v>737</v>
      </c>
      <c r="C34" s="1582"/>
      <c r="D34" s="1582"/>
      <c r="E34" s="1582"/>
      <c r="F34" s="1582"/>
      <c r="G34" s="1582"/>
      <c r="H34" s="1582"/>
      <c r="I34" s="1582"/>
      <c r="J34" s="1583"/>
      <c r="K34" s="1009"/>
      <c r="L34" s="1009"/>
      <c r="M34" s="1009"/>
      <c r="N34" s="1010"/>
      <c r="O34" s="1680"/>
      <c r="P34" s="1681"/>
      <c r="Q34" s="908"/>
      <c r="R34" s="710"/>
      <c r="S34" s="706"/>
    </row>
    <row r="35" spans="2:19" ht="15" thickBot="1">
      <c r="B35" s="1615"/>
      <c r="C35" s="1616"/>
      <c r="D35" s="1616"/>
      <c r="E35" s="1616"/>
      <c r="F35" s="1616"/>
      <c r="G35" s="1616"/>
      <c r="H35" s="1616"/>
      <c r="I35" s="1616"/>
      <c r="J35" s="1616"/>
      <c r="K35" s="1616"/>
      <c r="L35" s="1616"/>
      <c r="M35" s="1616"/>
      <c r="N35" s="1616"/>
      <c r="O35" s="1616"/>
      <c r="P35" s="1616"/>
      <c r="Q35" s="1702"/>
      <c r="R35" s="710"/>
      <c r="S35" s="706"/>
    </row>
    <row r="36" spans="2:19" ht="15" thickBot="1">
      <c r="B36" s="1654" t="s">
        <v>365</v>
      </c>
      <c r="C36" s="1655"/>
      <c r="D36" s="1655"/>
      <c r="E36" s="1655"/>
      <c r="F36" s="1655"/>
      <c r="G36" s="1655"/>
      <c r="H36" s="1655"/>
      <c r="I36" s="1655"/>
      <c r="J36" s="1655"/>
      <c r="K36" s="1655"/>
      <c r="L36" s="1655"/>
      <c r="M36" s="1655"/>
      <c r="N36" s="1655"/>
      <c r="O36" s="1655"/>
      <c r="P36" s="1656"/>
      <c r="Q36" s="935">
        <f>ROUND(SUM(Q32:Q34),0)</f>
        <v>1515</v>
      </c>
      <c r="R36" s="710"/>
      <c r="S36" s="706"/>
    </row>
    <row r="37" spans="2:19" ht="14.4">
      <c r="B37" s="1055"/>
      <c r="C37" s="885"/>
      <c r="D37" s="885"/>
      <c r="E37" s="120"/>
      <c r="F37" s="885"/>
      <c r="G37" s="709"/>
      <c r="H37" s="710"/>
      <c r="I37" s="709"/>
      <c r="J37" s="709"/>
      <c r="K37" s="707"/>
      <c r="L37" s="710"/>
      <c r="M37" s="710"/>
      <c r="N37" s="707"/>
      <c r="O37" s="707"/>
      <c r="P37" s="707"/>
      <c r="Q37" s="707"/>
      <c r="R37" s="710"/>
      <c r="S37" s="706"/>
    </row>
    <row r="38" spans="2:19" ht="14.4">
      <c r="J38" s="688"/>
      <c r="K38" s="690"/>
      <c r="L38" s="690"/>
      <c r="M38" s="690"/>
      <c r="N38" s="690"/>
      <c r="O38" s="690"/>
      <c r="P38" s="690"/>
      <c r="Q38" s="690"/>
      <c r="R38" s="1699"/>
      <c r="S38" s="1699"/>
    </row>
    <row r="39" spans="2:19" ht="14.4">
      <c r="D39" s="688"/>
      <c r="E39" s="689"/>
      <c r="H39" s="690"/>
      <c r="I39" s="690"/>
      <c r="J39" s="690"/>
      <c r="K39" s="690"/>
      <c r="L39" s="690"/>
      <c r="M39" s="690"/>
      <c r="N39" s="690"/>
      <c r="O39" s="690"/>
      <c r="P39" s="690"/>
      <c r="Q39" s="691"/>
      <c r="R39" s="691"/>
    </row>
    <row r="40" spans="2:19" ht="13.8" thickBot="1"/>
    <row r="41" spans="2:19" ht="13.8">
      <c r="B41" s="1624" t="s">
        <v>138</v>
      </c>
      <c r="C41" s="1625"/>
      <c r="D41" s="1626">
        <f>+PRESUPUESTO!C13</f>
        <v>900.2</v>
      </c>
      <c r="E41" s="1627"/>
      <c r="F41" s="1627"/>
      <c r="G41" s="1627"/>
      <c r="H41" s="1627"/>
      <c r="I41" s="1627"/>
      <c r="J41" s="1627"/>
      <c r="K41" s="1627"/>
      <c r="L41" s="1627"/>
      <c r="M41" s="1627"/>
      <c r="N41" s="1627"/>
      <c r="O41" s="1627"/>
      <c r="P41" s="1627"/>
      <c r="Q41" s="1628"/>
    </row>
    <row r="42" spans="2:19" ht="13.8">
      <c r="B42" s="1610" t="s">
        <v>139</v>
      </c>
      <c r="C42" s="1611"/>
      <c r="D42" s="1601" t="str">
        <f>+PRESUPUESTO!D13</f>
        <v>Transporte de materiales provenientes de la excavación de la explanación, canales y préstamos para distancias mayores de mil metros (1000 m)</v>
      </c>
      <c r="E42" s="1602"/>
      <c r="F42" s="1602"/>
      <c r="G42" s="1602"/>
      <c r="H42" s="1602"/>
      <c r="I42" s="1602"/>
      <c r="J42" s="1602"/>
      <c r="K42" s="1602"/>
      <c r="L42" s="1602"/>
      <c r="M42" s="1602"/>
      <c r="N42" s="1602"/>
      <c r="O42" s="1602"/>
      <c r="P42" s="1602"/>
      <c r="Q42" s="1603"/>
    </row>
    <row r="43" spans="2:19" ht="13.8">
      <c r="B43" s="1610" t="s">
        <v>140</v>
      </c>
      <c r="C43" s="1611"/>
      <c r="D43" s="1601" t="str">
        <f>+PRESUPUESTO!E13</f>
        <v>M3</v>
      </c>
      <c r="E43" s="1602"/>
      <c r="F43" s="1602"/>
      <c r="G43" s="1602"/>
      <c r="H43" s="1602"/>
      <c r="I43" s="1602"/>
      <c r="J43" s="1602"/>
      <c r="K43" s="1602"/>
      <c r="L43" s="1602"/>
      <c r="M43" s="1602"/>
      <c r="N43" s="1602"/>
      <c r="O43" s="1602"/>
      <c r="P43" s="1602"/>
      <c r="Q43" s="1603"/>
    </row>
    <row r="44" spans="2:19">
      <c r="B44" s="1587"/>
      <c r="C44" s="1588"/>
      <c r="D44" s="1588"/>
      <c r="E44" s="1588"/>
      <c r="F44" s="1588"/>
      <c r="G44" s="1588"/>
      <c r="H44" s="1588"/>
      <c r="I44" s="1588"/>
      <c r="J44" s="1588"/>
      <c r="K44" s="1588"/>
      <c r="L44" s="1588"/>
      <c r="M44" s="1588"/>
      <c r="N44" s="1588"/>
      <c r="O44" s="1588"/>
      <c r="P44" s="1588"/>
      <c r="Q44" s="1589"/>
    </row>
    <row r="45" spans="2:19" ht="26.4">
      <c r="B45" s="1612" t="s">
        <v>141</v>
      </c>
      <c r="C45" s="1613"/>
      <c r="D45" s="1613"/>
      <c r="E45" s="1613"/>
      <c r="F45" s="1613"/>
      <c r="G45" s="1613"/>
      <c r="H45" s="1613"/>
      <c r="I45" s="1613"/>
      <c r="J45" s="1614"/>
      <c r="K45" s="1009"/>
      <c r="L45" s="1009"/>
      <c r="M45" s="1009"/>
      <c r="N45" s="1009" t="s">
        <v>559</v>
      </c>
      <c r="O45" s="1009"/>
      <c r="P45" s="1009"/>
      <c r="Q45" s="1057" t="s">
        <v>145</v>
      </c>
    </row>
    <row r="46" spans="2:19">
      <c r="B46" s="1677" t="s">
        <v>572</v>
      </c>
      <c r="C46" s="1678"/>
      <c r="D46" s="1678"/>
      <c r="E46" s="1678"/>
      <c r="F46" s="1678"/>
      <c r="G46" s="1678"/>
      <c r="H46" s="1678"/>
      <c r="I46" s="1678"/>
      <c r="J46" s="1679"/>
      <c r="K46" s="1009"/>
      <c r="L46" s="1009"/>
      <c r="M46" s="1009"/>
      <c r="N46" s="1010">
        <f>'CORTE Y RELL'!E91</f>
        <v>1515.41</v>
      </c>
      <c r="O46" s="1011"/>
      <c r="P46" s="1009"/>
      <c r="Q46" s="908">
        <f>+N46</f>
        <v>1515.41</v>
      </c>
    </row>
    <row r="47" spans="2:19">
      <c r="B47" s="1581"/>
      <c r="C47" s="1582"/>
      <c r="D47" s="1582"/>
      <c r="E47" s="1582"/>
      <c r="F47" s="1582"/>
      <c r="G47" s="1582"/>
      <c r="H47" s="1582"/>
      <c r="I47" s="1582"/>
      <c r="J47" s="1583"/>
      <c r="K47" s="1009"/>
      <c r="L47" s="1009"/>
      <c r="M47" s="1009"/>
      <c r="N47" s="1010"/>
      <c r="O47" s="1011"/>
      <c r="P47" s="1009"/>
      <c r="Q47" s="908"/>
    </row>
    <row r="48" spans="2:19">
      <c r="B48" s="1581" t="s">
        <v>738</v>
      </c>
      <c r="C48" s="1582"/>
      <c r="D48" s="1582"/>
      <c r="E48" s="1582"/>
      <c r="F48" s="1582"/>
      <c r="G48" s="1582"/>
      <c r="H48" s="1582"/>
      <c r="I48" s="1582"/>
      <c r="J48" s="1583"/>
      <c r="K48" s="1009"/>
      <c r="L48" s="1009"/>
      <c r="M48" s="1009"/>
      <c r="N48" s="1010"/>
      <c r="O48" s="1011"/>
      <c r="P48" s="1009"/>
      <c r="Q48" s="934"/>
    </row>
    <row r="49" spans="2:17" ht="13.8" thickBot="1">
      <c r="B49" s="1581"/>
      <c r="C49" s="1582"/>
      <c r="D49" s="1582"/>
      <c r="E49" s="1582"/>
      <c r="F49" s="1582"/>
      <c r="G49" s="1582"/>
      <c r="H49" s="1582"/>
      <c r="I49" s="1582"/>
      <c r="J49" s="1583"/>
      <c r="K49" s="1009"/>
      <c r="L49" s="1009"/>
      <c r="M49" s="1009"/>
      <c r="N49" s="1010"/>
      <c r="O49" s="1011"/>
      <c r="P49" s="1009"/>
      <c r="Q49" s="909"/>
    </row>
    <row r="50" spans="2:17" ht="12.9" customHeight="1" thickBot="1">
      <c r="B50" s="1592" t="s">
        <v>365</v>
      </c>
      <c r="C50" s="1593"/>
      <c r="D50" s="1593"/>
      <c r="E50" s="1593"/>
      <c r="F50" s="1593"/>
      <c r="G50" s="1593"/>
      <c r="H50" s="1593"/>
      <c r="I50" s="1593"/>
      <c r="J50" s="1593"/>
      <c r="K50" s="1593"/>
      <c r="L50" s="1593"/>
      <c r="M50" s="1593"/>
      <c r="N50" s="1593"/>
      <c r="O50" s="1593"/>
      <c r="P50" s="1594"/>
      <c r="Q50" s="935">
        <f>ROUND(SUM(Q46:Q46),0)</f>
        <v>1515</v>
      </c>
    </row>
    <row r="53" spans="2:17" ht="13.8" thickBot="1"/>
    <row r="54" spans="2:17" ht="13.8">
      <c r="B54" s="1624" t="s">
        <v>138</v>
      </c>
      <c r="C54" s="1625"/>
      <c r="D54" s="1626">
        <f>+PRESUPUESTO!C17</f>
        <v>220.1</v>
      </c>
      <c r="E54" s="1627"/>
      <c r="F54" s="1627"/>
      <c r="G54" s="1627"/>
      <c r="H54" s="1627"/>
      <c r="I54" s="1627"/>
      <c r="J54" s="1627"/>
      <c r="K54" s="1627"/>
      <c r="L54" s="1627"/>
      <c r="M54" s="1627"/>
      <c r="N54" s="1627"/>
      <c r="O54" s="1627"/>
      <c r="P54" s="1627"/>
      <c r="Q54" s="1628"/>
    </row>
    <row r="55" spans="2:17" ht="12.75" customHeight="1">
      <c r="B55" s="1610" t="s">
        <v>139</v>
      </c>
      <c r="C55" s="1611"/>
      <c r="D55" s="1601" t="str">
        <f>+PRESUPUESTO!D17</f>
        <v>Terraplenes</v>
      </c>
      <c r="E55" s="1602"/>
      <c r="F55" s="1602"/>
      <c r="G55" s="1602"/>
      <c r="H55" s="1602"/>
      <c r="I55" s="1602"/>
      <c r="J55" s="1602"/>
      <c r="K55" s="1602"/>
      <c r="L55" s="1602"/>
      <c r="M55" s="1602"/>
      <c r="N55" s="1602"/>
      <c r="O55" s="1602"/>
      <c r="P55" s="1602"/>
      <c r="Q55" s="1603"/>
    </row>
    <row r="56" spans="2:17" ht="13.8">
      <c r="B56" s="1610" t="s">
        <v>140</v>
      </c>
      <c r="C56" s="1611"/>
      <c r="D56" s="1601" t="str">
        <f>+PRESUPUESTO!E17</f>
        <v>M3</v>
      </c>
      <c r="E56" s="1602"/>
      <c r="F56" s="1602"/>
      <c r="G56" s="1602"/>
      <c r="H56" s="1602"/>
      <c r="I56" s="1602"/>
      <c r="J56" s="1602"/>
      <c r="K56" s="1602"/>
      <c r="L56" s="1602"/>
      <c r="M56" s="1602"/>
      <c r="N56" s="1602"/>
      <c r="O56" s="1602"/>
      <c r="P56" s="1602"/>
      <c r="Q56" s="1603"/>
    </row>
    <row r="57" spans="2:17">
      <c r="B57" s="666"/>
      <c r="C57" s="667"/>
      <c r="D57" s="667"/>
      <c r="E57" s="667"/>
      <c r="F57" s="667"/>
      <c r="G57" s="667"/>
      <c r="H57" s="667"/>
      <c r="I57" s="667"/>
      <c r="J57" s="667"/>
      <c r="K57" s="667"/>
      <c r="L57" s="667"/>
      <c r="M57" s="667"/>
      <c r="N57" s="667"/>
      <c r="O57" s="667"/>
      <c r="P57" s="667"/>
      <c r="Q57" s="668"/>
    </row>
    <row r="58" spans="2:17" ht="26.4">
      <c r="B58" s="1612" t="s">
        <v>141</v>
      </c>
      <c r="C58" s="1613"/>
      <c r="D58" s="1613"/>
      <c r="E58" s="1613"/>
      <c r="F58" s="1613"/>
      <c r="G58" s="1613"/>
      <c r="H58" s="1613"/>
      <c r="I58" s="1613"/>
      <c r="J58" s="1614"/>
      <c r="K58" s="1009"/>
      <c r="L58" s="1009"/>
      <c r="M58" s="1009"/>
      <c r="N58" s="1009" t="s">
        <v>460</v>
      </c>
      <c r="O58" s="1009"/>
      <c r="P58" s="1009"/>
      <c r="Q58" s="1057" t="s">
        <v>145</v>
      </c>
    </row>
    <row r="59" spans="2:17">
      <c r="B59" s="1578" t="s">
        <v>577</v>
      </c>
      <c r="C59" s="1579"/>
      <c r="D59" s="1579"/>
      <c r="E59" s="1579"/>
      <c r="F59" s="1579"/>
      <c r="G59" s="1579"/>
      <c r="H59" s="1579"/>
      <c r="I59" s="1579"/>
      <c r="J59" s="1580"/>
      <c r="K59" s="1011"/>
      <c r="L59" s="1009"/>
      <c r="M59" s="1009"/>
      <c r="N59" s="1010">
        <f>'CORTE Y RELL'!D91</f>
        <v>14.480000000000002</v>
      </c>
      <c r="O59" s="1011"/>
      <c r="P59" s="1009"/>
      <c r="Q59" s="908">
        <f>+N59</f>
        <v>14.480000000000002</v>
      </c>
    </row>
    <row r="60" spans="2:17">
      <c r="B60" s="1578"/>
      <c r="C60" s="1579"/>
      <c r="D60" s="1579"/>
      <c r="E60" s="1579"/>
      <c r="F60" s="1579"/>
      <c r="G60" s="1579"/>
      <c r="H60" s="1579"/>
      <c r="I60" s="1579"/>
      <c r="J60" s="1580"/>
      <c r="K60" s="1009"/>
      <c r="L60" s="1009"/>
      <c r="M60" s="1009"/>
      <c r="N60" s="1010">
        <f>'CORTE Y RELL'!D92</f>
        <v>127.94999999999999</v>
      </c>
      <c r="O60" s="1011"/>
      <c r="P60" s="1009"/>
      <c r="Q60" s="908">
        <f>N60</f>
        <v>127.94999999999999</v>
      </c>
    </row>
    <row r="61" spans="2:17">
      <c r="B61" s="1615"/>
      <c r="C61" s="1616"/>
      <c r="D61" s="1616"/>
      <c r="E61" s="1616"/>
      <c r="F61" s="1616"/>
      <c r="G61" s="1616"/>
      <c r="H61" s="1616"/>
      <c r="I61" s="1616"/>
      <c r="J61" s="1617"/>
      <c r="K61" s="1009"/>
      <c r="L61" s="1009"/>
      <c r="M61" s="1009"/>
      <c r="N61" s="1010"/>
      <c r="O61" s="1011"/>
      <c r="P61" s="1009"/>
      <c r="Q61" s="908"/>
    </row>
    <row r="62" spans="2:17">
      <c r="B62" s="1618"/>
      <c r="C62" s="1619"/>
      <c r="D62" s="1619"/>
      <c r="E62" s="1619"/>
      <c r="F62" s="1619"/>
      <c r="G62" s="1619"/>
      <c r="H62" s="1619"/>
      <c r="I62" s="1619"/>
      <c r="J62" s="1620"/>
      <c r="K62" s="1009"/>
      <c r="L62" s="1009"/>
      <c r="M62" s="1009"/>
      <c r="N62" s="1010"/>
      <c r="O62" s="1011"/>
      <c r="P62" s="1009"/>
      <c r="Q62" s="908"/>
    </row>
    <row r="63" spans="2:17">
      <c r="B63" s="1618"/>
      <c r="C63" s="1619"/>
      <c r="D63" s="1619"/>
      <c r="E63" s="1619"/>
      <c r="F63" s="1619"/>
      <c r="G63" s="1619"/>
      <c r="H63" s="1619"/>
      <c r="I63" s="1619"/>
      <c r="J63" s="1620"/>
      <c r="K63" s="1009"/>
      <c r="L63" s="1009"/>
      <c r="M63" s="1009"/>
      <c r="N63" s="1010"/>
      <c r="O63" s="1011"/>
      <c r="P63" s="1009"/>
      <c r="Q63" s="908"/>
    </row>
    <row r="64" spans="2:17">
      <c r="B64" s="1618"/>
      <c r="C64" s="1619"/>
      <c r="D64" s="1619"/>
      <c r="E64" s="1619"/>
      <c r="F64" s="1619"/>
      <c r="G64" s="1619"/>
      <c r="H64" s="1619"/>
      <c r="I64" s="1619"/>
      <c r="J64" s="1620"/>
      <c r="K64" s="1009"/>
      <c r="L64" s="1009"/>
      <c r="M64" s="1009"/>
      <c r="N64" s="1010"/>
      <c r="O64" s="1011"/>
      <c r="P64" s="1009"/>
      <c r="Q64" s="908"/>
    </row>
    <row r="65" spans="2:17">
      <c r="B65" s="1618"/>
      <c r="C65" s="1619"/>
      <c r="D65" s="1619"/>
      <c r="E65" s="1619"/>
      <c r="F65" s="1619"/>
      <c r="G65" s="1619"/>
      <c r="H65" s="1619"/>
      <c r="I65" s="1619"/>
      <c r="J65" s="1620"/>
      <c r="K65" s="1009"/>
      <c r="L65" s="1009"/>
      <c r="M65" s="1009"/>
      <c r="N65" s="1010"/>
      <c r="O65" s="1011"/>
      <c r="P65" s="1009"/>
      <c r="Q65" s="908"/>
    </row>
    <row r="66" spans="2:17">
      <c r="B66" s="1618"/>
      <c r="C66" s="1619"/>
      <c r="D66" s="1619"/>
      <c r="E66" s="1619"/>
      <c r="F66" s="1619"/>
      <c r="G66" s="1619"/>
      <c r="H66" s="1619"/>
      <c r="I66" s="1619"/>
      <c r="J66" s="1620"/>
      <c r="K66" s="1009"/>
      <c r="L66" s="1009"/>
      <c r="M66" s="1009"/>
      <c r="N66" s="1010"/>
      <c r="O66" s="1011"/>
      <c r="P66" s="1009"/>
      <c r="Q66" s="908"/>
    </row>
    <row r="67" spans="2:17">
      <c r="B67" s="1618"/>
      <c r="C67" s="1619"/>
      <c r="D67" s="1619"/>
      <c r="E67" s="1619"/>
      <c r="F67" s="1619"/>
      <c r="G67" s="1619"/>
      <c r="H67" s="1619"/>
      <c r="I67" s="1619"/>
      <c r="J67" s="1620"/>
      <c r="K67" s="1009"/>
      <c r="L67" s="1009"/>
      <c r="M67" s="1009"/>
      <c r="N67" s="1010"/>
      <c r="O67" s="1011"/>
      <c r="P67" s="1009"/>
      <c r="Q67" s="908"/>
    </row>
    <row r="68" spans="2:17">
      <c r="B68" s="1618"/>
      <c r="C68" s="1619"/>
      <c r="D68" s="1619"/>
      <c r="E68" s="1619"/>
      <c r="F68" s="1619"/>
      <c r="G68" s="1619"/>
      <c r="H68" s="1619"/>
      <c r="I68" s="1619"/>
      <c r="J68" s="1620"/>
      <c r="K68" s="1009"/>
      <c r="L68" s="1009"/>
      <c r="M68" s="1009"/>
      <c r="N68" s="1010"/>
      <c r="O68" s="1011"/>
      <c r="P68" s="1009"/>
      <c r="Q68" s="908"/>
    </row>
    <row r="69" spans="2:17">
      <c r="B69" s="1618"/>
      <c r="C69" s="1619"/>
      <c r="D69" s="1619"/>
      <c r="E69" s="1619"/>
      <c r="F69" s="1619"/>
      <c r="G69" s="1619"/>
      <c r="H69" s="1619"/>
      <c r="I69" s="1619"/>
      <c r="J69" s="1620"/>
      <c r="K69" s="1009"/>
      <c r="L69" s="1009"/>
      <c r="M69" s="1009"/>
      <c r="N69" s="1010"/>
      <c r="O69" s="1011"/>
      <c r="P69" s="1009"/>
      <c r="Q69" s="908"/>
    </row>
    <row r="70" spans="2:17">
      <c r="B70" s="1621"/>
      <c r="C70" s="1622"/>
      <c r="D70" s="1622"/>
      <c r="E70" s="1622"/>
      <c r="F70" s="1622"/>
      <c r="G70" s="1622"/>
      <c r="H70" s="1622"/>
      <c r="I70" s="1622"/>
      <c r="J70" s="1623"/>
      <c r="K70" s="1011"/>
      <c r="L70" s="1011"/>
      <c r="M70" s="1011"/>
      <c r="N70" s="1010"/>
      <c r="O70" s="1011"/>
      <c r="P70" s="1009"/>
      <c r="Q70" s="934"/>
    </row>
    <row r="71" spans="2:17">
      <c r="B71" s="1581" t="s">
        <v>737</v>
      </c>
      <c r="C71" s="1582"/>
      <c r="D71" s="1582"/>
      <c r="E71" s="1582"/>
      <c r="F71" s="1582"/>
      <c r="G71" s="1582"/>
      <c r="H71" s="1582"/>
      <c r="I71" s="1582"/>
      <c r="J71" s="1583"/>
      <c r="K71" s="1009"/>
      <c r="L71" s="1009"/>
      <c r="M71" s="1009"/>
      <c r="N71" s="1010"/>
      <c r="O71" s="1011"/>
      <c r="P71" s="1009"/>
      <c r="Q71" s="908"/>
    </row>
    <row r="72" spans="2:17" ht="13.8" thickBot="1">
      <c r="B72" s="1629"/>
      <c r="C72" s="1630"/>
      <c r="D72" s="1630"/>
      <c r="E72" s="1630"/>
      <c r="F72" s="1630"/>
      <c r="G72" s="1630"/>
      <c r="H72" s="1630"/>
      <c r="I72" s="1630"/>
      <c r="J72" s="1630"/>
      <c r="K72" s="1630"/>
      <c r="L72" s="1630"/>
      <c r="M72" s="1630"/>
      <c r="N72" s="1630"/>
      <c r="O72" s="1630"/>
      <c r="P72" s="1630"/>
      <c r="Q72" s="1631"/>
    </row>
    <row r="73" spans="2:17" ht="13.8" thickBot="1">
      <c r="B73" s="1592" t="s">
        <v>365</v>
      </c>
      <c r="C73" s="1593"/>
      <c r="D73" s="1593"/>
      <c r="E73" s="1593"/>
      <c r="F73" s="1593"/>
      <c r="G73" s="1593"/>
      <c r="H73" s="1593"/>
      <c r="I73" s="1593"/>
      <c r="J73" s="1593"/>
      <c r="K73" s="1593"/>
      <c r="L73" s="1593"/>
      <c r="M73" s="1593"/>
      <c r="N73" s="1593"/>
      <c r="O73" s="1593"/>
      <c r="P73" s="1594"/>
      <c r="Q73" s="1061">
        <f>ROUND(SUM(Q59:Q69),0)</f>
        <v>142</v>
      </c>
    </row>
    <row r="76" spans="2:17" ht="13.8" thickBot="1"/>
    <row r="77" spans="2:17" ht="13.8">
      <c r="B77" s="1624" t="s">
        <v>138</v>
      </c>
      <c r="C77" s="1625"/>
      <c r="D77" s="1626">
        <f>+PRESUPUESTO!C18</f>
        <v>320.3</v>
      </c>
      <c r="E77" s="1627"/>
      <c r="F77" s="1627"/>
      <c r="G77" s="1627"/>
      <c r="H77" s="1627"/>
      <c r="I77" s="1627"/>
      <c r="J77" s="1627"/>
      <c r="K77" s="1627"/>
      <c r="L77" s="1627"/>
      <c r="M77" s="1627"/>
      <c r="N77" s="1627"/>
      <c r="O77" s="1627"/>
      <c r="P77" s="1627"/>
      <c r="Q77" s="1628"/>
    </row>
    <row r="78" spans="2:17" ht="13.8">
      <c r="B78" s="1709" t="s">
        <v>139</v>
      </c>
      <c r="C78" s="1710"/>
      <c r="D78" s="1601" t="str">
        <f>+PRESUPUESTO!D18</f>
        <v>Sub Base Granular tipo C</v>
      </c>
      <c r="E78" s="1602"/>
      <c r="F78" s="1602"/>
      <c r="G78" s="1602"/>
      <c r="H78" s="1602"/>
      <c r="I78" s="1602"/>
      <c r="J78" s="1602"/>
      <c r="K78" s="1602"/>
      <c r="L78" s="1602"/>
      <c r="M78" s="1602"/>
      <c r="N78" s="1602"/>
      <c r="O78" s="1602"/>
      <c r="P78" s="1602"/>
      <c r="Q78" s="1603"/>
    </row>
    <row r="79" spans="2:17" ht="13.8">
      <c r="B79" s="1709" t="s">
        <v>140</v>
      </c>
      <c r="C79" s="1710"/>
      <c r="D79" s="1601" t="str">
        <f>+PRESUPUESTO!E18</f>
        <v>M3</v>
      </c>
      <c r="E79" s="1602"/>
      <c r="F79" s="1602"/>
      <c r="G79" s="1602"/>
      <c r="H79" s="1602"/>
      <c r="I79" s="1602"/>
      <c r="J79" s="1602"/>
      <c r="K79" s="1602"/>
      <c r="L79" s="1602"/>
      <c r="M79" s="1602"/>
      <c r="N79" s="1602"/>
      <c r="O79" s="1602"/>
      <c r="P79" s="1602"/>
      <c r="Q79" s="1603"/>
    </row>
    <row r="80" spans="2:17">
      <c r="B80" s="666"/>
      <c r="C80" s="667"/>
      <c r="D80" s="667"/>
      <c r="E80" s="667"/>
      <c r="F80" s="667"/>
      <c r="G80" s="667"/>
      <c r="H80" s="667"/>
      <c r="I80" s="667"/>
      <c r="J80" s="667"/>
      <c r="K80" s="667"/>
      <c r="L80" s="667"/>
      <c r="M80" s="667"/>
      <c r="N80" s="667"/>
      <c r="O80" s="667"/>
      <c r="P80" s="667"/>
      <c r="Q80" s="668"/>
    </row>
    <row r="81" spans="2:17" ht="26.4">
      <c r="B81" s="1612" t="s">
        <v>141</v>
      </c>
      <c r="C81" s="1613"/>
      <c r="D81" s="1613"/>
      <c r="E81" s="1613"/>
      <c r="F81" s="1613"/>
      <c r="G81" s="1613"/>
      <c r="H81" s="1613"/>
      <c r="I81" s="1613"/>
      <c r="J81" s="1614"/>
      <c r="K81" s="669" t="s">
        <v>538</v>
      </c>
      <c r="L81" s="669" t="s">
        <v>435</v>
      </c>
      <c r="M81" s="669" t="s">
        <v>452</v>
      </c>
      <c r="N81" s="669" t="s">
        <v>460</v>
      </c>
      <c r="O81" s="669"/>
      <c r="P81" s="669"/>
      <c r="Q81" s="670" t="s">
        <v>145</v>
      </c>
    </row>
    <row r="82" spans="2:17">
      <c r="B82" s="1578" t="s">
        <v>528</v>
      </c>
      <c r="C82" s="1579"/>
      <c r="D82" s="1579"/>
      <c r="E82" s="1579"/>
      <c r="F82" s="1579"/>
      <c r="G82" s="1579"/>
      <c r="H82" s="1579"/>
      <c r="I82" s="1579"/>
      <c r="J82" s="1580"/>
      <c r="K82" s="680">
        <f>+F6</f>
        <v>853</v>
      </c>
      <c r="L82" s="680">
        <v>6</v>
      </c>
      <c r="M82" s="680">
        <f>0.15</f>
        <v>0.15</v>
      </c>
      <c r="N82" s="680">
        <f>+K82*L82*M82</f>
        <v>767.69999999999993</v>
      </c>
      <c r="O82" s="671"/>
      <c r="P82" s="669"/>
      <c r="Q82" s="678">
        <f>+N82</f>
        <v>767.69999999999993</v>
      </c>
    </row>
    <row r="83" spans="2:17">
      <c r="B83" s="1578"/>
      <c r="C83" s="1579"/>
      <c r="D83" s="1579"/>
      <c r="E83" s="1579"/>
      <c r="F83" s="1579"/>
      <c r="G83" s="1579"/>
      <c r="H83" s="1579"/>
      <c r="I83" s="1579"/>
      <c r="J83" s="1580"/>
      <c r="K83" s="680"/>
      <c r="L83" s="680"/>
      <c r="M83" s="680"/>
      <c r="N83" s="680"/>
      <c r="O83" s="671"/>
      <c r="P83" s="669"/>
      <c r="Q83" s="678"/>
    </row>
    <row r="84" spans="2:17">
      <c r="B84" s="1578"/>
      <c r="C84" s="1579"/>
      <c r="D84" s="1579"/>
      <c r="E84" s="1579"/>
      <c r="F84" s="1579"/>
      <c r="G84" s="1579"/>
      <c r="H84" s="1579"/>
      <c r="I84" s="1579"/>
      <c r="J84" s="1580"/>
      <c r="K84" s="680"/>
      <c r="L84" s="680"/>
      <c r="M84" s="680"/>
      <c r="N84" s="680"/>
      <c r="O84" s="671"/>
      <c r="P84" s="669"/>
      <c r="Q84" s="678"/>
    </row>
    <row r="85" spans="2:17">
      <c r="B85" s="1581"/>
      <c r="C85" s="1582"/>
      <c r="D85" s="1582"/>
      <c r="E85" s="1582"/>
      <c r="F85" s="1582"/>
      <c r="G85" s="1582"/>
      <c r="H85" s="1582"/>
      <c r="I85" s="1582"/>
      <c r="J85" s="1583"/>
      <c r="K85" s="669"/>
      <c r="L85" s="669"/>
      <c r="M85" s="669"/>
      <c r="N85" s="680"/>
      <c r="O85" s="671"/>
      <c r="P85" s="669"/>
      <c r="Q85" s="678"/>
    </row>
    <row r="86" spans="2:17" ht="13.8" thickBot="1">
      <c r="B86" s="1581"/>
      <c r="C86" s="1582"/>
      <c r="D86" s="1582"/>
      <c r="E86" s="1582"/>
      <c r="F86" s="1582"/>
      <c r="G86" s="1582"/>
      <c r="H86" s="1582"/>
      <c r="I86" s="1582"/>
      <c r="J86" s="1583"/>
      <c r="K86" s="671"/>
      <c r="L86" s="671"/>
      <c r="M86" s="671"/>
      <c r="N86" s="680"/>
      <c r="O86" s="1011"/>
      <c r="P86" s="1009"/>
      <c r="Q86" s="909"/>
    </row>
    <row r="87" spans="2:17" ht="13.5" customHeight="1" thickBot="1">
      <c r="B87" s="1604" t="s">
        <v>365</v>
      </c>
      <c r="C87" s="1605"/>
      <c r="D87" s="1605"/>
      <c r="E87" s="1605"/>
      <c r="F87" s="1605"/>
      <c r="G87" s="1605"/>
      <c r="H87" s="1605"/>
      <c r="I87" s="1605"/>
      <c r="J87" s="1605"/>
      <c r="K87" s="1605"/>
      <c r="L87" s="1605"/>
      <c r="M87" s="1605"/>
      <c r="N87" s="1605"/>
      <c r="O87" s="1605"/>
      <c r="P87" s="1606"/>
      <c r="Q87" s="935">
        <f>ROUND(SUM(Q82:Q84),0)</f>
        <v>768</v>
      </c>
    </row>
    <row r="88" spans="2:17">
      <c r="B88" s="692"/>
      <c r="C88" s="692"/>
      <c r="D88" s="692"/>
      <c r="E88" s="692"/>
      <c r="F88" s="692"/>
      <c r="G88" s="692"/>
      <c r="H88" s="692"/>
      <c r="I88" s="692"/>
      <c r="J88" s="692"/>
      <c r="K88" s="693"/>
      <c r="L88" s="693"/>
      <c r="M88" s="693"/>
      <c r="N88" s="693"/>
      <c r="O88" s="694"/>
      <c r="P88" s="694"/>
      <c r="Q88" s="695"/>
    </row>
    <row r="89" spans="2:17" ht="13.8" thickBot="1"/>
    <row r="90" spans="2:17" ht="13.8">
      <c r="B90" s="1624" t="s">
        <v>138</v>
      </c>
      <c r="C90" s="1625"/>
      <c r="D90" s="1626">
        <f>PRESUPUESTO!C19</f>
        <v>630.29999999999995</v>
      </c>
      <c r="E90" s="1627"/>
      <c r="F90" s="1627"/>
      <c r="G90" s="1627"/>
      <c r="H90" s="1627"/>
      <c r="I90" s="1627"/>
      <c r="J90" s="1627"/>
      <c r="K90" s="1627"/>
      <c r="L90" s="1627"/>
      <c r="M90" s="1627"/>
      <c r="N90" s="1627"/>
      <c r="O90" s="1627"/>
      <c r="P90" s="1627"/>
      <c r="Q90" s="1628"/>
    </row>
    <row r="91" spans="2:17" ht="13.8">
      <c r="B91" s="1610" t="s">
        <v>139</v>
      </c>
      <c r="C91" s="1611"/>
      <c r="D91" s="1601" t="str">
        <f>PRESUPUESTO!D19</f>
        <v>Placa de pavimento en concreto hidráulico MR2=4,0 Mpa (40Kg/cm2)</v>
      </c>
      <c r="E91" s="1602"/>
      <c r="F91" s="1602"/>
      <c r="G91" s="1602"/>
      <c r="H91" s="1602"/>
      <c r="I91" s="1602"/>
      <c r="J91" s="1602"/>
      <c r="K91" s="1602"/>
      <c r="L91" s="1602"/>
      <c r="M91" s="1602"/>
      <c r="N91" s="1602"/>
      <c r="O91" s="1602"/>
      <c r="P91" s="1602"/>
      <c r="Q91" s="1603"/>
    </row>
    <row r="92" spans="2:17" ht="13.8">
      <c r="B92" s="1610" t="s">
        <v>140</v>
      </c>
      <c r="C92" s="1611"/>
      <c r="D92" s="1601" t="str">
        <f>PRESUPUESTO!E19</f>
        <v>M3</v>
      </c>
      <c r="E92" s="1602"/>
      <c r="F92" s="1602"/>
      <c r="G92" s="1602"/>
      <c r="H92" s="1602"/>
      <c r="I92" s="1602"/>
      <c r="J92" s="1602"/>
      <c r="K92" s="1602"/>
      <c r="L92" s="1602"/>
      <c r="M92" s="1602"/>
      <c r="N92" s="1602"/>
      <c r="O92" s="1602"/>
      <c r="P92" s="1602"/>
      <c r="Q92" s="1603"/>
    </row>
    <row r="93" spans="2:17">
      <c r="B93" s="666"/>
      <c r="C93" s="667"/>
      <c r="D93" s="667"/>
      <c r="E93" s="667"/>
      <c r="F93" s="667"/>
      <c r="G93" s="667"/>
      <c r="H93" s="667"/>
      <c r="I93" s="667"/>
      <c r="J93" s="667"/>
      <c r="K93" s="667"/>
      <c r="L93" s="667"/>
      <c r="M93" s="667"/>
      <c r="N93" s="667"/>
      <c r="O93" s="667"/>
      <c r="P93" s="667"/>
      <c r="Q93" s="668"/>
    </row>
    <row r="94" spans="2:17" ht="26.4">
      <c r="B94" s="1612" t="s">
        <v>141</v>
      </c>
      <c r="C94" s="1613"/>
      <c r="D94" s="1613"/>
      <c r="E94" s="1613"/>
      <c r="F94" s="1613"/>
      <c r="G94" s="1613"/>
      <c r="H94" s="1613"/>
      <c r="I94" s="1613"/>
      <c r="J94" s="1614"/>
      <c r="K94" s="1472" t="s">
        <v>142</v>
      </c>
      <c r="L94" s="1472" t="s">
        <v>143</v>
      </c>
      <c r="M94" s="1472" t="s">
        <v>452</v>
      </c>
      <c r="N94" s="1472" t="s">
        <v>460</v>
      </c>
      <c r="O94" s="1472"/>
      <c r="P94" s="1472"/>
      <c r="Q94" s="1473" t="s">
        <v>145</v>
      </c>
    </row>
    <row r="95" spans="2:17">
      <c r="B95" s="1663" t="s">
        <v>528</v>
      </c>
      <c r="C95" s="1664"/>
      <c r="D95" s="1664"/>
      <c r="E95" s="1664"/>
      <c r="F95" s="1664"/>
      <c r="G95" s="1664"/>
      <c r="H95" s="1664"/>
      <c r="I95" s="1664"/>
      <c r="J95" s="1665"/>
      <c r="K95" s="1063">
        <f>+F6</f>
        <v>853</v>
      </c>
      <c r="L95" s="1063">
        <f>+$I$10</f>
        <v>6</v>
      </c>
      <c r="M95" s="1010">
        <v>0.25</v>
      </c>
      <c r="N95" s="1007">
        <f>K95*L95*M95</f>
        <v>1279.5</v>
      </c>
      <c r="O95" s="1011"/>
      <c r="P95" s="1011"/>
      <c r="Q95" s="908">
        <f>+N95</f>
        <v>1279.5</v>
      </c>
    </row>
    <row r="96" spans="2:17">
      <c r="B96" s="1427"/>
      <c r="C96" s="1428"/>
      <c r="D96" s="1428"/>
      <c r="E96" s="1428"/>
      <c r="F96" s="1428"/>
      <c r="G96" s="1428"/>
      <c r="H96" s="1637" t="s">
        <v>900</v>
      </c>
      <c r="I96" s="1637"/>
      <c r="J96" s="1637"/>
      <c r="K96" s="1474"/>
      <c r="L96" s="1474"/>
      <c r="M96" s="1475"/>
      <c r="N96" s="1574" t="s">
        <v>909</v>
      </c>
      <c r="O96" s="1574" t="s">
        <v>452</v>
      </c>
      <c r="P96" s="1576" t="s">
        <v>460</v>
      </c>
      <c r="Q96" s="908"/>
    </row>
    <row r="97" spans="2:18">
      <c r="B97" s="1427"/>
      <c r="C97" s="1428"/>
      <c r="D97" s="1428"/>
      <c r="E97" s="1428"/>
      <c r="F97" s="1428"/>
      <c r="G97" s="1428"/>
      <c r="H97" s="1637" t="s">
        <v>12</v>
      </c>
      <c r="I97" s="1637"/>
      <c r="J97" s="1470" t="s">
        <v>901</v>
      </c>
      <c r="K97" s="1474"/>
      <c r="L97" s="1474"/>
      <c r="M97" s="1475"/>
      <c r="N97" s="1575"/>
      <c r="O97" s="1575"/>
      <c r="P97" s="1577"/>
      <c r="Q97" s="908"/>
    </row>
    <row r="98" spans="2:18" ht="13.8">
      <c r="B98" s="1427"/>
      <c r="C98" s="1428"/>
      <c r="D98" s="1428"/>
      <c r="E98" s="1428"/>
      <c r="F98" s="1428"/>
      <c r="G98" s="1428"/>
      <c r="H98" s="1636" t="s">
        <v>906</v>
      </c>
      <c r="I98" s="1636"/>
      <c r="J98" s="1433" t="s">
        <v>893</v>
      </c>
      <c r="K98" s="1469"/>
      <c r="L98" s="1464"/>
      <c r="M98" s="1062"/>
      <c r="N98" s="1438">
        <v>6</v>
      </c>
      <c r="O98" s="1465">
        <v>0.25</v>
      </c>
      <c r="P98" s="1451">
        <f>N98*O98</f>
        <v>1.5</v>
      </c>
      <c r="Q98" s="908">
        <f>P98</f>
        <v>1.5</v>
      </c>
    </row>
    <row r="99" spans="2:18" ht="13.8">
      <c r="B99" s="1427"/>
      <c r="C99" s="1428"/>
      <c r="D99" s="1428"/>
      <c r="E99" s="1428"/>
      <c r="F99" s="1428"/>
      <c r="G99" s="1428"/>
      <c r="H99" s="1636" t="s">
        <v>907</v>
      </c>
      <c r="I99" s="1636"/>
      <c r="J99" s="1433" t="s">
        <v>894</v>
      </c>
      <c r="K99" s="1469"/>
      <c r="L99" s="1464"/>
      <c r="M99" s="1062"/>
      <c r="N99" s="1438">
        <v>3.5</v>
      </c>
      <c r="O99" s="1465">
        <v>0.25</v>
      </c>
      <c r="P99" s="1451">
        <f t="shared" ref="P99:P104" si="0">N99*O99</f>
        <v>0.875</v>
      </c>
      <c r="Q99" s="908">
        <f t="shared" ref="Q99:Q104" si="1">P99</f>
        <v>0.875</v>
      </c>
    </row>
    <row r="100" spans="2:18" ht="13.8">
      <c r="B100" s="1427"/>
      <c r="C100" s="1428"/>
      <c r="D100" s="1428"/>
      <c r="E100" s="1428"/>
      <c r="F100" s="1428"/>
      <c r="G100" s="1428"/>
      <c r="H100" s="1636" t="s">
        <v>907</v>
      </c>
      <c r="I100" s="1636"/>
      <c r="J100" s="1433" t="s">
        <v>895</v>
      </c>
      <c r="K100" s="1469"/>
      <c r="L100" s="1464"/>
      <c r="M100" s="1062"/>
      <c r="N100" s="1438">
        <v>3.5</v>
      </c>
      <c r="O100" s="1465">
        <v>0.25</v>
      </c>
      <c r="P100" s="1451">
        <f t="shared" si="0"/>
        <v>0.875</v>
      </c>
      <c r="Q100" s="908">
        <f t="shared" si="1"/>
        <v>0.875</v>
      </c>
    </row>
    <row r="101" spans="2:18" ht="13.8">
      <c r="B101" s="1427"/>
      <c r="C101" s="1428"/>
      <c r="D101" s="1428"/>
      <c r="E101" s="1428"/>
      <c r="F101" s="1428"/>
      <c r="G101" s="1428"/>
      <c r="H101" s="1636" t="s">
        <v>907</v>
      </c>
      <c r="I101" s="1636"/>
      <c r="J101" s="1433" t="s">
        <v>896</v>
      </c>
      <c r="K101" s="1469"/>
      <c r="L101" s="1464"/>
      <c r="M101" s="1062"/>
      <c r="N101" s="1438">
        <v>3.5</v>
      </c>
      <c r="O101" s="1465">
        <v>0.25</v>
      </c>
      <c r="P101" s="1451">
        <f t="shared" si="0"/>
        <v>0.875</v>
      </c>
      <c r="Q101" s="908">
        <f t="shared" si="1"/>
        <v>0.875</v>
      </c>
    </row>
    <row r="102" spans="2:18" ht="13.8">
      <c r="B102" s="1427"/>
      <c r="C102" s="1428"/>
      <c r="D102" s="1428"/>
      <c r="E102" s="1428"/>
      <c r="F102" s="1428"/>
      <c r="G102" s="1428"/>
      <c r="H102" s="1636" t="s">
        <v>907</v>
      </c>
      <c r="I102" s="1636"/>
      <c r="J102" s="1433" t="s">
        <v>897</v>
      </c>
      <c r="K102" s="1469"/>
      <c r="L102" s="1464"/>
      <c r="M102" s="1062"/>
      <c r="N102" s="1438">
        <v>3.5</v>
      </c>
      <c r="O102" s="1465">
        <v>0.25</v>
      </c>
      <c r="P102" s="1451">
        <f t="shared" si="0"/>
        <v>0.875</v>
      </c>
      <c r="Q102" s="908">
        <f t="shared" si="1"/>
        <v>0.875</v>
      </c>
    </row>
    <row r="103" spans="2:18" ht="13.8">
      <c r="B103" s="1466"/>
      <c r="C103" s="1467"/>
      <c r="D103" s="1467"/>
      <c r="E103" s="1467"/>
      <c r="F103" s="1467"/>
      <c r="G103" s="1467"/>
      <c r="H103" s="1636" t="s">
        <v>907</v>
      </c>
      <c r="I103" s="1636"/>
      <c r="J103" s="1433" t="s">
        <v>898</v>
      </c>
      <c r="K103" s="1469"/>
      <c r="L103" s="1063"/>
      <c r="M103" s="1062"/>
      <c r="N103" s="1438">
        <v>3.5</v>
      </c>
      <c r="O103" s="1465">
        <v>0.25</v>
      </c>
      <c r="P103" s="1451">
        <f t="shared" si="0"/>
        <v>0.875</v>
      </c>
      <c r="Q103" s="908">
        <f t="shared" si="1"/>
        <v>0.875</v>
      </c>
    </row>
    <row r="104" spans="2:18" ht="13.8">
      <c r="B104" s="1466"/>
      <c r="C104" s="1467"/>
      <c r="D104" s="1467"/>
      <c r="E104" s="1467"/>
      <c r="F104" s="1467"/>
      <c r="G104" s="1467"/>
      <c r="H104" s="1636" t="s">
        <v>908</v>
      </c>
      <c r="I104" s="1636"/>
      <c r="J104" s="1433" t="s">
        <v>899</v>
      </c>
      <c r="K104" s="1469"/>
      <c r="L104" s="1063"/>
      <c r="M104" s="1062"/>
      <c r="N104" s="1438">
        <f>2.63*2</f>
        <v>5.26</v>
      </c>
      <c r="O104" s="1465">
        <v>0.25</v>
      </c>
      <c r="P104" s="1451">
        <f t="shared" si="0"/>
        <v>1.3149999999999999</v>
      </c>
      <c r="Q104" s="908">
        <f t="shared" si="1"/>
        <v>1.3149999999999999</v>
      </c>
    </row>
    <row r="105" spans="2:18">
      <c r="B105" s="1466"/>
      <c r="C105" s="1467"/>
      <c r="D105" s="1467"/>
      <c r="E105" s="1467"/>
      <c r="F105" s="1467"/>
      <c r="G105" s="1467"/>
      <c r="H105" s="1467"/>
      <c r="I105" s="1467"/>
      <c r="J105" s="1468"/>
      <c r="K105" s="1064"/>
      <c r="L105" s="1063"/>
      <c r="M105" s="1011"/>
      <c r="N105" s="1471"/>
      <c r="O105" s="1011"/>
      <c r="P105" s="1009"/>
      <c r="Q105" s="908"/>
    </row>
    <row r="106" spans="2:18" ht="13.8" thickBot="1">
      <c r="B106" s="1578"/>
      <c r="C106" s="1579"/>
      <c r="D106" s="1579"/>
      <c r="E106" s="1579"/>
      <c r="F106" s="1579"/>
      <c r="G106" s="1579"/>
      <c r="H106" s="1579"/>
      <c r="I106" s="1579"/>
      <c r="J106" s="1579"/>
      <c r="K106" s="1579"/>
      <c r="L106" s="1579"/>
      <c r="M106" s="1579"/>
      <c r="N106" s="1580"/>
      <c r="O106" s="1658"/>
      <c r="P106" s="1658"/>
      <c r="Q106" s="1065"/>
    </row>
    <row r="107" spans="2:18" ht="13.8" thickBot="1">
      <c r="B107" s="1654" t="s">
        <v>365</v>
      </c>
      <c r="C107" s="1655"/>
      <c r="D107" s="1655"/>
      <c r="E107" s="1655"/>
      <c r="F107" s="1655"/>
      <c r="G107" s="1655"/>
      <c r="H107" s="1655"/>
      <c r="I107" s="1655"/>
      <c r="J107" s="1655"/>
      <c r="K107" s="1655"/>
      <c r="L107" s="1655"/>
      <c r="M107" s="1655"/>
      <c r="N107" s="1655"/>
      <c r="O107" s="1655"/>
      <c r="P107" s="1656"/>
      <c r="Q107" s="935">
        <f>ROUND(SUM(Q95:Q106),0)</f>
        <v>1287</v>
      </c>
    </row>
    <row r="111" spans="2:18" ht="13.8" thickBot="1"/>
    <row r="112" spans="2:18" ht="14.4" thickBot="1">
      <c r="B112" s="1690" t="s">
        <v>523</v>
      </c>
      <c r="C112" s="1691"/>
      <c r="D112" s="1691"/>
      <c r="E112" s="1691"/>
      <c r="F112" s="1691"/>
      <c r="G112" s="1691"/>
      <c r="H112" s="1691"/>
      <c r="I112" s="1691"/>
      <c r="J112" s="1691"/>
      <c r="K112" s="1691"/>
      <c r="L112" s="1691"/>
      <c r="M112" s="1691"/>
      <c r="N112" s="1691"/>
      <c r="O112" s="1691"/>
      <c r="P112" s="1682"/>
      <c r="Q112" s="1683"/>
      <c r="R112" s="1684"/>
    </row>
    <row r="113" spans="2:18" ht="40.200000000000003" thickBot="1">
      <c r="B113" s="1590" t="s">
        <v>12</v>
      </c>
      <c r="C113" s="1591"/>
      <c r="D113" s="1591"/>
      <c r="E113" s="1446" t="s">
        <v>407</v>
      </c>
      <c r="F113" s="1447" t="s">
        <v>364</v>
      </c>
      <c r="G113" s="1447" t="s">
        <v>398</v>
      </c>
      <c r="H113" s="1448" t="s">
        <v>142</v>
      </c>
      <c r="I113" s="1448" t="s">
        <v>435</v>
      </c>
      <c r="J113" s="1449" t="s">
        <v>439</v>
      </c>
      <c r="K113" s="1449" t="s">
        <v>436</v>
      </c>
      <c r="L113" s="1449" t="s">
        <v>440</v>
      </c>
      <c r="M113" s="1449" t="s">
        <v>437</v>
      </c>
      <c r="N113" s="1449" t="s">
        <v>441</v>
      </c>
      <c r="O113" s="1450" t="s">
        <v>438</v>
      </c>
      <c r="P113" s="1538"/>
      <c r="Q113" s="1538"/>
      <c r="R113" s="1685"/>
    </row>
    <row r="114" spans="2:18" ht="13.5" customHeight="1" thickBot="1">
      <c r="B114" s="1607"/>
      <c r="C114" s="1608"/>
      <c r="D114" s="1608"/>
      <c r="E114" s="1608"/>
      <c r="F114" s="1608"/>
      <c r="G114" s="1608"/>
      <c r="H114" s="1608"/>
      <c r="I114" s="1608"/>
      <c r="J114" s="1608"/>
      <c r="K114" s="1608"/>
      <c r="L114" s="1608"/>
      <c r="M114" s="1608"/>
      <c r="N114" s="1608"/>
      <c r="O114" s="1609"/>
      <c r="P114" s="1538"/>
      <c r="Q114" s="1538"/>
      <c r="R114" s="1685"/>
    </row>
    <row r="115" spans="2:18" ht="14.4">
      <c r="B115" s="1595" t="s">
        <v>457</v>
      </c>
      <c r="C115" s="1596"/>
      <c r="D115" s="1597"/>
      <c r="E115" s="1461" t="str">
        <f>+C6</f>
        <v>TRAMO 1</v>
      </c>
      <c r="F115" s="1462" t="str">
        <f>+D6</f>
        <v>K0+000</v>
      </c>
      <c r="G115" s="1434" t="str">
        <f>+E6</f>
        <v>K0+853</v>
      </c>
      <c r="H115" s="1434">
        <f>+F6</f>
        <v>853</v>
      </c>
      <c r="I115" s="1435">
        <f>+L95</f>
        <v>6</v>
      </c>
      <c r="J115" s="1436">
        <v>4</v>
      </c>
      <c r="K115" s="1436">
        <v>0.99</v>
      </c>
      <c r="L115" s="1436">
        <v>1.2</v>
      </c>
      <c r="M115" s="1436">
        <f>ROUND(H115/L115,0)+1</f>
        <v>712</v>
      </c>
      <c r="N115" s="1436">
        <v>0.85</v>
      </c>
      <c r="O115" s="1463">
        <f t="shared" ref="O115" si="2">+K115*M115*N115</f>
        <v>599.14800000000002</v>
      </c>
      <c r="P115" s="1538"/>
      <c r="Q115" s="1538"/>
      <c r="R115" s="1685"/>
    </row>
    <row r="116" spans="2:18" ht="14.4">
      <c r="B116" s="1595"/>
      <c r="C116" s="1596"/>
      <c r="D116" s="1597"/>
      <c r="E116" s="1649" t="s">
        <v>905</v>
      </c>
      <c r="F116" s="1650"/>
      <c r="G116" s="1650"/>
      <c r="H116" s="1650"/>
      <c r="I116" s="1650"/>
      <c r="J116" s="1650"/>
      <c r="K116" s="1650"/>
      <c r="L116" s="1650"/>
      <c r="M116" s="1650"/>
      <c r="N116" s="1650"/>
      <c r="O116" s="1651"/>
      <c r="P116" s="1538"/>
      <c r="Q116" s="1538"/>
      <c r="R116" s="1685"/>
    </row>
    <row r="117" spans="2:18" ht="26.4">
      <c r="B117" s="1595"/>
      <c r="C117" s="1596"/>
      <c r="D117" s="1597"/>
      <c r="E117" s="1452"/>
      <c r="F117" s="1453" t="s">
        <v>901</v>
      </c>
      <c r="G117" s="1454" t="s">
        <v>903</v>
      </c>
      <c r="H117" s="1455"/>
      <c r="I117" s="1456"/>
      <c r="J117" s="1457"/>
      <c r="K117" s="1458" t="s">
        <v>902</v>
      </c>
      <c r="L117" s="1457"/>
      <c r="M117" s="1457"/>
      <c r="N117" s="1459"/>
      <c r="O117" s="1460" t="s">
        <v>904</v>
      </c>
      <c r="P117" s="1538"/>
      <c r="Q117" s="1538"/>
      <c r="R117" s="1685"/>
    </row>
    <row r="118" spans="2:18" ht="14.4">
      <c r="B118" s="1595"/>
      <c r="C118" s="1596"/>
      <c r="D118" s="1597"/>
      <c r="E118" s="1431"/>
      <c r="F118" s="1437" t="s">
        <v>893</v>
      </c>
      <c r="G118" s="1439">
        <v>6</v>
      </c>
      <c r="H118" s="1432"/>
      <c r="I118" s="1430"/>
      <c r="J118" s="1424"/>
      <c r="K118" s="1441">
        <f t="shared" ref="K118:K124" si="3">10*0.994</f>
        <v>9.94</v>
      </c>
      <c r="L118" s="1424"/>
      <c r="M118" s="1440"/>
      <c r="N118" s="1441"/>
      <c r="O118" s="1442">
        <f>G118*K118</f>
        <v>59.64</v>
      </c>
      <c r="P118" s="1538"/>
      <c r="Q118" s="1538"/>
      <c r="R118" s="1685"/>
    </row>
    <row r="119" spans="2:18" ht="14.4">
      <c r="B119" s="1595"/>
      <c r="C119" s="1596"/>
      <c r="D119" s="1597"/>
      <c r="E119" s="1431"/>
      <c r="F119" s="1437" t="s">
        <v>894</v>
      </c>
      <c r="G119" s="1439">
        <v>3.5</v>
      </c>
      <c r="H119" s="1432"/>
      <c r="I119" s="1430"/>
      <c r="J119" s="1424"/>
      <c r="K119" s="1441">
        <f t="shared" si="3"/>
        <v>9.94</v>
      </c>
      <c r="L119" s="1424"/>
      <c r="M119" s="1440"/>
      <c r="N119" s="1441"/>
      <c r="O119" s="1442">
        <f t="shared" ref="O119:O124" si="4">G119*K119</f>
        <v>34.79</v>
      </c>
      <c r="P119" s="1538"/>
      <c r="Q119" s="1538"/>
      <c r="R119" s="1685"/>
    </row>
    <row r="120" spans="2:18" ht="14.4">
      <c r="B120" s="1595"/>
      <c r="C120" s="1596"/>
      <c r="D120" s="1597"/>
      <c r="E120" s="1431"/>
      <c r="F120" s="1437" t="s">
        <v>895</v>
      </c>
      <c r="G120" s="1439">
        <v>3.5</v>
      </c>
      <c r="H120" s="1432"/>
      <c r="I120" s="1430"/>
      <c r="J120" s="1424"/>
      <c r="K120" s="1441">
        <f t="shared" si="3"/>
        <v>9.94</v>
      </c>
      <c r="L120" s="1424"/>
      <c r="M120" s="1440"/>
      <c r="N120" s="1441"/>
      <c r="O120" s="1442">
        <f t="shared" si="4"/>
        <v>34.79</v>
      </c>
      <c r="P120" s="1538"/>
      <c r="Q120" s="1538"/>
      <c r="R120" s="1685"/>
    </row>
    <row r="121" spans="2:18" ht="14.4">
      <c r="B121" s="1595"/>
      <c r="C121" s="1596"/>
      <c r="D121" s="1597"/>
      <c r="E121" s="1431"/>
      <c r="F121" s="1437" t="s">
        <v>896</v>
      </c>
      <c r="G121" s="1439">
        <v>3.5</v>
      </c>
      <c r="H121" s="1432"/>
      <c r="I121" s="1430"/>
      <c r="J121" s="1424"/>
      <c r="K121" s="1441">
        <f t="shared" si="3"/>
        <v>9.94</v>
      </c>
      <c r="L121" s="1424"/>
      <c r="M121" s="1440"/>
      <c r="N121" s="1441"/>
      <c r="O121" s="1442">
        <f t="shared" si="4"/>
        <v>34.79</v>
      </c>
      <c r="P121" s="1538"/>
      <c r="Q121" s="1538"/>
      <c r="R121" s="1685"/>
    </row>
    <row r="122" spans="2:18" ht="14.4">
      <c r="B122" s="1595"/>
      <c r="C122" s="1596"/>
      <c r="D122" s="1597"/>
      <c r="E122" s="1431"/>
      <c r="F122" s="1437" t="s">
        <v>897</v>
      </c>
      <c r="G122" s="1439">
        <v>3.5</v>
      </c>
      <c r="H122" s="1432"/>
      <c r="I122" s="1430"/>
      <c r="J122" s="1424"/>
      <c r="K122" s="1441">
        <f t="shared" si="3"/>
        <v>9.94</v>
      </c>
      <c r="L122" s="1424"/>
      <c r="M122" s="1440"/>
      <c r="N122" s="1441"/>
      <c r="O122" s="1442">
        <f t="shared" si="4"/>
        <v>34.79</v>
      </c>
      <c r="P122" s="1538"/>
      <c r="Q122" s="1538"/>
      <c r="R122" s="1685"/>
    </row>
    <row r="123" spans="2:18" ht="14.4">
      <c r="B123" s="1595"/>
      <c r="C123" s="1596"/>
      <c r="D123" s="1597"/>
      <c r="E123" s="1431"/>
      <c r="F123" s="1437" t="s">
        <v>898</v>
      </c>
      <c r="G123" s="1439">
        <v>3.5</v>
      </c>
      <c r="H123" s="1432"/>
      <c r="I123" s="1430"/>
      <c r="J123" s="1424"/>
      <c r="K123" s="1441">
        <f t="shared" si="3"/>
        <v>9.94</v>
      </c>
      <c r="L123" s="1424"/>
      <c r="M123" s="1440"/>
      <c r="N123" s="1441"/>
      <c r="O123" s="1442">
        <f t="shared" si="4"/>
        <v>34.79</v>
      </c>
      <c r="P123" s="1538"/>
      <c r="Q123" s="1538"/>
      <c r="R123" s="1685"/>
    </row>
    <row r="124" spans="2:18" ht="14.4">
      <c r="B124" s="1595"/>
      <c r="C124" s="1596"/>
      <c r="D124" s="1597"/>
      <c r="E124" s="1431"/>
      <c r="F124" s="1437" t="s">
        <v>899</v>
      </c>
      <c r="G124" s="1439">
        <f>2.63*2</f>
        <v>5.26</v>
      </c>
      <c r="H124" s="1432"/>
      <c r="I124" s="1430"/>
      <c r="J124" s="1424"/>
      <c r="K124" s="1441">
        <f t="shared" si="3"/>
        <v>9.94</v>
      </c>
      <c r="L124" s="1424"/>
      <c r="M124" s="1440"/>
      <c r="N124" s="1441"/>
      <c r="O124" s="1442">
        <f t="shared" si="4"/>
        <v>52.284399999999998</v>
      </c>
      <c r="P124" s="1538"/>
      <c r="Q124" s="1538"/>
      <c r="R124" s="1685"/>
    </row>
    <row r="125" spans="2:18" ht="15" thickBot="1">
      <c r="B125" s="1595"/>
      <c r="C125" s="1596"/>
      <c r="D125" s="1597"/>
      <c r="E125" s="1429"/>
      <c r="F125" s="1429"/>
      <c r="G125" s="1429"/>
      <c r="H125" s="1429"/>
      <c r="I125" s="1430"/>
      <c r="J125" s="1424"/>
      <c r="K125" s="1424"/>
      <c r="L125" s="1424"/>
      <c r="M125" s="1424"/>
      <c r="N125" s="1443"/>
      <c r="O125" s="1444"/>
      <c r="P125" s="1538"/>
      <c r="Q125" s="1538"/>
      <c r="R125" s="1685"/>
    </row>
    <row r="126" spans="2:18" ht="13.5" customHeight="1" thickBot="1">
      <c r="B126" s="1598"/>
      <c r="C126" s="1599"/>
      <c r="D126" s="1600"/>
      <c r="E126" s="1646" t="s">
        <v>365</v>
      </c>
      <c r="F126" s="1647"/>
      <c r="G126" s="1647"/>
      <c r="H126" s="1647"/>
      <c r="I126" s="1647"/>
      <c r="J126" s="1647"/>
      <c r="K126" s="1647"/>
      <c r="L126" s="1647"/>
      <c r="M126" s="1647"/>
      <c r="N126" s="1648"/>
      <c r="O126" s="1445">
        <f>SUM(O115:O125)</f>
        <v>885.02239999999983</v>
      </c>
      <c r="P126" s="1538"/>
      <c r="Q126" s="1538"/>
      <c r="R126" s="1685"/>
    </row>
    <row r="127" spans="2:18" ht="13.5" customHeight="1" thickBot="1">
      <c r="B127" s="1283"/>
      <c r="C127" s="120"/>
      <c r="D127" s="120"/>
      <c r="E127" s="1314"/>
      <c r="F127" s="1314"/>
      <c r="G127" s="1314"/>
      <c r="H127" s="1314"/>
      <c r="I127" s="1314"/>
      <c r="J127" s="1314"/>
      <c r="K127" s="1314"/>
      <c r="L127" s="1314"/>
      <c r="M127" s="1314"/>
      <c r="N127" s="1316" t="s">
        <v>756</v>
      </c>
      <c r="O127" s="1315">
        <f>+O126/Q107</f>
        <v>0.68766309246309232</v>
      </c>
      <c r="P127" s="1538"/>
      <c r="Q127" s="1538"/>
      <c r="R127" s="1685"/>
    </row>
    <row r="128" spans="2:18" ht="13.8" thickBot="1">
      <c r="B128" s="1644"/>
      <c r="C128" s="1645"/>
      <c r="D128" s="1645"/>
      <c r="E128" s="715"/>
      <c r="F128" s="715"/>
      <c r="G128" s="715"/>
      <c r="H128" s="715"/>
      <c r="I128" s="715"/>
      <c r="J128" s="715"/>
      <c r="K128" s="715"/>
      <c r="L128" s="715"/>
      <c r="M128" s="715"/>
      <c r="N128" s="715"/>
      <c r="O128" s="1069"/>
      <c r="P128" s="1686"/>
      <c r="Q128" s="1538"/>
      <c r="R128" s="1685"/>
    </row>
    <row r="129" spans="2:18" ht="14.4">
      <c r="B129" s="1632" t="s">
        <v>741</v>
      </c>
      <c r="C129" s="1633"/>
      <c r="D129" s="1633"/>
      <c r="E129" s="684" t="str">
        <f>+E115</f>
        <v>TRAMO 1</v>
      </c>
      <c r="F129" s="684" t="str">
        <f>+F115</f>
        <v>K0+000</v>
      </c>
      <c r="G129" s="684" t="str">
        <f>+G115</f>
        <v>K0+853</v>
      </c>
      <c r="H129" s="684">
        <f>+H115</f>
        <v>853</v>
      </c>
      <c r="I129" s="685">
        <f>+I115</f>
        <v>6</v>
      </c>
      <c r="J129" s="1296">
        <v>10</v>
      </c>
      <c r="K129" s="687">
        <v>6.2249999999999996</v>
      </c>
      <c r="L129" s="686">
        <v>0.3</v>
      </c>
      <c r="M129" s="686">
        <f>ROUND(((((H129/3.5)+1)*I129)/L129)+1,0)</f>
        <v>4895</v>
      </c>
      <c r="N129" s="687">
        <v>0.45</v>
      </c>
      <c r="O129" s="1297">
        <f>+K129*M129*N129</f>
        <v>13712.11875</v>
      </c>
      <c r="P129" s="1686"/>
      <c r="Q129" s="1538"/>
      <c r="R129" s="1685"/>
    </row>
    <row r="130" spans="2:18" ht="14.4">
      <c r="B130" s="1595"/>
      <c r="C130" s="1596"/>
      <c r="D130" s="1596"/>
      <c r="E130" s="1066"/>
      <c r="F130" s="1066"/>
      <c r="G130" s="1066"/>
      <c r="H130" s="1066"/>
      <c r="I130" s="1067"/>
      <c r="J130" s="1187"/>
      <c r="K130" s="1068"/>
      <c r="L130" s="1007"/>
      <c r="M130" s="1007"/>
      <c r="N130" s="1068"/>
      <c r="O130" s="1298"/>
      <c r="P130" s="1686"/>
      <c r="Q130" s="1538"/>
      <c r="R130" s="1685"/>
    </row>
    <row r="131" spans="2:18" ht="14.4">
      <c r="B131" s="1595"/>
      <c r="C131" s="1596"/>
      <c r="D131" s="1596"/>
      <c r="E131" s="1066"/>
      <c r="F131" s="1066"/>
      <c r="G131" s="1066"/>
      <c r="H131" s="1066"/>
      <c r="I131" s="1067"/>
      <c r="J131" s="1187"/>
      <c r="K131" s="1068"/>
      <c r="L131" s="1007"/>
      <c r="M131" s="1007"/>
      <c r="N131" s="1068"/>
      <c r="O131" s="1298"/>
      <c r="P131" s="1686"/>
      <c r="Q131" s="1538"/>
      <c r="R131" s="1685"/>
    </row>
    <row r="132" spans="2:18" ht="14.4">
      <c r="B132" s="1595"/>
      <c r="C132" s="1596"/>
      <c r="D132" s="1596"/>
      <c r="E132" s="1066"/>
      <c r="F132" s="1066"/>
      <c r="G132" s="1066"/>
      <c r="H132" s="1066"/>
      <c r="I132" s="1067"/>
      <c r="J132" s="1007"/>
      <c r="K132" s="1068"/>
      <c r="L132" s="1007"/>
      <c r="M132" s="1007"/>
      <c r="N132" s="1007"/>
      <c r="O132" s="1298"/>
      <c r="P132" s="1686"/>
      <c r="Q132" s="1538"/>
      <c r="R132" s="1685"/>
    </row>
    <row r="133" spans="2:18" ht="14.4">
      <c r="B133" s="1595"/>
      <c r="C133" s="1596"/>
      <c r="D133" s="1596"/>
      <c r="E133" s="1066"/>
      <c r="F133" s="1066"/>
      <c r="G133" s="1066"/>
      <c r="H133" s="1066"/>
      <c r="I133" s="1067"/>
      <c r="J133" s="1007"/>
      <c r="K133" s="1068"/>
      <c r="L133" s="1007"/>
      <c r="M133" s="1007"/>
      <c r="N133" s="1006"/>
      <c r="O133" s="1299"/>
      <c r="P133" s="1686"/>
      <c r="Q133" s="1538"/>
      <c r="R133" s="1685"/>
    </row>
    <row r="134" spans="2:18" ht="15" thickBot="1">
      <c r="B134" s="1595"/>
      <c r="C134" s="1596"/>
      <c r="D134" s="1596"/>
      <c r="E134" s="1066"/>
      <c r="F134" s="1066"/>
      <c r="G134" s="1066"/>
      <c r="H134" s="1066"/>
      <c r="I134" s="1067"/>
      <c r="J134" s="1007"/>
      <c r="K134" s="1068"/>
      <c r="L134" s="1007"/>
      <c r="M134" s="1007"/>
      <c r="N134" s="1007"/>
      <c r="O134" s="1301"/>
      <c r="P134" s="1686"/>
      <c r="Q134" s="1538"/>
      <c r="R134" s="1685"/>
    </row>
    <row r="135" spans="2:18" ht="13.8" thickBot="1">
      <c r="B135" s="1634"/>
      <c r="C135" s="1635"/>
      <c r="D135" s="1635"/>
      <c r="E135" s="1646" t="s">
        <v>365</v>
      </c>
      <c r="F135" s="1647"/>
      <c r="G135" s="1647"/>
      <c r="H135" s="1647"/>
      <c r="I135" s="1647"/>
      <c r="J135" s="1647"/>
      <c r="K135" s="1647"/>
      <c r="L135" s="1647"/>
      <c r="M135" s="1647"/>
      <c r="N135" s="1648"/>
      <c r="O135" s="1300">
        <f>SUM(O129:O131)</f>
        <v>13712.11875</v>
      </c>
      <c r="P135" s="1687"/>
      <c r="Q135" s="1688"/>
      <c r="R135" s="1689"/>
    </row>
    <row r="136" spans="2:18" ht="13.8" thickBot="1">
      <c r="N136" s="1316" t="s">
        <v>756</v>
      </c>
      <c r="O136" s="1315">
        <f>+O135/Q107</f>
        <v>10.654326923076923</v>
      </c>
      <c r="P136" s="129"/>
    </row>
    <row r="137" spans="2:18" ht="13.8" thickBot="1"/>
    <row r="138" spans="2:18" ht="14.4" thickBot="1">
      <c r="B138" s="1690" t="s">
        <v>742</v>
      </c>
      <c r="C138" s="1691"/>
      <c r="D138" s="1691"/>
      <c r="E138" s="1691"/>
      <c r="F138" s="1691"/>
      <c r="G138" s="1691"/>
      <c r="H138" s="1691"/>
      <c r="I138" s="1691"/>
      <c r="J138" s="1691"/>
      <c r="K138" s="1691"/>
      <c r="L138" s="1691"/>
      <c r="M138" s="1691"/>
      <c r="N138" s="1691"/>
      <c r="O138" s="1691"/>
      <c r="P138" s="1691"/>
      <c r="Q138" s="1691"/>
    </row>
    <row r="139" spans="2:18" ht="26.4">
      <c r="B139" s="1641" t="s">
        <v>141</v>
      </c>
      <c r="C139" s="1642"/>
      <c r="D139" s="1642"/>
      <c r="E139" s="1642"/>
      <c r="F139" s="1642"/>
      <c r="G139" s="1642"/>
      <c r="H139" s="1642"/>
      <c r="I139" s="1642"/>
      <c r="J139" s="1643"/>
      <c r="K139" s="1302" t="s">
        <v>142</v>
      </c>
      <c r="L139" s="1303" t="s">
        <v>435</v>
      </c>
      <c r="M139" s="1303" t="s">
        <v>539</v>
      </c>
      <c r="N139" s="1302" t="s">
        <v>458</v>
      </c>
      <c r="O139" s="1302" t="s">
        <v>459</v>
      </c>
      <c r="P139" s="1302"/>
      <c r="Q139" s="1304" t="s">
        <v>145</v>
      </c>
    </row>
    <row r="140" spans="2:18">
      <c r="B140" s="1578" t="s">
        <v>528</v>
      </c>
      <c r="C140" s="1579"/>
      <c r="D140" s="1579"/>
      <c r="E140" s="1579"/>
      <c r="F140" s="1579"/>
      <c r="G140" s="1579"/>
      <c r="H140" s="1579"/>
      <c r="I140" s="1579"/>
      <c r="J140" s="1580"/>
      <c r="K140" s="1334">
        <f>+F6</f>
        <v>853</v>
      </c>
      <c r="L140" s="818">
        <f>+L95</f>
        <v>6</v>
      </c>
      <c r="M140" s="874">
        <f>3.5</f>
        <v>3.5</v>
      </c>
      <c r="N140" s="680">
        <f t="shared" ref="N140" si="5">K140</f>
        <v>853</v>
      </c>
      <c r="O140" s="680">
        <f>+((K140/M140)+1)*L140</f>
        <v>1468.2857142857142</v>
      </c>
      <c r="P140" s="816"/>
      <c r="Q140" s="678">
        <f>N140+O140</f>
        <v>2321.2857142857142</v>
      </c>
    </row>
    <row r="141" spans="2:18" ht="20.25" customHeight="1">
      <c r="B141" s="1578"/>
      <c r="C141" s="1579"/>
      <c r="D141" s="1579"/>
      <c r="E141" s="1579"/>
      <c r="F141" s="1579"/>
      <c r="G141" s="1579"/>
      <c r="H141" s="1579"/>
      <c r="I141" s="1579"/>
      <c r="J141" s="1580"/>
      <c r="K141" s="824"/>
      <c r="L141" s="818"/>
      <c r="M141" s="874"/>
      <c r="N141" s="680"/>
      <c r="O141" s="680"/>
      <c r="P141" s="816"/>
      <c r="Q141" s="678"/>
    </row>
    <row r="142" spans="2:18">
      <c r="B142" s="1578"/>
      <c r="C142" s="1579"/>
      <c r="D142" s="1579"/>
      <c r="E142" s="1579"/>
      <c r="F142" s="1579"/>
      <c r="G142" s="1579"/>
      <c r="H142" s="1579"/>
      <c r="I142" s="1579"/>
      <c r="J142" s="1580"/>
      <c r="K142" s="824"/>
      <c r="L142" s="818"/>
      <c r="M142" s="874"/>
      <c r="N142" s="680"/>
      <c r="O142" s="680"/>
      <c r="P142" s="816"/>
      <c r="Q142" s="678"/>
    </row>
    <row r="143" spans="2:18">
      <c r="B143" s="1581"/>
      <c r="C143" s="1582"/>
      <c r="D143" s="1582"/>
      <c r="E143" s="1582"/>
      <c r="F143" s="1582"/>
      <c r="G143" s="1582"/>
      <c r="H143" s="1582"/>
      <c r="I143" s="1582"/>
      <c r="J143" s="1583"/>
      <c r="K143" s="824"/>
      <c r="L143" s="818"/>
      <c r="M143" s="874"/>
      <c r="N143" s="680"/>
      <c r="O143" s="680"/>
      <c r="P143" s="816"/>
      <c r="Q143" s="678"/>
    </row>
    <row r="144" spans="2:18">
      <c r="B144" s="1581"/>
      <c r="C144" s="1582"/>
      <c r="D144" s="1582"/>
      <c r="E144" s="1582"/>
      <c r="F144" s="1582"/>
      <c r="G144" s="1582"/>
      <c r="H144" s="1582"/>
      <c r="I144" s="1582"/>
      <c r="J144" s="1583"/>
      <c r="K144" s="824"/>
      <c r="L144" s="818"/>
      <c r="M144" s="874"/>
      <c r="N144" s="680"/>
      <c r="O144" s="680"/>
      <c r="P144" s="816"/>
      <c r="Q144" s="678"/>
    </row>
    <row r="145" spans="2:17">
      <c r="B145" s="1026"/>
      <c r="C145" s="1027"/>
      <c r="D145" s="1027"/>
      <c r="E145" s="1027"/>
      <c r="F145" s="1027"/>
      <c r="G145" s="1027"/>
      <c r="H145" s="1027"/>
      <c r="I145" s="1027"/>
      <c r="J145" s="1028"/>
      <c r="K145" s="817"/>
      <c r="L145" s="818"/>
      <c r="M145" s="817"/>
      <c r="N145" s="819"/>
      <c r="O145" s="817"/>
      <c r="P145" s="816"/>
      <c r="Q145" s="820"/>
    </row>
    <row r="146" spans="2:17">
      <c r="B146" s="672"/>
      <c r="C146" s="673"/>
      <c r="D146" s="673"/>
      <c r="E146" s="673"/>
      <c r="F146" s="673"/>
      <c r="G146" s="673"/>
      <c r="H146" s="673"/>
      <c r="I146" s="673"/>
      <c r="J146" s="673"/>
      <c r="K146" s="674"/>
      <c r="L146" s="675"/>
      <c r="M146" s="676"/>
      <c r="N146" s="677"/>
      <c r="O146" s="1032"/>
      <c r="P146" s="1033"/>
      <c r="Q146" s="679"/>
    </row>
    <row r="147" spans="2:17" ht="13.8" thickBot="1">
      <c r="B147" s="1584" t="s">
        <v>365</v>
      </c>
      <c r="C147" s="1585"/>
      <c r="D147" s="1585"/>
      <c r="E147" s="1585"/>
      <c r="F147" s="1585"/>
      <c r="G147" s="1585"/>
      <c r="H147" s="1585"/>
      <c r="I147" s="1585"/>
      <c r="J147" s="1585"/>
      <c r="K147" s="1585"/>
      <c r="L147" s="1585"/>
      <c r="M147" s="1585"/>
      <c r="N147" s="1585"/>
      <c r="O147" s="1585"/>
      <c r="P147" s="1586"/>
      <c r="Q147" s="1312">
        <f>SUM(Q140:Q142)</f>
        <v>2321.2857142857142</v>
      </c>
    </row>
    <row r="148" spans="2:17" ht="13.8" thickBot="1">
      <c r="P148" s="1316" t="s">
        <v>756</v>
      </c>
      <c r="Q148" s="1313">
        <f>+Q147/Q107</f>
        <v>1.8036408036408036</v>
      </c>
    </row>
    <row r="149" spans="2:17" ht="13.8" thickBot="1"/>
    <row r="150" spans="2:17" ht="14.4" thickBot="1">
      <c r="B150" s="1638" t="s">
        <v>786</v>
      </c>
      <c r="C150" s="1639"/>
      <c r="D150" s="1639"/>
      <c r="E150" s="1639"/>
      <c r="F150" s="1639"/>
      <c r="G150" s="1639"/>
      <c r="H150" s="1639"/>
      <c r="I150" s="1639"/>
      <c r="J150" s="1639"/>
      <c r="K150" s="1639"/>
      <c r="L150" s="1639"/>
      <c r="M150" s="1639"/>
      <c r="N150" s="1639"/>
      <c r="O150" s="1639"/>
      <c r="P150" s="1639"/>
      <c r="Q150" s="1640"/>
    </row>
    <row r="151" spans="2:17" ht="39.6">
      <c r="B151" s="1641" t="s">
        <v>141</v>
      </c>
      <c r="C151" s="1642"/>
      <c r="D151" s="1642"/>
      <c r="E151" s="1642"/>
      <c r="F151" s="1642"/>
      <c r="G151" s="1642"/>
      <c r="H151" s="1642"/>
      <c r="I151" s="1642"/>
      <c r="J151" s="1643"/>
      <c r="K151" s="1302" t="s">
        <v>142</v>
      </c>
      <c r="L151" s="1303" t="s">
        <v>779</v>
      </c>
      <c r="M151" s="1343" t="s">
        <v>783</v>
      </c>
      <c r="N151" s="1302" t="s">
        <v>780</v>
      </c>
      <c r="O151" s="1302" t="s">
        <v>781</v>
      </c>
      <c r="P151" s="1302" t="s">
        <v>784</v>
      </c>
      <c r="Q151" s="1304" t="s">
        <v>782</v>
      </c>
    </row>
    <row r="152" spans="2:17">
      <c r="B152" s="1578" t="s">
        <v>528</v>
      </c>
      <c r="C152" s="1579"/>
      <c r="D152" s="1579"/>
      <c r="E152" s="1579"/>
      <c r="F152" s="1579"/>
      <c r="G152" s="1579"/>
      <c r="H152" s="1579"/>
      <c r="I152" s="1579"/>
      <c r="J152" s="1580"/>
      <c r="K152" s="1334">
        <f>K140</f>
        <v>853</v>
      </c>
      <c r="L152" s="818">
        <f>K152/3.5</f>
        <v>243.71428571428572</v>
      </c>
      <c r="M152" s="874">
        <v>8</v>
      </c>
      <c r="N152" s="680">
        <v>2.8</v>
      </c>
      <c r="O152" s="680">
        <f>M152*N152</f>
        <v>22.4</v>
      </c>
      <c r="P152" s="816">
        <v>0.25</v>
      </c>
      <c r="Q152" s="678">
        <f>L152*O152*P152*2</f>
        <v>2729.6</v>
      </c>
    </row>
    <row r="153" spans="2:17">
      <c r="B153" s="1578"/>
      <c r="C153" s="1579"/>
      <c r="D153" s="1579"/>
      <c r="E153" s="1579"/>
      <c r="F153" s="1579"/>
      <c r="G153" s="1579"/>
      <c r="H153" s="1579"/>
      <c r="I153" s="1579"/>
      <c r="J153" s="1580"/>
      <c r="K153" s="824"/>
      <c r="L153" s="818"/>
      <c r="M153" s="874"/>
      <c r="N153" s="680"/>
      <c r="O153" s="680"/>
      <c r="P153" s="816"/>
      <c r="Q153" s="678"/>
    </row>
    <row r="154" spans="2:17">
      <c r="B154" s="1578"/>
      <c r="C154" s="1579"/>
      <c r="D154" s="1579"/>
      <c r="E154" s="1579"/>
      <c r="F154" s="1579"/>
      <c r="G154" s="1579"/>
      <c r="H154" s="1579"/>
      <c r="I154" s="1579"/>
      <c r="J154" s="1580"/>
      <c r="K154" s="824"/>
      <c r="L154" s="818"/>
      <c r="M154" s="874"/>
      <c r="N154" s="680"/>
      <c r="O154" s="680"/>
      <c r="P154" s="816"/>
      <c r="Q154" s="678"/>
    </row>
    <row r="155" spans="2:17">
      <c r="B155" s="1581"/>
      <c r="C155" s="1582"/>
      <c r="D155" s="1582"/>
      <c r="E155" s="1582"/>
      <c r="F155" s="1582"/>
      <c r="G155" s="1582"/>
      <c r="H155" s="1582"/>
      <c r="I155" s="1582"/>
      <c r="J155" s="1583"/>
      <c r="K155" s="824"/>
      <c r="L155" s="818"/>
      <c r="M155" s="874"/>
      <c r="N155" s="680"/>
      <c r="O155" s="680"/>
      <c r="P155" s="816"/>
      <c r="Q155" s="678"/>
    </row>
    <row r="156" spans="2:17">
      <c r="B156" s="1581"/>
      <c r="C156" s="1582"/>
      <c r="D156" s="1582"/>
      <c r="E156" s="1582"/>
      <c r="F156" s="1582"/>
      <c r="G156" s="1582"/>
      <c r="H156" s="1582"/>
      <c r="I156" s="1582"/>
      <c r="J156" s="1583"/>
      <c r="K156" s="824"/>
      <c r="L156" s="818"/>
      <c r="M156" s="874"/>
      <c r="N156" s="680"/>
      <c r="O156" s="680"/>
      <c r="P156" s="816"/>
      <c r="Q156" s="678"/>
    </row>
    <row r="157" spans="2:17">
      <c r="B157" s="1026"/>
      <c r="C157" s="1027"/>
      <c r="D157" s="1027"/>
      <c r="E157" s="1027"/>
      <c r="F157" s="1027"/>
      <c r="G157" s="1027"/>
      <c r="H157" s="1027"/>
      <c r="I157" s="1027"/>
      <c r="J157" s="1028"/>
      <c r="K157" s="817"/>
      <c r="L157" s="818"/>
      <c r="M157" s="817"/>
      <c r="N157" s="819"/>
      <c r="O157" s="817"/>
      <c r="P157" s="816"/>
      <c r="Q157" s="820"/>
    </row>
    <row r="158" spans="2:17">
      <c r="B158" s="672"/>
      <c r="C158" s="673"/>
      <c r="D158" s="673"/>
      <c r="E158" s="673"/>
      <c r="F158" s="673"/>
      <c r="G158" s="673"/>
      <c r="H158" s="673"/>
      <c r="I158" s="673"/>
      <c r="J158" s="673"/>
      <c r="K158" s="674"/>
      <c r="L158" s="675"/>
      <c r="M158" s="676"/>
      <c r="N158" s="677"/>
      <c r="O158" s="1032"/>
      <c r="P158" s="1033"/>
      <c r="Q158" s="679"/>
    </row>
    <row r="159" spans="2:17" ht="13.8" thickBot="1">
      <c r="B159" s="1584" t="s">
        <v>365</v>
      </c>
      <c r="C159" s="1585"/>
      <c r="D159" s="1585"/>
      <c r="E159" s="1585"/>
      <c r="F159" s="1585"/>
      <c r="G159" s="1585"/>
      <c r="H159" s="1585"/>
      <c r="I159" s="1585"/>
      <c r="J159" s="1585"/>
      <c r="K159" s="1585"/>
      <c r="L159" s="1585"/>
      <c r="M159" s="1585"/>
      <c r="N159" s="1585"/>
      <c r="O159" s="1585"/>
      <c r="P159" s="1586"/>
      <c r="Q159" s="1312">
        <f>SUM(Q152:Q158)</f>
        <v>2729.6</v>
      </c>
    </row>
    <row r="160" spans="2:17" ht="13.8" thickBot="1">
      <c r="P160" s="1316" t="s">
        <v>785</v>
      </c>
      <c r="Q160" s="1344">
        <f>+Q159/Q107</f>
        <v>2.120901320901321</v>
      </c>
    </row>
    <row r="161" spans="2:18" ht="13.8" thickBot="1"/>
    <row r="162" spans="2:18" ht="14.4" thickBot="1">
      <c r="B162" s="1690" t="s">
        <v>743</v>
      </c>
      <c r="C162" s="1691"/>
      <c r="D162" s="1691"/>
      <c r="E162" s="1691"/>
      <c r="F162" s="1691"/>
      <c r="G162" s="1691"/>
      <c r="H162" s="1691"/>
      <c r="I162" s="1691"/>
      <c r="J162" s="1691"/>
      <c r="K162" s="1691"/>
      <c r="L162" s="1691"/>
      <c r="M162" s="1691"/>
      <c r="N162" s="1691"/>
      <c r="O162" s="1691"/>
      <c r="P162" s="1691"/>
      <c r="Q162" s="1691"/>
    </row>
    <row r="163" spans="2:18" ht="26.4">
      <c r="B163" s="1641" t="s">
        <v>141</v>
      </c>
      <c r="C163" s="1642"/>
      <c r="D163" s="1642"/>
      <c r="E163" s="1642"/>
      <c r="F163" s="1642"/>
      <c r="G163" s="1642"/>
      <c r="H163" s="1642"/>
      <c r="I163" s="1642"/>
      <c r="J163" s="1643"/>
      <c r="K163" s="1302" t="s">
        <v>142</v>
      </c>
      <c r="L163" s="1303" t="s">
        <v>435</v>
      </c>
      <c r="M163" s="1303" t="s">
        <v>539</v>
      </c>
      <c r="N163" s="1302" t="s">
        <v>458</v>
      </c>
      <c r="O163" s="1302" t="s">
        <v>459</v>
      </c>
      <c r="P163" s="1302"/>
      <c r="Q163" s="1304" t="s">
        <v>145</v>
      </c>
    </row>
    <row r="164" spans="2:18">
      <c r="B164" s="1578" t="s">
        <v>528</v>
      </c>
      <c r="C164" s="1579"/>
      <c r="D164" s="1579"/>
      <c r="E164" s="1579"/>
      <c r="F164" s="1579"/>
      <c r="G164" s="1579"/>
      <c r="H164" s="1579"/>
      <c r="I164" s="1579"/>
      <c r="J164" s="1580"/>
      <c r="K164" s="1334">
        <f>+K140</f>
        <v>853</v>
      </c>
      <c r="L164" s="824">
        <f>+L140</f>
        <v>6</v>
      </c>
      <c r="M164" s="874">
        <f>3.5</f>
        <v>3.5</v>
      </c>
      <c r="N164" s="680">
        <f t="shared" ref="N164" si="6">K164</f>
        <v>853</v>
      </c>
      <c r="O164" s="680">
        <f>+((K164/M164)+1)*L164</f>
        <v>1468.2857142857142</v>
      </c>
      <c r="P164" s="824"/>
      <c r="Q164" s="910">
        <f>N164+O164</f>
        <v>2321.2857142857142</v>
      </c>
    </row>
    <row r="165" spans="2:18" ht="13.8">
      <c r="B165" s="1578"/>
      <c r="C165" s="1579"/>
      <c r="D165" s="1579"/>
      <c r="E165" s="1579"/>
      <c r="F165" s="1579"/>
      <c r="G165" s="1579"/>
      <c r="H165" s="1579"/>
      <c r="I165" s="1579"/>
      <c r="J165" s="1580"/>
      <c r="K165" s="824"/>
      <c r="L165" s="824"/>
      <c r="M165" s="874"/>
      <c r="N165" s="680"/>
      <c r="O165" s="680"/>
      <c r="P165" s="824"/>
      <c r="Q165" s="910"/>
      <c r="R165" s="683"/>
    </row>
    <row r="166" spans="2:18">
      <c r="B166" s="1578"/>
      <c r="C166" s="1579"/>
      <c r="D166" s="1579"/>
      <c r="E166" s="1579"/>
      <c r="F166" s="1579"/>
      <c r="G166" s="1579"/>
      <c r="H166" s="1579"/>
      <c r="I166" s="1579"/>
      <c r="J166" s="1580"/>
      <c r="K166" s="824"/>
      <c r="L166" s="824"/>
      <c r="M166" s="874"/>
      <c r="N166" s="680"/>
      <c r="O166" s="680"/>
      <c r="P166" s="824"/>
      <c r="Q166" s="910"/>
    </row>
    <row r="167" spans="2:18">
      <c r="B167" s="1581"/>
      <c r="C167" s="1582"/>
      <c r="D167" s="1582"/>
      <c r="E167" s="1582"/>
      <c r="F167" s="1582"/>
      <c r="G167" s="1582"/>
      <c r="H167" s="1582"/>
      <c r="I167" s="1582"/>
      <c r="J167" s="1583"/>
      <c r="K167" s="824"/>
      <c r="L167" s="824"/>
      <c r="M167" s="874"/>
      <c r="N167" s="680"/>
      <c r="O167" s="680"/>
      <c r="P167" s="824"/>
      <c r="Q167" s="910"/>
    </row>
    <row r="168" spans="2:18">
      <c r="B168" s="1581"/>
      <c r="C168" s="1582"/>
      <c r="D168" s="1582"/>
      <c r="E168" s="1582"/>
      <c r="F168" s="1582"/>
      <c r="G168" s="1582"/>
      <c r="H168" s="1582"/>
      <c r="I168" s="1582"/>
      <c r="J168" s="1583"/>
      <c r="K168" s="824"/>
      <c r="L168" s="824"/>
      <c r="M168" s="874"/>
      <c r="N168" s="680"/>
      <c r="O168" s="680"/>
      <c r="P168" s="824"/>
      <c r="Q168" s="825"/>
    </row>
    <row r="169" spans="2:18">
      <c r="B169" s="826"/>
      <c r="C169" s="823"/>
      <c r="D169" s="823"/>
      <c r="E169" s="823"/>
      <c r="F169" s="823"/>
      <c r="G169" s="823"/>
      <c r="H169" s="823"/>
      <c r="I169" s="823"/>
      <c r="J169" s="823"/>
      <c r="K169" s="827"/>
      <c r="L169" s="828"/>
      <c r="M169" s="829"/>
      <c r="N169" s="830"/>
      <c r="O169" s="1032"/>
      <c r="P169" s="1033"/>
      <c r="Q169" s="831"/>
    </row>
    <row r="170" spans="2:18" ht="13.8" thickBot="1">
      <c r="B170" s="1584" t="s">
        <v>365</v>
      </c>
      <c r="C170" s="1585"/>
      <c r="D170" s="1585"/>
      <c r="E170" s="1585"/>
      <c r="F170" s="1585"/>
      <c r="G170" s="1585"/>
      <c r="H170" s="1585"/>
      <c r="I170" s="1585"/>
      <c r="J170" s="1585"/>
      <c r="K170" s="1585"/>
      <c r="L170" s="1585"/>
      <c r="M170" s="1585"/>
      <c r="N170" s="1585"/>
      <c r="O170" s="1585"/>
      <c r="P170" s="1034"/>
      <c r="Q170" s="1070">
        <f>SUM(Q164:Q166)</f>
        <v>2321.2857142857142</v>
      </c>
    </row>
    <row r="171" spans="2:18" ht="13.8" thickBot="1">
      <c r="P171" s="1316" t="s">
        <v>756</v>
      </c>
      <c r="Q171" s="1313">
        <f>+Q170/Q107</f>
        <v>1.8036408036408036</v>
      </c>
    </row>
    <row r="172" spans="2:18" ht="13.8" thickBot="1"/>
    <row r="173" spans="2:18" ht="14.4">
      <c r="B173" s="1659" t="s">
        <v>138</v>
      </c>
      <c r="C173" s="1660"/>
      <c r="D173" s="1049">
        <f>+PRESUPUESTO!C23</f>
        <v>710.2</v>
      </c>
      <c r="E173" s="1050"/>
      <c r="F173" s="1050"/>
      <c r="G173" s="1050"/>
      <c r="H173" s="1050"/>
      <c r="I173" s="1050"/>
      <c r="J173" s="1050"/>
      <c r="K173" s="1050"/>
      <c r="L173" s="1050"/>
      <c r="M173" s="1050"/>
      <c r="N173" s="1050"/>
      <c r="O173" s="1050"/>
      <c r="P173" s="1050"/>
      <c r="Q173" s="1051"/>
    </row>
    <row r="174" spans="2:18" ht="14.4">
      <c r="B174" s="1661" t="s">
        <v>139</v>
      </c>
      <c r="C174" s="1662"/>
      <c r="D174" s="1052" t="str">
        <f>+PRESUPUESTO!D23</f>
        <v>Señal vertical de transito Tipo II (1,2*0,4) con lámina retroreflectiva</v>
      </c>
      <c r="E174" s="1053"/>
      <c r="F174" s="1053"/>
      <c r="G174" s="1053"/>
      <c r="H174" s="1053"/>
      <c r="I174" s="1053"/>
      <c r="J174" s="1053"/>
      <c r="K174" s="1053"/>
      <c r="L174" s="1053"/>
      <c r="M174" s="1053"/>
      <c r="N174" s="1053"/>
      <c r="O174" s="1053"/>
      <c r="P174" s="1053"/>
      <c r="Q174" s="1054"/>
    </row>
    <row r="175" spans="2:18" ht="14.4">
      <c r="B175" s="1661" t="s">
        <v>140</v>
      </c>
      <c r="C175" s="1662"/>
      <c r="D175" s="1052" t="str">
        <f>+PRESUPUESTO!E23</f>
        <v>UND</v>
      </c>
      <c r="E175" s="1053"/>
      <c r="F175" s="1053"/>
      <c r="G175" s="1053"/>
      <c r="H175" s="1053"/>
      <c r="I175" s="1053"/>
      <c r="J175" s="1053"/>
      <c r="K175" s="1053"/>
      <c r="L175" s="1053"/>
      <c r="M175" s="1053"/>
      <c r="N175" s="1053"/>
      <c r="O175" s="1053"/>
      <c r="P175" s="1053"/>
      <c r="Q175" s="1054"/>
    </row>
    <row r="176" spans="2:18">
      <c r="B176" s="237"/>
      <c r="Q176" s="238"/>
    </row>
    <row r="177" spans="2:17" ht="26.4">
      <c r="B177" s="1666" t="s">
        <v>141</v>
      </c>
      <c r="C177" s="1667"/>
      <c r="D177" s="1667"/>
      <c r="E177" s="1667"/>
      <c r="F177" s="1667"/>
      <c r="G177" s="1667"/>
      <c r="H177" s="1667"/>
      <c r="I177" s="1667"/>
      <c r="J177" s="1668"/>
      <c r="K177" s="581"/>
      <c r="L177" s="581"/>
      <c r="M177" s="581"/>
      <c r="N177" s="581"/>
      <c r="O177" s="581"/>
      <c r="P177" s="581"/>
      <c r="Q177" s="582" t="s">
        <v>145</v>
      </c>
    </row>
    <row r="178" spans="2:17">
      <c r="B178" s="1674" t="s">
        <v>736</v>
      </c>
      <c r="C178" s="1675"/>
      <c r="D178" s="1675"/>
      <c r="E178" s="1675"/>
      <c r="F178" s="1675"/>
      <c r="G178" s="1675"/>
      <c r="H178" s="1675"/>
      <c r="I178" s="1675"/>
      <c r="J178" s="1676"/>
      <c r="K178" s="597"/>
      <c r="L178" s="597"/>
      <c r="M178" s="597"/>
      <c r="N178" s="597"/>
      <c r="O178" s="597"/>
      <c r="P178" s="597"/>
      <c r="Q178" s="599"/>
    </row>
    <row r="179" spans="2:17">
      <c r="B179" s="1671" t="s">
        <v>714</v>
      </c>
      <c r="C179" s="1672"/>
      <c r="D179" s="1672"/>
      <c r="E179" s="1672"/>
      <c r="F179" s="1672"/>
      <c r="G179" s="1672"/>
      <c r="H179" s="1672"/>
      <c r="I179" s="1672"/>
      <c r="J179" s="1673"/>
      <c r="K179" s="862"/>
      <c r="L179" s="862"/>
      <c r="M179" s="862"/>
      <c r="N179" s="862"/>
      <c r="O179" s="862"/>
      <c r="P179" s="862"/>
      <c r="Q179" s="863">
        <v>6</v>
      </c>
    </row>
    <row r="180" spans="2:17">
      <c r="B180" s="1671" t="s">
        <v>771</v>
      </c>
      <c r="C180" s="1672"/>
      <c r="D180" s="1672"/>
      <c r="E180" s="1672"/>
      <c r="F180" s="1672"/>
      <c r="G180" s="1672"/>
      <c r="H180" s="1672"/>
      <c r="I180" s="1672"/>
      <c r="J180" s="1673"/>
      <c r="K180" s="862"/>
      <c r="L180" s="862"/>
      <c r="M180" s="862"/>
      <c r="N180" s="862"/>
      <c r="O180" s="862"/>
      <c r="P180" s="862"/>
      <c r="Q180" s="863">
        <v>5</v>
      </c>
    </row>
    <row r="181" spans="2:17">
      <c r="B181" s="1671" t="s">
        <v>687</v>
      </c>
      <c r="C181" s="1672"/>
      <c r="D181" s="1672"/>
      <c r="E181" s="1672"/>
      <c r="F181" s="1672"/>
      <c r="G181" s="1672"/>
      <c r="H181" s="1672"/>
      <c r="I181" s="1672"/>
      <c r="J181" s="1673"/>
      <c r="K181" s="862"/>
      <c r="L181" s="862"/>
      <c r="M181" s="862"/>
      <c r="N181" s="862"/>
      <c r="O181" s="862"/>
      <c r="P181" s="862"/>
      <c r="Q181" s="863">
        <v>4</v>
      </c>
    </row>
    <row r="182" spans="2:17">
      <c r="B182" s="1671" t="s">
        <v>688</v>
      </c>
      <c r="C182" s="1672"/>
      <c r="D182" s="1672"/>
      <c r="E182" s="1672"/>
      <c r="F182" s="1672"/>
      <c r="G182" s="1672"/>
      <c r="H182" s="1672"/>
      <c r="I182" s="1672"/>
      <c r="J182" s="1673"/>
      <c r="K182" s="862"/>
      <c r="L182" s="862"/>
      <c r="M182" s="862"/>
      <c r="N182" s="862"/>
      <c r="O182" s="862"/>
      <c r="P182" s="862"/>
      <c r="Q182" s="863">
        <v>3</v>
      </c>
    </row>
    <row r="183" spans="2:17">
      <c r="B183" s="1671" t="s">
        <v>715</v>
      </c>
      <c r="C183" s="1672"/>
      <c r="D183" s="1672"/>
      <c r="E183" s="1672"/>
      <c r="F183" s="1672"/>
      <c r="G183" s="1672"/>
      <c r="H183" s="1672"/>
      <c r="I183" s="1672"/>
      <c r="J183" s="1673"/>
      <c r="K183" s="862"/>
      <c r="L183" s="862"/>
      <c r="M183" s="862"/>
      <c r="N183" s="862"/>
      <c r="O183" s="862"/>
      <c r="P183" s="862"/>
      <c r="Q183" s="863">
        <v>0</v>
      </c>
    </row>
    <row r="184" spans="2:17" ht="12.75" customHeight="1">
      <c r="B184" s="1671" t="s">
        <v>716</v>
      </c>
      <c r="C184" s="1672"/>
      <c r="D184" s="1672"/>
      <c r="E184" s="1672"/>
      <c r="F184" s="1672"/>
      <c r="G184" s="1672"/>
      <c r="H184" s="1672"/>
      <c r="I184" s="1672"/>
      <c r="J184" s="1673"/>
      <c r="K184" s="597"/>
      <c r="L184" s="597"/>
      <c r="M184" s="597"/>
      <c r="N184" s="597"/>
      <c r="O184" s="597"/>
      <c r="P184" s="597"/>
      <c r="Q184" s="599">
        <v>0</v>
      </c>
    </row>
    <row r="185" spans="2:17">
      <c r="B185" s="1671"/>
      <c r="C185" s="1672"/>
      <c r="D185" s="1672"/>
      <c r="E185" s="1672"/>
      <c r="F185" s="1672"/>
      <c r="G185" s="1672"/>
      <c r="H185" s="1672"/>
      <c r="I185" s="1672"/>
      <c r="J185" s="1673"/>
      <c r="K185" s="862"/>
      <c r="L185" s="862"/>
      <c r="M185" s="862"/>
      <c r="N185" s="862"/>
      <c r="O185" s="862"/>
      <c r="P185" s="862"/>
      <c r="Q185" s="863"/>
    </row>
    <row r="186" spans="2:17">
      <c r="B186" s="1046"/>
      <c r="C186" s="1047"/>
      <c r="D186" s="1047"/>
      <c r="E186" s="1047"/>
      <c r="F186" s="1047"/>
      <c r="G186" s="1047"/>
      <c r="H186" s="1047"/>
      <c r="I186" s="1047"/>
      <c r="J186" s="1048"/>
      <c r="K186" s="598"/>
      <c r="L186" s="598"/>
      <c r="M186" s="597"/>
      <c r="N186" s="596"/>
      <c r="O186" s="583"/>
      <c r="P186" s="583"/>
      <c r="Q186" s="599"/>
    </row>
    <row r="187" spans="2:17" ht="13.8" thickBot="1">
      <c r="B187" s="584"/>
      <c r="C187" s="241"/>
      <c r="D187" s="241"/>
      <c r="E187" s="241"/>
      <c r="F187" s="241"/>
      <c r="G187" s="241"/>
      <c r="H187" s="241"/>
      <c r="I187" s="241"/>
      <c r="J187" s="241"/>
      <c r="K187" s="241"/>
      <c r="L187" s="241"/>
      <c r="M187" s="241"/>
      <c r="N187" s="241"/>
      <c r="O187" s="1044" t="s">
        <v>365</v>
      </c>
      <c r="P187" s="1045"/>
      <c r="Q187" s="580">
        <f>SUM(Q178:Q186)</f>
        <v>18</v>
      </c>
    </row>
    <row r="189" spans="2:17" ht="13.8" thickBot="1"/>
    <row r="190" spans="2:17" ht="13.8">
      <c r="B190" s="1624" t="s">
        <v>138</v>
      </c>
      <c r="C190" s="1625"/>
      <c r="D190" s="1035">
        <f>+PRESUPUESTO!C24</f>
        <v>700.1</v>
      </c>
      <c r="E190" s="1036"/>
      <c r="F190" s="1036"/>
      <c r="G190" s="1036"/>
      <c r="H190" s="1036"/>
      <c r="I190" s="1036"/>
      <c r="J190" s="1036"/>
      <c r="K190" s="1036"/>
      <c r="L190" s="1036"/>
      <c r="M190" s="1036"/>
      <c r="N190" s="1036"/>
      <c r="O190" s="1036"/>
      <c r="P190" s="1036"/>
      <c r="Q190" s="1037"/>
    </row>
    <row r="191" spans="2:17" ht="13.8">
      <c r="B191" s="1669" t="s">
        <v>139</v>
      </c>
      <c r="C191" s="1670"/>
      <c r="D191" s="1029" t="str">
        <f>+PRESUPUESTO!D24</f>
        <v>Linea de demarcacion con pintura en frio</v>
      </c>
      <c r="E191" s="1030"/>
      <c r="F191" s="1030"/>
      <c r="G191" s="1030"/>
      <c r="H191" s="1030"/>
      <c r="I191" s="1030"/>
      <c r="J191" s="1030"/>
      <c r="K191" s="1030"/>
      <c r="L191" s="1030"/>
      <c r="M191" s="1030"/>
      <c r="N191" s="1030"/>
      <c r="O191" s="1030"/>
      <c r="P191" s="1030"/>
      <c r="Q191" s="1031"/>
    </row>
    <row r="192" spans="2:17" ht="13.8">
      <c r="B192" s="1669" t="s">
        <v>140</v>
      </c>
      <c r="C192" s="1670"/>
      <c r="D192" s="1029" t="str">
        <f>+PRESUPUESTO!E24</f>
        <v>M</v>
      </c>
      <c r="E192" s="1030"/>
      <c r="F192" s="1030"/>
      <c r="G192" s="1030"/>
      <c r="H192" s="1030"/>
      <c r="I192" s="1030"/>
      <c r="J192" s="1030"/>
      <c r="K192" s="1030"/>
      <c r="L192" s="1030"/>
      <c r="M192" s="1030"/>
      <c r="N192" s="1030"/>
      <c r="O192" s="1030"/>
      <c r="P192" s="1030"/>
      <c r="Q192" s="1031"/>
    </row>
    <row r="193" spans="2:17" ht="39.6">
      <c r="B193" s="1612" t="s">
        <v>141</v>
      </c>
      <c r="C193" s="1613"/>
      <c r="D193" s="1613"/>
      <c r="E193" s="1613"/>
      <c r="F193" s="1613"/>
      <c r="G193" s="1613"/>
      <c r="H193" s="1613"/>
      <c r="I193" s="1613"/>
      <c r="J193" s="1614"/>
      <c r="K193" s="746" t="s">
        <v>678</v>
      </c>
      <c r="L193" s="746" t="s">
        <v>679</v>
      </c>
      <c r="M193" s="689" t="s">
        <v>691</v>
      </c>
      <c r="N193" s="1072" t="s">
        <v>720</v>
      </c>
      <c r="O193" s="746" t="s">
        <v>689</v>
      </c>
      <c r="P193" s="746"/>
      <c r="Q193" s="747" t="s">
        <v>145</v>
      </c>
    </row>
    <row r="194" spans="2:17">
      <c r="B194" s="1657" t="s">
        <v>482</v>
      </c>
      <c r="C194" s="1582"/>
      <c r="D194" s="1582"/>
      <c r="E194" s="1582"/>
      <c r="F194" s="1582"/>
      <c r="G194" s="1582"/>
      <c r="H194" s="1582"/>
      <c r="I194" s="1582"/>
      <c r="J194" s="1583"/>
      <c r="K194" s="749">
        <f>+F10</f>
        <v>853</v>
      </c>
      <c r="L194" s="749">
        <f>2</f>
        <v>2</v>
      </c>
      <c r="M194" s="1062"/>
      <c r="N194" s="1006"/>
      <c r="O194" s="751"/>
      <c r="P194" s="750"/>
      <c r="Q194" s="1336">
        <f>+K194*L194</f>
        <v>1706</v>
      </c>
    </row>
    <row r="195" spans="2:17">
      <c r="B195" s="1657" t="s">
        <v>690</v>
      </c>
      <c r="C195" s="1582"/>
      <c r="D195" s="1582"/>
      <c r="E195" s="1582"/>
      <c r="F195" s="1582"/>
      <c r="G195" s="1582"/>
      <c r="H195" s="1582"/>
      <c r="I195" s="1582"/>
      <c r="J195" s="1583"/>
      <c r="K195" s="754">
        <v>3</v>
      </c>
      <c r="L195" s="749"/>
      <c r="M195" s="1062">
        <v>8</v>
      </c>
      <c r="N195" s="1068">
        <f>+K194-K196</f>
        <v>154.92999999999995</v>
      </c>
      <c r="O195" s="1158">
        <f>(K195*100)/(M195)</f>
        <v>37.5</v>
      </c>
      <c r="P195" s="750"/>
      <c r="Q195" s="1336">
        <f>+(O195/100)*N195</f>
        <v>58.098749999999981</v>
      </c>
    </row>
    <row r="196" spans="2:17">
      <c r="B196" s="1657" t="s">
        <v>719</v>
      </c>
      <c r="C196" s="1582"/>
      <c r="D196" s="1582"/>
      <c r="E196" s="1582"/>
      <c r="F196" s="1582"/>
      <c r="G196" s="1582"/>
      <c r="H196" s="1582"/>
      <c r="I196" s="1582"/>
      <c r="J196" s="1583"/>
      <c r="K196" s="871">
        <v>698.07</v>
      </c>
      <c r="L196" s="871"/>
      <c r="M196" s="872"/>
      <c r="N196" s="873"/>
      <c r="O196" s="873"/>
      <c r="P196" s="872"/>
      <c r="Q196" s="909">
        <f>+K196</f>
        <v>698.07</v>
      </c>
    </row>
    <row r="197" spans="2:17" ht="13.8" thickBot="1">
      <c r="B197" s="1705"/>
      <c r="C197" s="1706"/>
      <c r="D197" s="1706"/>
      <c r="E197" s="1706"/>
      <c r="F197" s="1706"/>
      <c r="G197" s="1706"/>
      <c r="H197" s="1706"/>
      <c r="I197" s="1706"/>
      <c r="J197" s="1707"/>
      <c r="K197" s="1420"/>
      <c r="L197" s="813"/>
      <c r="M197" s="813"/>
      <c r="N197" s="813"/>
      <c r="O197" s="1042" t="s">
        <v>365</v>
      </c>
      <c r="P197" s="1043"/>
      <c r="Q197" s="1337">
        <f>ROUND(SUM(Q194:Q196),0)</f>
        <v>2462</v>
      </c>
    </row>
    <row r="199" spans="2:17" ht="13.8" thickBot="1"/>
    <row r="200" spans="2:17" ht="13.8">
      <c r="B200" s="1624" t="s">
        <v>138</v>
      </c>
      <c r="C200" s="1625"/>
      <c r="D200" s="1035">
        <f>+PRESUPUESTO!C25</f>
        <v>701.1</v>
      </c>
      <c r="E200" s="1036"/>
      <c r="F200" s="1036"/>
      <c r="G200" s="1036"/>
      <c r="H200" s="1036"/>
      <c r="I200" s="1036"/>
      <c r="J200" s="1036"/>
      <c r="K200" s="1036"/>
      <c r="L200" s="1036"/>
      <c r="M200" s="1036"/>
      <c r="N200" s="1036"/>
      <c r="O200" s="1036"/>
      <c r="P200" s="1036"/>
      <c r="Q200" s="1037"/>
    </row>
    <row r="201" spans="2:17" ht="13.8">
      <c r="B201" s="1669" t="s">
        <v>139</v>
      </c>
      <c r="C201" s="1670"/>
      <c r="D201" s="1029" t="str">
        <f>+PRESUPUESTO!D25</f>
        <v>Tachas reflectivas</v>
      </c>
      <c r="E201" s="1030"/>
      <c r="F201" s="1030"/>
      <c r="G201" s="1030"/>
      <c r="H201" s="1030"/>
      <c r="I201" s="1030"/>
      <c r="J201" s="1030"/>
      <c r="K201" s="1030"/>
      <c r="L201" s="1030"/>
      <c r="M201" s="1030"/>
      <c r="N201" s="1030"/>
      <c r="O201" s="1030"/>
      <c r="P201" s="1030"/>
      <c r="Q201" s="1031"/>
    </row>
    <row r="202" spans="2:17" ht="13.8">
      <c r="B202" s="1669" t="s">
        <v>140</v>
      </c>
      <c r="C202" s="1670"/>
      <c r="D202" s="1029" t="str">
        <f>+PRESUPUESTO!E25</f>
        <v>UND</v>
      </c>
      <c r="E202" s="1030"/>
      <c r="F202" s="1030"/>
      <c r="G202" s="1030"/>
      <c r="H202" s="1030"/>
      <c r="I202" s="1030"/>
      <c r="J202" s="1030"/>
      <c r="K202" s="1030"/>
      <c r="L202" s="1030"/>
      <c r="M202" s="1030"/>
      <c r="N202" s="1030"/>
      <c r="O202" s="1030"/>
      <c r="P202" s="1030"/>
      <c r="Q202" s="1031"/>
    </row>
    <row r="203" spans="2:17" ht="26.4">
      <c r="B203" s="1612" t="s">
        <v>141</v>
      </c>
      <c r="C203" s="1613"/>
      <c r="D203" s="1613"/>
      <c r="E203" s="1613"/>
      <c r="F203" s="1613"/>
      <c r="G203" s="1613"/>
      <c r="H203" s="1613"/>
      <c r="I203" s="1613"/>
      <c r="J203" s="1614"/>
      <c r="K203" s="746" t="s">
        <v>677</v>
      </c>
      <c r="L203" s="746"/>
      <c r="M203" s="746" t="s">
        <v>536</v>
      </c>
      <c r="N203" s="746"/>
      <c r="O203" s="746"/>
      <c r="P203" s="746"/>
      <c r="Q203" s="747" t="s">
        <v>145</v>
      </c>
    </row>
    <row r="204" spans="2:17">
      <c r="B204" s="1657"/>
      <c r="C204" s="1582"/>
      <c r="D204" s="1582"/>
      <c r="E204" s="1582"/>
      <c r="F204" s="1582"/>
      <c r="G204" s="1582"/>
      <c r="H204" s="1582"/>
      <c r="I204" s="1582"/>
      <c r="J204" s="1583"/>
      <c r="K204" s="748"/>
      <c r="L204" s="749"/>
      <c r="M204" s="750"/>
      <c r="N204" s="751"/>
      <c r="O204" s="752"/>
      <c r="P204" s="750"/>
      <c r="Q204" s="753"/>
    </row>
    <row r="205" spans="2:17">
      <c r="B205" s="1657" t="s">
        <v>676</v>
      </c>
      <c r="C205" s="1582"/>
      <c r="D205" s="1582"/>
      <c r="E205" s="1582"/>
      <c r="F205" s="1582"/>
      <c r="G205" s="1582"/>
      <c r="H205" s="1582"/>
      <c r="I205" s="1582"/>
      <c r="J205" s="1583"/>
      <c r="K205" s="851">
        <f>+(F10/12)</f>
        <v>71.083333333333329</v>
      </c>
      <c r="L205" s="847"/>
      <c r="M205" s="848">
        <f>2</f>
        <v>2</v>
      </c>
      <c r="N205" s="849"/>
      <c r="O205" s="850"/>
      <c r="P205" s="848"/>
      <c r="Q205" s="1195">
        <f>+K205*M205</f>
        <v>142.16666666666666</v>
      </c>
    </row>
    <row r="206" spans="2:17">
      <c r="B206" s="1657"/>
      <c r="C206" s="1582"/>
      <c r="D206" s="1582"/>
      <c r="E206" s="1582"/>
      <c r="F206" s="1582"/>
      <c r="G206" s="1582"/>
      <c r="H206" s="1582"/>
      <c r="I206" s="1582"/>
      <c r="J206" s="1583"/>
      <c r="K206" s="851"/>
      <c r="L206" s="847"/>
      <c r="M206" s="848"/>
      <c r="N206" s="849"/>
      <c r="O206" s="850"/>
      <c r="P206" s="848"/>
      <c r="Q206" s="854"/>
    </row>
    <row r="207" spans="2:17">
      <c r="B207" s="1038"/>
      <c r="C207" s="1027"/>
      <c r="D207" s="1027"/>
      <c r="E207" s="1027"/>
      <c r="F207" s="1027"/>
      <c r="G207" s="1027"/>
      <c r="H207" s="1027"/>
      <c r="I207" s="1027"/>
      <c r="J207" s="1028"/>
      <c r="K207" s="870"/>
      <c r="L207" s="864"/>
      <c r="M207" s="865"/>
      <c r="N207" s="866"/>
      <c r="O207" s="867"/>
      <c r="P207" s="865"/>
      <c r="Q207" s="854"/>
    </row>
    <row r="208" spans="2:17">
      <c r="B208" s="1038"/>
      <c r="C208" s="1027"/>
      <c r="D208" s="1027"/>
      <c r="E208" s="1027"/>
      <c r="F208" s="1027"/>
      <c r="G208" s="1027"/>
      <c r="H208" s="1027"/>
      <c r="I208" s="1027"/>
      <c r="J208" s="1028"/>
      <c r="K208" s="852"/>
      <c r="L208" s="749"/>
      <c r="M208" s="750"/>
      <c r="N208" s="751"/>
      <c r="O208" s="751"/>
      <c r="P208" s="750"/>
      <c r="Q208" s="753"/>
    </row>
    <row r="209" spans="2:17" ht="13.8" thickBot="1">
      <c r="B209" s="1039"/>
      <c r="C209" s="1040"/>
      <c r="D209" s="1040"/>
      <c r="E209" s="1040"/>
      <c r="F209" s="1040"/>
      <c r="G209" s="1040"/>
      <c r="H209" s="1040"/>
      <c r="I209" s="1040"/>
      <c r="J209" s="1041"/>
      <c r="K209" s="853"/>
      <c r="L209" s="813"/>
      <c r="M209" s="813"/>
      <c r="N209" s="813"/>
      <c r="O209" s="1042" t="s">
        <v>365</v>
      </c>
      <c r="P209" s="1043"/>
      <c r="Q209" s="814">
        <f>SUM(Q204:Q208)</f>
        <v>142.16666666666666</v>
      </c>
    </row>
    <row r="213" spans="2:17">
      <c r="Q213" s="1198"/>
    </row>
    <row r="214" spans="2:17">
      <c r="Q214" s="1198"/>
    </row>
    <row r="216" spans="2:17">
      <c r="B216" s="1089"/>
    </row>
    <row r="217" spans="2:17">
      <c r="B217" s="868" t="str">
        <f>PRESUPUESTO!$B$52</f>
        <v>JESUS EDUARDO ROBLES SMITH</v>
      </c>
    </row>
    <row r="218" spans="2:17">
      <c r="B218" t="str">
        <f>+PRESUPUESTO!B53</f>
        <v>INGENIERO CIVIL</v>
      </c>
    </row>
    <row r="219" spans="2:17">
      <c r="B219" t="str">
        <f>+PRESUPUESTO!B54</f>
        <v>M.P. 25202-316144 CND</v>
      </c>
    </row>
    <row r="228" spans="18:18">
      <c r="R228" s="682"/>
    </row>
    <row r="243" ht="12.75" customHeight="1"/>
  </sheetData>
  <sheetProtection formatCells="0" formatColumns="0" formatRows="0" insertColumns="0" insertRows="0" insertHyperlinks="0" deleteColumns="0" deleteRows="0" sort="0" autoFilter="0" pivotTables="0"/>
  <mergeCells count="163">
    <mergeCell ref="B202:C202"/>
    <mergeCell ref="B200:C200"/>
    <mergeCell ref="B196:J196"/>
    <mergeCell ref="B201:C201"/>
    <mergeCell ref="B197:J197"/>
    <mergeCell ref="B112:O112"/>
    <mergeCell ref="B16:C16"/>
    <mergeCell ref="D16:Q16"/>
    <mergeCell ref="B17:Q17"/>
    <mergeCell ref="B21:J21"/>
    <mergeCell ref="O21:P21"/>
    <mergeCell ref="O22:P22"/>
    <mergeCell ref="B19:J19"/>
    <mergeCell ref="O19:P19"/>
    <mergeCell ref="B20:J20"/>
    <mergeCell ref="O20:P20"/>
    <mergeCell ref="B193:J193"/>
    <mergeCell ref="B194:J194"/>
    <mergeCell ref="B195:J195"/>
    <mergeCell ref="B84:J84"/>
    <mergeCell ref="B78:C78"/>
    <mergeCell ref="D79:Q79"/>
    <mergeCell ref="B79:C79"/>
    <mergeCell ref="B168:J168"/>
    <mergeCell ref="C2:R2"/>
    <mergeCell ref="F10:F11"/>
    <mergeCell ref="R38:S38"/>
    <mergeCell ref="E10:E11"/>
    <mergeCell ref="B46:J46"/>
    <mergeCell ref="B41:C41"/>
    <mergeCell ref="D41:Q41"/>
    <mergeCell ref="B42:C42"/>
    <mergeCell ref="O33:P33"/>
    <mergeCell ref="O34:P34"/>
    <mergeCell ref="B34:J34"/>
    <mergeCell ref="B36:P36"/>
    <mergeCell ref="B35:Q35"/>
    <mergeCell ref="B14:C14"/>
    <mergeCell ref="D14:Q14"/>
    <mergeCell ref="B15:C15"/>
    <mergeCell ref="D15:Q15"/>
    <mergeCell ref="B18:J18"/>
    <mergeCell ref="H10:H11"/>
    <mergeCell ref="D42:Q42"/>
    <mergeCell ref="D43:Q43"/>
    <mergeCell ref="B29:C29"/>
    <mergeCell ref="D29:Q29"/>
    <mergeCell ref="I10:I11"/>
    <mergeCell ref="O18:P18"/>
    <mergeCell ref="B167:J167"/>
    <mergeCell ref="B43:C43"/>
    <mergeCell ref="B139:J139"/>
    <mergeCell ref="B166:J166"/>
    <mergeCell ref="B33:J33"/>
    <mergeCell ref="B142:J142"/>
    <mergeCell ref="O32:P32"/>
    <mergeCell ref="E126:N126"/>
    <mergeCell ref="B45:J45"/>
    <mergeCell ref="D54:Q54"/>
    <mergeCell ref="B23:P23"/>
    <mergeCell ref="P112:R135"/>
    <mergeCell ref="B138:Q138"/>
    <mergeCell ref="B162:Q162"/>
    <mergeCell ref="B27:C27"/>
    <mergeCell ref="D27:Q27"/>
    <mergeCell ref="B28:C28"/>
    <mergeCell ref="D28:Q28"/>
    <mergeCell ref="B31:J31"/>
    <mergeCell ref="B32:J32"/>
    <mergeCell ref="B30:Q30"/>
    <mergeCell ref="B90:C90"/>
    <mergeCell ref="D90:Q90"/>
    <mergeCell ref="B190:C190"/>
    <mergeCell ref="B191:C191"/>
    <mergeCell ref="B182:J182"/>
    <mergeCell ref="B179:J179"/>
    <mergeCell ref="B180:J180"/>
    <mergeCell ref="B178:J178"/>
    <mergeCell ref="B185:J185"/>
    <mergeCell ref="B184:J184"/>
    <mergeCell ref="B181:J181"/>
    <mergeCell ref="B183:J183"/>
    <mergeCell ref="H96:J96"/>
    <mergeCell ref="O96:O97"/>
    <mergeCell ref="B170:O170"/>
    <mergeCell ref="O31:P31"/>
    <mergeCell ref="B107:P107"/>
    <mergeCell ref="B206:J206"/>
    <mergeCell ref="B205:J205"/>
    <mergeCell ref="B204:J204"/>
    <mergeCell ref="B203:J203"/>
    <mergeCell ref="B106:N106"/>
    <mergeCell ref="B92:C92"/>
    <mergeCell ref="D92:Q92"/>
    <mergeCell ref="O106:P106"/>
    <mergeCell ref="B165:J165"/>
    <mergeCell ref="B163:J163"/>
    <mergeCell ref="B173:C173"/>
    <mergeCell ref="B174:C174"/>
    <mergeCell ref="B175:C175"/>
    <mergeCell ref="B94:J94"/>
    <mergeCell ref="B95:J95"/>
    <mergeCell ref="B177:J177"/>
    <mergeCell ref="B164:J164"/>
    <mergeCell ref="B49:J49"/>
    <mergeCell ref="B192:C192"/>
    <mergeCell ref="B150:Q150"/>
    <mergeCell ref="B151:J151"/>
    <mergeCell ref="B128:D128"/>
    <mergeCell ref="E135:N135"/>
    <mergeCell ref="B141:J141"/>
    <mergeCell ref="B147:P147"/>
    <mergeCell ref="B143:J143"/>
    <mergeCell ref="B140:J140"/>
    <mergeCell ref="E116:O116"/>
    <mergeCell ref="B61:J70"/>
    <mergeCell ref="B144:J144"/>
    <mergeCell ref="B48:J48"/>
    <mergeCell ref="B86:J86"/>
    <mergeCell ref="B54:C54"/>
    <mergeCell ref="B83:J83"/>
    <mergeCell ref="B60:J60"/>
    <mergeCell ref="B71:J71"/>
    <mergeCell ref="B77:C77"/>
    <mergeCell ref="D77:Q77"/>
    <mergeCell ref="B72:Q72"/>
    <mergeCell ref="B73:P73"/>
    <mergeCell ref="B55:C55"/>
    <mergeCell ref="D55:Q55"/>
    <mergeCell ref="B91:C91"/>
    <mergeCell ref="B129:D135"/>
    <mergeCell ref="H98:I98"/>
    <mergeCell ref="H99:I99"/>
    <mergeCell ref="H100:I100"/>
    <mergeCell ref="H101:I101"/>
    <mergeCell ref="H102:I102"/>
    <mergeCell ref="H103:I103"/>
    <mergeCell ref="H104:I104"/>
    <mergeCell ref="H97:I97"/>
    <mergeCell ref="N96:N97"/>
    <mergeCell ref="P96:P97"/>
    <mergeCell ref="B152:J152"/>
    <mergeCell ref="B153:J153"/>
    <mergeCell ref="B154:J154"/>
    <mergeCell ref="B155:J155"/>
    <mergeCell ref="B156:J156"/>
    <mergeCell ref="B159:P159"/>
    <mergeCell ref="B44:Q44"/>
    <mergeCell ref="B113:D113"/>
    <mergeCell ref="B50:P50"/>
    <mergeCell ref="B85:J85"/>
    <mergeCell ref="B115:D126"/>
    <mergeCell ref="B82:J82"/>
    <mergeCell ref="B47:J47"/>
    <mergeCell ref="D91:Q91"/>
    <mergeCell ref="B87:P87"/>
    <mergeCell ref="B114:O114"/>
    <mergeCell ref="B56:C56"/>
    <mergeCell ref="D56:Q56"/>
    <mergeCell ref="B58:J58"/>
    <mergeCell ref="B59:J59"/>
    <mergeCell ref="D78:Q78"/>
    <mergeCell ref="B81:J81"/>
  </mergeCells>
  <phoneticPr fontId="76" type="noConversion"/>
  <pageMargins left="0.70866141732283472" right="0.70866141732283472" top="0.74803149606299213" bottom="0.74803149606299213" header="0.31496062992125984" footer="0.31496062992125984"/>
  <pageSetup scale="16" fitToHeight="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T325"/>
  <sheetViews>
    <sheetView topLeftCell="A27" zoomScale="86" zoomScaleNormal="86" workbookViewId="0">
      <selection activeCell="F98" sqref="F98"/>
    </sheetView>
  </sheetViews>
  <sheetFormatPr baseColWidth="10" defaultColWidth="9.109375" defaultRowHeight="13.2"/>
  <cols>
    <col min="13" max="13" width="12.88671875" customWidth="1"/>
    <col min="14" max="14" width="12.109375" customWidth="1"/>
    <col min="22" max="22" width="12.6640625" customWidth="1"/>
    <col min="23" max="23" width="11.5546875" customWidth="1"/>
    <col min="26" max="26" width="7.44140625" customWidth="1"/>
    <col min="31" max="31" width="11.44140625" customWidth="1"/>
    <col min="32" max="32" width="10.44140625" customWidth="1"/>
    <col min="40" max="40" width="11.44140625" customWidth="1"/>
    <col min="41" max="41" width="10.5546875" customWidth="1"/>
  </cols>
  <sheetData>
    <row r="1" spans="1:46">
      <c r="A1" s="868" t="s">
        <v>739</v>
      </c>
    </row>
    <row r="3" spans="1:46">
      <c r="A3" s="1712" t="s">
        <v>528</v>
      </c>
      <c r="B3" s="1712"/>
      <c r="C3" s="1712"/>
      <c r="D3" s="1712"/>
      <c r="E3" s="1712"/>
      <c r="F3" s="129"/>
      <c r="G3" s="869"/>
      <c r="H3" s="868"/>
      <c r="I3" s="868"/>
      <c r="J3" s="868"/>
      <c r="K3" s="868"/>
      <c r="L3" s="868"/>
      <c r="M3" s="868"/>
      <c r="N3" s="868"/>
      <c r="O3" s="129"/>
      <c r="P3" s="129"/>
      <c r="Q3" s="868"/>
      <c r="R3" s="868"/>
      <c r="S3" s="868"/>
      <c r="T3" s="868"/>
      <c r="U3" s="868"/>
      <c r="V3" s="868"/>
      <c r="W3" s="868"/>
      <c r="X3" s="129"/>
      <c r="Y3" s="129"/>
      <c r="Z3" s="129"/>
      <c r="AA3" s="129"/>
      <c r="AB3" s="129"/>
      <c r="AC3" s="129"/>
      <c r="AD3" s="129"/>
      <c r="AE3" s="129"/>
      <c r="AF3" s="129"/>
      <c r="AG3" s="129"/>
      <c r="AH3" s="129"/>
      <c r="AI3" s="1711"/>
      <c r="AJ3" s="1711"/>
      <c r="AK3" s="1711"/>
      <c r="AL3" s="1711"/>
      <c r="AM3" s="1711"/>
      <c r="AN3" s="1711"/>
      <c r="AO3" s="1711"/>
      <c r="AP3" s="129"/>
      <c r="AQ3" s="129"/>
      <c r="AR3" s="129"/>
      <c r="AS3" s="129"/>
      <c r="AT3" s="129"/>
    </row>
    <row r="4" spans="1:46" s="881" customFormat="1" ht="39.6">
      <c r="A4" s="1056" t="s">
        <v>778</v>
      </c>
      <c r="B4" s="1056" t="s">
        <v>777</v>
      </c>
      <c r="C4" s="1056" t="s">
        <v>776</v>
      </c>
      <c r="D4" s="1056" t="s">
        <v>775</v>
      </c>
      <c r="E4" s="1056" t="s">
        <v>774</v>
      </c>
      <c r="H4" s="688"/>
      <c r="I4" s="688"/>
      <c r="J4" s="688"/>
      <c r="K4" s="688"/>
      <c r="L4" s="688"/>
      <c r="M4" s="688"/>
      <c r="N4" s="688"/>
      <c r="Q4" s="688"/>
      <c r="R4" s="688"/>
      <c r="S4" s="688"/>
      <c r="T4" s="688"/>
      <c r="U4" s="688"/>
      <c r="V4" s="688"/>
      <c r="W4" s="688"/>
      <c r="Z4" s="1008"/>
      <c r="AA4" s="1008"/>
      <c r="AB4" s="1008"/>
      <c r="AC4" s="1008"/>
      <c r="AD4" s="1008"/>
      <c r="AE4" s="1008"/>
      <c r="AF4" s="1008"/>
      <c r="AI4" s="1008"/>
      <c r="AJ4" s="1008"/>
      <c r="AK4" s="1008"/>
      <c r="AL4" s="1008"/>
      <c r="AM4" s="1008"/>
      <c r="AN4" s="1008"/>
      <c r="AO4" s="1008"/>
    </row>
    <row r="5" spans="1:46">
      <c r="A5" s="1403" t="s">
        <v>806</v>
      </c>
      <c r="B5" s="1404">
        <v>0</v>
      </c>
      <c r="C5" s="1405">
        <v>1.78</v>
      </c>
      <c r="D5" s="1404">
        <v>0</v>
      </c>
      <c r="E5" s="1406">
        <v>0</v>
      </c>
      <c r="H5" s="885"/>
      <c r="I5" s="885"/>
      <c r="J5" s="885"/>
      <c r="K5" s="885"/>
      <c r="L5" s="885"/>
      <c r="M5" s="885"/>
      <c r="N5" s="885"/>
      <c r="R5" s="885"/>
      <c r="S5" s="885"/>
      <c r="T5" s="885"/>
      <c r="U5" s="885"/>
      <c r="V5" s="885"/>
      <c r="W5" s="885"/>
    </row>
    <row r="6" spans="1:46">
      <c r="A6" s="1403" t="s">
        <v>807</v>
      </c>
      <c r="B6" s="1404">
        <v>0</v>
      </c>
      <c r="C6" s="1405">
        <v>2.04</v>
      </c>
      <c r="D6" s="1404">
        <v>0</v>
      </c>
      <c r="E6" s="1407">
        <v>19.100000000000001</v>
      </c>
      <c r="H6" s="885"/>
      <c r="I6" s="885"/>
      <c r="J6" s="885"/>
      <c r="K6" s="885"/>
      <c r="L6" s="885"/>
      <c r="M6" s="885"/>
      <c r="N6" s="885"/>
      <c r="R6" s="885"/>
      <c r="S6" s="885"/>
      <c r="T6" s="885"/>
      <c r="U6" s="885"/>
      <c r="V6" s="885"/>
      <c r="W6" s="885"/>
    </row>
    <row r="7" spans="1:46">
      <c r="A7" s="1403" t="s">
        <v>808</v>
      </c>
      <c r="B7" s="1405">
        <v>0.01</v>
      </c>
      <c r="C7" s="1405">
        <v>1.53</v>
      </c>
      <c r="D7" s="1405">
        <v>0.03</v>
      </c>
      <c r="E7" s="1408">
        <v>17.86</v>
      </c>
      <c r="H7" s="885"/>
      <c r="I7" s="885"/>
      <c r="J7" s="885"/>
      <c r="K7" s="885"/>
      <c r="L7" s="885"/>
      <c r="M7" s="885"/>
      <c r="N7" s="885"/>
      <c r="R7" s="885"/>
      <c r="S7" s="885"/>
      <c r="T7" s="885"/>
      <c r="U7" s="885"/>
      <c r="V7" s="885"/>
      <c r="W7" s="885"/>
    </row>
    <row r="8" spans="1:46">
      <c r="A8" s="1403" t="s">
        <v>809</v>
      </c>
      <c r="B8" s="1405">
        <v>0.03</v>
      </c>
      <c r="C8" s="1409">
        <v>1.2</v>
      </c>
      <c r="D8" s="1405">
        <v>0.18</v>
      </c>
      <c r="E8" s="1408">
        <v>13.67</v>
      </c>
      <c r="H8" s="885"/>
      <c r="I8" s="885"/>
      <c r="J8" s="885"/>
      <c r="K8" s="885"/>
      <c r="L8" s="885"/>
      <c r="M8" s="885"/>
      <c r="N8" s="885"/>
      <c r="R8" s="885"/>
      <c r="S8" s="885"/>
      <c r="T8" s="885"/>
      <c r="U8" s="885"/>
      <c r="V8" s="885"/>
      <c r="W8" s="885"/>
    </row>
    <row r="9" spans="1:46">
      <c r="A9" s="1403" t="s">
        <v>810</v>
      </c>
      <c r="B9" s="1405">
        <v>0.06</v>
      </c>
      <c r="C9" s="1405">
        <v>0.64</v>
      </c>
      <c r="D9" s="1405">
        <v>0.44</v>
      </c>
      <c r="E9" s="1408">
        <v>9.2100000000000009</v>
      </c>
      <c r="H9" s="885"/>
      <c r="I9" s="885"/>
      <c r="J9" s="885"/>
      <c r="K9" s="885"/>
      <c r="L9" s="885"/>
      <c r="M9" s="885"/>
      <c r="N9" s="885"/>
      <c r="R9" s="885"/>
      <c r="S9" s="885"/>
      <c r="T9" s="885"/>
      <c r="U9" s="885"/>
      <c r="V9" s="885"/>
      <c r="W9" s="885"/>
    </row>
    <row r="10" spans="1:46">
      <c r="A10" s="1403" t="s">
        <v>811</v>
      </c>
      <c r="B10" s="1404">
        <v>0</v>
      </c>
      <c r="C10" s="1405">
        <v>1.65</v>
      </c>
      <c r="D10" s="1405">
        <v>0.28999999999999998</v>
      </c>
      <c r="E10" s="1408">
        <v>11.47</v>
      </c>
      <c r="H10" s="885"/>
      <c r="I10" s="885"/>
      <c r="J10" s="885"/>
      <c r="K10" s="885"/>
      <c r="L10" s="885"/>
      <c r="M10" s="885"/>
      <c r="N10" s="885"/>
      <c r="R10" s="885"/>
      <c r="S10" s="885"/>
      <c r="T10" s="885"/>
      <c r="U10" s="885"/>
      <c r="V10" s="885"/>
      <c r="W10" s="885"/>
    </row>
    <row r="11" spans="1:46">
      <c r="A11" s="1403" t="s">
        <v>812</v>
      </c>
      <c r="B11" s="1404">
        <v>0</v>
      </c>
      <c r="C11" s="1405">
        <v>1.92</v>
      </c>
      <c r="D11" s="1404">
        <v>0</v>
      </c>
      <c r="E11" s="1407">
        <v>17.899999999999999</v>
      </c>
      <c r="H11" s="885"/>
      <c r="I11" s="885"/>
      <c r="J11" s="885"/>
      <c r="K11" s="885"/>
      <c r="L11" s="885"/>
      <c r="M11" s="885"/>
      <c r="N11" s="885"/>
      <c r="R11" s="885"/>
      <c r="S11" s="885"/>
      <c r="T11" s="885"/>
      <c r="U11" s="885"/>
      <c r="V11" s="885"/>
      <c r="W11" s="885"/>
    </row>
    <row r="12" spans="1:46">
      <c r="A12" s="1403" t="s">
        <v>813</v>
      </c>
      <c r="B12" s="1405">
        <v>0.01</v>
      </c>
      <c r="C12" s="1405">
        <v>1.49</v>
      </c>
      <c r="D12" s="1405">
        <v>0.03</v>
      </c>
      <c r="E12" s="1408">
        <v>17.05</v>
      </c>
      <c r="H12" s="885"/>
      <c r="I12" s="885"/>
      <c r="J12" s="885"/>
      <c r="K12" s="885"/>
      <c r="L12" s="885"/>
      <c r="M12" s="885"/>
      <c r="N12" s="885"/>
      <c r="R12" s="885"/>
      <c r="S12" s="885"/>
      <c r="T12" s="885"/>
      <c r="U12" s="885"/>
      <c r="V12" s="885"/>
      <c r="W12" s="885"/>
    </row>
    <row r="13" spans="1:46">
      <c r="A13" s="1403" t="s">
        <v>814</v>
      </c>
      <c r="B13" s="1405">
        <v>0.03</v>
      </c>
      <c r="C13" s="1405">
        <v>0.77</v>
      </c>
      <c r="D13" s="1405">
        <v>0.19</v>
      </c>
      <c r="E13" s="1408">
        <v>11.27</v>
      </c>
      <c r="H13" s="885"/>
      <c r="I13" s="885"/>
      <c r="J13" s="885"/>
      <c r="K13" s="885"/>
      <c r="L13" s="885"/>
      <c r="M13" s="885"/>
      <c r="N13" s="885"/>
      <c r="R13" s="885"/>
      <c r="S13" s="885"/>
      <c r="T13" s="885"/>
      <c r="U13" s="885"/>
      <c r="V13" s="885"/>
      <c r="W13" s="885"/>
    </row>
    <row r="14" spans="1:46">
      <c r="A14" s="1403" t="s">
        <v>815</v>
      </c>
      <c r="B14" s="1405">
        <v>0.06</v>
      </c>
      <c r="C14" s="1405">
        <v>0.69</v>
      </c>
      <c r="D14" s="1405">
        <v>0.46</v>
      </c>
      <c r="E14" s="1407">
        <v>7.3</v>
      </c>
      <c r="H14" s="885"/>
      <c r="I14" s="885"/>
      <c r="J14" s="885"/>
      <c r="K14" s="885"/>
      <c r="L14" s="885"/>
      <c r="M14" s="885"/>
      <c r="N14" s="885"/>
      <c r="R14" s="885"/>
      <c r="S14" s="885"/>
      <c r="T14" s="885"/>
      <c r="U14" s="885"/>
      <c r="V14" s="885"/>
      <c r="W14" s="885"/>
    </row>
    <row r="15" spans="1:46">
      <c r="A15" s="1403" t="s">
        <v>816</v>
      </c>
      <c r="B15" s="1405">
        <v>0.05</v>
      </c>
      <c r="C15" s="1405">
        <v>1.1499999999999999</v>
      </c>
      <c r="D15" s="1405">
        <v>0.54</v>
      </c>
      <c r="E15" s="1407">
        <v>9.1999999999999993</v>
      </c>
      <c r="H15" s="885"/>
      <c r="I15" s="885"/>
      <c r="J15" s="885"/>
      <c r="K15" s="885"/>
      <c r="L15" s="885"/>
      <c r="M15" s="885"/>
      <c r="N15" s="885"/>
      <c r="R15" s="885"/>
      <c r="S15" s="885"/>
      <c r="T15" s="885"/>
      <c r="U15" s="885"/>
      <c r="V15" s="885"/>
      <c r="W15" s="885"/>
    </row>
    <row r="16" spans="1:46">
      <c r="A16" s="1403" t="s">
        <v>817</v>
      </c>
      <c r="B16" s="1405">
        <v>0.03</v>
      </c>
      <c r="C16" s="1405">
        <v>0.82</v>
      </c>
      <c r="D16" s="1405">
        <v>0.37</v>
      </c>
      <c r="E16" s="1408">
        <v>9.83</v>
      </c>
      <c r="H16" s="885"/>
      <c r="I16" s="885"/>
      <c r="J16" s="885"/>
      <c r="K16" s="885"/>
      <c r="L16" s="885"/>
      <c r="M16" s="885"/>
      <c r="N16" s="885"/>
      <c r="R16" s="885"/>
      <c r="S16" s="885"/>
      <c r="T16" s="885"/>
      <c r="U16" s="885"/>
      <c r="V16" s="885"/>
      <c r="W16" s="885"/>
    </row>
    <row r="17" spans="1:23">
      <c r="A17" s="1403" t="s">
        <v>818</v>
      </c>
      <c r="B17" s="1404">
        <v>0</v>
      </c>
      <c r="C17" s="1405">
        <v>1.61</v>
      </c>
      <c r="D17" s="1405">
        <v>0.14000000000000001</v>
      </c>
      <c r="E17" s="1408">
        <v>12.14</v>
      </c>
      <c r="H17" s="885"/>
      <c r="I17" s="885"/>
      <c r="J17" s="885"/>
      <c r="K17" s="885"/>
      <c r="L17" s="885"/>
      <c r="M17" s="885"/>
      <c r="N17" s="885"/>
      <c r="R17" s="885"/>
      <c r="S17" s="885"/>
      <c r="T17" s="885"/>
      <c r="U17" s="885"/>
      <c r="V17" s="885"/>
      <c r="W17" s="885"/>
    </row>
    <row r="18" spans="1:23">
      <c r="A18" s="1403" t="s">
        <v>819</v>
      </c>
      <c r="B18" s="1405">
        <v>0.02</v>
      </c>
      <c r="C18" s="1405">
        <v>1.38</v>
      </c>
      <c r="D18" s="1409">
        <v>0.1</v>
      </c>
      <c r="E18" s="1408">
        <v>14.94</v>
      </c>
      <c r="H18" s="885"/>
      <c r="I18" s="885"/>
      <c r="J18" s="885"/>
      <c r="K18" s="885"/>
      <c r="L18" s="885"/>
      <c r="M18" s="885"/>
      <c r="N18" s="885"/>
      <c r="R18" s="885"/>
      <c r="S18" s="885"/>
      <c r="T18" s="885"/>
      <c r="U18" s="885"/>
      <c r="V18" s="885"/>
      <c r="W18" s="885"/>
    </row>
    <row r="19" spans="1:23">
      <c r="A19" s="1403" t="s">
        <v>820</v>
      </c>
      <c r="B19" s="1405">
        <v>0.01</v>
      </c>
      <c r="C19" s="1405">
        <v>0.88</v>
      </c>
      <c r="D19" s="1405">
        <v>0.14000000000000001</v>
      </c>
      <c r="E19" s="1407">
        <v>11.3</v>
      </c>
      <c r="H19" s="885"/>
      <c r="I19" s="885"/>
      <c r="J19" s="885"/>
      <c r="K19" s="885"/>
      <c r="L19" s="885"/>
      <c r="M19" s="885"/>
      <c r="N19" s="885"/>
      <c r="R19" s="885"/>
      <c r="S19" s="885"/>
      <c r="T19" s="885"/>
      <c r="U19" s="885"/>
      <c r="V19" s="885"/>
      <c r="W19" s="885"/>
    </row>
    <row r="20" spans="1:23">
      <c r="A20" s="1403" t="s">
        <v>821</v>
      </c>
      <c r="B20" s="1405">
        <v>0.01</v>
      </c>
      <c r="C20" s="1405">
        <v>1.56</v>
      </c>
      <c r="D20" s="1405">
        <v>0.09</v>
      </c>
      <c r="E20" s="1408">
        <v>12.22</v>
      </c>
      <c r="H20" s="885"/>
      <c r="I20" s="885"/>
      <c r="J20" s="885"/>
      <c r="K20" s="885"/>
      <c r="L20" s="885"/>
      <c r="M20" s="885"/>
      <c r="N20" s="885"/>
      <c r="R20" s="885"/>
      <c r="S20" s="885"/>
      <c r="T20" s="885"/>
      <c r="U20" s="885"/>
      <c r="V20" s="885"/>
      <c r="W20" s="885"/>
    </row>
    <row r="21" spans="1:23">
      <c r="A21" s="1403" t="s">
        <v>822</v>
      </c>
      <c r="B21" s="1404">
        <v>0</v>
      </c>
      <c r="C21" s="1405">
        <v>1.36</v>
      </c>
      <c r="D21" s="1405">
        <v>0.05</v>
      </c>
      <c r="E21" s="1408">
        <v>14.62</v>
      </c>
      <c r="H21" s="885"/>
      <c r="I21" s="885"/>
      <c r="J21" s="885"/>
      <c r="K21" s="885"/>
      <c r="L21" s="885"/>
      <c r="M21" s="885"/>
      <c r="N21" s="885"/>
      <c r="R21" s="885"/>
      <c r="S21" s="885"/>
      <c r="T21" s="885"/>
      <c r="U21" s="885"/>
      <c r="V21" s="885"/>
      <c r="W21" s="885"/>
    </row>
    <row r="22" spans="1:23">
      <c r="A22" s="1403" t="s">
        <v>823</v>
      </c>
      <c r="B22" s="1405">
        <v>0.01</v>
      </c>
      <c r="C22" s="1409">
        <v>1.5</v>
      </c>
      <c r="D22" s="1405">
        <v>0.05</v>
      </c>
      <c r="E22" s="1407">
        <v>14.6</v>
      </c>
      <c r="H22" s="885"/>
      <c r="I22" s="885"/>
      <c r="J22" s="885"/>
      <c r="K22" s="885"/>
      <c r="L22" s="885"/>
      <c r="M22" s="885"/>
      <c r="N22" s="885"/>
      <c r="R22" s="885"/>
      <c r="S22" s="885"/>
      <c r="T22" s="885"/>
      <c r="U22" s="885"/>
      <c r="V22" s="885"/>
      <c r="W22" s="885"/>
    </row>
    <row r="23" spans="1:23">
      <c r="A23" s="1403" t="s">
        <v>824</v>
      </c>
      <c r="B23" s="1404">
        <v>0</v>
      </c>
      <c r="C23" s="1405">
        <v>1.65</v>
      </c>
      <c r="D23" s="1405">
        <v>0.03</v>
      </c>
      <c r="E23" s="1407">
        <v>15.8</v>
      </c>
      <c r="H23" s="885"/>
      <c r="I23" s="885"/>
      <c r="J23" s="885"/>
      <c r="K23" s="885"/>
      <c r="L23" s="885"/>
      <c r="M23" s="885"/>
      <c r="N23" s="885"/>
      <c r="R23" s="885"/>
      <c r="S23" s="885"/>
      <c r="T23" s="885"/>
      <c r="U23" s="885"/>
      <c r="V23" s="885"/>
      <c r="W23" s="885"/>
    </row>
    <row r="24" spans="1:23">
      <c r="A24" s="1403" t="s">
        <v>825</v>
      </c>
      <c r="B24" s="1405">
        <v>0.05</v>
      </c>
      <c r="C24" s="1405">
        <v>0.62</v>
      </c>
      <c r="D24" s="1405">
        <v>0.25</v>
      </c>
      <c r="E24" s="1408">
        <v>11.27</v>
      </c>
      <c r="H24" s="885"/>
      <c r="I24" s="885"/>
      <c r="J24" s="885"/>
      <c r="K24" s="885"/>
      <c r="L24" s="885"/>
      <c r="M24" s="885"/>
      <c r="N24" s="885"/>
      <c r="R24" s="885"/>
      <c r="S24" s="885"/>
      <c r="T24" s="885"/>
      <c r="U24" s="885"/>
      <c r="V24" s="885"/>
      <c r="W24" s="885"/>
    </row>
    <row r="25" spans="1:23">
      <c r="A25" s="1403" t="s">
        <v>826</v>
      </c>
      <c r="B25" s="1409">
        <v>0.1</v>
      </c>
      <c r="C25" s="1405">
        <v>0.92</v>
      </c>
      <c r="D25" s="1405">
        <v>0.77</v>
      </c>
      <c r="E25" s="1408">
        <v>7.61</v>
      </c>
      <c r="H25" s="885"/>
      <c r="I25" s="885"/>
      <c r="J25" s="885"/>
      <c r="K25" s="885"/>
      <c r="L25" s="885"/>
      <c r="M25" s="885"/>
      <c r="N25" s="885"/>
      <c r="R25" s="885"/>
      <c r="S25" s="885"/>
      <c r="T25" s="885"/>
      <c r="U25" s="885"/>
      <c r="V25" s="885"/>
      <c r="W25" s="885"/>
    </row>
    <row r="26" spans="1:23">
      <c r="A26" s="1403" t="s">
        <v>827</v>
      </c>
      <c r="B26" s="1404">
        <v>0</v>
      </c>
      <c r="C26" s="1409">
        <v>1.9</v>
      </c>
      <c r="D26" s="1405">
        <v>0.48</v>
      </c>
      <c r="E26" s="1408">
        <v>14.11</v>
      </c>
      <c r="H26" s="885"/>
      <c r="I26" s="885"/>
      <c r="J26" s="885"/>
      <c r="K26" s="885"/>
      <c r="L26" s="885"/>
      <c r="M26" s="885"/>
      <c r="N26" s="885"/>
      <c r="R26" s="885"/>
      <c r="S26" s="885"/>
      <c r="T26" s="885"/>
      <c r="U26" s="885"/>
      <c r="V26" s="885"/>
      <c r="W26" s="885"/>
    </row>
    <row r="27" spans="1:23">
      <c r="A27" s="1403" t="s">
        <v>828</v>
      </c>
      <c r="B27" s="1404">
        <v>0</v>
      </c>
      <c r="C27" s="1405">
        <v>2.0299999999999998</v>
      </c>
      <c r="D27" s="1404">
        <v>0</v>
      </c>
      <c r="E27" s="1408">
        <v>19.649999999999999</v>
      </c>
      <c r="H27" s="885"/>
      <c r="I27" s="885"/>
      <c r="J27" s="885"/>
      <c r="K27" s="885"/>
      <c r="L27" s="885"/>
      <c r="M27" s="885"/>
      <c r="N27" s="885"/>
      <c r="R27" s="885"/>
      <c r="S27" s="885"/>
      <c r="T27" s="885"/>
      <c r="U27" s="885"/>
      <c r="V27" s="885"/>
      <c r="W27" s="885"/>
    </row>
    <row r="28" spans="1:23">
      <c r="A28" s="1403" t="s">
        <v>829</v>
      </c>
      <c r="B28" s="1404">
        <v>0</v>
      </c>
      <c r="C28" s="1405">
        <v>1.83</v>
      </c>
      <c r="D28" s="1404">
        <v>0</v>
      </c>
      <c r="E28" s="1408">
        <v>19.29</v>
      </c>
      <c r="H28" s="885"/>
      <c r="I28" s="885"/>
      <c r="J28" s="885"/>
      <c r="K28" s="885"/>
      <c r="L28" s="885"/>
      <c r="M28" s="885"/>
      <c r="N28" s="885"/>
      <c r="R28" s="885"/>
      <c r="S28" s="885"/>
      <c r="T28" s="885"/>
      <c r="U28" s="885"/>
      <c r="V28" s="885"/>
      <c r="W28" s="885"/>
    </row>
    <row r="29" spans="1:23">
      <c r="A29" s="1403" t="s">
        <v>830</v>
      </c>
      <c r="B29" s="1404">
        <v>0</v>
      </c>
      <c r="C29" s="1405">
        <v>1.47</v>
      </c>
      <c r="D29" s="1404">
        <v>0</v>
      </c>
      <c r="E29" s="1408">
        <v>16.48</v>
      </c>
      <c r="H29" s="885"/>
      <c r="I29" s="885"/>
      <c r="J29" s="885"/>
      <c r="K29" s="885"/>
      <c r="L29" s="885"/>
      <c r="M29" s="885"/>
      <c r="N29" s="885"/>
      <c r="R29" s="885"/>
      <c r="S29" s="885"/>
      <c r="T29" s="885"/>
      <c r="U29" s="885"/>
      <c r="V29" s="885"/>
      <c r="W29" s="885"/>
    </row>
    <row r="30" spans="1:23">
      <c r="A30" s="1403" t="s">
        <v>831</v>
      </c>
      <c r="B30" s="1405">
        <v>0.02</v>
      </c>
      <c r="C30" s="1405">
        <v>1.33</v>
      </c>
      <c r="D30" s="1405">
        <v>0.11</v>
      </c>
      <c r="E30" s="1406">
        <v>14</v>
      </c>
      <c r="H30" s="885"/>
      <c r="I30" s="885"/>
      <c r="J30" s="885"/>
      <c r="K30" s="885"/>
      <c r="L30" s="885"/>
      <c r="M30" s="885"/>
      <c r="N30" s="885"/>
      <c r="R30" s="885"/>
      <c r="S30" s="885"/>
      <c r="T30" s="885"/>
      <c r="U30" s="885"/>
      <c r="V30" s="885"/>
      <c r="W30" s="885"/>
    </row>
    <row r="31" spans="1:23">
      <c r="A31" s="1403" t="s">
        <v>832</v>
      </c>
      <c r="B31" s="1405">
        <v>0.04</v>
      </c>
      <c r="C31" s="1405">
        <v>0.74</v>
      </c>
      <c r="D31" s="1405">
        <v>0.28999999999999998</v>
      </c>
      <c r="E31" s="1408">
        <v>10.38</v>
      </c>
      <c r="H31" s="885"/>
      <c r="I31" s="885"/>
      <c r="J31" s="885"/>
      <c r="K31" s="885"/>
      <c r="L31" s="885"/>
      <c r="M31" s="885"/>
      <c r="N31" s="885"/>
      <c r="R31" s="885"/>
      <c r="S31" s="885"/>
      <c r="T31" s="885"/>
      <c r="U31" s="885"/>
      <c r="V31" s="885"/>
      <c r="W31" s="885"/>
    </row>
    <row r="32" spans="1:23">
      <c r="A32" s="1403" t="s">
        <v>833</v>
      </c>
      <c r="B32" s="1404">
        <v>0</v>
      </c>
      <c r="C32" s="1405">
        <v>1.22</v>
      </c>
      <c r="D32" s="1405">
        <v>0.18</v>
      </c>
      <c r="E32" s="1408">
        <v>9.86</v>
      </c>
      <c r="H32" s="885"/>
      <c r="I32" s="885"/>
      <c r="J32" s="885"/>
      <c r="K32" s="885"/>
      <c r="L32" s="885"/>
      <c r="M32" s="885"/>
      <c r="N32" s="885"/>
      <c r="R32" s="885"/>
      <c r="S32" s="885"/>
      <c r="T32" s="885"/>
      <c r="U32" s="885"/>
      <c r="V32" s="885"/>
      <c r="W32" s="885"/>
    </row>
    <row r="33" spans="1:23">
      <c r="A33" s="1403" t="s">
        <v>834</v>
      </c>
      <c r="B33" s="1405">
        <v>0.06</v>
      </c>
      <c r="C33" s="1405">
        <v>0.95</v>
      </c>
      <c r="D33" s="1409">
        <v>0.3</v>
      </c>
      <c r="E33" s="1408">
        <v>10.95</v>
      </c>
      <c r="H33" s="885"/>
      <c r="I33" s="885"/>
      <c r="J33" s="885"/>
      <c r="K33" s="885"/>
      <c r="L33" s="885"/>
      <c r="M33" s="885"/>
      <c r="N33" s="885"/>
      <c r="R33" s="885"/>
      <c r="S33" s="885"/>
      <c r="T33" s="885"/>
      <c r="U33" s="885"/>
      <c r="V33" s="885"/>
      <c r="W33" s="885"/>
    </row>
    <row r="34" spans="1:23">
      <c r="A34" s="1403" t="s">
        <v>835</v>
      </c>
      <c r="B34" s="1405">
        <v>0.06</v>
      </c>
      <c r="C34" s="1405">
        <v>0.78</v>
      </c>
      <c r="D34" s="1405">
        <v>0.56000000000000005</v>
      </c>
      <c r="E34" s="1408">
        <v>8.69</v>
      </c>
      <c r="H34" s="885"/>
      <c r="I34" s="885"/>
      <c r="J34" s="885"/>
      <c r="K34" s="885"/>
      <c r="L34" s="885"/>
      <c r="M34" s="885"/>
      <c r="N34" s="885"/>
      <c r="R34" s="885"/>
      <c r="S34" s="885"/>
      <c r="T34" s="885"/>
      <c r="U34" s="885"/>
      <c r="V34" s="885"/>
      <c r="W34" s="885"/>
    </row>
    <row r="35" spans="1:23">
      <c r="A35" s="1403" t="s">
        <v>836</v>
      </c>
      <c r="B35" s="1404">
        <v>0</v>
      </c>
      <c r="C35" s="1405">
        <v>1.91</v>
      </c>
      <c r="D35" s="1405">
        <v>0.27</v>
      </c>
      <c r="E35" s="1408">
        <v>13.57</v>
      </c>
      <c r="H35" s="885"/>
      <c r="I35" s="885"/>
      <c r="J35" s="885"/>
      <c r="K35" s="885"/>
      <c r="L35" s="885"/>
      <c r="M35" s="885"/>
      <c r="N35" s="885"/>
      <c r="R35" s="885"/>
      <c r="S35" s="885"/>
      <c r="T35" s="885"/>
      <c r="U35" s="885"/>
      <c r="V35" s="885"/>
      <c r="W35" s="885"/>
    </row>
    <row r="36" spans="1:23">
      <c r="A36" s="1403" t="s">
        <v>837</v>
      </c>
      <c r="B36" s="1405">
        <v>0.01</v>
      </c>
      <c r="C36" s="1409">
        <v>1.3</v>
      </c>
      <c r="D36" s="1405">
        <v>7.0000000000000007E-2</v>
      </c>
      <c r="E36" s="1408">
        <v>16.02</v>
      </c>
      <c r="H36" s="885"/>
      <c r="I36" s="885"/>
      <c r="J36" s="885"/>
      <c r="K36" s="885"/>
      <c r="L36" s="885"/>
      <c r="M36" s="885"/>
      <c r="N36" s="885"/>
      <c r="R36" s="885"/>
      <c r="S36" s="885"/>
      <c r="T36" s="885"/>
      <c r="U36" s="885"/>
      <c r="V36" s="885"/>
      <c r="W36" s="885"/>
    </row>
    <row r="37" spans="1:23">
      <c r="A37" s="1403" t="s">
        <v>838</v>
      </c>
      <c r="B37" s="1405">
        <v>0.03</v>
      </c>
      <c r="C37" s="1405">
        <v>0.73</v>
      </c>
      <c r="D37" s="1405">
        <v>0.23</v>
      </c>
      <c r="E37" s="1408">
        <v>10.16</v>
      </c>
      <c r="H37" s="885"/>
      <c r="I37" s="885"/>
      <c r="J37" s="885"/>
      <c r="K37" s="885"/>
      <c r="L37" s="885"/>
      <c r="M37" s="885"/>
      <c r="N37" s="885"/>
      <c r="R37" s="885"/>
      <c r="S37" s="885"/>
      <c r="T37" s="885"/>
      <c r="U37" s="885"/>
      <c r="V37" s="885"/>
      <c r="W37" s="885"/>
    </row>
    <row r="38" spans="1:23">
      <c r="A38" s="1403" t="s">
        <v>839</v>
      </c>
      <c r="B38" s="1405">
        <v>0.05</v>
      </c>
      <c r="C38" s="1405">
        <v>0.68</v>
      </c>
      <c r="D38" s="1405">
        <v>0.39</v>
      </c>
      <c r="E38" s="1408">
        <v>7.06</v>
      </c>
      <c r="H38" s="885"/>
      <c r="I38" s="885"/>
      <c r="J38" s="885"/>
      <c r="K38" s="885"/>
      <c r="L38" s="885"/>
      <c r="M38" s="885"/>
      <c r="N38" s="885"/>
      <c r="R38" s="885"/>
      <c r="S38" s="885"/>
      <c r="T38" s="885"/>
      <c r="U38" s="885"/>
      <c r="V38" s="885"/>
      <c r="W38" s="885"/>
    </row>
    <row r="39" spans="1:23">
      <c r="A39" s="1403" t="s">
        <v>840</v>
      </c>
      <c r="B39" s="1404">
        <v>0</v>
      </c>
      <c r="C39" s="1405">
        <v>1.95</v>
      </c>
      <c r="D39" s="1405">
        <v>0.23</v>
      </c>
      <c r="E39" s="1408">
        <v>13.15</v>
      </c>
      <c r="H39" s="885"/>
      <c r="I39" s="885"/>
      <c r="J39" s="885"/>
      <c r="K39" s="885"/>
      <c r="L39" s="885"/>
      <c r="M39" s="885"/>
      <c r="N39" s="885"/>
      <c r="R39" s="885"/>
      <c r="S39" s="885"/>
      <c r="T39" s="885"/>
      <c r="U39" s="885"/>
      <c r="V39" s="885"/>
      <c r="W39" s="885"/>
    </row>
    <row r="40" spans="1:23">
      <c r="A40" s="1403" t="s">
        <v>841</v>
      </c>
      <c r="B40" s="1404">
        <v>0</v>
      </c>
      <c r="C40" s="1405">
        <v>2.2799999999999998</v>
      </c>
      <c r="D40" s="1404">
        <v>0</v>
      </c>
      <c r="E40" s="1408">
        <v>21.14</v>
      </c>
      <c r="H40" s="885"/>
      <c r="I40" s="885"/>
      <c r="J40" s="885"/>
      <c r="K40" s="885"/>
      <c r="L40" s="885"/>
      <c r="M40" s="885"/>
      <c r="N40" s="885"/>
      <c r="R40" s="885"/>
      <c r="S40" s="885"/>
      <c r="T40" s="885"/>
      <c r="U40" s="885"/>
      <c r="V40" s="885"/>
      <c r="W40" s="885"/>
    </row>
    <row r="41" spans="1:23">
      <c r="A41" s="1403" t="s">
        <v>842</v>
      </c>
      <c r="B41" s="1404">
        <v>0</v>
      </c>
      <c r="C41" s="1405">
        <v>2.33</v>
      </c>
      <c r="D41" s="1404">
        <v>0</v>
      </c>
      <c r="E41" s="1408">
        <v>23.05</v>
      </c>
      <c r="H41" s="885"/>
      <c r="I41" s="885"/>
      <c r="J41" s="885"/>
      <c r="K41" s="885"/>
      <c r="L41" s="885"/>
      <c r="M41" s="885"/>
      <c r="N41" s="885"/>
      <c r="R41" s="885"/>
      <c r="S41" s="885"/>
      <c r="T41" s="885"/>
      <c r="U41" s="885"/>
      <c r="V41" s="885"/>
      <c r="W41" s="885"/>
    </row>
    <row r="42" spans="1:23">
      <c r="A42" s="1403" t="s">
        <v>843</v>
      </c>
      <c r="B42" s="1404">
        <v>0</v>
      </c>
      <c r="C42" s="1405">
        <v>1.88</v>
      </c>
      <c r="D42" s="1404">
        <v>0</v>
      </c>
      <c r="E42" s="1408">
        <v>21.06</v>
      </c>
      <c r="H42" s="885"/>
      <c r="I42" s="885"/>
      <c r="J42" s="885"/>
      <c r="K42" s="885"/>
      <c r="L42" s="885"/>
      <c r="M42" s="885"/>
      <c r="N42" s="885"/>
      <c r="R42" s="885"/>
      <c r="S42" s="885"/>
      <c r="T42" s="885"/>
      <c r="U42" s="885"/>
      <c r="V42" s="885"/>
      <c r="W42" s="885"/>
    </row>
    <row r="43" spans="1:23">
      <c r="A43" s="1403" t="s">
        <v>844</v>
      </c>
      <c r="B43" s="1405">
        <v>0.02</v>
      </c>
      <c r="C43" s="1409">
        <v>1.2</v>
      </c>
      <c r="D43" s="1405">
        <v>0.08</v>
      </c>
      <c r="E43" s="1408">
        <v>15.39</v>
      </c>
      <c r="H43" s="885"/>
      <c r="I43" s="885"/>
      <c r="J43" s="885"/>
      <c r="K43" s="885"/>
      <c r="L43" s="885"/>
      <c r="M43" s="885"/>
      <c r="N43" s="885"/>
      <c r="R43" s="885"/>
      <c r="S43" s="885"/>
      <c r="T43" s="885"/>
      <c r="U43" s="885"/>
      <c r="V43" s="885"/>
      <c r="W43" s="885"/>
    </row>
    <row r="44" spans="1:23">
      <c r="A44" s="1403" t="s">
        <v>845</v>
      </c>
      <c r="B44" s="1405">
        <v>0.01</v>
      </c>
      <c r="C44" s="1405">
        <v>1.48</v>
      </c>
      <c r="D44" s="1405">
        <v>0.13</v>
      </c>
      <c r="E44" s="1408">
        <v>13.39</v>
      </c>
      <c r="H44" s="885"/>
      <c r="I44" s="885"/>
      <c r="J44" s="885"/>
      <c r="K44" s="885"/>
      <c r="L44" s="885"/>
      <c r="M44" s="885"/>
      <c r="N44" s="885"/>
      <c r="R44" s="885"/>
      <c r="S44" s="885"/>
      <c r="T44" s="885"/>
      <c r="U44" s="885"/>
      <c r="V44" s="885"/>
      <c r="W44" s="885"/>
    </row>
    <row r="45" spans="1:23">
      <c r="A45" s="1403" t="s">
        <v>846</v>
      </c>
      <c r="B45" s="1404">
        <v>0</v>
      </c>
      <c r="C45" s="1405">
        <v>2.39</v>
      </c>
      <c r="D45" s="1405">
        <v>0.05</v>
      </c>
      <c r="E45" s="1408">
        <v>19.34</v>
      </c>
      <c r="H45" s="885"/>
      <c r="I45" s="885"/>
      <c r="J45" s="885"/>
      <c r="K45" s="885"/>
      <c r="L45" s="885"/>
      <c r="M45" s="885"/>
      <c r="N45" s="885"/>
      <c r="R45" s="885"/>
      <c r="S45" s="885"/>
      <c r="T45" s="885"/>
      <c r="U45" s="885"/>
      <c r="V45" s="885"/>
      <c r="W45" s="885"/>
    </row>
    <row r="46" spans="1:23">
      <c r="A46" s="1403" t="s">
        <v>847</v>
      </c>
      <c r="B46" s="1404">
        <v>0</v>
      </c>
      <c r="C46" s="1405">
        <v>2.2799999999999998</v>
      </c>
      <c r="D46" s="1404">
        <v>0</v>
      </c>
      <c r="E46" s="1408">
        <v>23.31</v>
      </c>
      <c r="H46" s="885"/>
      <c r="I46" s="885"/>
      <c r="J46" s="885"/>
      <c r="K46" s="885"/>
      <c r="L46" s="885"/>
      <c r="M46" s="885"/>
      <c r="N46" s="885"/>
      <c r="R46" s="885"/>
      <c r="S46" s="885"/>
      <c r="T46" s="885"/>
      <c r="U46" s="885"/>
      <c r="V46" s="885"/>
      <c r="W46" s="885"/>
    </row>
    <row r="47" spans="1:23">
      <c r="A47" s="1403" t="s">
        <v>848</v>
      </c>
      <c r="B47" s="1404">
        <v>0</v>
      </c>
      <c r="C47" s="1409">
        <v>1.9</v>
      </c>
      <c r="D47" s="1404">
        <v>0</v>
      </c>
      <c r="E47" s="1408">
        <v>20.91</v>
      </c>
      <c r="H47" s="885"/>
      <c r="I47" s="885"/>
      <c r="J47" s="885"/>
      <c r="K47" s="885"/>
      <c r="L47" s="885"/>
      <c r="M47" s="885"/>
      <c r="N47" s="885"/>
      <c r="R47" s="885"/>
      <c r="S47" s="885"/>
      <c r="T47" s="885"/>
      <c r="U47" s="885"/>
      <c r="V47" s="885"/>
      <c r="W47" s="885"/>
    </row>
    <row r="48" spans="1:23">
      <c r="A48" s="1403" t="s">
        <v>849</v>
      </c>
      <c r="B48" s="1405">
        <v>0.05</v>
      </c>
      <c r="C48" s="1405">
        <v>1.26</v>
      </c>
      <c r="D48" s="1405">
        <v>0.23</v>
      </c>
      <c r="E48" s="1408">
        <v>15.83</v>
      </c>
      <c r="H48" s="885"/>
      <c r="I48" s="885"/>
      <c r="J48" s="885"/>
      <c r="K48" s="885"/>
      <c r="L48" s="885"/>
      <c r="M48" s="885"/>
      <c r="N48" s="885"/>
      <c r="R48" s="885"/>
      <c r="S48" s="885"/>
      <c r="T48" s="885"/>
      <c r="U48" s="885"/>
      <c r="V48" s="885"/>
      <c r="W48" s="885"/>
    </row>
    <row r="49" spans="1:23">
      <c r="A49" s="1403" t="s">
        <v>850</v>
      </c>
      <c r="B49" s="1405">
        <v>0.01</v>
      </c>
      <c r="C49" s="1405">
        <v>1.34</v>
      </c>
      <c r="D49" s="1405">
        <v>0.26</v>
      </c>
      <c r="E49" s="1406">
        <v>13</v>
      </c>
      <c r="H49" s="885"/>
      <c r="I49" s="885"/>
      <c r="J49" s="885"/>
      <c r="K49" s="885"/>
      <c r="L49" s="885"/>
      <c r="M49" s="885"/>
      <c r="N49" s="885"/>
      <c r="R49" s="885"/>
      <c r="S49" s="885"/>
      <c r="T49" s="885"/>
      <c r="U49" s="885"/>
      <c r="V49" s="885"/>
      <c r="W49" s="885"/>
    </row>
    <row r="50" spans="1:23">
      <c r="A50" s="1403" t="s">
        <v>851</v>
      </c>
      <c r="B50" s="1404">
        <v>0</v>
      </c>
      <c r="C50" s="1405">
        <v>1.1299999999999999</v>
      </c>
      <c r="D50" s="1405">
        <v>0.03</v>
      </c>
      <c r="E50" s="1408">
        <v>12.36</v>
      </c>
      <c r="H50" s="885"/>
      <c r="I50" s="885"/>
      <c r="J50" s="885"/>
      <c r="K50" s="885"/>
      <c r="L50" s="885"/>
      <c r="M50" s="885"/>
      <c r="N50" s="885"/>
      <c r="R50" s="885"/>
      <c r="S50" s="885"/>
      <c r="T50" s="885"/>
      <c r="U50" s="885"/>
      <c r="V50" s="885"/>
      <c r="W50" s="885"/>
    </row>
    <row r="51" spans="1:23">
      <c r="A51" s="1403" t="s">
        <v>852</v>
      </c>
      <c r="B51" s="1404">
        <v>0</v>
      </c>
      <c r="C51" s="1405">
        <v>1.61</v>
      </c>
      <c r="D51" s="1404">
        <v>0</v>
      </c>
      <c r="E51" s="1407">
        <v>13.7</v>
      </c>
      <c r="H51" s="885"/>
      <c r="I51" s="885"/>
      <c r="J51" s="885"/>
      <c r="K51" s="885"/>
      <c r="L51" s="885"/>
      <c r="M51" s="885"/>
      <c r="N51" s="885"/>
      <c r="R51" s="885"/>
      <c r="S51" s="885"/>
      <c r="T51" s="885"/>
      <c r="U51" s="885"/>
      <c r="V51" s="885"/>
      <c r="W51" s="885"/>
    </row>
    <row r="52" spans="1:23">
      <c r="A52" s="1403" t="s">
        <v>853</v>
      </c>
      <c r="B52" s="1404">
        <v>0</v>
      </c>
      <c r="C52" s="1405">
        <v>1.81</v>
      </c>
      <c r="D52" s="1404">
        <v>0</v>
      </c>
      <c r="E52" s="1407">
        <v>17.100000000000001</v>
      </c>
      <c r="H52" s="885"/>
      <c r="I52" s="885"/>
      <c r="J52" s="885"/>
      <c r="K52" s="885"/>
      <c r="L52" s="885"/>
      <c r="M52" s="885"/>
      <c r="N52" s="885"/>
      <c r="R52" s="885"/>
      <c r="S52" s="885"/>
      <c r="T52" s="885"/>
      <c r="U52" s="885"/>
      <c r="V52" s="885"/>
      <c r="W52" s="885"/>
    </row>
    <row r="53" spans="1:23">
      <c r="A53" s="1403" t="s">
        <v>854</v>
      </c>
      <c r="B53" s="1405">
        <v>7.0000000000000007E-2</v>
      </c>
      <c r="C53" s="1405">
        <v>0.81</v>
      </c>
      <c r="D53" s="1405">
        <v>0.36</v>
      </c>
      <c r="E53" s="1407">
        <v>13.1</v>
      </c>
      <c r="H53" s="885"/>
      <c r="I53" s="885"/>
      <c r="J53" s="885"/>
      <c r="K53" s="885"/>
      <c r="L53" s="885"/>
      <c r="M53" s="885"/>
      <c r="N53" s="885"/>
      <c r="R53" s="885"/>
      <c r="S53" s="885"/>
      <c r="T53" s="885"/>
      <c r="U53" s="885"/>
      <c r="V53" s="885"/>
      <c r="W53" s="885"/>
    </row>
    <row r="54" spans="1:23">
      <c r="A54" s="1403" t="s">
        <v>855</v>
      </c>
      <c r="B54" s="1404">
        <v>0</v>
      </c>
      <c r="C54" s="1405">
        <v>2.59</v>
      </c>
      <c r="D54" s="1405">
        <v>0.36</v>
      </c>
      <c r="E54" s="1408">
        <v>16.989999999999998</v>
      </c>
      <c r="H54" s="885"/>
      <c r="I54" s="885"/>
      <c r="J54" s="885"/>
      <c r="K54" s="885"/>
      <c r="L54" s="885"/>
      <c r="M54" s="885"/>
      <c r="N54" s="885"/>
      <c r="R54" s="885"/>
      <c r="S54" s="885"/>
      <c r="T54" s="885"/>
      <c r="U54" s="885"/>
      <c r="V54" s="885"/>
      <c r="W54" s="885"/>
    </row>
    <row r="55" spans="1:23">
      <c r="A55" s="1403" t="s">
        <v>856</v>
      </c>
      <c r="B55" s="1404">
        <v>0</v>
      </c>
      <c r="C55" s="1405">
        <v>2.91</v>
      </c>
      <c r="D55" s="1404">
        <v>0</v>
      </c>
      <c r="E55" s="1408">
        <v>27.53</v>
      </c>
      <c r="H55" s="885"/>
      <c r="I55" s="885"/>
      <c r="J55" s="885"/>
      <c r="K55" s="885"/>
      <c r="L55" s="885"/>
      <c r="M55" s="885"/>
      <c r="N55" s="885"/>
      <c r="R55" s="885"/>
      <c r="S55" s="885"/>
      <c r="T55" s="885"/>
      <c r="U55" s="885"/>
      <c r="V55" s="885"/>
      <c r="W55" s="885"/>
    </row>
    <row r="56" spans="1:23">
      <c r="A56" s="1403" t="s">
        <v>857</v>
      </c>
      <c r="B56" s="1404">
        <v>0</v>
      </c>
      <c r="C56" s="1405">
        <v>2.95</v>
      </c>
      <c r="D56" s="1404">
        <v>0</v>
      </c>
      <c r="E56" s="1407">
        <v>29.3</v>
      </c>
      <c r="H56" s="885"/>
      <c r="I56" s="885"/>
      <c r="J56" s="885"/>
      <c r="K56" s="885"/>
      <c r="L56" s="885"/>
      <c r="M56" s="885"/>
      <c r="N56" s="885"/>
      <c r="R56" s="885"/>
      <c r="S56" s="885"/>
      <c r="T56" s="885"/>
      <c r="U56" s="885"/>
      <c r="V56" s="885"/>
      <c r="W56" s="885"/>
    </row>
    <row r="57" spans="1:23">
      <c r="A57" s="1403" t="s">
        <v>858</v>
      </c>
      <c r="B57" s="1405">
        <v>0.24</v>
      </c>
      <c r="C57" s="1405">
        <v>0.15</v>
      </c>
      <c r="D57" s="1405">
        <v>1.19</v>
      </c>
      <c r="E57" s="1407">
        <v>15.5</v>
      </c>
      <c r="H57" s="885"/>
      <c r="I57" s="885"/>
      <c r="J57" s="885"/>
      <c r="K57" s="885"/>
      <c r="L57" s="885"/>
      <c r="M57" s="885"/>
      <c r="N57" s="885"/>
      <c r="R57" s="885"/>
      <c r="S57" s="885"/>
      <c r="T57" s="885"/>
      <c r="U57" s="885"/>
      <c r="V57" s="885"/>
      <c r="W57" s="885"/>
    </row>
    <row r="58" spans="1:23">
      <c r="A58" s="1403" t="s">
        <v>859</v>
      </c>
      <c r="B58" s="1404">
        <v>0</v>
      </c>
      <c r="C58" s="1405">
        <v>1.49</v>
      </c>
      <c r="D58" s="1405">
        <v>1.19</v>
      </c>
      <c r="E58" s="1408">
        <v>8.2200000000000006</v>
      </c>
      <c r="H58" s="885"/>
      <c r="I58" s="885"/>
      <c r="J58" s="885"/>
      <c r="K58" s="885"/>
      <c r="L58" s="885"/>
      <c r="M58" s="885"/>
      <c r="N58" s="885"/>
      <c r="R58" s="885"/>
      <c r="S58" s="885"/>
      <c r="T58" s="885"/>
      <c r="U58" s="885"/>
      <c r="V58" s="885"/>
      <c r="W58" s="885"/>
    </row>
    <row r="59" spans="1:23">
      <c r="A59" s="1403" t="s">
        <v>860</v>
      </c>
      <c r="B59" s="1404">
        <v>0</v>
      </c>
      <c r="C59" s="1405">
        <v>2.99</v>
      </c>
      <c r="D59" s="1404">
        <v>0</v>
      </c>
      <c r="E59" s="1408">
        <v>22.42</v>
      </c>
      <c r="H59" s="885"/>
      <c r="I59" s="885"/>
      <c r="J59" s="885"/>
      <c r="K59" s="885"/>
      <c r="L59" s="885"/>
      <c r="M59" s="885"/>
      <c r="N59" s="885"/>
      <c r="R59" s="885"/>
      <c r="S59" s="885"/>
      <c r="T59" s="885"/>
      <c r="U59" s="885"/>
      <c r="V59" s="885"/>
      <c r="W59" s="885"/>
    </row>
    <row r="60" spans="1:23">
      <c r="A60" s="1403" t="s">
        <v>861</v>
      </c>
      <c r="B60" s="1404">
        <v>0</v>
      </c>
      <c r="C60" s="1405">
        <v>2.31</v>
      </c>
      <c r="D60" s="1404">
        <v>0</v>
      </c>
      <c r="E60" s="1408">
        <v>26.46</v>
      </c>
      <c r="H60" s="885"/>
      <c r="I60" s="885"/>
      <c r="J60" s="885"/>
      <c r="K60" s="885"/>
      <c r="L60" s="885"/>
      <c r="M60" s="885"/>
      <c r="N60" s="885"/>
      <c r="R60" s="885"/>
      <c r="S60" s="885"/>
      <c r="T60" s="885"/>
      <c r="U60" s="885"/>
      <c r="V60" s="885"/>
      <c r="W60" s="885"/>
    </row>
    <row r="61" spans="1:23">
      <c r="A61" s="1403" t="s">
        <v>862</v>
      </c>
      <c r="B61" s="1405">
        <v>0.19</v>
      </c>
      <c r="C61" s="1405">
        <v>1.34</v>
      </c>
      <c r="D61" s="1405">
        <v>0.91</v>
      </c>
      <c r="E61" s="1408">
        <v>18.37</v>
      </c>
      <c r="H61" s="885"/>
      <c r="I61" s="885"/>
      <c r="J61" s="885"/>
      <c r="K61" s="885"/>
      <c r="L61" s="885"/>
      <c r="M61" s="885"/>
      <c r="N61" s="885"/>
      <c r="R61" s="885"/>
      <c r="S61" s="885"/>
      <c r="T61" s="885"/>
      <c r="U61" s="885"/>
      <c r="V61" s="885"/>
      <c r="W61" s="885"/>
    </row>
    <row r="62" spans="1:23">
      <c r="A62" s="1403" t="s">
        <v>863</v>
      </c>
      <c r="B62" s="1404">
        <v>0</v>
      </c>
      <c r="C62" s="1405">
        <v>2.08</v>
      </c>
      <c r="D62" s="1405">
        <v>0.91</v>
      </c>
      <c r="E62" s="1407">
        <v>17.3</v>
      </c>
      <c r="H62" s="885"/>
      <c r="I62" s="885"/>
      <c r="J62" s="885"/>
      <c r="K62" s="885"/>
      <c r="L62" s="885"/>
      <c r="M62" s="885"/>
      <c r="N62" s="885"/>
      <c r="R62" s="885"/>
      <c r="S62" s="885"/>
      <c r="T62" s="885"/>
      <c r="U62" s="885"/>
      <c r="V62" s="885"/>
      <c r="W62" s="885"/>
    </row>
    <row r="63" spans="1:23">
      <c r="A63" s="1403" t="s">
        <v>864</v>
      </c>
      <c r="B63" s="1404">
        <v>0</v>
      </c>
      <c r="C63" s="1405">
        <v>1.61</v>
      </c>
      <c r="D63" s="1404">
        <v>0</v>
      </c>
      <c r="E63" s="1408">
        <v>18.48</v>
      </c>
      <c r="H63" s="885"/>
      <c r="I63" s="885"/>
      <c r="J63" s="885"/>
      <c r="K63" s="885"/>
      <c r="L63" s="885"/>
      <c r="M63" s="885"/>
      <c r="N63" s="885"/>
      <c r="R63" s="885"/>
      <c r="S63" s="885"/>
      <c r="T63" s="885"/>
      <c r="U63" s="885"/>
      <c r="V63" s="885"/>
      <c r="W63" s="885"/>
    </row>
    <row r="64" spans="1:23">
      <c r="A64" s="1403" t="s">
        <v>865</v>
      </c>
      <c r="B64" s="1405">
        <v>0.05</v>
      </c>
      <c r="C64" s="1405">
        <v>0.46</v>
      </c>
      <c r="D64" s="1405">
        <v>0.24</v>
      </c>
      <c r="E64" s="1408">
        <v>10.31</v>
      </c>
      <c r="H64" s="885"/>
      <c r="I64" s="885"/>
      <c r="J64" s="885"/>
      <c r="K64" s="885"/>
      <c r="L64" s="885"/>
      <c r="M64" s="885"/>
      <c r="N64" s="885"/>
      <c r="R64" s="885"/>
      <c r="S64" s="885"/>
      <c r="T64" s="885"/>
      <c r="U64" s="885"/>
      <c r="V64" s="885"/>
      <c r="W64" s="885"/>
    </row>
    <row r="65" spans="1:23">
      <c r="A65" s="1403" t="s">
        <v>866</v>
      </c>
      <c r="B65" s="1405">
        <v>0.03</v>
      </c>
      <c r="C65" s="1405">
        <v>1.52</v>
      </c>
      <c r="D65" s="1405">
        <v>0.39</v>
      </c>
      <c r="E65" s="1408">
        <v>9.8800000000000008</v>
      </c>
      <c r="H65" s="885"/>
      <c r="I65" s="885"/>
      <c r="J65" s="885"/>
      <c r="K65" s="885"/>
      <c r="L65" s="885"/>
      <c r="M65" s="885"/>
      <c r="N65" s="885"/>
      <c r="R65" s="885"/>
      <c r="S65" s="885"/>
      <c r="T65" s="885"/>
      <c r="U65" s="885"/>
      <c r="V65" s="885"/>
      <c r="W65" s="885"/>
    </row>
    <row r="66" spans="1:23">
      <c r="A66" s="1403" t="s">
        <v>867</v>
      </c>
      <c r="B66" s="1404">
        <v>0</v>
      </c>
      <c r="C66" s="1404">
        <v>1</v>
      </c>
      <c r="D66" s="1405">
        <v>0.15</v>
      </c>
      <c r="E66" s="1408">
        <v>12.61</v>
      </c>
      <c r="H66" s="885"/>
      <c r="I66" s="885"/>
      <c r="J66" s="885"/>
      <c r="K66" s="885"/>
      <c r="L66" s="885"/>
      <c r="M66" s="885"/>
      <c r="N66" s="885"/>
      <c r="R66" s="885"/>
      <c r="S66" s="885"/>
      <c r="T66" s="885"/>
      <c r="U66" s="885"/>
      <c r="V66" s="885"/>
      <c r="W66" s="885"/>
    </row>
    <row r="67" spans="1:23">
      <c r="A67" s="1403" t="s">
        <v>868</v>
      </c>
      <c r="B67" s="1404">
        <v>0</v>
      </c>
      <c r="C67" s="1405">
        <v>3.01</v>
      </c>
      <c r="D67" s="1404">
        <v>0</v>
      </c>
      <c r="E67" s="1408">
        <v>20.09</v>
      </c>
      <c r="H67" s="885"/>
      <c r="I67" s="885"/>
      <c r="J67" s="885"/>
      <c r="K67" s="885"/>
      <c r="L67" s="885"/>
      <c r="M67" s="885"/>
      <c r="N67" s="885"/>
      <c r="R67" s="885"/>
      <c r="S67" s="885"/>
      <c r="T67" s="885"/>
      <c r="U67" s="885"/>
      <c r="V67" s="885"/>
      <c r="W67" s="885"/>
    </row>
    <row r="68" spans="1:23">
      <c r="A68" s="1403" t="s">
        <v>869</v>
      </c>
      <c r="B68" s="1404">
        <v>0</v>
      </c>
      <c r="C68" s="1405">
        <v>4.7300000000000004</v>
      </c>
      <c r="D68" s="1404">
        <v>0</v>
      </c>
      <c r="E68" s="1408">
        <v>38.72</v>
      </c>
      <c r="H68" s="885"/>
      <c r="I68" s="885"/>
      <c r="J68" s="885"/>
      <c r="K68" s="885"/>
      <c r="L68" s="885"/>
      <c r="M68" s="885"/>
      <c r="N68" s="885"/>
      <c r="R68" s="885"/>
      <c r="S68" s="885"/>
      <c r="T68" s="885"/>
      <c r="U68" s="885"/>
      <c r="V68" s="885"/>
      <c r="W68" s="885"/>
    </row>
    <row r="69" spans="1:23">
      <c r="A69" s="1403" t="s">
        <v>870</v>
      </c>
      <c r="B69" s="1404">
        <v>0</v>
      </c>
      <c r="C69" s="1405">
        <v>3.13</v>
      </c>
      <c r="D69" s="1404">
        <v>0</v>
      </c>
      <c r="E69" s="1408">
        <v>39.28</v>
      </c>
      <c r="H69" s="885"/>
      <c r="I69" s="885"/>
      <c r="J69" s="885"/>
      <c r="K69" s="885"/>
      <c r="L69" s="885"/>
      <c r="M69" s="885"/>
      <c r="N69" s="885"/>
      <c r="R69" s="885"/>
      <c r="S69" s="885"/>
      <c r="T69" s="885"/>
      <c r="U69" s="885"/>
      <c r="V69" s="885"/>
      <c r="W69" s="885"/>
    </row>
    <row r="70" spans="1:23">
      <c r="A70" s="1403" t="s">
        <v>871</v>
      </c>
      <c r="B70" s="1404">
        <v>0</v>
      </c>
      <c r="C70" s="1405">
        <v>3.45</v>
      </c>
      <c r="D70" s="1404">
        <v>0</v>
      </c>
      <c r="E70" s="1408">
        <v>32.86</v>
      </c>
      <c r="H70" s="885"/>
      <c r="I70" s="885"/>
      <c r="J70" s="885"/>
      <c r="K70" s="885"/>
      <c r="L70" s="885"/>
      <c r="M70" s="885"/>
      <c r="N70" s="885"/>
      <c r="R70" s="885"/>
      <c r="S70" s="885"/>
      <c r="T70" s="885"/>
      <c r="U70" s="885"/>
      <c r="V70" s="885"/>
      <c r="W70" s="885"/>
    </row>
    <row r="71" spans="1:23">
      <c r="A71" s="1403" t="s">
        <v>872</v>
      </c>
      <c r="B71" s="1404">
        <v>0</v>
      </c>
      <c r="C71" s="1405">
        <v>3.83</v>
      </c>
      <c r="D71" s="1404">
        <v>0</v>
      </c>
      <c r="E71" s="1407">
        <v>36.4</v>
      </c>
      <c r="H71" s="885"/>
      <c r="I71" s="885"/>
      <c r="J71" s="885"/>
      <c r="K71" s="885"/>
      <c r="L71" s="885"/>
      <c r="M71" s="885"/>
      <c r="N71" s="885"/>
      <c r="R71" s="885"/>
      <c r="S71" s="885"/>
      <c r="T71" s="885"/>
      <c r="U71" s="885"/>
      <c r="V71" s="885"/>
      <c r="W71" s="885"/>
    </row>
    <row r="72" spans="1:23">
      <c r="A72" s="1403" t="s">
        <v>873</v>
      </c>
      <c r="B72" s="1404">
        <v>0</v>
      </c>
      <c r="C72" s="1405">
        <v>2.92</v>
      </c>
      <c r="D72" s="1404">
        <v>0</v>
      </c>
      <c r="E72" s="1408">
        <v>33.75</v>
      </c>
      <c r="H72" s="885"/>
      <c r="I72" s="885"/>
      <c r="J72" s="885"/>
      <c r="K72" s="885"/>
      <c r="L72" s="885"/>
      <c r="M72" s="885"/>
      <c r="N72" s="885"/>
      <c r="R72" s="885"/>
      <c r="S72" s="885"/>
      <c r="T72" s="885"/>
      <c r="U72" s="885"/>
      <c r="V72" s="885"/>
      <c r="W72" s="885"/>
    </row>
    <row r="73" spans="1:23">
      <c r="A73" s="1403" t="s">
        <v>874</v>
      </c>
      <c r="B73" s="1405">
        <v>0.01</v>
      </c>
      <c r="C73" s="1405">
        <v>1.23</v>
      </c>
      <c r="D73" s="1405">
        <v>0.05</v>
      </c>
      <c r="E73" s="1408">
        <v>20.74</v>
      </c>
      <c r="H73" s="885"/>
      <c r="I73" s="885"/>
      <c r="J73" s="885"/>
      <c r="K73" s="885"/>
      <c r="L73" s="885"/>
      <c r="M73" s="885"/>
      <c r="N73" s="885"/>
      <c r="R73" s="885"/>
      <c r="S73" s="885"/>
      <c r="T73" s="885"/>
      <c r="U73" s="885"/>
      <c r="V73" s="885"/>
      <c r="W73" s="885"/>
    </row>
    <row r="74" spans="1:23">
      <c r="A74" s="1403" t="s">
        <v>875</v>
      </c>
      <c r="B74" s="1404">
        <v>0</v>
      </c>
      <c r="C74" s="1405">
        <v>1.66</v>
      </c>
      <c r="D74" s="1405">
        <v>0.05</v>
      </c>
      <c r="E74" s="1408">
        <v>14.46</v>
      </c>
      <c r="H74" s="885"/>
      <c r="I74" s="885"/>
      <c r="J74" s="885"/>
      <c r="K74" s="885"/>
      <c r="L74" s="885"/>
      <c r="M74" s="885"/>
      <c r="N74" s="885"/>
      <c r="R74" s="885"/>
      <c r="S74" s="885"/>
      <c r="T74" s="885"/>
      <c r="U74" s="885"/>
      <c r="V74" s="885"/>
      <c r="W74" s="885"/>
    </row>
    <row r="75" spans="1:23">
      <c r="A75" s="1403" t="s">
        <v>876</v>
      </c>
      <c r="B75" s="1404">
        <v>0</v>
      </c>
      <c r="C75" s="1405">
        <v>1.46</v>
      </c>
      <c r="D75" s="1404">
        <v>0</v>
      </c>
      <c r="E75" s="1408">
        <v>15.59</v>
      </c>
      <c r="H75" s="885"/>
      <c r="I75" s="885"/>
      <c r="J75" s="885"/>
      <c r="K75" s="885"/>
      <c r="L75" s="885"/>
      <c r="M75" s="885"/>
      <c r="N75" s="885"/>
      <c r="R75" s="885"/>
      <c r="S75" s="885"/>
      <c r="T75" s="885"/>
      <c r="U75" s="885"/>
      <c r="V75" s="885"/>
      <c r="W75" s="885"/>
    </row>
    <row r="76" spans="1:23">
      <c r="A76" s="1403" t="s">
        <v>877</v>
      </c>
      <c r="B76" s="1404">
        <v>0</v>
      </c>
      <c r="C76" s="1405">
        <v>2.83</v>
      </c>
      <c r="D76" s="1404">
        <v>0</v>
      </c>
      <c r="E76" s="1408">
        <v>21.44</v>
      </c>
      <c r="H76" s="885"/>
      <c r="I76" s="885"/>
      <c r="J76" s="885"/>
      <c r="K76" s="885"/>
      <c r="L76" s="885"/>
      <c r="M76" s="885"/>
      <c r="N76" s="885"/>
      <c r="R76" s="885"/>
      <c r="S76" s="885"/>
      <c r="T76" s="885"/>
      <c r="U76" s="885"/>
      <c r="V76" s="885"/>
      <c r="W76" s="885"/>
    </row>
    <row r="77" spans="1:23">
      <c r="A77" s="1403" t="s">
        <v>878</v>
      </c>
      <c r="B77" s="1404">
        <v>0</v>
      </c>
      <c r="C77" s="1405">
        <v>3.83</v>
      </c>
      <c r="D77" s="1404">
        <v>0</v>
      </c>
      <c r="E77" s="1408">
        <v>33.31</v>
      </c>
      <c r="H77" s="885"/>
      <c r="I77" s="885"/>
      <c r="J77" s="885"/>
      <c r="K77" s="885"/>
      <c r="L77" s="885"/>
      <c r="M77" s="885"/>
      <c r="N77" s="885"/>
      <c r="R77" s="885"/>
      <c r="S77" s="885"/>
      <c r="T77" s="885"/>
      <c r="U77" s="885"/>
      <c r="V77" s="885"/>
      <c r="W77" s="885"/>
    </row>
    <row r="78" spans="1:23">
      <c r="A78" s="1403" t="s">
        <v>879</v>
      </c>
      <c r="B78" s="1405">
        <v>0.05</v>
      </c>
      <c r="C78" s="1405">
        <v>0.56999999999999995</v>
      </c>
      <c r="D78" s="1405">
        <v>0.25</v>
      </c>
      <c r="E78" s="1408">
        <v>22.03</v>
      </c>
      <c r="H78" s="885"/>
      <c r="I78" s="885"/>
      <c r="J78" s="885"/>
      <c r="K78" s="885"/>
      <c r="L78" s="885"/>
      <c r="M78" s="885"/>
      <c r="N78" s="885"/>
      <c r="R78" s="885"/>
      <c r="S78" s="885"/>
      <c r="T78" s="885"/>
      <c r="U78" s="885"/>
      <c r="V78" s="885"/>
      <c r="W78" s="885"/>
    </row>
    <row r="79" spans="1:23">
      <c r="A79" s="1403" t="s">
        <v>880</v>
      </c>
      <c r="B79" s="1404">
        <v>0</v>
      </c>
      <c r="C79" s="1405">
        <v>1.64</v>
      </c>
      <c r="D79" s="1405">
        <v>0.25</v>
      </c>
      <c r="E79" s="1408">
        <v>11.04</v>
      </c>
      <c r="H79" s="885"/>
      <c r="I79" s="885"/>
      <c r="J79" s="885"/>
      <c r="K79" s="885"/>
      <c r="L79" s="885"/>
      <c r="M79" s="885"/>
      <c r="N79" s="885"/>
      <c r="R79" s="885"/>
      <c r="S79" s="885"/>
      <c r="T79" s="885"/>
      <c r="U79" s="885"/>
      <c r="V79" s="885"/>
      <c r="W79" s="885"/>
    </row>
    <row r="80" spans="1:23">
      <c r="A80" s="1403" t="s">
        <v>881</v>
      </c>
      <c r="B80" s="1404">
        <v>0</v>
      </c>
      <c r="C80" s="1405">
        <v>2.39</v>
      </c>
      <c r="D80" s="1404">
        <v>0</v>
      </c>
      <c r="E80" s="1408">
        <v>20.11</v>
      </c>
      <c r="H80" s="885"/>
      <c r="I80" s="885"/>
      <c r="J80" s="885"/>
      <c r="K80" s="885"/>
      <c r="L80" s="885"/>
      <c r="M80" s="885"/>
      <c r="N80" s="885"/>
      <c r="R80" s="885"/>
      <c r="S80" s="885"/>
      <c r="T80" s="885"/>
      <c r="U80" s="885"/>
      <c r="V80" s="885"/>
      <c r="W80" s="885"/>
    </row>
    <row r="81" spans="1:23">
      <c r="A81" s="1403" t="s">
        <v>882</v>
      </c>
      <c r="B81" s="1404">
        <v>0</v>
      </c>
      <c r="C81" s="1409">
        <v>1.7</v>
      </c>
      <c r="D81" s="1404">
        <v>0</v>
      </c>
      <c r="E81" s="1408">
        <v>20.420000000000002</v>
      </c>
      <c r="H81" s="885"/>
      <c r="I81" s="885"/>
      <c r="J81" s="885"/>
      <c r="K81" s="885"/>
      <c r="L81" s="885"/>
      <c r="M81" s="885"/>
      <c r="N81" s="885"/>
      <c r="R81" s="885"/>
      <c r="S81" s="885"/>
      <c r="T81" s="885"/>
      <c r="U81" s="885"/>
      <c r="V81" s="885"/>
      <c r="W81" s="885"/>
    </row>
    <row r="82" spans="1:23">
      <c r="A82" s="1403" t="s">
        <v>883</v>
      </c>
      <c r="B82" s="1404">
        <v>0</v>
      </c>
      <c r="C82" s="1405">
        <v>2.36</v>
      </c>
      <c r="D82" s="1404">
        <v>0</v>
      </c>
      <c r="E82" s="1408">
        <v>20.27</v>
      </c>
      <c r="H82" s="885"/>
      <c r="I82" s="885"/>
      <c r="J82" s="885"/>
      <c r="K82" s="885"/>
      <c r="L82" s="885"/>
      <c r="M82" s="885"/>
      <c r="N82" s="885"/>
      <c r="R82" s="885"/>
      <c r="S82" s="885"/>
      <c r="T82" s="885"/>
      <c r="U82" s="885"/>
      <c r="V82" s="885"/>
      <c r="W82" s="885"/>
    </row>
    <row r="83" spans="1:23">
      <c r="A83" s="1403" t="s">
        <v>884</v>
      </c>
      <c r="B83" s="1404">
        <v>0</v>
      </c>
      <c r="C83" s="1405">
        <v>3.16</v>
      </c>
      <c r="D83" s="1404">
        <v>0</v>
      </c>
      <c r="E83" s="1408">
        <v>27.56</v>
      </c>
      <c r="H83" s="885"/>
      <c r="I83" s="885"/>
      <c r="J83" s="885"/>
      <c r="K83" s="885"/>
      <c r="L83" s="885"/>
      <c r="M83" s="885"/>
      <c r="N83" s="885"/>
      <c r="R83" s="885"/>
      <c r="S83" s="885"/>
      <c r="T83" s="885"/>
      <c r="U83" s="885"/>
      <c r="V83" s="885"/>
      <c r="W83" s="885"/>
    </row>
    <row r="84" spans="1:23">
      <c r="A84" s="1403" t="s">
        <v>885</v>
      </c>
      <c r="B84" s="1404">
        <v>0</v>
      </c>
      <c r="C84" s="1405">
        <v>1.49</v>
      </c>
      <c r="D84" s="1404">
        <v>0</v>
      </c>
      <c r="E84" s="1408">
        <v>23.22</v>
      </c>
      <c r="H84" s="885"/>
      <c r="I84" s="885"/>
      <c r="J84" s="885"/>
      <c r="K84" s="885"/>
      <c r="L84" s="885"/>
      <c r="M84" s="885"/>
      <c r="N84" s="885"/>
      <c r="R84" s="885"/>
      <c r="S84" s="885"/>
      <c r="T84" s="885"/>
      <c r="U84" s="885"/>
      <c r="V84" s="885"/>
      <c r="W84" s="885"/>
    </row>
    <row r="85" spans="1:23">
      <c r="A85" s="1403" t="s">
        <v>886</v>
      </c>
      <c r="B85" s="1404">
        <v>0</v>
      </c>
      <c r="C85" s="1405">
        <v>3.18</v>
      </c>
      <c r="D85" s="1404">
        <v>0</v>
      </c>
      <c r="E85" s="1408">
        <v>23.33</v>
      </c>
      <c r="H85" s="885"/>
      <c r="I85" s="885"/>
      <c r="J85" s="885"/>
      <c r="K85" s="885"/>
      <c r="L85" s="885"/>
      <c r="M85" s="885"/>
      <c r="N85" s="885"/>
      <c r="R85" s="885"/>
      <c r="S85" s="885"/>
      <c r="T85" s="885"/>
      <c r="U85" s="885"/>
      <c r="V85" s="885"/>
      <c r="W85" s="885"/>
    </row>
    <row r="86" spans="1:23">
      <c r="A86" s="1403" t="s">
        <v>887</v>
      </c>
      <c r="B86" s="1404">
        <v>0</v>
      </c>
      <c r="C86" s="1409">
        <v>3.1</v>
      </c>
      <c r="D86" s="1404">
        <v>0</v>
      </c>
      <c r="E86" s="1408">
        <v>31.41</v>
      </c>
      <c r="H86" s="885"/>
      <c r="I86" s="885"/>
      <c r="J86" s="885"/>
      <c r="K86" s="885"/>
      <c r="L86" s="885"/>
      <c r="M86" s="885"/>
      <c r="N86" s="885"/>
      <c r="R86" s="885"/>
      <c r="S86" s="885"/>
      <c r="T86" s="885"/>
      <c r="U86" s="885"/>
      <c r="V86" s="885"/>
      <c r="W86" s="885"/>
    </row>
    <row r="87" spans="1:23">
      <c r="A87" s="1403" t="s">
        <v>888</v>
      </c>
      <c r="B87" s="1404">
        <v>0</v>
      </c>
      <c r="C87" s="1405">
        <v>2.0299999999999998</v>
      </c>
      <c r="D87" s="1404">
        <v>0</v>
      </c>
      <c r="E87" s="1408">
        <v>25.65</v>
      </c>
      <c r="H87" s="885"/>
      <c r="I87" s="885"/>
      <c r="J87" s="885"/>
      <c r="K87" s="885"/>
      <c r="L87" s="885"/>
      <c r="M87" s="885"/>
      <c r="N87" s="885"/>
      <c r="R87" s="885"/>
      <c r="S87" s="885"/>
      <c r="T87" s="885"/>
      <c r="U87" s="885"/>
      <c r="V87" s="885"/>
      <c r="W87" s="885"/>
    </row>
    <row r="88" spans="1:23">
      <c r="A88" s="1403" t="s">
        <v>889</v>
      </c>
      <c r="B88" s="1405">
        <v>0.01</v>
      </c>
      <c r="C88" s="1405">
        <v>1.34</v>
      </c>
      <c r="D88" s="1405">
        <v>7.0000000000000007E-2</v>
      </c>
      <c r="E88" s="1408">
        <v>16.86</v>
      </c>
      <c r="H88" s="885"/>
      <c r="I88" s="885"/>
      <c r="J88" s="885"/>
      <c r="K88" s="885"/>
      <c r="L88" s="885"/>
      <c r="M88" s="885"/>
      <c r="N88" s="885"/>
      <c r="R88" s="885"/>
      <c r="S88" s="885"/>
      <c r="T88" s="885"/>
      <c r="U88" s="885"/>
      <c r="V88" s="885"/>
      <c r="W88" s="885"/>
    </row>
    <row r="89" spans="1:23">
      <c r="A89" s="1411" t="s">
        <v>890</v>
      </c>
      <c r="B89" s="1410">
        <v>0</v>
      </c>
      <c r="C89" s="1412">
        <v>2.59</v>
      </c>
      <c r="D89" s="1412">
        <v>7.0000000000000007E-2</v>
      </c>
      <c r="E89" s="1413">
        <v>19.649999999999999</v>
      </c>
      <c r="H89" s="885"/>
      <c r="I89" s="885"/>
      <c r="J89" s="885"/>
      <c r="K89" s="885"/>
      <c r="L89" s="885"/>
      <c r="M89" s="885"/>
      <c r="N89" s="885"/>
      <c r="R89" s="885"/>
      <c r="S89" s="885"/>
      <c r="T89" s="885"/>
      <c r="U89" s="885"/>
      <c r="V89" s="885"/>
      <c r="W89" s="885"/>
    </row>
    <row r="90" spans="1:23">
      <c r="A90" s="1415" t="s">
        <v>773</v>
      </c>
      <c r="B90" s="1416">
        <v>0</v>
      </c>
      <c r="C90" s="1417">
        <v>3.3</v>
      </c>
      <c r="D90" s="1416">
        <v>0</v>
      </c>
      <c r="E90" s="1418">
        <v>29.44</v>
      </c>
      <c r="H90" s="885"/>
      <c r="I90" s="885"/>
      <c r="J90" s="885"/>
      <c r="K90" s="885"/>
      <c r="L90" s="885"/>
      <c r="M90" s="885"/>
      <c r="N90" s="885"/>
      <c r="R90" s="885"/>
      <c r="S90" s="885"/>
      <c r="T90" s="885"/>
      <c r="U90" s="885"/>
      <c r="V90" s="885"/>
      <c r="W90" s="885"/>
    </row>
    <row r="91" spans="1:23">
      <c r="A91" s="1013"/>
      <c r="B91" s="1013"/>
      <c r="C91" s="1013"/>
      <c r="D91" s="1422">
        <f>SUM(D5:D90)</f>
        <v>14.480000000000002</v>
      </c>
      <c r="E91" s="1414">
        <f>SUM(E5:E90)</f>
        <v>1515.41</v>
      </c>
      <c r="R91" s="885"/>
      <c r="S91" s="885"/>
      <c r="T91" s="885"/>
      <c r="U91" s="885"/>
      <c r="V91" s="885"/>
      <c r="W91" s="885"/>
    </row>
    <row r="92" spans="1:23" ht="13.8" thickBot="1">
      <c r="A92" s="1423" t="s">
        <v>773</v>
      </c>
      <c r="B92" s="1424">
        <f>(853*0.5*2)</f>
        <v>853</v>
      </c>
      <c r="C92" s="1424"/>
      <c r="D92" s="1425">
        <f>B92*0.15</f>
        <v>127.94999999999999</v>
      </c>
      <c r="E92" s="1013"/>
      <c r="R92" s="885"/>
      <c r="S92" s="885"/>
      <c r="T92" s="885"/>
      <c r="U92" s="885"/>
      <c r="V92" s="885"/>
      <c r="W92" s="885"/>
    </row>
    <row r="93" spans="1:23" ht="13.8" thickBot="1">
      <c r="A93" s="1013"/>
      <c r="B93" s="1013"/>
      <c r="C93" s="1013"/>
      <c r="D93" s="1426">
        <f>SUM(D91:D92)</f>
        <v>142.42999999999998</v>
      </c>
      <c r="E93" s="1013"/>
      <c r="R93" s="885"/>
      <c r="S93" s="885"/>
      <c r="T93" s="885"/>
      <c r="U93" s="885"/>
      <c r="V93" s="885"/>
      <c r="W93" s="885"/>
    </row>
    <row r="94" spans="1:23">
      <c r="A94" s="1013"/>
      <c r="B94" s="1013"/>
      <c r="C94" s="1013"/>
      <c r="D94" s="1013"/>
      <c r="E94" s="1013"/>
      <c r="R94" s="885"/>
      <c r="S94" s="885"/>
      <c r="T94" s="885"/>
      <c r="U94" s="885"/>
      <c r="V94" s="885"/>
      <c r="W94" s="885"/>
    </row>
    <row r="95" spans="1:23">
      <c r="A95" s="1013"/>
      <c r="B95" s="1013"/>
      <c r="C95" s="1013"/>
      <c r="D95" s="1013"/>
      <c r="E95" s="1013"/>
      <c r="R95" s="885"/>
      <c r="S95" s="885"/>
      <c r="T95" s="885"/>
      <c r="U95" s="885"/>
      <c r="V95" s="885"/>
      <c r="W95" s="885"/>
    </row>
    <row r="96" spans="1:23">
      <c r="A96" s="1013"/>
      <c r="B96" s="1013"/>
      <c r="C96" s="1013"/>
      <c r="D96" s="1013"/>
      <c r="E96" s="1013"/>
      <c r="R96" s="885"/>
      <c r="S96" s="885"/>
      <c r="T96" s="885"/>
      <c r="U96" s="885"/>
      <c r="V96" s="885"/>
      <c r="W96" s="885"/>
    </row>
    <row r="97" spans="1:23">
      <c r="A97" s="1013"/>
      <c r="B97" s="1013"/>
      <c r="C97" s="1013"/>
      <c r="D97" s="1013"/>
      <c r="E97" s="1013"/>
      <c r="R97" s="885"/>
      <c r="S97" s="885"/>
      <c r="T97" s="885"/>
      <c r="U97" s="885"/>
      <c r="V97" s="885"/>
      <c r="W97" s="885"/>
    </row>
    <row r="98" spans="1:23">
      <c r="A98" s="1013"/>
      <c r="B98" s="1013"/>
      <c r="C98" s="1013"/>
      <c r="D98" s="1013"/>
      <c r="E98" s="1013"/>
      <c r="R98" s="885"/>
      <c r="S98" s="885"/>
      <c r="T98" s="885"/>
      <c r="U98" s="885"/>
      <c r="V98" s="885"/>
      <c r="W98" s="885"/>
    </row>
    <row r="99" spans="1:23">
      <c r="A99" s="1013"/>
      <c r="B99" s="1013"/>
      <c r="C99" s="1013"/>
      <c r="D99" s="1013"/>
      <c r="E99" s="1013"/>
      <c r="R99" s="885"/>
      <c r="S99" s="885"/>
      <c r="T99" s="885"/>
      <c r="U99" s="885"/>
      <c r="V99" s="885"/>
      <c r="W99" s="885"/>
    </row>
    <row r="100" spans="1:23">
      <c r="A100" s="1013"/>
      <c r="B100" s="1013"/>
      <c r="C100" s="1013"/>
      <c r="D100" s="1013"/>
      <c r="E100" s="1013"/>
      <c r="R100" s="885"/>
      <c r="S100" s="885"/>
      <c r="T100" s="885"/>
      <c r="U100" s="885"/>
      <c r="V100" s="885"/>
      <c r="W100" s="885"/>
    </row>
    <row r="101" spans="1:23">
      <c r="A101" s="1013"/>
      <c r="B101" s="1013"/>
      <c r="C101" s="1013"/>
      <c r="D101" s="1013"/>
      <c r="E101" s="1013"/>
      <c r="R101" s="885"/>
      <c r="S101" s="885"/>
      <c r="T101" s="885"/>
      <c r="U101" s="885"/>
      <c r="V101" s="885"/>
      <c r="W101" s="885"/>
    </row>
    <row r="102" spans="1:23">
      <c r="A102" s="1013"/>
      <c r="B102" s="1013"/>
      <c r="C102" s="1013"/>
      <c r="D102" s="1013"/>
      <c r="E102" s="1013"/>
      <c r="R102" s="885"/>
      <c r="S102" s="885"/>
      <c r="T102" s="885"/>
      <c r="U102" s="885"/>
      <c r="V102" s="885"/>
      <c r="W102" s="885"/>
    </row>
    <row r="103" spans="1:23">
      <c r="A103" s="1013"/>
      <c r="B103" s="1013"/>
      <c r="C103" s="1013"/>
      <c r="D103" s="1013"/>
      <c r="E103" s="1013"/>
      <c r="R103" s="885"/>
      <c r="S103" s="885"/>
      <c r="T103" s="885"/>
      <c r="U103" s="885"/>
      <c r="V103" s="885"/>
      <c r="W103" s="885"/>
    </row>
    <row r="104" spans="1:23">
      <c r="A104" s="1013"/>
      <c r="B104" s="1013"/>
      <c r="C104" s="1013"/>
      <c r="D104" s="1013"/>
      <c r="E104" s="1013"/>
      <c r="R104" s="885"/>
      <c r="S104" s="885"/>
      <c r="T104" s="885"/>
      <c r="U104" s="885"/>
      <c r="V104" s="885"/>
      <c r="W104" s="885"/>
    </row>
    <row r="105" spans="1:23">
      <c r="A105" s="1013"/>
      <c r="B105" s="1013"/>
      <c r="C105" s="1013"/>
      <c r="D105" s="1013"/>
      <c r="E105" s="1013"/>
      <c r="R105" s="885"/>
      <c r="S105" s="885"/>
      <c r="T105" s="885"/>
      <c r="U105" s="885"/>
      <c r="V105" s="885"/>
      <c r="W105" s="885"/>
    </row>
    <row r="106" spans="1:23">
      <c r="A106" s="1013"/>
      <c r="B106" s="1013"/>
      <c r="C106" s="1013"/>
      <c r="D106" s="1013"/>
      <c r="E106" s="1013"/>
      <c r="R106" s="885"/>
      <c r="S106" s="885"/>
      <c r="T106" s="885"/>
      <c r="U106" s="885"/>
      <c r="V106" s="885"/>
      <c r="W106" s="885"/>
    </row>
    <row r="107" spans="1:23">
      <c r="A107" s="1013"/>
      <c r="B107" s="1013"/>
      <c r="C107" s="1013"/>
      <c r="D107" s="1013"/>
      <c r="E107" s="1013"/>
      <c r="R107" s="885"/>
      <c r="S107" s="885"/>
      <c r="T107" s="885"/>
      <c r="U107" s="885"/>
      <c r="V107" s="885"/>
      <c r="W107" s="885"/>
    </row>
    <row r="108" spans="1:23">
      <c r="A108" s="1013"/>
      <c r="B108" s="1013"/>
      <c r="C108" s="1013"/>
      <c r="D108" s="1013"/>
      <c r="E108" s="1013"/>
      <c r="R108" s="885"/>
      <c r="S108" s="885"/>
      <c r="T108" s="885"/>
      <c r="U108" s="885"/>
      <c r="V108" s="885"/>
      <c r="W108" s="885"/>
    </row>
    <row r="109" spans="1:23">
      <c r="A109" s="1013"/>
      <c r="B109" s="1013"/>
      <c r="C109" s="1013"/>
      <c r="D109" s="1013"/>
      <c r="E109" s="1013"/>
      <c r="R109" s="885"/>
      <c r="S109" s="885"/>
      <c r="T109" s="885"/>
      <c r="U109" s="885"/>
      <c r="V109" s="885"/>
      <c r="W109" s="885"/>
    </row>
    <row r="110" spans="1:23">
      <c r="A110" s="1013"/>
      <c r="B110" s="1013"/>
      <c r="C110" s="1013"/>
      <c r="D110" s="1013"/>
      <c r="E110" s="1013"/>
      <c r="R110" s="885"/>
      <c r="S110" s="885"/>
      <c r="T110" s="885"/>
      <c r="U110" s="885"/>
      <c r="V110" s="885"/>
      <c r="W110" s="885"/>
    </row>
    <row r="111" spans="1:23">
      <c r="A111" s="1013"/>
      <c r="B111" s="1013"/>
      <c r="C111" s="1013"/>
      <c r="D111" s="1013"/>
      <c r="E111" s="1013"/>
      <c r="R111" s="885"/>
      <c r="S111" s="885"/>
      <c r="T111" s="885"/>
      <c r="U111" s="885"/>
      <c r="V111" s="885"/>
      <c r="W111" s="885"/>
    </row>
    <row r="112" spans="1:23">
      <c r="A112" s="1013"/>
      <c r="B112" s="1013"/>
      <c r="C112" s="1013"/>
      <c r="D112" s="1013"/>
      <c r="E112" s="1013"/>
      <c r="R112" s="885"/>
      <c r="S112" s="885"/>
      <c r="T112" s="885"/>
      <c r="U112" s="885"/>
      <c r="V112" s="885"/>
      <c r="W112" s="885"/>
    </row>
    <row r="113" spans="1:23">
      <c r="A113" s="1013"/>
      <c r="B113" s="1013"/>
      <c r="C113" s="1013"/>
      <c r="D113" s="1013"/>
      <c r="E113" s="1013"/>
      <c r="R113" s="885"/>
      <c r="S113" s="885"/>
      <c r="T113" s="885"/>
      <c r="U113" s="885"/>
      <c r="V113" s="885"/>
      <c r="W113" s="885"/>
    </row>
    <row r="114" spans="1:23">
      <c r="A114" s="1013"/>
      <c r="B114" s="1013"/>
      <c r="C114" s="1013"/>
      <c r="D114" s="1013"/>
      <c r="E114" s="1013"/>
      <c r="R114" s="885"/>
      <c r="S114" s="885"/>
      <c r="T114" s="885"/>
      <c r="U114" s="885"/>
      <c r="V114" s="885"/>
      <c r="W114" s="885"/>
    </row>
    <row r="115" spans="1:23">
      <c r="A115" s="1013"/>
      <c r="B115" s="1013"/>
      <c r="C115" s="1013"/>
      <c r="D115" s="1013"/>
      <c r="E115" s="1013"/>
      <c r="R115" s="885"/>
      <c r="S115" s="885"/>
      <c r="T115" s="885"/>
      <c r="U115" s="885"/>
      <c r="V115" s="885"/>
      <c r="W115" s="885"/>
    </row>
    <row r="116" spans="1:23">
      <c r="A116" s="1013"/>
      <c r="B116" s="1013"/>
      <c r="C116" s="1013"/>
      <c r="D116" s="1013"/>
      <c r="E116" s="1013"/>
      <c r="R116" s="885"/>
      <c r="S116" s="885"/>
      <c r="T116" s="885"/>
      <c r="U116" s="885"/>
      <c r="V116" s="885"/>
      <c r="W116" s="885"/>
    </row>
    <row r="117" spans="1:23">
      <c r="A117" s="1013"/>
      <c r="B117" s="1013"/>
      <c r="C117" s="1013"/>
      <c r="D117" s="1013"/>
      <c r="E117" s="1013"/>
      <c r="R117" s="885"/>
      <c r="S117" s="885"/>
      <c r="T117" s="885"/>
      <c r="U117" s="885"/>
      <c r="V117" s="885"/>
      <c r="W117" s="885"/>
    </row>
    <row r="118" spans="1:23">
      <c r="A118" s="1013"/>
      <c r="B118" s="1013"/>
      <c r="C118" s="1013"/>
      <c r="D118" s="1013"/>
      <c r="E118" s="1013"/>
      <c r="R118" s="885"/>
      <c r="S118" s="885"/>
      <c r="T118" s="885"/>
      <c r="U118" s="885"/>
      <c r="V118" s="885"/>
      <c r="W118" s="885"/>
    </row>
    <row r="119" spans="1:23">
      <c r="A119" s="1013"/>
      <c r="B119" s="1013"/>
      <c r="C119" s="1013"/>
      <c r="D119" s="1013"/>
      <c r="E119" s="1013"/>
      <c r="R119" s="885"/>
      <c r="S119" s="885"/>
      <c r="T119" s="885"/>
      <c r="U119" s="885"/>
      <c r="V119" s="885"/>
      <c r="W119" s="885"/>
    </row>
    <row r="120" spans="1:23">
      <c r="A120" s="1013"/>
      <c r="B120" s="1013"/>
      <c r="C120" s="1013"/>
      <c r="D120" s="1013"/>
      <c r="E120" s="1013"/>
      <c r="R120" s="885"/>
      <c r="S120" s="885"/>
      <c r="T120" s="885"/>
      <c r="U120" s="885"/>
      <c r="V120" s="885"/>
      <c r="W120" s="885"/>
    </row>
    <row r="121" spans="1:23">
      <c r="A121" s="1013"/>
      <c r="B121" s="1013"/>
      <c r="C121" s="1013"/>
      <c r="D121" s="1013"/>
      <c r="E121" s="1013"/>
      <c r="R121" s="885"/>
      <c r="S121" s="885"/>
      <c r="T121" s="885"/>
      <c r="U121" s="885"/>
      <c r="V121" s="885"/>
      <c r="W121" s="885"/>
    </row>
    <row r="122" spans="1:23">
      <c r="A122" s="1013"/>
      <c r="B122" s="1013"/>
      <c r="C122" s="1013"/>
      <c r="D122" s="1013"/>
      <c r="E122" s="1013"/>
      <c r="R122" s="885"/>
      <c r="S122" s="885"/>
      <c r="T122" s="885"/>
      <c r="U122" s="885"/>
      <c r="V122" s="885"/>
      <c r="W122" s="885"/>
    </row>
    <row r="123" spans="1:23">
      <c r="A123" s="1013"/>
      <c r="B123" s="1013"/>
      <c r="C123" s="1013"/>
      <c r="D123" s="1013"/>
      <c r="E123" s="1013"/>
      <c r="R123" s="885"/>
      <c r="S123" s="885"/>
      <c r="T123" s="885"/>
      <c r="U123" s="885"/>
      <c r="V123" s="885"/>
      <c r="W123" s="885"/>
    </row>
    <row r="124" spans="1:23">
      <c r="A124" s="1013"/>
      <c r="B124" s="1013"/>
      <c r="C124" s="1013"/>
      <c r="D124" s="1013"/>
      <c r="E124" s="1013"/>
      <c r="R124" s="885"/>
      <c r="S124" s="885"/>
      <c r="T124" s="885"/>
      <c r="U124" s="885"/>
      <c r="V124" s="885"/>
      <c r="W124" s="885"/>
    </row>
    <row r="125" spans="1:23">
      <c r="A125" s="1013"/>
      <c r="B125" s="1013"/>
      <c r="C125" s="1013"/>
      <c r="D125" s="1013"/>
      <c r="E125" s="1013"/>
      <c r="R125" s="885"/>
      <c r="S125" s="885"/>
      <c r="T125" s="885"/>
      <c r="U125" s="885"/>
      <c r="V125" s="885"/>
      <c r="W125" s="885"/>
    </row>
    <row r="126" spans="1:23">
      <c r="A126" s="1013"/>
      <c r="B126" s="1013"/>
      <c r="C126" s="1013"/>
      <c r="D126" s="1013"/>
      <c r="E126" s="1013"/>
      <c r="R126" s="885"/>
      <c r="S126" s="885"/>
      <c r="T126" s="885"/>
      <c r="U126" s="885"/>
      <c r="V126" s="885"/>
      <c r="W126" s="885"/>
    </row>
    <row r="127" spans="1:23">
      <c r="A127" s="1013"/>
      <c r="B127" s="1013"/>
      <c r="C127" s="1013"/>
      <c r="D127" s="1013"/>
      <c r="E127" s="1013"/>
      <c r="R127" s="885"/>
      <c r="S127" s="885"/>
      <c r="T127" s="885"/>
      <c r="U127" s="885"/>
      <c r="V127" s="885"/>
      <c r="W127" s="885"/>
    </row>
    <row r="128" spans="1:23">
      <c r="A128" s="1013"/>
      <c r="B128" s="1013"/>
      <c r="C128" s="1013"/>
      <c r="D128" s="1013"/>
      <c r="E128" s="1013"/>
      <c r="R128" s="885"/>
      <c r="S128" s="885"/>
      <c r="T128" s="885"/>
      <c r="U128" s="885"/>
      <c r="V128" s="885"/>
      <c r="W128" s="885"/>
    </row>
    <row r="129" spans="1:23">
      <c r="A129" s="1013"/>
      <c r="B129" s="1013"/>
      <c r="C129" s="1013"/>
      <c r="D129" s="1013"/>
      <c r="E129" s="1013"/>
      <c r="R129" s="885"/>
      <c r="S129" s="885"/>
      <c r="T129" s="885"/>
      <c r="U129" s="885"/>
      <c r="V129" s="885"/>
      <c r="W129" s="885"/>
    </row>
    <row r="130" spans="1:23">
      <c r="A130" s="1013"/>
      <c r="B130" s="1013"/>
      <c r="C130" s="1013"/>
      <c r="D130" s="1013"/>
      <c r="E130" s="1013"/>
      <c r="R130" s="885"/>
      <c r="S130" s="885"/>
      <c r="T130" s="885"/>
      <c r="U130" s="885"/>
      <c r="V130" s="885"/>
      <c r="W130" s="885"/>
    </row>
    <row r="131" spans="1:23">
      <c r="A131" s="1013"/>
      <c r="B131" s="1013"/>
      <c r="C131" s="1013"/>
      <c r="D131" s="1013"/>
      <c r="E131" s="1013"/>
      <c r="R131" s="885"/>
      <c r="S131" s="885"/>
      <c r="T131" s="885"/>
      <c r="U131" s="885"/>
      <c r="V131" s="885"/>
      <c r="W131" s="885"/>
    </row>
    <row r="132" spans="1:23">
      <c r="A132" s="1013"/>
      <c r="B132" s="1013"/>
      <c r="C132" s="1013"/>
      <c r="D132" s="1013"/>
      <c r="E132" s="1013"/>
      <c r="R132" s="885"/>
      <c r="S132" s="885"/>
      <c r="T132" s="885"/>
      <c r="U132" s="885"/>
      <c r="V132" s="885"/>
      <c r="W132" s="885"/>
    </row>
    <row r="133" spans="1:23">
      <c r="A133" s="1013"/>
      <c r="B133" s="1013"/>
      <c r="C133" s="1013"/>
      <c r="D133" s="1013"/>
      <c r="E133" s="1013"/>
      <c r="R133" s="885"/>
      <c r="S133" s="885"/>
      <c r="T133" s="885"/>
      <c r="U133" s="885"/>
      <c r="V133" s="885"/>
      <c r="W133" s="885"/>
    </row>
    <row r="134" spans="1:23">
      <c r="A134" s="1013"/>
      <c r="B134" s="1013"/>
      <c r="C134" s="1013"/>
      <c r="D134" s="1013"/>
      <c r="E134" s="1013"/>
      <c r="R134" s="885"/>
      <c r="S134" s="885"/>
      <c r="T134" s="885"/>
      <c r="U134" s="885"/>
      <c r="V134" s="885"/>
      <c r="W134" s="885"/>
    </row>
    <row r="135" spans="1:23">
      <c r="A135" s="1013"/>
      <c r="B135" s="1013"/>
      <c r="C135" s="1013"/>
      <c r="D135" s="1013"/>
      <c r="E135" s="1013"/>
      <c r="R135" s="885"/>
      <c r="S135" s="885"/>
      <c r="T135" s="885"/>
      <c r="U135" s="885"/>
      <c r="V135" s="885"/>
      <c r="W135" s="885"/>
    </row>
    <row r="136" spans="1:23">
      <c r="A136" s="1013"/>
      <c r="B136" s="1013"/>
      <c r="C136" s="1013"/>
      <c r="D136" s="1013"/>
      <c r="E136" s="1013"/>
      <c r="R136" s="885"/>
      <c r="S136" s="885"/>
      <c r="T136" s="885"/>
      <c r="U136" s="885"/>
      <c r="V136" s="885"/>
      <c r="W136" s="885"/>
    </row>
    <row r="137" spans="1:23">
      <c r="A137" s="1013"/>
      <c r="B137" s="1013"/>
      <c r="C137" s="1013"/>
      <c r="D137" s="1013"/>
      <c r="E137" s="1013"/>
      <c r="R137" s="885"/>
      <c r="S137" s="885"/>
      <c r="T137" s="885"/>
      <c r="U137" s="885"/>
      <c r="V137" s="885"/>
      <c r="W137" s="885"/>
    </row>
    <row r="138" spans="1:23">
      <c r="A138" s="1013"/>
      <c r="B138" s="1013"/>
      <c r="C138" s="1013"/>
      <c r="D138" s="1013"/>
      <c r="E138" s="1013"/>
      <c r="R138" s="885"/>
      <c r="S138" s="885"/>
      <c r="T138" s="885"/>
      <c r="U138" s="885"/>
      <c r="V138" s="885"/>
      <c r="W138" s="885"/>
    </row>
    <row r="139" spans="1:23">
      <c r="A139" s="1013"/>
      <c r="B139" s="1013"/>
      <c r="C139" s="1013"/>
      <c r="D139" s="1013"/>
      <c r="E139" s="1013"/>
      <c r="R139" s="885"/>
      <c r="S139" s="885"/>
      <c r="T139" s="885"/>
      <c r="U139" s="885"/>
      <c r="V139" s="885"/>
      <c r="W139" s="885"/>
    </row>
    <row r="140" spans="1:23">
      <c r="A140" s="1013"/>
      <c r="B140" s="1013"/>
      <c r="C140" s="1013"/>
      <c r="D140" s="1013"/>
      <c r="E140" s="1013"/>
      <c r="R140" s="885"/>
      <c r="S140" s="885"/>
      <c r="T140" s="885"/>
      <c r="U140" s="885"/>
      <c r="V140" s="885"/>
      <c r="W140" s="885"/>
    </row>
    <row r="141" spans="1:23">
      <c r="A141" s="1013"/>
      <c r="B141" s="1013"/>
      <c r="C141" s="1013"/>
      <c r="D141" s="1013"/>
      <c r="E141" s="1013"/>
      <c r="R141" s="885"/>
      <c r="S141" s="885"/>
      <c r="T141" s="885"/>
      <c r="U141" s="885"/>
      <c r="V141" s="885"/>
      <c r="W141" s="885"/>
    </row>
    <row r="142" spans="1:23">
      <c r="A142" s="1013"/>
      <c r="B142" s="1013"/>
      <c r="C142" s="1013"/>
      <c r="D142" s="1013"/>
      <c r="E142" s="1013"/>
      <c r="R142" s="885"/>
      <c r="S142" s="885"/>
      <c r="T142" s="885"/>
      <c r="U142" s="885"/>
      <c r="V142" s="885"/>
      <c r="W142" s="885"/>
    </row>
    <row r="143" spans="1:23">
      <c r="A143" s="1013"/>
      <c r="B143" s="1013"/>
      <c r="C143" s="1013"/>
      <c r="D143" s="1013"/>
      <c r="E143" s="1013"/>
      <c r="R143" s="885"/>
      <c r="S143" s="885"/>
      <c r="T143" s="885"/>
      <c r="U143" s="885"/>
      <c r="V143" s="885"/>
      <c r="W143" s="885"/>
    </row>
    <row r="144" spans="1:23">
      <c r="A144" s="1013"/>
      <c r="B144" s="1013"/>
      <c r="C144" s="1013"/>
      <c r="D144" s="1013"/>
      <c r="E144" s="1013"/>
      <c r="R144" s="885"/>
      <c r="S144" s="885"/>
      <c r="T144" s="885"/>
      <c r="U144" s="885"/>
      <c r="V144" s="885"/>
      <c r="W144" s="885"/>
    </row>
    <row r="145" spans="1:23">
      <c r="A145" s="1013"/>
      <c r="B145" s="1013"/>
      <c r="C145" s="1013"/>
      <c r="D145" s="1013"/>
      <c r="E145" s="1013"/>
      <c r="R145" s="885"/>
      <c r="S145" s="885"/>
      <c r="T145" s="885"/>
      <c r="U145" s="885"/>
      <c r="V145" s="885"/>
      <c r="W145" s="885"/>
    </row>
    <row r="146" spans="1:23">
      <c r="A146" s="1013"/>
      <c r="B146" s="1013"/>
      <c r="C146" s="1013"/>
      <c r="D146" s="1013"/>
      <c r="E146" s="1013"/>
      <c r="R146" s="885"/>
      <c r="S146" s="885"/>
      <c r="T146" s="885"/>
      <c r="U146" s="885"/>
      <c r="V146" s="885"/>
      <c r="W146" s="885"/>
    </row>
    <row r="147" spans="1:23">
      <c r="A147" s="1013"/>
      <c r="B147" s="1013"/>
      <c r="C147" s="1013"/>
      <c r="D147" s="1013"/>
      <c r="E147" s="1013"/>
      <c r="R147" s="885"/>
      <c r="S147" s="885"/>
      <c r="T147" s="885"/>
      <c r="U147" s="885"/>
      <c r="V147" s="885"/>
      <c r="W147" s="885"/>
    </row>
    <row r="148" spans="1:23">
      <c r="A148" s="1013"/>
      <c r="B148" s="1013"/>
      <c r="C148" s="1013"/>
      <c r="D148" s="1013"/>
      <c r="E148" s="1013"/>
      <c r="R148" s="885"/>
      <c r="S148" s="885"/>
      <c r="T148" s="885"/>
      <c r="U148" s="885"/>
      <c r="V148" s="885"/>
      <c r="W148" s="885"/>
    </row>
    <row r="149" spans="1:23">
      <c r="A149" s="1013"/>
      <c r="B149" s="1013"/>
      <c r="C149" s="1013"/>
      <c r="D149" s="1013"/>
      <c r="E149" s="1013"/>
      <c r="R149" s="885"/>
      <c r="S149" s="885"/>
      <c r="T149" s="885"/>
      <c r="U149" s="885"/>
      <c r="V149" s="885"/>
      <c r="W149" s="885"/>
    </row>
    <row r="150" spans="1:23">
      <c r="A150" s="1013"/>
      <c r="B150" s="1013"/>
      <c r="C150" s="1013"/>
      <c r="D150" s="1013"/>
      <c r="E150" s="1013"/>
      <c r="R150" s="885"/>
      <c r="S150" s="885"/>
      <c r="T150" s="885"/>
      <c r="U150" s="885"/>
      <c r="V150" s="885"/>
      <c r="W150" s="885"/>
    </row>
    <row r="151" spans="1:23">
      <c r="A151" s="1013"/>
      <c r="B151" s="1013"/>
      <c r="C151" s="1013"/>
      <c r="D151" s="1013"/>
      <c r="E151" s="1013"/>
      <c r="R151" s="885"/>
      <c r="S151" s="885"/>
      <c r="T151" s="885"/>
      <c r="U151" s="885"/>
      <c r="V151" s="885"/>
      <c r="W151" s="885"/>
    </row>
    <row r="152" spans="1:23">
      <c r="A152" s="1013"/>
      <c r="B152" s="1013"/>
      <c r="C152" s="1013"/>
      <c r="D152" s="1013"/>
      <c r="E152" s="1013"/>
      <c r="R152" s="885"/>
      <c r="S152" s="885"/>
      <c r="T152" s="885"/>
      <c r="U152" s="885"/>
      <c r="V152" s="885"/>
      <c r="W152" s="885"/>
    </row>
    <row r="153" spans="1:23">
      <c r="A153" s="1013"/>
      <c r="B153" s="1013"/>
      <c r="C153" s="1013"/>
      <c r="D153" s="1013"/>
      <c r="E153" s="1013"/>
      <c r="R153" s="885"/>
      <c r="S153" s="885"/>
      <c r="T153" s="885"/>
      <c r="U153" s="885"/>
      <c r="V153" s="885"/>
      <c r="W153" s="885"/>
    </row>
    <row r="154" spans="1:23">
      <c r="A154" s="1013"/>
      <c r="B154" s="1013"/>
      <c r="C154" s="1013"/>
      <c r="D154" s="1013"/>
      <c r="E154" s="1013"/>
      <c r="R154" s="885"/>
      <c r="S154" s="885"/>
      <c r="T154" s="885"/>
      <c r="U154" s="885"/>
      <c r="V154" s="885"/>
      <c r="W154" s="885"/>
    </row>
    <row r="155" spans="1:23">
      <c r="A155" s="1013"/>
      <c r="B155" s="1013"/>
      <c r="C155" s="1013"/>
      <c r="D155" s="1013"/>
      <c r="E155" s="1013"/>
      <c r="R155" s="885"/>
      <c r="S155" s="885"/>
      <c r="T155" s="885"/>
      <c r="U155" s="885"/>
      <c r="V155" s="885"/>
      <c r="W155" s="885"/>
    </row>
    <row r="156" spans="1:23">
      <c r="A156" s="1013"/>
      <c r="B156" s="1013"/>
      <c r="C156" s="1013"/>
      <c r="D156" s="1013"/>
      <c r="E156" s="1013"/>
      <c r="R156" s="885"/>
      <c r="S156" s="885"/>
      <c r="T156" s="885"/>
      <c r="U156" s="885"/>
      <c r="V156" s="885"/>
      <c r="W156" s="885"/>
    </row>
    <row r="157" spans="1:23">
      <c r="A157" s="1013"/>
      <c r="B157" s="1013"/>
      <c r="C157" s="1013"/>
      <c r="D157" s="1013"/>
      <c r="E157" s="1013"/>
      <c r="R157" s="885"/>
      <c r="S157" s="885"/>
      <c r="T157" s="885"/>
      <c r="U157" s="885"/>
      <c r="V157" s="885"/>
      <c r="W157" s="885"/>
    </row>
    <row r="158" spans="1:23">
      <c r="A158" s="1013"/>
      <c r="B158" s="1013"/>
      <c r="C158" s="1013"/>
      <c r="D158" s="1013"/>
      <c r="E158" s="1013"/>
      <c r="R158" s="885"/>
      <c r="S158" s="885"/>
      <c r="T158" s="885"/>
      <c r="U158" s="885"/>
      <c r="V158" s="885"/>
      <c r="W158" s="885"/>
    </row>
    <row r="159" spans="1:23">
      <c r="A159" s="1013"/>
      <c r="B159" s="1013"/>
      <c r="C159" s="1013"/>
      <c r="D159" s="1013"/>
      <c r="E159" s="1013"/>
      <c r="R159" s="885"/>
      <c r="S159" s="885"/>
      <c r="T159" s="885"/>
      <c r="U159" s="885"/>
      <c r="V159" s="885"/>
      <c r="W159" s="885"/>
    </row>
    <row r="160" spans="1:23">
      <c r="A160" s="1013"/>
      <c r="B160" s="1013"/>
      <c r="C160" s="1013"/>
      <c r="D160" s="1013"/>
      <c r="E160" s="1013"/>
      <c r="R160" s="885"/>
      <c r="S160" s="885"/>
      <c r="T160" s="885"/>
      <c r="U160" s="885"/>
      <c r="V160" s="885"/>
      <c r="W160" s="885"/>
    </row>
    <row r="161" spans="1:23">
      <c r="A161" s="1013"/>
      <c r="B161" s="1013"/>
      <c r="C161" s="1013"/>
      <c r="D161" s="1013"/>
      <c r="E161" s="1013"/>
      <c r="R161" s="885"/>
      <c r="S161" s="885"/>
      <c r="T161" s="885"/>
      <c r="U161" s="885"/>
      <c r="V161" s="885"/>
      <c r="W161" s="885"/>
    </row>
    <row r="162" spans="1:23">
      <c r="A162" s="1013"/>
      <c r="B162" s="1013"/>
      <c r="C162" s="1013"/>
      <c r="D162" s="1013"/>
      <c r="E162" s="1013"/>
      <c r="R162" s="885"/>
      <c r="S162" s="885"/>
      <c r="T162" s="885"/>
      <c r="U162" s="885"/>
      <c r="V162" s="885"/>
      <c r="W162" s="885"/>
    </row>
    <row r="163" spans="1:23">
      <c r="A163" s="1013"/>
      <c r="B163" s="1013"/>
      <c r="C163" s="1013"/>
      <c r="D163" s="1013"/>
      <c r="E163" s="1013"/>
      <c r="R163" s="885"/>
      <c r="S163" s="885"/>
      <c r="T163" s="885"/>
      <c r="U163" s="885"/>
      <c r="V163" s="885"/>
      <c r="W163" s="885"/>
    </row>
    <row r="164" spans="1:23">
      <c r="A164" s="1013"/>
      <c r="B164" s="1013"/>
      <c r="C164" s="1013"/>
      <c r="D164" s="1013"/>
      <c r="E164" s="1013"/>
      <c r="R164" s="885"/>
      <c r="S164" s="885"/>
      <c r="T164" s="885"/>
      <c r="U164" s="885"/>
      <c r="V164" s="885"/>
      <c r="W164" s="885"/>
    </row>
    <row r="165" spans="1:23">
      <c r="A165" s="1013"/>
      <c r="B165" s="1013"/>
      <c r="C165" s="1013"/>
      <c r="D165" s="1013"/>
      <c r="E165" s="1013"/>
      <c r="R165" s="885"/>
      <c r="S165" s="885"/>
      <c r="T165" s="885"/>
      <c r="U165" s="885"/>
      <c r="V165" s="885"/>
      <c r="W165" s="885"/>
    </row>
    <row r="166" spans="1:23">
      <c r="A166" s="1013"/>
      <c r="B166" s="1013"/>
      <c r="C166" s="1013"/>
      <c r="D166" s="1013"/>
      <c r="E166" s="1013"/>
      <c r="R166" s="885"/>
      <c r="S166" s="885"/>
      <c r="T166" s="885"/>
      <c r="U166" s="885"/>
      <c r="V166" s="885"/>
      <c r="W166" s="885"/>
    </row>
    <row r="167" spans="1:23">
      <c r="A167" s="1013"/>
      <c r="B167" s="1013"/>
      <c r="C167" s="1013"/>
      <c r="D167" s="1013"/>
      <c r="E167" s="1013"/>
      <c r="R167" s="885"/>
      <c r="S167" s="885"/>
      <c r="T167" s="885"/>
      <c r="U167" s="885"/>
      <c r="V167" s="885"/>
      <c r="W167" s="885"/>
    </row>
    <row r="168" spans="1:23">
      <c r="A168" s="1013"/>
      <c r="B168" s="1013"/>
      <c r="C168" s="1013"/>
      <c r="D168" s="1013"/>
      <c r="E168" s="1013"/>
      <c r="R168" s="885"/>
      <c r="S168" s="885"/>
      <c r="T168" s="885"/>
      <c r="U168" s="885"/>
      <c r="V168" s="885"/>
      <c r="W168" s="885"/>
    </row>
    <row r="169" spans="1:23">
      <c r="A169" s="1013"/>
      <c r="B169" s="1013"/>
      <c r="C169" s="1013"/>
      <c r="D169" s="1013"/>
      <c r="E169" s="1013"/>
      <c r="R169" s="885"/>
      <c r="S169" s="885"/>
      <c r="T169" s="885"/>
      <c r="U169" s="885"/>
      <c r="V169" s="885"/>
      <c r="W169" s="885"/>
    </row>
    <row r="170" spans="1:23">
      <c r="A170" s="1013"/>
      <c r="B170" s="1013"/>
      <c r="C170" s="1013"/>
      <c r="D170" s="1013"/>
      <c r="E170" s="1013"/>
      <c r="R170" s="885"/>
      <c r="S170" s="885"/>
      <c r="T170" s="885"/>
      <c r="U170" s="885"/>
      <c r="V170" s="885"/>
      <c r="W170" s="885"/>
    </row>
    <row r="171" spans="1:23">
      <c r="A171" s="1013"/>
      <c r="B171" s="1013"/>
      <c r="C171" s="1013"/>
      <c r="D171" s="1013"/>
      <c r="E171" s="1013"/>
      <c r="R171" s="885"/>
      <c r="S171" s="885"/>
      <c r="T171" s="885"/>
      <c r="U171" s="885"/>
      <c r="V171" s="885"/>
      <c r="W171" s="885"/>
    </row>
    <row r="172" spans="1:23">
      <c r="R172" s="885"/>
      <c r="S172" s="885"/>
      <c r="T172" s="885"/>
      <c r="U172" s="885"/>
      <c r="V172" s="885"/>
      <c r="W172" s="885"/>
    </row>
    <row r="173" spans="1:23">
      <c r="R173" s="885"/>
      <c r="S173" s="885"/>
      <c r="T173" s="885"/>
      <c r="U173" s="885"/>
      <c r="V173" s="885"/>
      <c r="W173" s="885"/>
    </row>
    <row r="174" spans="1:23">
      <c r="R174" s="885"/>
      <c r="S174" s="885"/>
      <c r="T174" s="885"/>
      <c r="U174" s="885"/>
      <c r="V174" s="885"/>
      <c r="W174" s="885"/>
    </row>
    <row r="175" spans="1:23">
      <c r="R175" s="885"/>
      <c r="S175" s="885"/>
      <c r="T175" s="885"/>
      <c r="U175" s="885"/>
      <c r="V175" s="885"/>
      <c r="W175" s="885"/>
    </row>
    <row r="176" spans="1:23">
      <c r="R176" s="885"/>
      <c r="S176" s="885"/>
      <c r="T176" s="885"/>
      <c r="U176" s="885"/>
      <c r="V176" s="885"/>
      <c r="W176" s="885"/>
    </row>
    <row r="177" spans="18:23">
      <c r="R177" s="885"/>
      <c r="S177" s="885"/>
      <c r="T177" s="885"/>
      <c r="U177" s="885"/>
      <c r="V177" s="885"/>
      <c r="W177" s="885"/>
    </row>
    <row r="178" spans="18:23">
      <c r="R178" s="885"/>
      <c r="S178" s="885"/>
      <c r="T178" s="885"/>
      <c r="U178" s="885"/>
      <c r="V178" s="885"/>
      <c r="W178" s="885"/>
    </row>
    <row r="179" spans="18:23">
      <c r="R179" s="885"/>
      <c r="S179" s="885"/>
      <c r="T179" s="885"/>
      <c r="U179" s="885"/>
      <c r="V179" s="885"/>
      <c r="W179" s="885"/>
    </row>
    <row r="180" spans="18:23">
      <c r="R180" s="885"/>
      <c r="S180" s="885"/>
      <c r="T180" s="885"/>
      <c r="U180" s="885"/>
      <c r="V180" s="885"/>
      <c r="W180" s="885"/>
    </row>
    <row r="181" spans="18:23">
      <c r="R181" s="885"/>
      <c r="S181" s="885"/>
      <c r="T181" s="885"/>
      <c r="U181" s="885"/>
      <c r="V181" s="885"/>
      <c r="W181" s="885"/>
    </row>
    <row r="182" spans="18:23">
      <c r="R182" s="885"/>
      <c r="S182" s="885"/>
      <c r="T182" s="885"/>
      <c r="U182" s="885"/>
      <c r="V182" s="885"/>
      <c r="W182" s="885"/>
    </row>
    <row r="183" spans="18:23">
      <c r="R183" s="885"/>
      <c r="S183" s="885"/>
      <c r="T183" s="885"/>
      <c r="U183" s="885"/>
      <c r="V183" s="885"/>
      <c r="W183" s="885"/>
    </row>
    <row r="184" spans="18:23">
      <c r="R184" s="885"/>
      <c r="S184" s="885"/>
      <c r="T184" s="885"/>
      <c r="U184" s="885"/>
      <c r="V184" s="885"/>
      <c r="W184" s="885"/>
    </row>
    <row r="185" spans="18:23">
      <c r="R185" s="885"/>
      <c r="S185" s="885"/>
      <c r="T185" s="885"/>
      <c r="U185" s="885"/>
      <c r="V185" s="885"/>
      <c r="W185" s="885"/>
    </row>
    <row r="186" spans="18:23">
      <c r="R186" s="885"/>
      <c r="S186" s="885"/>
      <c r="T186" s="885"/>
      <c r="U186" s="885"/>
      <c r="V186" s="885"/>
      <c r="W186" s="885"/>
    </row>
    <row r="187" spans="18:23">
      <c r="R187" s="885"/>
      <c r="S187" s="885"/>
      <c r="T187" s="885"/>
      <c r="U187" s="885"/>
      <c r="V187" s="885"/>
      <c r="W187" s="885"/>
    </row>
    <row r="188" spans="18:23">
      <c r="R188" s="885"/>
      <c r="S188" s="885"/>
      <c r="T188" s="885"/>
      <c r="U188" s="885"/>
      <c r="V188" s="885"/>
      <c r="W188" s="885"/>
    </row>
    <row r="189" spans="18:23">
      <c r="R189" s="885"/>
      <c r="S189" s="885"/>
      <c r="T189" s="885"/>
      <c r="U189" s="885"/>
      <c r="V189" s="885"/>
      <c r="W189" s="885"/>
    </row>
    <row r="190" spans="18:23">
      <c r="R190" s="885"/>
      <c r="S190" s="885"/>
      <c r="T190" s="885"/>
      <c r="U190" s="885"/>
      <c r="V190" s="885"/>
      <c r="W190" s="885"/>
    </row>
    <row r="191" spans="18:23">
      <c r="R191" s="885"/>
      <c r="S191" s="885"/>
      <c r="T191" s="885"/>
      <c r="U191" s="885"/>
      <c r="V191" s="885"/>
      <c r="W191" s="885"/>
    </row>
    <row r="192" spans="18:23">
      <c r="R192" s="885"/>
      <c r="S192" s="885"/>
      <c r="T192" s="885"/>
      <c r="U192" s="885"/>
      <c r="V192" s="885"/>
      <c r="W192" s="885"/>
    </row>
    <row r="193" spans="18:23">
      <c r="R193" s="885"/>
      <c r="S193" s="885"/>
      <c r="T193" s="885"/>
      <c r="U193" s="885"/>
      <c r="V193" s="885"/>
      <c r="W193" s="885"/>
    </row>
    <row r="194" spans="18:23">
      <c r="R194" s="885"/>
      <c r="S194" s="885"/>
      <c r="T194" s="885"/>
      <c r="U194" s="885"/>
      <c r="V194" s="885"/>
      <c r="W194" s="885"/>
    </row>
    <row r="195" spans="18:23">
      <c r="R195" s="885"/>
      <c r="S195" s="885"/>
      <c r="T195" s="885"/>
      <c r="U195" s="885"/>
      <c r="V195" s="885"/>
      <c r="W195" s="885"/>
    </row>
    <row r="196" spans="18:23">
      <c r="R196" s="885"/>
      <c r="S196" s="885"/>
      <c r="T196" s="885"/>
      <c r="U196" s="885"/>
      <c r="V196" s="885"/>
      <c r="W196" s="885"/>
    </row>
    <row r="197" spans="18:23">
      <c r="R197" s="885"/>
      <c r="S197" s="885"/>
      <c r="T197" s="885"/>
      <c r="U197" s="885"/>
      <c r="V197" s="885"/>
      <c r="W197" s="885"/>
    </row>
    <row r="198" spans="18:23">
      <c r="R198" s="885"/>
      <c r="S198" s="885"/>
      <c r="T198" s="885"/>
      <c r="U198" s="885"/>
      <c r="V198" s="885"/>
      <c r="W198" s="885"/>
    </row>
    <row r="199" spans="18:23">
      <c r="R199" s="885"/>
      <c r="S199" s="885"/>
      <c r="T199" s="885"/>
      <c r="U199" s="885"/>
      <c r="V199" s="885"/>
      <c r="W199" s="885"/>
    </row>
    <row r="200" spans="18:23">
      <c r="R200" s="885"/>
      <c r="S200" s="885"/>
      <c r="T200" s="885"/>
      <c r="U200" s="885"/>
      <c r="V200" s="885"/>
      <c r="W200" s="885"/>
    </row>
    <row r="201" spans="18:23">
      <c r="R201" s="885"/>
      <c r="S201" s="885"/>
      <c r="T201" s="885"/>
      <c r="U201" s="885"/>
      <c r="V201" s="885"/>
      <c r="W201" s="885"/>
    </row>
    <row r="202" spans="18:23">
      <c r="R202" s="885"/>
      <c r="S202" s="885"/>
      <c r="T202" s="885"/>
      <c r="U202" s="885"/>
      <c r="V202" s="885"/>
      <c r="W202" s="885"/>
    </row>
    <row r="203" spans="18:23">
      <c r="R203" s="885"/>
      <c r="S203" s="885"/>
      <c r="T203" s="885"/>
      <c r="U203" s="885"/>
      <c r="V203" s="885"/>
      <c r="W203" s="885"/>
    </row>
    <row r="204" spans="18:23">
      <c r="R204" s="885"/>
      <c r="S204" s="885"/>
      <c r="T204" s="885"/>
      <c r="U204" s="885"/>
      <c r="V204" s="885"/>
      <c r="W204" s="885"/>
    </row>
    <row r="205" spans="18:23">
      <c r="R205" s="885"/>
      <c r="S205" s="885"/>
      <c r="T205" s="885"/>
      <c r="U205" s="885"/>
      <c r="V205" s="885"/>
      <c r="W205" s="885"/>
    </row>
    <row r="206" spans="18:23">
      <c r="R206" s="885"/>
      <c r="S206" s="885"/>
      <c r="T206" s="885"/>
      <c r="U206" s="885"/>
      <c r="V206" s="885"/>
      <c r="W206" s="885"/>
    </row>
    <row r="207" spans="18:23">
      <c r="R207" s="885"/>
      <c r="S207" s="885"/>
      <c r="T207" s="885"/>
      <c r="U207" s="885"/>
      <c r="V207" s="885"/>
      <c r="W207" s="885"/>
    </row>
    <row r="208" spans="18:23">
      <c r="R208" s="885"/>
      <c r="S208" s="885"/>
      <c r="T208" s="885"/>
      <c r="U208" s="885"/>
      <c r="V208" s="885"/>
      <c r="W208" s="885"/>
    </row>
    <row r="209" spans="18:23">
      <c r="R209" s="885"/>
      <c r="S209" s="885"/>
      <c r="T209" s="885"/>
      <c r="U209" s="885"/>
      <c r="V209" s="885"/>
      <c r="W209" s="885"/>
    </row>
    <row r="210" spans="18:23">
      <c r="R210" s="885"/>
      <c r="S210" s="885"/>
      <c r="T210" s="885"/>
      <c r="U210" s="885"/>
      <c r="V210" s="885"/>
      <c r="W210" s="885"/>
    </row>
    <row r="211" spans="18:23">
      <c r="R211" s="885"/>
      <c r="S211" s="885"/>
      <c r="T211" s="885"/>
      <c r="U211" s="885"/>
      <c r="V211" s="885"/>
      <c r="W211" s="885"/>
    </row>
    <row r="212" spans="18:23">
      <c r="R212" s="885"/>
      <c r="S212" s="885"/>
      <c r="T212" s="885"/>
      <c r="U212" s="885"/>
      <c r="V212" s="885"/>
      <c r="W212" s="885"/>
    </row>
    <row r="213" spans="18:23">
      <c r="R213" s="885"/>
      <c r="S213" s="885"/>
      <c r="T213" s="885"/>
      <c r="U213" s="885"/>
      <c r="V213" s="885"/>
      <c r="W213" s="885"/>
    </row>
    <row r="214" spans="18:23">
      <c r="R214" s="885"/>
      <c r="S214" s="885"/>
      <c r="T214" s="885"/>
      <c r="U214" s="885"/>
      <c r="V214" s="885"/>
      <c r="W214" s="885"/>
    </row>
    <row r="215" spans="18:23">
      <c r="R215" s="885"/>
      <c r="S215" s="885"/>
      <c r="T215" s="885"/>
      <c r="U215" s="885"/>
      <c r="V215" s="885"/>
      <c r="W215" s="885"/>
    </row>
    <row r="216" spans="18:23">
      <c r="R216" s="885"/>
      <c r="S216" s="885"/>
      <c r="T216" s="885"/>
      <c r="U216" s="885"/>
      <c r="V216" s="885"/>
      <c r="W216" s="885"/>
    </row>
    <row r="217" spans="18:23">
      <c r="R217" s="885"/>
      <c r="S217" s="885"/>
      <c r="T217" s="885"/>
      <c r="U217" s="885"/>
      <c r="V217" s="885"/>
      <c r="W217" s="885"/>
    </row>
    <row r="218" spans="18:23">
      <c r="R218" s="885"/>
      <c r="S218" s="885"/>
      <c r="T218" s="885"/>
      <c r="U218" s="885"/>
      <c r="V218" s="885"/>
      <c r="W218" s="885"/>
    </row>
    <row r="219" spans="18:23">
      <c r="R219" s="885"/>
      <c r="S219" s="885"/>
      <c r="T219" s="885"/>
      <c r="U219" s="885"/>
      <c r="V219" s="885"/>
      <c r="W219" s="885"/>
    </row>
    <row r="220" spans="18:23">
      <c r="R220" s="885"/>
      <c r="S220" s="885"/>
      <c r="T220" s="885"/>
      <c r="U220" s="885"/>
      <c r="V220" s="885"/>
      <c r="W220" s="885"/>
    </row>
    <row r="221" spans="18:23">
      <c r="R221" s="885"/>
      <c r="S221" s="885"/>
      <c r="T221" s="885"/>
      <c r="U221" s="885"/>
      <c r="V221" s="885"/>
      <c r="W221" s="885"/>
    </row>
    <row r="222" spans="18:23">
      <c r="R222" s="885"/>
      <c r="S222" s="885"/>
      <c r="T222" s="885"/>
      <c r="U222" s="885"/>
      <c r="V222" s="885"/>
      <c r="W222" s="885"/>
    </row>
    <row r="223" spans="18:23">
      <c r="R223" s="885"/>
      <c r="S223" s="885"/>
      <c r="T223" s="885"/>
      <c r="U223" s="885"/>
      <c r="V223" s="885"/>
      <c r="W223" s="885"/>
    </row>
    <row r="224" spans="18:23">
      <c r="R224" s="885"/>
      <c r="S224" s="885"/>
      <c r="T224" s="885"/>
      <c r="U224" s="885"/>
      <c r="V224" s="885"/>
      <c r="W224" s="885"/>
    </row>
    <row r="225" spans="18:23">
      <c r="R225" s="885"/>
      <c r="S225" s="885"/>
      <c r="T225" s="885"/>
      <c r="U225" s="885"/>
      <c r="V225" s="885"/>
      <c r="W225" s="885"/>
    </row>
    <row r="226" spans="18:23">
      <c r="R226" s="885"/>
      <c r="S226" s="885"/>
      <c r="T226" s="885"/>
      <c r="U226" s="885"/>
      <c r="V226" s="885"/>
      <c r="W226" s="885"/>
    </row>
    <row r="227" spans="18:23">
      <c r="R227" s="885"/>
      <c r="S227" s="885"/>
      <c r="T227" s="885"/>
      <c r="U227" s="885"/>
      <c r="V227" s="885"/>
      <c r="W227" s="885"/>
    </row>
    <row r="228" spans="18:23">
      <c r="R228" s="885"/>
      <c r="S228" s="885"/>
      <c r="T228" s="885"/>
      <c r="U228" s="885"/>
      <c r="V228" s="885"/>
      <c r="W228" s="885"/>
    </row>
    <row r="229" spans="18:23">
      <c r="R229" s="885"/>
      <c r="S229" s="885"/>
      <c r="T229" s="885"/>
      <c r="U229" s="885"/>
      <c r="V229" s="885"/>
      <c r="W229" s="885"/>
    </row>
    <row r="230" spans="18:23">
      <c r="R230" s="885"/>
      <c r="S230" s="885"/>
      <c r="T230" s="885"/>
      <c r="U230" s="885"/>
      <c r="V230" s="885"/>
      <c r="W230" s="885"/>
    </row>
    <row r="231" spans="18:23">
      <c r="R231" s="885"/>
      <c r="S231" s="885"/>
      <c r="T231" s="885"/>
      <c r="U231" s="885"/>
      <c r="V231" s="885"/>
      <c r="W231" s="885"/>
    </row>
    <row r="232" spans="18:23">
      <c r="R232" s="885"/>
      <c r="S232" s="885"/>
      <c r="T232" s="885"/>
      <c r="U232" s="885"/>
      <c r="V232" s="885"/>
      <c r="W232" s="885"/>
    </row>
    <row r="233" spans="18:23">
      <c r="R233" s="885"/>
      <c r="S233" s="885"/>
      <c r="T233" s="885"/>
      <c r="U233" s="885"/>
      <c r="V233" s="885"/>
      <c r="W233" s="885"/>
    </row>
    <row r="234" spans="18:23">
      <c r="R234" s="885"/>
      <c r="S234" s="885"/>
      <c r="T234" s="885"/>
      <c r="U234" s="885"/>
      <c r="V234" s="885"/>
      <c r="W234" s="885"/>
    </row>
    <row r="235" spans="18:23">
      <c r="R235" s="885"/>
      <c r="S235" s="885"/>
      <c r="T235" s="885"/>
      <c r="U235" s="885"/>
      <c r="V235" s="885"/>
      <c r="W235" s="885"/>
    </row>
    <row r="236" spans="18:23">
      <c r="R236" s="885"/>
      <c r="S236" s="885"/>
      <c r="T236" s="885"/>
      <c r="U236" s="885"/>
      <c r="V236" s="885"/>
      <c r="W236" s="885"/>
    </row>
    <row r="237" spans="18:23">
      <c r="R237" s="885"/>
      <c r="S237" s="885"/>
      <c r="T237" s="885"/>
      <c r="U237" s="885"/>
      <c r="V237" s="885"/>
      <c r="W237" s="885"/>
    </row>
    <row r="238" spans="18:23">
      <c r="R238" s="885"/>
      <c r="S238" s="885"/>
      <c r="T238" s="885"/>
      <c r="U238" s="885"/>
      <c r="V238" s="885"/>
      <c r="W238" s="885"/>
    </row>
    <row r="239" spans="18:23">
      <c r="R239" s="885"/>
      <c r="S239" s="885"/>
      <c r="T239" s="885"/>
      <c r="U239" s="885"/>
      <c r="V239" s="885"/>
      <c r="W239" s="885"/>
    </row>
    <row r="240" spans="18:23">
      <c r="R240" s="885"/>
      <c r="S240" s="885"/>
      <c r="T240" s="885"/>
      <c r="U240" s="885"/>
      <c r="V240" s="885"/>
      <c r="W240" s="885"/>
    </row>
    <row r="241" spans="18:23">
      <c r="R241" s="885"/>
      <c r="S241" s="885"/>
      <c r="T241" s="885"/>
      <c r="U241" s="885"/>
      <c r="V241" s="885"/>
      <c r="W241" s="885"/>
    </row>
    <row r="242" spans="18:23">
      <c r="R242" s="885"/>
      <c r="S242" s="885"/>
      <c r="T242" s="885"/>
      <c r="U242" s="885"/>
      <c r="V242" s="885"/>
      <c r="W242" s="885"/>
    </row>
    <row r="243" spans="18:23">
      <c r="R243" s="885"/>
      <c r="S243" s="885"/>
      <c r="T243" s="885"/>
      <c r="U243" s="885"/>
      <c r="V243" s="885"/>
      <c r="W243" s="885"/>
    </row>
    <row r="244" spans="18:23">
      <c r="R244" s="885"/>
      <c r="S244" s="885"/>
      <c r="T244" s="885"/>
      <c r="U244" s="885"/>
      <c r="V244" s="885"/>
      <c r="W244" s="885"/>
    </row>
    <row r="245" spans="18:23">
      <c r="R245" s="885"/>
      <c r="S245" s="885"/>
      <c r="T245" s="885"/>
      <c r="U245" s="885"/>
      <c r="V245" s="885"/>
      <c r="W245" s="885"/>
    </row>
    <row r="246" spans="18:23">
      <c r="R246" s="885"/>
      <c r="S246" s="885"/>
      <c r="T246" s="885"/>
      <c r="U246" s="885"/>
      <c r="V246" s="885"/>
      <c r="W246" s="885"/>
    </row>
    <row r="247" spans="18:23">
      <c r="R247" s="885"/>
      <c r="S247" s="885"/>
      <c r="T247" s="885"/>
      <c r="U247" s="885"/>
      <c r="V247" s="885"/>
      <c r="W247" s="885"/>
    </row>
    <row r="248" spans="18:23">
      <c r="R248" s="885"/>
      <c r="S248" s="885"/>
      <c r="T248" s="885"/>
      <c r="U248" s="885"/>
      <c r="V248" s="885"/>
      <c r="W248" s="885"/>
    </row>
    <row r="249" spans="18:23">
      <c r="R249" s="885"/>
      <c r="S249" s="885"/>
      <c r="T249" s="885"/>
      <c r="U249" s="885"/>
      <c r="V249" s="885"/>
      <c r="W249" s="885"/>
    </row>
    <row r="250" spans="18:23">
      <c r="R250" s="885"/>
      <c r="S250" s="885"/>
      <c r="T250" s="885"/>
      <c r="U250" s="885"/>
      <c r="V250" s="885"/>
      <c r="W250" s="885"/>
    </row>
    <row r="251" spans="18:23">
      <c r="R251" s="885"/>
      <c r="S251" s="885"/>
      <c r="T251" s="885"/>
      <c r="U251" s="885"/>
      <c r="V251" s="885"/>
      <c r="W251" s="885"/>
    </row>
    <row r="252" spans="18:23">
      <c r="R252" s="885"/>
      <c r="S252" s="885"/>
      <c r="T252" s="885"/>
      <c r="U252" s="885"/>
      <c r="V252" s="885"/>
      <c r="W252" s="885"/>
    </row>
    <row r="253" spans="18:23">
      <c r="R253" s="885"/>
      <c r="S253" s="885"/>
      <c r="T253" s="885"/>
      <c r="U253" s="885"/>
      <c r="V253" s="885"/>
      <c r="W253" s="885"/>
    </row>
    <row r="254" spans="18:23">
      <c r="R254" s="885"/>
      <c r="S254" s="885"/>
      <c r="T254" s="885"/>
      <c r="U254" s="885"/>
      <c r="V254" s="885"/>
      <c r="W254" s="885"/>
    </row>
    <row r="255" spans="18:23">
      <c r="R255" s="885"/>
      <c r="S255" s="885"/>
      <c r="T255" s="885"/>
      <c r="U255" s="885"/>
      <c r="V255" s="885"/>
      <c r="W255" s="885"/>
    </row>
    <row r="256" spans="18:23">
      <c r="R256" s="885"/>
      <c r="S256" s="885"/>
      <c r="T256" s="885"/>
      <c r="U256" s="885"/>
      <c r="V256" s="885"/>
      <c r="W256" s="885"/>
    </row>
    <row r="257" spans="18:23">
      <c r="R257" s="885"/>
      <c r="S257" s="885"/>
      <c r="T257" s="885"/>
      <c r="U257" s="885"/>
      <c r="V257" s="885"/>
      <c r="W257" s="885"/>
    </row>
    <row r="258" spans="18:23">
      <c r="R258" s="885"/>
      <c r="S258" s="885"/>
      <c r="T258" s="885"/>
      <c r="U258" s="885"/>
      <c r="V258" s="885"/>
      <c r="W258" s="885"/>
    </row>
    <row r="259" spans="18:23">
      <c r="R259" s="885"/>
      <c r="S259" s="885"/>
      <c r="T259" s="885"/>
      <c r="U259" s="885"/>
      <c r="V259" s="885"/>
      <c r="W259" s="885"/>
    </row>
    <row r="260" spans="18:23">
      <c r="R260" s="885"/>
      <c r="S260" s="885"/>
      <c r="T260" s="885"/>
      <c r="U260" s="885"/>
      <c r="V260" s="885"/>
      <c r="W260" s="885"/>
    </row>
    <row r="261" spans="18:23">
      <c r="R261" s="885"/>
      <c r="S261" s="885"/>
      <c r="T261" s="885"/>
      <c r="U261" s="885"/>
      <c r="V261" s="885"/>
      <c r="W261" s="885"/>
    </row>
    <row r="262" spans="18:23">
      <c r="R262" s="885"/>
      <c r="S262" s="885"/>
      <c r="T262" s="885"/>
      <c r="U262" s="885"/>
      <c r="V262" s="885"/>
      <c r="W262" s="885"/>
    </row>
    <row r="263" spans="18:23">
      <c r="R263" s="885"/>
      <c r="S263" s="885"/>
      <c r="T263" s="885"/>
      <c r="U263" s="885"/>
      <c r="V263" s="885"/>
      <c r="W263" s="885"/>
    </row>
    <row r="264" spans="18:23">
      <c r="R264" s="885"/>
      <c r="S264" s="885"/>
      <c r="T264" s="885"/>
      <c r="U264" s="885"/>
      <c r="V264" s="885"/>
      <c r="W264" s="885"/>
    </row>
    <row r="265" spans="18:23">
      <c r="R265" s="885"/>
      <c r="S265" s="885"/>
      <c r="T265" s="885"/>
      <c r="U265" s="885"/>
      <c r="V265" s="885"/>
      <c r="W265" s="885"/>
    </row>
    <row r="266" spans="18:23">
      <c r="R266" s="885"/>
      <c r="S266" s="885"/>
      <c r="T266" s="885"/>
      <c r="U266" s="885"/>
      <c r="V266" s="885"/>
      <c r="W266" s="885"/>
    </row>
    <row r="267" spans="18:23">
      <c r="R267" s="885"/>
      <c r="S267" s="885"/>
      <c r="T267" s="885"/>
      <c r="U267" s="885"/>
      <c r="V267" s="885"/>
      <c r="W267" s="885"/>
    </row>
    <row r="268" spans="18:23">
      <c r="R268" s="885"/>
      <c r="S268" s="885"/>
      <c r="T268" s="885"/>
      <c r="U268" s="885"/>
      <c r="V268" s="885"/>
      <c r="W268" s="885"/>
    </row>
    <row r="269" spans="18:23">
      <c r="R269" s="885"/>
      <c r="S269" s="885"/>
      <c r="T269" s="885"/>
      <c r="U269" s="885"/>
      <c r="V269" s="885"/>
      <c r="W269" s="885"/>
    </row>
    <row r="270" spans="18:23">
      <c r="R270" s="885"/>
      <c r="S270" s="885"/>
      <c r="T270" s="885"/>
      <c r="U270" s="885"/>
      <c r="V270" s="885"/>
      <c r="W270" s="885"/>
    </row>
    <row r="271" spans="18:23">
      <c r="R271" s="885"/>
      <c r="S271" s="885"/>
      <c r="T271" s="885"/>
      <c r="U271" s="885"/>
      <c r="V271" s="885"/>
      <c r="W271" s="885"/>
    </row>
    <row r="272" spans="18:23">
      <c r="R272" s="885"/>
      <c r="S272" s="885"/>
      <c r="T272" s="885"/>
      <c r="U272" s="885"/>
      <c r="V272" s="885"/>
      <c r="W272" s="885"/>
    </row>
    <row r="273" spans="18:23">
      <c r="R273" s="885"/>
      <c r="S273" s="885"/>
      <c r="T273" s="885"/>
      <c r="U273" s="885"/>
      <c r="V273" s="885"/>
      <c r="W273" s="885"/>
    </row>
    <row r="274" spans="18:23">
      <c r="R274" s="885"/>
      <c r="S274" s="885"/>
      <c r="T274" s="885"/>
      <c r="U274" s="885"/>
      <c r="V274" s="885"/>
      <c r="W274" s="885"/>
    </row>
    <row r="275" spans="18:23">
      <c r="R275" s="885"/>
      <c r="S275" s="885"/>
      <c r="T275" s="885"/>
      <c r="U275" s="885"/>
      <c r="V275" s="885"/>
      <c r="W275" s="885"/>
    </row>
    <row r="276" spans="18:23">
      <c r="R276" s="885"/>
      <c r="S276" s="885"/>
      <c r="T276" s="885"/>
      <c r="U276" s="885"/>
      <c r="V276" s="885"/>
      <c r="W276" s="885"/>
    </row>
    <row r="277" spans="18:23">
      <c r="R277" s="885"/>
      <c r="S277" s="885"/>
      <c r="T277" s="885"/>
      <c r="U277" s="885"/>
      <c r="V277" s="885"/>
      <c r="W277" s="885"/>
    </row>
    <row r="278" spans="18:23">
      <c r="R278" s="885"/>
      <c r="S278" s="885"/>
      <c r="T278" s="885"/>
      <c r="U278" s="885"/>
      <c r="V278" s="885"/>
      <c r="W278" s="885"/>
    </row>
    <row r="279" spans="18:23">
      <c r="R279" s="885"/>
      <c r="S279" s="885"/>
      <c r="T279" s="885"/>
      <c r="U279" s="885"/>
      <c r="V279" s="885"/>
      <c r="W279" s="885"/>
    </row>
    <row r="280" spans="18:23">
      <c r="R280" s="885"/>
      <c r="S280" s="885"/>
      <c r="T280" s="885"/>
      <c r="U280" s="885"/>
      <c r="V280" s="885"/>
      <c r="W280" s="885"/>
    </row>
    <row r="281" spans="18:23">
      <c r="R281" s="885"/>
      <c r="S281" s="885"/>
      <c r="T281" s="885"/>
      <c r="U281" s="885"/>
      <c r="V281" s="885"/>
      <c r="W281" s="885"/>
    </row>
    <row r="282" spans="18:23">
      <c r="R282" s="885"/>
      <c r="S282" s="885"/>
      <c r="T282" s="885"/>
      <c r="U282" s="885"/>
      <c r="V282" s="885"/>
      <c r="W282" s="885"/>
    </row>
    <row r="283" spans="18:23">
      <c r="R283" s="885"/>
      <c r="S283" s="885"/>
      <c r="T283" s="885"/>
      <c r="U283" s="885"/>
      <c r="V283" s="885"/>
      <c r="W283" s="885"/>
    </row>
    <row r="284" spans="18:23">
      <c r="R284" s="885"/>
      <c r="S284" s="885"/>
      <c r="T284" s="885"/>
      <c r="U284" s="885"/>
      <c r="V284" s="885"/>
      <c r="W284" s="885"/>
    </row>
    <row r="285" spans="18:23">
      <c r="R285" s="885"/>
      <c r="S285" s="885"/>
      <c r="T285" s="885"/>
      <c r="U285" s="885"/>
      <c r="V285" s="885"/>
      <c r="W285" s="885"/>
    </row>
    <row r="286" spans="18:23">
      <c r="R286" s="885"/>
      <c r="S286" s="885"/>
      <c r="T286" s="885"/>
      <c r="U286" s="885"/>
      <c r="V286" s="885"/>
      <c r="W286" s="885"/>
    </row>
    <row r="287" spans="18:23">
      <c r="R287" s="885"/>
      <c r="S287" s="885"/>
      <c r="T287" s="885"/>
      <c r="U287" s="885"/>
      <c r="V287" s="885"/>
      <c r="W287" s="885"/>
    </row>
    <row r="288" spans="18:23">
      <c r="R288" s="885"/>
      <c r="S288" s="885"/>
      <c r="T288" s="885"/>
      <c r="U288" s="885"/>
      <c r="V288" s="885"/>
      <c r="W288" s="885"/>
    </row>
    <row r="289" spans="18:23">
      <c r="R289" s="885"/>
      <c r="S289" s="885"/>
      <c r="T289" s="885"/>
      <c r="U289" s="885"/>
      <c r="V289" s="885"/>
      <c r="W289" s="885"/>
    </row>
    <row r="290" spans="18:23">
      <c r="R290" s="885"/>
      <c r="S290" s="885"/>
      <c r="T290" s="885"/>
      <c r="U290" s="885"/>
      <c r="V290" s="885"/>
      <c r="W290" s="885"/>
    </row>
    <row r="291" spans="18:23">
      <c r="R291" s="885"/>
      <c r="S291" s="885"/>
      <c r="T291" s="885"/>
      <c r="U291" s="885"/>
      <c r="V291" s="885"/>
      <c r="W291" s="885"/>
    </row>
    <row r="292" spans="18:23">
      <c r="R292" s="885"/>
      <c r="S292" s="885"/>
      <c r="T292" s="885"/>
      <c r="U292" s="885"/>
      <c r="V292" s="885"/>
      <c r="W292" s="885"/>
    </row>
    <row r="293" spans="18:23">
      <c r="R293" s="885"/>
      <c r="S293" s="885"/>
      <c r="T293" s="885"/>
      <c r="U293" s="885"/>
      <c r="V293" s="885"/>
      <c r="W293" s="885"/>
    </row>
    <row r="294" spans="18:23">
      <c r="R294" s="885"/>
      <c r="S294" s="885"/>
      <c r="T294" s="885"/>
      <c r="U294" s="885"/>
      <c r="V294" s="885"/>
      <c r="W294" s="885"/>
    </row>
    <row r="295" spans="18:23">
      <c r="R295" s="885"/>
      <c r="S295" s="885"/>
      <c r="T295" s="885"/>
      <c r="U295" s="885"/>
      <c r="V295" s="885"/>
      <c r="W295" s="885"/>
    </row>
    <row r="296" spans="18:23">
      <c r="R296" s="885"/>
      <c r="S296" s="885"/>
      <c r="T296" s="885"/>
      <c r="U296" s="885"/>
      <c r="V296" s="885"/>
      <c r="W296" s="885"/>
    </row>
    <row r="297" spans="18:23">
      <c r="R297" s="885"/>
      <c r="S297" s="885"/>
      <c r="T297" s="885"/>
      <c r="U297" s="885"/>
      <c r="V297" s="885"/>
      <c r="W297" s="885"/>
    </row>
    <row r="298" spans="18:23">
      <c r="R298" s="885"/>
      <c r="S298" s="885"/>
      <c r="T298" s="885"/>
      <c r="U298" s="885"/>
      <c r="V298" s="885"/>
      <c r="W298" s="885"/>
    </row>
    <row r="299" spans="18:23">
      <c r="R299" s="885"/>
      <c r="S299" s="885"/>
      <c r="T299" s="885"/>
      <c r="U299" s="885"/>
      <c r="V299" s="885"/>
      <c r="W299" s="885"/>
    </row>
    <row r="300" spans="18:23">
      <c r="R300" s="885"/>
      <c r="S300" s="885"/>
      <c r="T300" s="885"/>
      <c r="U300" s="885"/>
      <c r="V300" s="885"/>
      <c r="W300" s="885"/>
    </row>
    <row r="301" spans="18:23">
      <c r="R301" s="885"/>
      <c r="S301" s="885"/>
      <c r="T301" s="885"/>
      <c r="U301" s="885"/>
      <c r="V301" s="885"/>
      <c r="W301" s="885"/>
    </row>
    <row r="302" spans="18:23">
      <c r="R302" s="885"/>
      <c r="S302" s="885"/>
      <c r="T302" s="885"/>
      <c r="U302" s="885"/>
      <c r="V302" s="885"/>
      <c r="W302" s="885"/>
    </row>
    <row r="303" spans="18:23">
      <c r="R303" s="885"/>
      <c r="S303" s="885"/>
      <c r="T303" s="885"/>
      <c r="U303" s="885"/>
      <c r="V303" s="885"/>
      <c r="W303" s="885"/>
    </row>
    <row r="304" spans="18:23">
      <c r="R304" s="885"/>
      <c r="S304" s="885"/>
      <c r="T304" s="885"/>
      <c r="U304" s="885"/>
      <c r="V304" s="885"/>
      <c r="W304" s="885"/>
    </row>
    <row r="305" spans="18:23">
      <c r="R305" s="885"/>
      <c r="S305" s="885"/>
      <c r="T305" s="885"/>
      <c r="U305" s="885"/>
      <c r="V305" s="885"/>
      <c r="W305" s="885"/>
    </row>
    <row r="306" spans="18:23">
      <c r="R306" s="885"/>
      <c r="S306" s="885"/>
      <c r="T306" s="885"/>
      <c r="U306" s="885"/>
      <c r="V306" s="885"/>
      <c r="W306" s="885"/>
    </row>
    <row r="307" spans="18:23">
      <c r="R307" s="885"/>
      <c r="S307" s="885"/>
      <c r="T307" s="885"/>
      <c r="U307" s="885"/>
      <c r="V307" s="885"/>
      <c r="W307" s="885"/>
    </row>
    <row r="308" spans="18:23">
      <c r="R308" s="885"/>
      <c r="S308" s="885"/>
      <c r="T308" s="885"/>
      <c r="U308" s="885"/>
      <c r="V308" s="885"/>
      <c r="W308" s="885"/>
    </row>
    <row r="309" spans="18:23">
      <c r="R309" s="885"/>
      <c r="S309" s="885"/>
      <c r="T309" s="885"/>
      <c r="U309" s="885"/>
      <c r="V309" s="885"/>
      <c r="W309" s="885"/>
    </row>
    <row r="310" spans="18:23">
      <c r="R310" s="885"/>
      <c r="S310" s="885"/>
      <c r="T310" s="885"/>
      <c r="U310" s="885"/>
      <c r="V310" s="885"/>
      <c r="W310" s="885"/>
    </row>
    <row r="311" spans="18:23">
      <c r="R311" s="885"/>
      <c r="S311" s="885"/>
      <c r="T311" s="885"/>
      <c r="U311" s="885"/>
      <c r="V311" s="885"/>
      <c r="W311" s="885"/>
    </row>
    <row r="312" spans="18:23">
      <c r="R312" s="885"/>
      <c r="S312" s="885"/>
      <c r="T312" s="885"/>
      <c r="U312" s="885"/>
      <c r="V312" s="885"/>
      <c r="W312" s="885"/>
    </row>
    <row r="313" spans="18:23">
      <c r="R313" s="885"/>
      <c r="S313" s="885"/>
      <c r="T313" s="885"/>
      <c r="U313" s="885"/>
      <c r="V313" s="885"/>
      <c r="W313" s="885"/>
    </row>
    <row r="314" spans="18:23">
      <c r="R314" s="885"/>
      <c r="S314" s="885"/>
      <c r="T314" s="885"/>
      <c r="U314" s="885"/>
      <c r="V314" s="885"/>
      <c r="W314" s="885"/>
    </row>
    <row r="315" spans="18:23">
      <c r="R315" s="885"/>
      <c r="S315" s="885"/>
      <c r="T315" s="885"/>
      <c r="U315" s="885"/>
      <c r="V315" s="885"/>
      <c r="W315" s="885"/>
    </row>
    <row r="316" spans="18:23">
      <c r="R316" s="885"/>
      <c r="S316" s="885"/>
      <c r="T316" s="885"/>
      <c r="U316" s="885"/>
      <c r="V316" s="885"/>
      <c r="W316" s="885"/>
    </row>
    <row r="317" spans="18:23">
      <c r="R317" s="885"/>
      <c r="S317" s="885"/>
      <c r="T317" s="885"/>
      <c r="U317" s="885"/>
      <c r="V317" s="885"/>
      <c r="W317" s="885"/>
    </row>
    <row r="318" spans="18:23">
      <c r="R318" s="885"/>
      <c r="S318" s="885"/>
      <c r="T318" s="885"/>
      <c r="U318" s="885"/>
      <c r="V318" s="885"/>
      <c r="W318" s="885"/>
    </row>
    <row r="319" spans="18:23">
      <c r="R319" s="885"/>
      <c r="S319" s="885"/>
      <c r="T319" s="885"/>
      <c r="U319" s="885"/>
      <c r="V319" s="885"/>
      <c r="W319" s="885"/>
    </row>
    <row r="320" spans="18:23">
      <c r="R320" s="885"/>
      <c r="S320" s="885"/>
      <c r="T320" s="885"/>
      <c r="U320" s="885"/>
      <c r="V320" s="885"/>
      <c r="W320" s="885"/>
    </row>
    <row r="321" spans="18:23">
      <c r="R321" s="885"/>
      <c r="S321" s="885"/>
      <c r="T321" s="885"/>
      <c r="U321" s="885"/>
      <c r="V321" s="885"/>
      <c r="W321" s="885"/>
    </row>
    <row r="322" spans="18:23">
      <c r="R322" s="885"/>
      <c r="S322" s="885"/>
      <c r="T322" s="885"/>
      <c r="U322" s="885"/>
      <c r="V322" s="885"/>
      <c r="W322" s="885"/>
    </row>
    <row r="323" spans="18:23">
      <c r="R323" s="885"/>
      <c r="S323" s="885"/>
      <c r="T323" s="885"/>
      <c r="U323" s="885"/>
      <c r="V323" s="885"/>
      <c r="W323" s="885"/>
    </row>
    <row r="324" spans="18:23">
      <c r="R324" s="885"/>
      <c r="S324" s="885"/>
      <c r="T324" s="885"/>
      <c r="U324" s="885"/>
      <c r="V324" s="885"/>
      <c r="W324" s="885"/>
    </row>
    <row r="325" spans="18:23">
      <c r="R325" s="885"/>
      <c r="S325" s="885"/>
      <c r="T325" s="885"/>
      <c r="U325" s="885"/>
      <c r="V325" s="885"/>
      <c r="W325" s="885"/>
    </row>
  </sheetData>
  <mergeCells count="2">
    <mergeCell ref="AI3:AO3"/>
    <mergeCell ref="A3:E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pageSetUpPr fitToPage="1"/>
  </sheetPr>
  <dimension ref="A1:S82"/>
  <sheetViews>
    <sheetView view="pageBreakPreview" topLeftCell="A45" zoomScaleNormal="85" zoomScaleSheetLayoutView="100" workbookViewId="0">
      <selection activeCell="H28" sqref="H28"/>
    </sheetView>
  </sheetViews>
  <sheetFormatPr baseColWidth="10" defaultColWidth="11.44140625" defaultRowHeight="10.8"/>
  <cols>
    <col min="1" max="1" width="4.5546875" style="200" customWidth="1"/>
    <col min="2" max="2" width="5.44140625" style="215" customWidth="1"/>
    <col min="3" max="3" width="37" style="216" bestFit="1" customWidth="1"/>
    <col min="4" max="4" width="17.44140625" style="216" customWidth="1"/>
    <col min="5" max="5" width="11.44140625" style="216" bestFit="1" customWidth="1"/>
    <col min="6" max="6" width="13" style="216" bestFit="1" customWidth="1"/>
    <col min="7" max="7" width="10.44140625" style="216" customWidth="1"/>
    <col min="8" max="8" width="16.44140625" style="217" customWidth="1"/>
    <col min="9" max="9" width="19.44140625" style="218" bestFit="1" customWidth="1"/>
    <col min="10" max="10" width="18.109375" style="219" customWidth="1"/>
    <col min="11" max="11" width="4.5546875" style="200" customWidth="1"/>
    <col min="12" max="12" width="15.44140625" style="200" hidden="1" customWidth="1"/>
    <col min="13" max="13" width="0" style="200" hidden="1" customWidth="1"/>
    <col min="14" max="14" width="11.109375" style="200" hidden="1" customWidth="1"/>
    <col min="15" max="15" width="11.44140625" style="200"/>
    <col min="16" max="16" width="12.109375" style="200" bestFit="1" customWidth="1"/>
    <col min="17" max="17" width="18.44140625" style="200" bestFit="1" customWidth="1"/>
    <col min="18" max="251" width="11.44140625" style="200"/>
    <col min="252" max="252" width="5.44140625" style="200" customWidth="1"/>
    <col min="253" max="253" width="37" style="200" bestFit="1" customWidth="1"/>
    <col min="254" max="254" width="17.44140625" style="200" customWidth="1"/>
    <col min="255" max="255" width="11.44140625" style="200" bestFit="1" customWidth="1"/>
    <col min="256" max="256" width="12.88671875" style="200" bestFit="1" customWidth="1"/>
    <col min="257" max="257" width="7.5546875" style="200" bestFit="1" customWidth="1"/>
    <col min="258" max="258" width="16.44140625" style="200" bestFit="1" customWidth="1"/>
    <col min="259" max="259" width="13.44140625" style="200" bestFit="1" customWidth="1"/>
    <col min="260" max="260" width="16.44140625" style="200" bestFit="1" customWidth="1"/>
    <col min="261" max="261" width="11.44140625" style="200"/>
    <col min="262" max="262" width="18.44140625" style="200" bestFit="1" customWidth="1"/>
    <col min="263" max="263" width="11.44140625" style="200"/>
    <col min="264" max="264" width="14.44140625" style="200" bestFit="1" customWidth="1"/>
    <col min="265" max="272" width="11.44140625" style="200"/>
    <col min="273" max="273" width="18.44140625" style="200" bestFit="1" customWidth="1"/>
    <col min="274" max="507" width="11.44140625" style="200"/>
    <col min="508" max="508" width="5.44140625" style="200" customWidth="1"/>
    <col min="509" max="509" width="37" style="200" bestFit="1" customWidth="1"/>
    <col min="510" max="510" width="17.44140625" style="200" customWidth="1"/>
    <col min="511" max="511" width="11.44140625" style="200" bestFit="1" customWidth="1"/>
    <col min="512" max="512" width="12.88671875" style="200" bestFit="1" customWidth="1"/>
    <col min="513" max="513" width="7.5546875" style="200" bestFit="1" customWidth="1"/>
    <col min="514" max="514" width="16.44140625" style="200" bestFit="1" customWidth="1"/>
    <col min="515" max="515" width="13.44140625" style="200" bestFit="1" customWidth="1"/>
    <col min="516" max="516" width="16.44140625" style="200" bestFit="1" customWidth="1"/>
    <col min="517" max="517" width="11.44140625" style="200"/>
    <col min="518" max="518" width="18.44140625" style="200" bestFit="1" customWidth="1"/>
    <col min="519" max="519" width="11.44140625" style="200"/>
    <col min="520" max="520" width="14.44140625" style="200" bestFit="1" customWidth="1"/>
    <col min="521" max="528" width="11.44140625" style="200"/>
    <col min="529" max="529" width="18.44140625" style="200" bestFit="1" customWidth="1"/>
    <col min="530" max="763" width="11.44140625" style="200"/>
    <col min="764" max="764" width="5.44140625" style="200" customWidth="1"/>
    <col min="765" max="765" width="37" style="200" bestFit="1" customWidth="1"/>
    <col min="766" max="766" width="17.44140625" style="200" customWidth="1"/>
    <col min="767" max="767" width="11.44140625" style="200" bestFit="1" customWidth="1"/>
    <col min="768" max="768" width="12.88671875" style="200" bestFit="1" customWidth="1"/>
    <col min="769" max="769" width="7.5546875" style="200" bestFit="1" customWidth="1"/>
    <col min="770" max="770" width="16.44140625" style="200" bestFit="1" customWidth="1"/>
    <col min="771" max="771" width="13.44140625" style="200" bestFit="1" customWidth="1"/>
    <col min="772" max="772" width="16.44140625" style="200" bestFit="1" customWidth="1"/>
    <col min="773" max="773" width="11.44140625" style="200"/>
    <col min="774" max="774" width="18.44140625" style="200" bestFit="1" customWidth="1"/>
    <col min="775" max="775" width="11.44140625" style="200"/>
    <col min="776" max="776" width="14.44140625" style="200" bestFit="1" customWidth="1"/>
    <col min="777" max="784" width="11.44140625" style="200"/>
    <col min="785" max="785" width="18.44140625" style="200" bestFit="1" customWidth="1"/>
    <col min="786" max="1019" width="11.44140625" style="200"/>
    <col min="1020" max="1020" width="5.44140625" style="200" customWidth="1"/>
    <col min="1021" max="1021" width="37" style="200" bestFit="1" customWidth="1"/>
    <col min="1022" max="1022" width="17.44140625" style="200" customWidth="1"/>
    <col min="1023" max="1023" width="11.44140625" style="200" bestFit="1" customWidth="1"/>
    <col min="1024" max="1024" width="12.88671875" style="200" bestFit="1" customWidth="1"/>
    <col min="1025" max="1025" width="7.5546875" style="200" bestFit="1" customWidth="1"/>
    <col min="1026" max="1026" width="16.44140625" style="200" bestFit="1" customWidth="1"/>
    <col min="1027" max="1027" width="13.44140625" style="200" bestFit="1" customWidth="1"/>
    <col min="1028" max="1028" width="16.44140625" style="200" bestFit="1" customWidth="1"/>
    <col min="1029" max="1029" width="11.44140625" style="200"/>
    <col min="1030" max="1030" width="18.44140625" style="200" bestFit="1" customWidth="1"/>
    <col min="1031" max="1031" width="11.44140625" style="200"/>
    <col min="1032" max="1032" width="14.44140625" style="200" bestFit="1" customWidth="1"/>
    <col min="1033" max="1040" width="11.44140625" style="200"/>
    <col min="1041" max="1041" width="18.44140625" style="200" bestFit="1" customWidth="1"/>
    <col min="1042" max="1275" width="11.44140625" style="200"/>
    <col min="1276" max="1276" width="5.44140625" style="200" customWidth="1"/>
    <col min="1277" max="1277" width="37" style="200" bestFit="1" customWidth="1"/>
    <col min="1278" max="1278" width="17.44140625" style="200" customWidth="1"/>
    <col min="1279" max="1279" width="11.44140625" style="200" bestFit="1" customWidth="1"/>
    <col min="1280" max="1280" width="12.88671875" style="200" bestFit="1" customWidth="1"/>
    <col min="1281" max="1281" width="7.5546875" style="200" bestFit="1" customWidth="1"/>
    <col min="1282" max="1282" width="16.44140625" style="200" bestFit="1" customWidth="1"/>
    <col min="1283" max="1283" width="13.44140625" style="200" bestFit="1" customWidth="1"/>
    <col min="1284" max="1284" width="16.44140625" style="200" bestFit="1" customWidth="1"/>
    <col min="1285" max="1285" width="11.44140625" style="200"/>
    <col min="1286" max="1286" width="18.44140625" style="200" bestFit="1" customWidth="1"/>
    <col min="1287" max="1287" width="11.44140625" style="200"/>
    <col min="1288" max="1288" width="14.44140625" style="200" bestFit="1" customWidth="1"/>
    <col min="1289" max="1296" width="11.44140625" style="200"/>
    <col min="1297" max="1297" width="18.44140625" style="200" bestFit="1" customWidth="1"/>
    <col min="1298" max="1531" width="11.44140625" style="200"/>
    <col min="1532" max="1532" width="5.44140625" style="200" customWidth="1"/>
    <col min="1533" max="1533" width="37" style="200" bestFit="1" customWidth="1"/>
    <col min="1534" max="1534" width="17.44140625" style="200" customWidth="1"/>
    <col min="1535" max="1535" width="11.44140625" style="200" bestFit="1" customWidth="1"/>
    <col min="1536" max="1536" width="12.88671875" style="200" bestFit="1" customWidth="1"/>
    <col min="1537" max="1537" width="7.5546875" style="200" bestFit="1" customWidth="1"/>
    <col min="1538" max="1538" width="16.44140625" style="200" bestFit="1" customWidth="1"/>
    <col min="1539" max="1539" width="13.44140625" style="200" bestFit="1" customWidth="1"/>
    <col min="1540" max="1540" width="16.44140625" style="200" bestFit="1" customWidth="1"/>
    <col min="1541" max="1541" width="11.44140625" style="200"/>
    <col min="1542" max="1542" width="18.44140625" style="200" bestFit="1" customWidth="1"/>
    <col min="1543" max="1543" width="11.44140625" style="200"/>
    <col min="1544" max="1544" width="14.44140625" style="200" bestFit="1" customWidth="1"/>
    <col min="1545" max="1552" width="11.44140625" style="200"/>
    <col min="1553" max="1553" width="18.44140625" style="200" bestFit="1" customWidth="1"/>
    <col min="1554" max="1787" width="11.44140625" style="200"/>
    <col min="1788" max="1788" width="5.44140625" style="200" customWidth="1"/>
    <col min="1789" max="1789" width="37" style="200" bestFit="1" customWidth="1"/>
    <col min="1790" max="1790" width="17.44140625" style="200" customWidth="1"/>
    <col min="1791" max="1791" width="11.44140625" style="200" bestFit="1" customWidth="1"/>
    <col min="1792" max="1792" width="12.88671875" style="200" bestFit="1" customWidth="1"/>
    <col min="1793" max="1793" width="7.5546875" style="200" bestFit="1" customWidth="1"/>
    <col min="1794" max="1794" width="16.44140625" style="200" bestFit="1" customWidth="1"/>
    <col min="1795" max="1795" width="13.44140625" style="200" bestFit="1" customWidth="1"/>
    <col min="1796" max="1796" width="16.44140625" style="200" bestFit="1" customWidth="1"/>
    <col min="1797" max="1797" width="11.44140625" style="200"/>
    <col min="1798" max="1798" width="18.44140625" style="200" bestFit="1" customWidth="1"/>
    <col min="1799" max="1799" width="11.44140625" style="200"/>
    <col min="1800" max="1800" width="14.44140625" style="200" bestFit="1" customWidth="1"/>
    <col min="1801" max="1808" width="11.44140625" style="200"/>
    <col min="1809" max="1809" width="18.44140625" style="200" bestFit="1" customWidth="1"/>
    <col min="1810" max="2043" width="11.44140625" style="200"/>
    <col min="2044" max="2044" width="5.44140625" style="200" customWidth="1"/>
    <col min="2045" max="2045" width="37" style="200" bestFit="1" customWidth="1"/>
    <col min="2046" max="2046" width="17.44140625" style="200" customWidth="1"/>
    <col min="2047" max="2047" width="11.44140625" style="200" bestFit="1" customWidth="1"/>
    <col min="2048" max="2048" width="12.88671875" style="200" bestFit="1" customWidth="1"/>
    <col min="2049" max="2049" width="7.5546875" style="200" bestFit="1" customWidth="1"/>
    <col min="2050" max="2050" width="16.44140625" style="200" bestFit="1" customWidth="1"/>
    <col min="2051" max="2051" width="13.44140625" style="200" bestFit="1" customWidth="1"/>
    <col min="2052" max="2052" width="16.44140625" style="200" bestFit="1" customWidth="1"/>
    <col min="2053" max="2053" width="11.44140625" style="200"/>
    <col min="2054" max="2054" width="18.44140625" style="200" bestFit="1" customWidth="1"/>
    <col min="2055" max="2055" width="11.44140625" style="200"/>
    <col min="2056" max="2056" width="14.44140625" style="200" bestFit="1" customWidth="1"/>
    <col min="2057" max="2064" width="11.44140625" style="200"/>
    <col min="2065" max="2065" width="18.44140625" style="200" bestFit="1" customWidth="1"/>
    <col min="2066" max="2299" width="11.44140625" style="200"/>
    <col min="2300" max="2300" width="5.44140625" style="200" customWidth="1"/>
    <col min="2301" max="2301" width="37" style="200" bestFit="1" customWidth="1"/>
    <col min="2302" max="2302" width="17.44140625" style="200" customWidth="1"/>
    <col min="2303" max="2303" width="11.44140625" style="200" bestFit="1" customWidth="1"/>
    <col min="2304" max="2304" width="12.88671875" style="200" bestFit="1" customWidth="1"/>
    <col min="2305" max="2305" width="7.5546875" style="200" bestFit="1" customWidth="1"/>
    <col min="2306" max="2306" width="16.44140625" style="200" bestFit="1" customWidth="1"/>
    <col min="2307" max="2307" width="13.44140625" style="200" bestFit="1" customWidth="1"/>
    <col min="2308" max="2308" width="16.44140625" style="200" bestFit="1" customWidth="1"/>
    <col min="2309" max="2309" width="11.44140625" style="200"/>
    <col min="2310" max="2310" width="18.44140625" style="200" bestFit="1" customWidth="1"/>
    <col min="2311" max="2311" width="11.44140625" style="200"/>
    <col min="2312" max="2312" width="14.44140625" style="200" bestFit="1" customWidth="1"/>
    <col min="2313" max="2320" width="11.44140625" style="200"/>
    <col min="2321" max="2321" width="18.44140625" style="200" bestFit="1" customWidth="1"/>
    <col min="2322" max="2555" width="11.44140625" style="200"/>
    <col min="2556" max="2556" width="5.44140625" style="200" customWidth="1"/>
    <col min="2557" max="2557" width="37" style="200" bestFit="1" customWidth="1"/>
    <col min="2558" max="2558" width="17.44140625" style="200" customWidth="1"/>
    <col min="2559" max="2559" width="11.44140625" style="200" bestFit="1" customWidth="1"/>
    <col min="2560" max="2560" width="12.88671875" style="200" bestFit="1" customWidth="1"/>
    <col min="2561" max="2561" width="7.5546875" style="200" bestFit="1" customWidth="1"/>
    <col min="2562" max="2562" width="16.44140625" style="200" bestFit="1" customWidth="1"/>
    <col min="2563" max="2563" width="13.44140625" style="200" bestFit="1" customWidth="1"/>
    <col min="2564" max="2564" width="16.44140625" style="200" bestFit="1" customWidth="1"/>
    <col min="2565" max="2565" width="11.44140625" style="200"/>
    <col min="2566" max="2566" width="18.44140625" style="200" bestFit="1" customWidth="1"/>
    <col min="2567" max="2567" width="11.44140625" style="200"/>
    <col min="2568" max="2568" width="14.44140625" style="200" bestFit="1" customWidth="1"/>
    <col min="2569" max="2576" width="11.44140625" style="200"/>
    <col min="2577" max="2577" width="18.44140625" style="200" bestFit="1" customWidth="1"/>
    <col min="2578" max="2811" width="11.44140625" style="200"/>
    <col min="2812" max="2812" width="5.44140625" style="200" customWidth="1"/>
    <col min="2813" max="2813" width="37" style="200" bestFit="1" customWidth="1"/>
    <col min="2814" max="2814" width="17.44140625" style="200" customWidth="1"/>
    <col min="2815" max="2815" width="11.44140625" style="200" bestFit="1" customWidth="1"/>
    <col min="2816" max="2816" width="12.88671875" style="200" bestFit="1" customWidth="1"/>
    <col min="2817" max="2817" width="7.5546875" style="200" bestFit="1" customWidth="1"/>
    <col min="2818" max="2818" width="16.44140625" style="200" bestFit="1" customWidth="1"/>
    <col min="2819" max="2819" width="13.44140625" style="200" bestFit="1" customWidth="1"/>
    <col min="2820" max="2820" width="16.44140625" style="200" bestFit="1" customWidth="1"/>
    <col min="2821" max="2821" width="11.44140625" style="200"/>
    <col min="2822" max="2822" width="18.44140625" style="200" bestFit="1" customWidth="1"/>
    <col min="2823" max="2823" width="11.44140625" style="200"/>
    <col min="2824" max="2824" width="14.44140625" style="200" bestFit="1" customWidth="1"/>
    <col min="2825" max="2832" width="11.44140625" style="200"/>
    <col min="2833" max="2833" width="18.44140625" style="200" bestFit="1" customWidth="1"/>
    <col min="2834" max="3067" width="11.44140625" style="200"/>
    <col min="3068" max="3068" width="5.44140625" style="200" customWidth="1"/>
    <col min="3069" max="3069" width="37" style="200" bestFit="1" customWidth="1"/>
    <col min="3070" max="3070" width="17.44140625" style="200" customWidth="1"/>
    <col min="3071" max="3071" width="11.44140625" style="200" bestFit="1" customWidth="1"/>
    <col min="3072" max="3072" width="12.88671875" style="200" bestFit="1" customWidth="1"/>
    <col min="3073" max="3073" width="7.5546875" style="200" bestFit="1" customWidth="1"/>
    <col min="3074" max="3074" width="16.44140625" style="200" bestFit="1" customWidth="1"/>
    <col min="3075" max="3075" width="13.44140625" style="200" bestFit="1" customWidth="1"/>
    <col min="3076" max="3076" width="16.44140625" style="200" bestFit="1" customWidth="1"/>
    <col min="3077" max="3077" width="11.44140625" style="200"/>
    <col min="3078" max="3078" width="18.44140625" style="200" bestFit="1" customWidth="1"/>
    <col min="3079" max="3079" width="11.44140625" style="200"/>
    <col min="3080" max="3080" width="14.44140625" style="200" bestFit="1" customWidth="1"/>
    <col min="3081" max="3088" width="11.44140625" style="200"/>
    <col min="3089" max="3089" width="18.44140625" style="200" bestFit="1" customWidth="1"/>
    <col min="3090" max="3323" width="11.44140625" style="200"/>
    <col min="3324" max="3324" width="5.44140625" style="200" customWidth="1"/>
    <col min="3325" max="3325" width="37" style="200" bestFit="1" customWidth="1"/>
    <col min="3326" max="3326" width="17.44140625" style="200" customWidth="1"/>
    <col min="3327" max="3327" width="11.44140625" style="200" bestFit="1" customWidth="1"/>
    <col min="3328" max="3328" width="12.88671875" style="200" bestFit="1" customWidth="1"/>
    <col min="3329" max="3329" width="7.5546875" style="200" bestFit="1" customWidth="1"/>
    <col min="3330" max="3330" width="16.44140625" style="200" bestFit="1" customWidth="1"/>
    <col min="3331" max="3331" width="13.44140625" style="200" bestFit="1" customWidth="1"/>
    <col min="3332" max="3332" width="16.44140625" style="200" bestFit="1" customWidth="1"/>
    <col min="3333" max="3333" width="11.44140625" style="200"/>
    <col min="3334" max="3334" width="18.44140625" style="200" bestFit="1" customWidth="1"/>
    <col min="3335" max="3335" width="11.44140625" style="200"/>
    <col min="3336" max="3336" width="14.44140625" style="200" bestFit="1" customWidth="1"/>
    <col min="3337" max="3344" width="11.44140625" style="200"/>
    <col min="3345" max="3345" width="18.44140625" style="200" bestFit="1" customWidth="1"/>
    <col min="3346" max="3579" width="11.44140625" style="200"/>
    <col min="3580" max="3580" width="5.44140625" style="200" customWidth="1"/>
    <col min="3581" max="3581" width="37" style="200" bestFit="1" customWidth="1"/>
    <col min="3582" max="3582" width="17.44140625" style="200" customWidth="1"/>
    <col min="3583" max="3583" width="11.44140625" style="200" bestFit="1" customWidth="1"/>
    <col min="3584" max="3584" width="12.88671875" style="200" bestFit="1" customWidth="1"/>
    <col min="3585" max="3585" width="7.5546875" style="200" bestFit="1" customWidth="1"/>
    <col min="3586" max="3586" width="16.44140625" style="200" bestFit="1" customWidth="1"/>
    <col min="3587" max="3587" width="13.44140625" style="200" bestFit="1" customWidth="1"/>
    <col min="3588" max="3588" width="16.44140625" style="200" bestFit="1" customWidth="1"/>
    <col min="3589" max="3589" width="11.44140625" style="200"/>
    <col min="3590" max="3590" width="18.44140625" style="200" bestFit="1" customWidth="1"/>
    <col min="3591" max="3591" width="11.44140625" style="200"/>
    <col min="3592" max="3592" width="14.44140625" style="200" bestFit="1" customWidth="1"/>
    <col min="3593" max="3600" width="11.44140625" style="200"/>
    <col min="3601" max="3601" width="18.44140625" style="200" bestFit="1" customWidth="1"/>
    <col min="3602" max="3835" width="11.44140625" style="200"/>
    <col min="3836" max="3836" width="5.44140625" style="200" customWidth="1"/>
    <col min="3837" max="3837" width="37" style="200" bestFit="1" customWidth="1"/>
    <col min="3838" max="3838" width="17.44140625" style="200" customWidth="1"/>
    <col min="3839" max="3839" width="11.44140625" style="200" bestFit="1" customWidth="1"/>
    <col min="3840" max="3840" width="12.88671875" style="200" bestFit="1" customWidth="1"/>
    <col min="3841" max="3841" width="7.5546875" style="200" bestFit="1" customWidth="1"/>
    <col min="3842" max="3842" width="16.44140625" style="200" bestFit="1" customWidth="1"/>
    <col min="3843" max="3843" width="13.44140625" style="200" bestFit="1" customWidth="1"/>
    <col min="3844" max="3844" width="16.44140625" style="200" bestFit="1" customWidth="1"/>
    <col min="3845" max="3845" width="11.44140625" style="200"/>
    <col min="3846" max="3846" width="18.44140625" style="200" bestFit="1" customWidth="1"/>
    <col min="3847" max="3847" width="11.44140625" style="200"/>
    <col min="3848" max="3848" width="14.44140625" style="200" bestFit="1" customWidth="1"/>
    <col min="3849" max="3856" width="11.44140625" style="200"/>
    <col min="3857" max="3857" width="18.44140625" style="200" bestFit="1" customWidth="1"/>
    <col min="3858" max="4091" width="11.44140625" style="200"/>
    <col min="4092" max="4092" width="5.44140625" style="200" customWidth="1"/>
    <col min="4093" max="4093" width="37" style="200" bestFit="1" customWidth="1"/>
    <col min="4094" max="4094" width="17.44140625" style="200" customWidth="1"/>
    <col min="4095" max="4095" width="11.44140625" style="200" bestFit="1" customWidth="1"/>
    <col min="4096" max="4096" width="12.88671875" style="200" bestFit="1" customWidth="1"/>
    <col min="4097" max="4097" width="7.5546875" style="200" bestFit="1" customWidth="1"/>
    <col min="4098" max="4098" width="16.44140625" style="200" bestFit="1" customWidth="1"/>
    <col min="4099" max="4099" width="13.44140625" style="200" bestFit="1" customWidth="1"/>
    <col min="4100" max="4100" width="16.44140625" style="200" bestFit="1" customWidth="1"/>
    <col min="4101" max="4101" width="11.44140625" style="200"/>
    <col min="4102" max="4102" width="18.44140625" style="200" bestFit="1" customWidth="1"/>
    <col min="4103" max="4103" width="11.44140625" style="200"/>
    <col min="4104" max="4104" width="14.44140625" style="200" bestFit="1" customWidth="1"/>
    <col min="4105" max="4112" width="11.44140625" style="200"/>
    <col min="4113" max="4113" width="18.44140625" style="200" bestFit="1" customWidth="1"/>
    <col min="4114" max="4347" width="11.44140625" style="200"/>
    <col min="4348" max="4348" width="5.44140625" style="200" customWidth="1"/>
    <col min="4349" max="4349" width="37" style="200" bestFit="1" customWidth="1"/>
    <col min="4350" max="4350" width="17.44140625" style="200" customWidth="1"/>
    <col min="4351" max="4351" width="11.44140625" style="200" bestFit="1" customWidth="1"/>
    <col min="4352" max="4352" width="12.88671875" style="200" bestFit="1" customWidth="1"/>
    <col min="4353" max="4353" width="7.5546875" style="200" bestFit="1" customWidth="1"/>
    <col min="4354" max="4354" width="16.44140625" style="200" bestFit="1" customWidth="1"/>
    <col min="4355" max="4355" width="13.44140625" style="200" bestFit="1" customWidth="1"/>
    <col min="4356" max="4356" width="16.44140625" style="200" bestFit="1" customWidth="1"/>
    <col min="4357" max="4357" width="11.44140625" style="200"/>
    <col min="4358" max="4358" width="18.44140625" style="200" bestFit="1" customWidth="1"/>
    <col min="4359" max="4359" width="11.44140625" style="200"/>
    <col min="4360" max="4360" width="14.44140625" style="200" bestFit="1" customWidth="1"/>
    <col min="4361" max="4368" width="11.44140625" style="200"/>
    <col min="4369" max="4369" width="18.44140625" style="200" bestFit="1" customWidth="1"/>
    <col min="4370" max="4603" width="11.44140625" style="200"/>
    <col min="4604" max="4604" width="5.44140625" style="200" customWidth="1"/>
    <col min="4605" max="4605" width="37" style="200" bestFit="1" customWidth="1"/>
    <col min="4606" max="4606" width="17.44140625" style="200" customWidth="1"/>
    <col min="4607" max="4607" width="11.44140625" style="200" bestFit="1" customWidth="1"/>
    <col min="4608" max="4608" width="12.88671875" style="200" bestFit="1" customWidth="1"/>
    <col min="4609" max="4609" width="7.5546875" style="200" bestFit="1" customWidth="1"/>
    <col min="4610" max="4610" width="16.44140625" style="200" bestFit="1" customWidth="1"/>
    <col min="4611" max="4611" width="13.44140625" style="200" bestFit="1" customWidth="1"/>
    <col min="4612" max="4612" width="16.44140625" style="200" bestFit="1" customWidth="1"/>
    <col min="4613" max="4613" width="11.44140625" style="200"/>
    <col min="4614" max="4614" width="18.44140625" style="200" bestFit="1" customWidth="1"/>
    <col min="4615" max="4615" width="11.44140625" style="200"/>
    <col min="4616" max="4616" width="14.44140625" style="200" bestFit="1" customWidth="1"/>
    <col min="4617" max="4624" width="11.44140625" style="200"/>
    <col min="4625" max="4625" width="18.44140625" style="200" bestFit="1" customWidth="1"/>
    <col min="4626" max="4859" width="11.44140625" style="200"/>
    <col min="4860" max="4860" width="5.44140625" style="200" customWidth="1"/>
    <col min="4861" max="4861" width="37" style="200" bestFit="1" customWidth="1"/>
    <col min="4862" max="4862" width="17.44140625" style="200" customWidth="1"/>
    <col min="4863" max="4863" width="11.44140625" style="200" bestFit="1" customWidth="1"/>
    <col min="4864" max="4864" width="12.88671875" style="200" bestFit="1" customWidth="1"/>
    <col min="4865" max="4865" width="7.5546875" style="200" bestFit="1" customWidth="1"/>
    <col min="4866" max="4866" width="16.44140625" style="200" bestFit="1" customWidth="1"/>
    <col min="4867" max="4867" width="13.44140625" style="200" bestFit="1" customWidth="1"/>
    <col min="4868" max="4868" width="16.44140625" style="200" bestFit="1" customWidth="1"/>
    <col min="4869" max="4869" width="11.44140625" style="200"/>
    <col min="4870" max="4870" width="18.44140625" style="200" bestFit="1" customWidth="1"/>
    <col min="4871" max="4871" width="11.44140625" style="200"/>
    <col min="4872" max="4872" width="14.44140625" style="200" bestFit="1" customWidth="1"/>
    <col min="4873" max="4880" width="11.44140625" style="200"/>
    <col min="4881" max="4881" width="18.44140625" style="200" bestFit="1" customWidth="1"/>
    <col min="4882" max="5115" width="11.44140625" style="200"/>
    <col min="5116" max="5116" width="5.44140625" style="200" customWidth="1"/>
    <col min="5117" max="5117" width="37" style="200" bestFit="1" customWidth="1"/>
    <col min="5118" max="5118" width="17.44140625" style="200" customWidth="1"/>
    <col min="5119" max="5119" width="11.44140625" style="200" bestFit="1" customWidth="1"/>
    <col min="5120" max="5120" width="12.88671875" style="200" bestFit="1" customWidth="1"/>
    <col min="5121" max="5121" width="7.5546875" style="200" bestFit="1" customWidth="1"/>
    <col min="5122" max="5122" width="16.44140625" style="200" bestFit="1" customWidth="1"/>
    <col min="5123" max="5123" width="13.44140625" style="200" bestFit="1" customWidth="1"/>
    <col min="5124" max="5124" width="16.44140625" style="200" bestFit="1" customWidth="1"/>
    <col min="5125" max="5125" width="11.44140625" style="200"/>
    <col min="5126" max="5126" width="18.44140625" style="200" bestFit="1" customWidth="1"/>
    <col min="5127" max="5127" width="11.44140625" style="200"/>
    <col min="5128" max="5128" width="14.44140625" style="200" bestFit="1" customWidth="1"/>
    <col min="5129" max="5136" width="11.44140625" style="200"/>
    <col min="5137" max="5137" width="18.44140625" style="200" bestFit="1" customWidth="1"/>
    <col min="5138" max="5371" width="11.44140625" style="200"/>
    <col min="5372" max="5372" width="5.44140625" style="200" customWidth="1"/>
    <col min="5373" max="5373" width="37" style="200" bestFit="1" customWidth="1"/>
    <col min="5374" max="5374" width="17.44140625" style="200" customWidth="1"/>
    <col min="5375" max="5375" width="11.44140625" style="200" bestFit="1" customWidth="1"/>
    <col min="5376" max="5376" width="12.88671875" style="200" bestFit="1" customWidth="1"/>
    <col min="5377" max="5377" width="7.5546875" style="200" bestFit="1" customWidth="1"/>
    <col min="5378" max="5378" width="16.44140625" style="200" bestFit="1" customWidth="1"/>
    <col min="5379" max="5379" width="13.44140625" style="200" bestFit="1" customWidth="1"/>
    <col min="5380" max="5380" width="16.44140625" style="200" bestFit="1" customWidth="1"/>
    <col min="5381" max="5381" width="11.44140625" style="200"/>
    <col min="5382" max="5382" width="18.44140625" style="200" bestFit="1" customWidth="1"/>
    <col min="5383" max="5383" width="11.44140625" style="200"/>
    <col min="5384" max="5384" width="14.44140625" style="200" bestFit="1" customWidth="1"/>
    <col min="5385" max="5392" width="11.44140625" style="200"/>
    <col min="5393" max="5393" width="18.44140625" style="200" bestFit="1" customWidth="1"/>
    <col min="5394" max="5627" width="11.44140625" style="200"/>
    <col min="5628" max="5628" width="5.44140625" style="200" customWidth="1"/>
    <col min="5629" max="5629" width="37" style="200" bestFit="1" customWidth="1"/>
    <col min="5630" max="5630" width="17.44140625" style="200" customWidth="1"/>
    <col min="5631" max="5631" width="11.44140625" style="200" bestFit="1" customWidth="1"/>
    <col min="5632" max="5632" width="12.88671875" style="200" bestFit="1" customWidth="1"/>
    <col min="5633" max="5633" width="7.5546875" style="200" bestFit="1" customWidth="1"/>
    <col min="5634" max="5634" width="16.44140625" style="200" bestFit="1" customWidth="1"/>
    <col min="5635" max="5635" width="13.44140625" style="200" bestFit="1" customWidth="1"/>
    <col min="5636" max="5636" width="16.44140625" style="200" bestFit="1" customWidth="1"/>
    <col min="5637" max="5637" width="11.44140625" style="200"/>
    <col min="5638" max="5638" width="18.44140625" style="200" bestFit="1" customWidth="1"/>
    <col min="5639" max="5639" width="11.44140625" style="200"/>
    <col min="5640" max="5640" width="14.44140625" style="200" bestFit="1" customWidth="1"/>
    <col min="5641" max="5648" width="11.44140625" style="200"/>
    <col min="5649" max="5649" width="18.44140625" style="200" bestFit="1" customWidth="1"/>
    <col min="5650" max="5883" width="11.44140625" style="200"/>
    <col min="5884" max="5884" width="5.44140625" style="200" customWidth="1"/>
    <col min="5885" max="5885" width="37" style="200" bestFit="1" customWidth="1"/>
    <col min="5886" max="5886" width="17.44140625" style="200" customWidth="1"/>
    <col min="5887" max="5887" width="11.44140625" style="200" bestFit="1" customWidth="1"/>
    <col min="5888" max="5888" width="12.88671875" style="200" bestFit="1" customWidth="1"/>
    <col min="5889" max="5889" width="7.5546875" style="200" bestFit="1" customWidth="1"/>
    <col min="5890" max="5890" width="16.44140625" style="200" bestFit="1" customWidth="1"/>
    <col min="5891" max="5891" width="13.44140625" style="200" bestFit="1" customWidth="1"/>
    <col min="5892" max="5892" width="16.44140625" style="200" bestFit="1" customWidth="1"/>
    <col min="5893" max="5893" width="11.44140625" style="200"/>
    <col min="5894" max="5894" width="18.44140625" style="200" bestFit="1" customWidth="1"/>
    <col min="5895" max="5895" width="11.44140625" style="200"/>
    <col min="5896" max="5896" width="14.44140625" style="200" bestFit="1" customWidth="1"/>
    <col min="5897" max="5904" width="11.44140625" style="200"/>
    <col min="5905" max="5905" width="18.44140625" style="200" bestFit="1" customWidth="1"/>
    <col min="5906" max="6139" width="11.44140625" style="200"/>
    <col min="6140" max="6140" width="5.44140625" style="200" customWidth="1"/>
    <col min="6141" max="6141" width="37" style="200" bestFit="1" customWidth="1"/>
    <col min="6142" max="6142" width="17.44140625" style="200" customWidth="1"/>
    <col min="6143" max="6143" width="11.44140625" style="200" bestFit="1" customWidth="1"/>
    <col min="6144" max="6144" width="12.88671875" style="200" bestFit="1" customWidth="1"/>
    <col min="6145" max="6145" width="7.5546875" style="200" bestFit="1" customWidth="1"/>
    <col min="6146" max="6146" width="16.44140625" style="200" bestFit="1" customWidth="1"/>
    <col min="6147" max="6147" width="13.44140625" style="200" bestFit="1" customWidth="1"/>
    <col min="6148" max="6148" width="16.44140625" style="200" bestFit="1" customWidth="1"/>
    <col min="6149" max="6149" width="11.44140625" style="200"/>
    <col min="6150" max="6150" width="18.44140625" style="200" bestFit="1" customWidth="1"/>
    <col min="6151" max="6151" width="11.44140625" style="200"/>
    <col min="6152" max="6152" width="14.44140625" style="200" bestFit="1" customWidth="1"/>
    <col min="6153" max="6160" width="11.44140625" style="200"/>
    <col min="6161" max="6161" width="18.44140625" style="200" bestFit="1" customWidth="1"/>
    <col min="6162" max="6395" width="11.44140625" style="200"/>
    <col min="6396" max="6396" width="5.44140625" style="200" customWidth="1"/>
    <col min="6397" max="6397" width="37" style="200" bestFit="1" customWidth="1"/>
    <col min="6398" max="6398" width="17.44140625" style="200" customWidth="1"/>
    <col min="6399" max="6399" width="11.44140625" style="200" bestFit="1" customWidth="1"/>
    <col min="6400" max="6400" width="12.88671875" style="200" bestFit="1" customWidth="1"/>
    <col min="6401" max="6401" width="7.5546875" style="200" bestFit="1" customWidth="1"/>
    <col min="6402" max="6402" width="16.44140625" style="200" bestFit="1" customWidth="1"/>
    <col min="6403" max="6403" width="13.44140625" style="200" bestFit="1" customWidth="1"/>
    <col min="6404" max="6404" width="16.44140625" style="200" bestFit="1" customWidth="1"/>
    <col min="6405" max="6405" width="11.44140625" style="200"/>
    <col min="6406" max="6406" width="18.44140625" style="200" bestFit="1" customWidth="1"/>
    <col min="6407" max="6407" width="11.44140625" style="200"/>
    <col min="6408" max="6408" width="14.44140625" style="200" bestFit="1" customWidth="1"/>
    <col min="6409" max="6416" width="11.44140625" style="200"/>
    <col min="6417" max="6417" width="18.44140625" style="200" bestFit="1" customWidth="1"/>
    <col min="6418" max="6651" width="11.44140625" style="200"/>
    <col min="6652" max="6652" width="5.44140625" style="200" customWidth="1"/>
    <col min="6653" max="6653" width="37" style="200" bestFit="1" customWidth="1"/>
    <col min="6654" max="6654" width="17.44140625" style="200" customWidth="1"/>
    <col min="6655" max="6655" width="11.44140625" style="200" bestFit="1" customWidth="1"/>
    <col min="6656" max="6656" width="12.88671875" style="200" bestFit="1" customWidth="1"/>
    <col min="6657" max="6657" width="7.5546875" style="200" bestFit="1" customWidth="1"/>
    <col min="6658" max="6658" width="16.44140625" style="200" bestFit="1" customWidth="1"/>
    <col min="6659" max="6659" width="13.44140625" style="200" bestFit="1" customWidth="1"/>
    <col min="6660" max="6660" width="16.44140625" style="200" bestFit="1" customWidth="1"/>
    <col min="6661" max="6661" width="11.44140625" style="200"/>
    <col min="6662" max="6662" width="18.44140625" style="200" bestFit="1" customWidth="1"/>
    <col min="6663" max="6663" width="11.44140625" style="200"/>
    <col min="6664" max="6664" width="14.44140625" style="200" bestFit="1" customWidth="1"/>
    <col min="6665" max="6672" width="11.44140625" style="200"/>
    <col min="6673" max="6673" width="18.44140625" style="200" bestFit="1" customWidth="1"/>
    <col min="6674" max="6907" width="11.44140625" style="200"/>
    <col min="6908" max="6908" width="5.44140625" style="200" customWidth="1"/>
    <col min="6909" max="6909" width="37" style="200" bestFit="1" customWidth="1"/>
    <col min="6910" max="6910" width="17.44140625" style="200" customWidth="1"/>
    <col min="6911" max="6911" width="11.44140625" style="200" bestFit="1" customWidth="1"/>
    <col min="6912" max="6912" width="12.88671875" style="200" bestFit="1" customWidth="1"/>
    <col min="6913" max="6913" width="7.5546875" style="200" bestFit="1" customWidth="1"/>
    <col min="6914" max="6914" width="16.44140625" style="200" bestFit="1" customWidth="1"/>
    <col min="6915" max="6915" width="13.44140625" style="200" bestFit="1" customWidth="1"/>
    <col min="6916" max="6916" width="16.44140625" style="200" bestFit="1" customWidth="1"/>
    <col min="6917" max="6917" width="11.44140625" style="200"/>
    <col min="6918" max="6918" width="18.44140625" style="200" bestFit="1" customWidth="1"/>
    <col min="6919" max="6919" width="11.44140625" style="200"/>
    <col min="6920" max="6920" width="14.44140625" style="200" bestFit="1" customWidth="1"/>
    <col min="6921" max="6928" width="11.44140625" style="200"/>
    <col min="6929" max="6929" width="18.44140625" style="200" bestFit="1" customWidth="1"/>
    <col min="6930" max="7163" width="11.44140625" style="200"/>
    <col min="7164" max="7164" width="5.44140625" style="200" customWidth="1"/>
    <col min="7165" max="7165" width="37" style="200" bestFit="1" customWidth="1"/>
    <col min="7166" max="7166" width="17.44140625" style="200" customWidth="1"/>
    <col min="7167" max="7167" width="11.44140625" style="200" bestFit="1" customWidth="1"/>
    <col min="7168" max="7168" width="12.88671875" style="200" bestFit="1" customWidth="1"/>
    <col min="7169" max="7169" width="7.5546875" style="200" bestFit="1" customWidth="1"/>
    <col min="7170" max="7170" width="16.44140625" style="200" bestFit="1" customWidth="1"/>
    <col min="7171" max="7171" width="13.44140625" style="200" bestFit="1" customWidth="1"/>
    <col min="7172" max="7172" width="16.44140625" style="200" bestFit="1" customWidth="1"/>
    <col min="7173" max="7173" width="11.44140625" style="200"/>
    <col min="7174" max="7174" width="18.44140625" style="200" bestFit="1" customWidth="1"/>
    <col min="7175" max="7175" width="11.44140625" style="200"/>
    <col min="7176" max="7176" width="14.44140625" style="200" bestFit="1" customWidth="1"/>
    <col min="7177" max="7184" width="11.44140625" style="200"/>
    <col min="7185" max="7185" width="18.44140625" style="200" bestFit="1" customWidth="1"/>
    <col min="7186" max="7419" width="11.44140625" style="200"/>
    <col min="7420" max="7420" width="5.44140625" style="200" customWidth="1"/>
    <col min="7421" max="7421" width="37" style="200" bestFit="1" customWidth="1"/>
    <col min="7422" max="7422" width="17.44140625" style="200" customWidth="1"/>
    <col min="7423" max="7423" width="11.44140625" style="200" bestFit="1" customWidth="1"/>
    <col min="7424" max="7424" width="12.88671875" style="200" bestFit="1" customWidth="1"/>
    <col min="7425" max="7425" width="7.5546875" style="200" bestFit="1" customWidth="1"/>
    <col min="7426" max="7426" width="16.44140625" style="200" bestFit="1" customWidth="1"/>
    <col min="7427" max="7427" width="13.44140625" style="200" bestFit="1" customWidth="1"/>
    <col min="7428" max="7428" width="16.44140625" style="200" bestFit="1" customWidth="1"/>
    <col min="7429" max="7429" width="11.44140625" style="200"/>
    <col min="7430" max="7430" width="18.44140625" style="200" bestFit="1" customWidth="1"/>
    <col min="7431" max="7431" width="11.44140625" style="200"/>
    <col min="7432" max="7432" width="14.44140625" style="200" bestFit="1" customWidth="1"/>
    <col min="7433" max="7440" width="11.44140625" style="200"/>
    <col min="7441" max="7441" width="18.44140625" style="200" bestFit="1" customWidth="1"/>
    <col min="7442" max="7675" width="11.44140625" style="200"/>
    <col min="7676" max="7676" width="5.44140625" style="200" customWidth="1"/>
    <col min="7677" max="7677" width="37" style="200" bestFit="1" customWidth="1"/>
    <col min="7678" max="7678" width="17.44140625" style="200" customWidth="1"/>
    <col min="7679" max="7679" width="11.44140625" style="200" bestFit="1" customWidth="1"/>
    <col min="7680" max="7680" width="12.88671875" style="200" bestFit="1" customWidth="1"/>
    <col min="7681" max="7681" width="7.5546875" style="200" bestFit="1" customWidth="1"/>
    <col min="7682" max="7682" width="16.44140625" style="200" bestFit="1" customWidth="1"/>
    <col min="7683" max="7683" width="13.44140625" style="200" bestFit="1" customWidth="1"/>
    <col min="7684" max="7684" width="16.44140625" style="200" bestFit="1" customWidth="1"/>
    <col min="7685" max="7685" width="11.44140625" style="200"/>
    <col min="7686" max="7686" width="18.44140625" style="200" bestFit="1" customWidth="1"/>
    <col min="7687" max="7687" width="11.44140625" style="200"/>
    <col min="7688" max="7688" width="14.44140625" style="200" bestFit="1" customWidth="1"/>
    <col min="7689" max="7696" width="11.44140625" style="200"/>
    <col min="7697" max="7697" width="18.44140625" style="200" bestFit="1" customWidth="1"/>
    <col min="7698" max="7931" width="11.44140625" style="200"/>
    <col min="7932" max="7932" width="5.44140625" style="200" customWidth="1"/>
    <col min="7933" max="7933" width="37" style="200" bestFit="1" customWidth="1"/>
    <col min="7934" max="7934" width="17.44140625" style="200" customWidth="1"/>
    <col min="7935" max="7935" width="11.44140625" style="200" bestFit="1" customWidth="1"/>
    <col min="7936" max="7936" width="12.88671875" style="200" bestFit="1" customWidth="1"/>
    <col min="7937" max="7937" width="7.5546875" style="200" bestFit="1" customWidth="1"/>
    <col min="7938" max="7938" width="16.44140625" style="200" bestFit="1" customWidth="1"/>
    <col min="7939" max="7939" width="13.44140625" style="200" bestFit="1" customWidth="1"/>
    <col min="7940" max="7940" width="16.44140625" style="200" bestFit="1" customWidth="1"/>
    <col min="7941" max="7941" width="11.44140625" style="200"/>
    <col min="7942" max="7942" width="18.44140625" style="200" bestFit="1" customWidth="1"/>
    <col min="7943" max="7943" width="11.44140625" style="200"/>
    <col min="7944" max="7944" width="14.44140625" style="200" bestFit="1" customWidth="1"/>
    <col min="7945" max="7952" width="11.44140625" style="200"/>
    <col min="7953" max="7953" width="18.44140625" style="200" bestFit="1" customWidth="1"/>
    <col min="7954" max="8187" width="11.44140625" style="200"/>
    <col min="8188" max="8188" width="5.44140625" style="200" customWidth="1"/>
    <col min="8189" max="8189" width="37" style="200" bestFit="1" customWidth="1"/>
    <col min="8190" max="8190" width="17.44140625" style="200" customWidth="1"/>
    <col min="8191" max="8191" width="11.44140625" style="200" bestFit="1" customWidth="1"/>
    <col min="8192" max="8192" width="12.88671875" style="200" bestFit="1" customWidth="1"/>
    <col min="8193" max="8193" width="7.5546875" style="200" bestFit="1" customWidth="1"/>
    <col min="8194" max="8194" width="16.44140625" style="200" bestFit="1" customWidth="1"/>
    <col min="8195" max="8195" width="13.44140625" style="200" bestFit="1" customWidth="1"/>
    <col min="8196" max="8196" width="16.44140625" style="200" bestFit="1" customWidth="1"/>
    <col min="8197" max="8197" width="11.44140625" style="200"/>
    <col min="8198" max="8198" width="18.44140625" style="200" bestFit="1" customWidth="1"/>
    <col min="8199" max="8199" width="11.44140625" style="200"/>
    <col min="8200" max="8200" width="14.44140625" style="200" bestFit="1" customWidth="1"/>
    <col min="8201" max="8208" width="11.44140625" style="200"/>
    <col min="8209" max="8209" width="18.44140625" style="200" bestFit="1" customWidth="1"/>
    <col min="8210" max="8443" width="11.44140625" style="200"/>
    <col min="8444" max="8444" width="5.44140625" style="200" customWidth="1"/>
    <col min="8445" max="8445" width="37" style="200" bestFit="1" customWidth="1"/>
    <col min="8446" max="8446" width="17.44140625" style="200" customWidth="1"/>
    <col min="8447" max="8447" width="11.44140625" style="200" bestFit="1" customWidth="1"/>
    <col min="8448" max="8448" width="12.88671875" style="200" bestFit="1" customWidth="1"/>
    <col min="8449" max="8449" width="7.5546875" style="200" bestFit="1" customWidth="1"/>
    <col min="8450" max="8450" width="16.44140625" style="200" bestFit="1" customWidth="1"/>
    <col min="8451" max="8451" width="13.44140625" style="200" bestFit="1" customWidth="1"/>
    <col min="8452" max="8452" width="16.44140625" style="200" bestFit="1" customWidth="1"/>
    <col min="8453" max="8453" width="11.44140625" style="200"/>
    <col min="8454" max="8454" width="18.44140625" style="200" bestFit="1" customWidth="1"/>
    <col min="8455" max="8455" width="11.44140625" style="200"/>
    <col min="8456" max="8456" width="14.44140625" style="200" bestFit="1" customWidth="1"/>
    <col min="8457" max="8464" width="11.44140625" style="200"/>
    <col min="8465" max="8465" width="18.44140625" style="200" bestFit="1" customWidth="1"/>
    <col min="8466" max="8699" width="11.44140625" style="200"/>
    <col min="8700" max="8700" width="5.44140625" style="200" customWidth="1"/>
    <col min="8701" max="8701" width="37" style="200" bestFit="1" customWidth="1"/>
    <col min="8702" max="8702" width="17.44140625" style="200" customWidth="1"/>
    <col min="8703" max="8703" width="11.44140625" style="200" bestFit="1" customWidth="1"/>
    <col min="8704" max="8704" width="12.88671875" style="200" bestFit="1" customWidth="1"/>
    <col min="8705" max="8705" width="7.5546875" style="200" bestFit="1" customWidth="1"/>
    <col min="8706" max="8706" width="16.44140625" style="200" bestFit="1" customWidth="1"/>
    <col min="8707" max="8707" width="13.44140625" style="200" bestFit="1" customWidth="1"/>
    <col min="8708" max="8708" width="16.44140625" style="200" bestFit="1" customWidth="1"/>
    <col min="8709" max="8709" width="11.44140625" style="200"/>
    <col min="8710" max="8710" width="18.44140625" style="200" bestFit="1" customWidth="1"/>
    <col min="8711" max="8711" width="11.44140625" style="200"/>
    <col min="8712" max="8712" width="14.44140625" style="200" bestFit="1" customWidth="1"/>
    <col min="8713" max="8720" width="11.44140625" style="200"/>
    <col min="8721" max="8721" width="18.44140625" style="200" bestFit="1" customWidth="1"/>
    <col min="8722" max="8955" width="11.44140625" style="200"/>
    <col min="8956" max="8956" width="5.44140625" style="200" customWidth="1"/>
    <col min="8957" max="8957" width="37" style="200" bestFit="1" customWidth="1"/>
    <col min="8958" max="8958" width="17.44140625" style="200" customWidth="1"/>
    <col min="8959" max="8959" width="11.44140625" style="200" bestFit="1" customWidth="1"/>
    <col min="8960" max="8960" width="12.88671875" style="200" bestFit="1" customWidth="1"/>
    <col min="8961" max="8961" width="7.5546875" style="200" bestFit="1" customWidth="1"/>
    <col min="8962" max="8962" width="16.44140625" style="200" bestFit="1" customWidth="1"/>
    <col min="8963" max="8963" width="13.44140625" style="200" bestFit="1" customWidth="1"/>
    <col min="8964" max="8964" width="16.44140625" style="200" bestFit="1" customWidth="1"/>
    <col min="8965" max="8965" width="11.44140625" style="200"/>
    <col min="8966" max="8966" width="18.44140625" style="200" bestFit="1" customWidth="1"/>
    <col min="8967" max="8967" width="11.44140625" style="200"/>
    <col min="8968" max="8968" width="14.44140625" style="200" bestFit="1" customWidth="1"/>
    <col min="8969" max="8976" width="11.44140625" style="200"/>
    <col min="8977" max="8977" width="18.44140625" style="200" bestFit="1" customWidth="1"/>
    <col min="8978" max="9211" width="11.44140625" style="200"/>
    <col min="9212" max="9212" width="5.44140625" style="200" customWidth="1"/>
    <col min="9213" max="9213" width="37" style="200" bestFit="1" customWidth="1"/>
    <col min="9214" max="9214" width="17.44140625" style="200" customWidth="1"/>
    <col min="9215" max="9215" width="11.44140625" style="200" bestFit="1" customWidth="1"/>
    <col min="9216" max="9216" width="12.88671875" style="200" bestFit="1" customWidth="1"/>
    <col min="9217" max="9217" width="7.5546875" style="200" bestFit="1" customWidth="1"/>
    <col min="9218" max="9218" width="16.44140625" style="200" bestFit="1" customWidth="1"/>
    <col min="9219" max="9219" width="13.44140625" style="200" bestFit="1" customWidth="1"/>
    <col min="9220" max="9220" width="16.44140625" style="200" bestFit="1" customWidth="1"/>
    <col min="9221" max="9221" width="11.44140625" style="200"/>
    <col min="9222" max="9222" width="18.44140625" style="200" bestFit="1" customWidth="1"/>
    <col min="9223" max="9223" width="11.44140625" style="200"/>
    <col min="9224" max="9224" width="14.44140625" style="200" bestFit="1" customWidth="1"/>
    <col min="9225" max="9232" width="11.44140625" style="200"/>
    <col min="9233" max="9233" width="18.44140625" style="200" bestFit="1" customWidth="1"/>
    <col min="9234" max="9467" width="11.44140625" style="200"/>
    <col min="9468" max="9468" width="5.44140625" style="200" customWidth="1"/>
    <col min="9469" max="9469" width="37" style="200" bestFit="1" customWidth="1"/>
    <col min="9470" max="9470" width="17.44140625" style="200" customWidth="1"/>
    <col min="9471" max="9471" width="11.44140625" style="200" bestFit="1" customWidth="1"/>
    <col min="9472" max="9472" width="12.88671875" style="200" bestFit="1" customWidth="1"/>
    <col min="9473" max="9473" width="7.5546875" style="200" bestFit="1" customWidth="1"/>
    <col min="9474" max="9474" width="16.44140625" style="200" bestFit="1" customWidth="1"/>
    <col min="9475" max="9475" width="13.44140625" style="200" bestFit="1" customWidth="1"/>
    <col min="9476" max="9476" width="16.44140625" style="200" bestFit="1" customWidth="1"/>
    <col min="9477" max="9477" width="11.44140625" style="200"/>
    <col min="9478" max="9478" width="18.44140625" style="200" bestFit="1" customWidth="1"/>
    <col min="9479" max="9479" width="11.44140625" style="200"/>
    <col min="9480" max="9480" width="14.44140625" style="200" bestFit="1" customWidth="1"/>
    <col min="9481" max="9488" width="11.44140625" style="200"/>
    <col min="9489" max="9489" width="18.44140625" style="200" bestFit="1" customWidth="1"/>
    <col min="9490" max="9723" width="11.44140625" style="200"/>
    <col min="9724" max="9724" width="5.44140625" style="200" customWidth="1"/>
    <col min="9725" max="9725" width="37" style="200" bestFit="1" customWidth="1"/>
    <col min="9726" max="9726" width="17.44140625" style="200" customWidth="1"/>
    <col min="9727" max="9727" width="11.44140625" style="200" bestFit="1" customWidth="1"/>
    <col min="9728" max="9728" width="12.88671875" style="200" bestFit="1" customWidth="1"/>
    <col min="9729" max="9729" width="7.5546875" style="200" bestFit="1" customWidth="1"/>
    <col min="9730" max="9730" width="16.44140625" style="200" bestFit="1" customWidth="1"/>
    <col min="9731" max="9731" width="13.44140625" style="200" bestFit="1" customWidth="1"/>
    <col min="9732" max="9732" width="16.44140625" style="200" bestFit="1" customWidth="1"/>
    <col min="9733" max="9733" width="11.44140625" style="200"/>
    <col min="9734" max="9734" width="18.44140625" style="200" bestFit="1" customWidth="1"/>
    <col min="9735" max="9735" width="11.44140625" style="200"/>
    <col min="9736" max="9736" width="14.44140625" style="200" bestFit="1" customWidth="1"/>
    <col min="9737" max="9744" width="11.44140625" style="200"/>
    <col min="9745" max="9745" width="18.44140625" style="200" bestFit="1" customWidth="1"/>
    <col min="9746" max="9979" width="11.44140625" style="200"/>
    <col min="9980" max="9980" width="5.44140625" style="200" customWidth="1"/>
    <col min="9981" max="9981" width="37" style="200" bestFit="1" customWidth="1"/>
    <col min="9982" max="9982" width="17.44140625" style="200" customWidth="1"/>
    <col min="9983" max="9983" width="11.44140625" style="200" bestFit="1" customWidth="1"/>
    <col min="9984" max="9984" width="12.88671875" style="200" bestFit="1" customWidth="1"/>
    <col min="9985" max="9985" width="7.5546875" style="200" bestFit="1" customWidth="1"/>
    <col min="9986" max="9986" width="16.44140625" style="200" bestFit="1" customWidth="1"/>
    <col min="9987" max="9987" width="13.44140625" style="200" bestFit="1" customWidth="1"/>
    <col min="9988" max="9988" width="16.44140625" style="200" bestFit="1" customWidth="1"/>
    <col min="9989" max="9989" width="11.44140625" style="200"/>
    <col min="9990" max="9990" width="18.44140625" style="200" bestFit="1" customWidth="1"/>
    <col min="9991" max="9991" width="11.44140625" style="200"/>
    <col min="9992" max="9992" width="14.44140625" style="200" bestFit="1" customWidth="1"/>
    <col min="9993" max="10000" width="11.44140625" style="200"/>
    <col min="10001" max="10001" width="18.44140625" style="200" bestFit="1" customWidth="1"/>
    <col min="10002" max="10235" width="11.44140625" style="200"/>
    <col min="10236" max="10236" width="5.44140625" style="200" customWidth="1"/>
    <col min="10237" max="10237" width="37" style="200" bestFit="1" customWidth="1"/>
    <col min="10238" max="10238" width="17.44140625" style="200" customWidth="1"/>
    <col min="10239" max="10239" width="11.44140625" style="200" bestFit="1" customWidth="1"/>
    <col min="10240" max="10240" width="12.88671875" style="200" bestFit="1" customWidth="1"/>
    <col min="10241" max="10241" width="7.5546875" style="200" bestFit="1" customWidth="1"/>
    <col min="10242" max="10242" width="16.44140625" style="200" bestFit="1" customWidth="1"/>
    <col min="10243" max="10243" width="13.44140625" style="200" bestFit="1" customWidth="1"/>
    <col min="10244" max="10244" width="16.44140625" style="200" bestFit="1" customWidth="1"/>
    <col min="10245" max="10245" width="11.44140625" style="200"/>
    <col min="10246" max="10246" width="18.44140625" style="200" bestFit="1" customWidth="1"/>
    <col min="10247" max="10247" width="11.44140625" style="200"/>
    <col min="10248" max="10248" width="14.44140625" style="200" bestFit="1" customWidth="1"/>
    <col min="10249" max="10256" width="11.44140625" style="200"/>
    <col min="10257" max="10257" width="18.44140625" style="200" bestFit="1" customWidth="1"/>
    <col min="10258" max="10491" width="11.44140625" style="200"/>
    <col min="10492" max="10492" width="5.44140625" style="200" customWidth="1"/>
    <col min="10493" max="10493" width="37" style="200" bestFit="1" customWidth="1"/>
    <col min="10494" max="10494" width="17.44140625" style="200" customWidth="1"/>
    <col min="10495" max="10495" width="11.44140625" style="200" bestFit="1" customWidth="1"/>
    <col min="10496" max="10496" width="12.88671875" style="200" bestFit="1" customWidth="1"/>
    <col min="10497" max="10497" width="7.5546875" style="200" bestFit="1" customWidth="1"/>
    <col min="10498" max="10498" width="16.44140625" style="200" bestFit="1" customWidth="1"/>
    <col min="10499" max="10499" width="13.44140625" style="200" bestFit="1" customWidth="1"/>
    <col min="10500" max="10500" width="16.44140625" style="200" bestFit="1" customWidth="1"/>
    <col min="10501" max="10501" width="11.44140625" style="200"/>
    <col min="10502" max="10502" width="18.44140625" style="200" bestFit="1" customWidth="1"/>
    <col min="10503" max="10503" width="11.44140625" style="200"/>
    <col min="10504" max="10504" width="14.44140625" style="200" bestFit="1" customWidth="1"/>
    <col min="10505" max="10512" width="11.44140625" style="200"/>
    <col min="10513" max="10513" width="18.44140625" style="200" bestFit="1" customWidth="1"/>
    <col min="10514" max="10747" width="11.44140625" style="200"/>
    <col min="10748" max="10748" width="5.44140625" style="200" customWidth="1"/>
    <col min="10749" max="10749" width="37" style="200" bestFit="1" customWidth="1"/>
    <col min="10750" max="10750" width="17.44140625" style="200" customWidth="1"/>
    <col min="10751" max="10751" width="11.44140625" style="200" bestFit="1" customWidth="1"/>
    <col min="10752" max="10752" width="12.88671875" style="200" bestFit="1" customWidth="1"/>
    <col min="10753" max="10753" width="7.5546875" style="200" bestFit="1" customWidth="1"/>
    <col min="10754" max="10754" width="16.44140625" style="200" bestFit="1" customWidth="1"/>
    <col min="10755" max="10755" width="13.44140625" style="200" bestFit="1" customWidth="1"/>
    <col min="10756" max="10756" width="16.44140625" style="200" bestFit="1" customWidth="1"/>
    <col min="10757" max="10757" width="11.44140625" style="200"/>
    <col min="10758" max="10758" width="18.44140625" style="200" bestFit="1" customWidth="1"/>
    <col min="10759" max="10759" width="11.44140625" style="200"/>
    <col min="10760" max="10760" width="14.44140625" style="200" bestFit="1" customWidth="1"/>
    <col min="10761" max="10768" width="11.44140625" style="200"/>
    <col min="10769" max="10769" width="18.44140625" style="200" bestFit="1" customWidth="1"/>
    <col min="10770" max="11003" width="11.44140625" style="200"/>
    <col min="11004" max="11004" width="5.44140625" style="200" customWidth="1"/>
    <col min="11005" max="11005" width="37" style="200" bestFit="1" customWidth="1"/>
    <col min="11006" max="11006" width="17.44140625" style="200" customWidth="1"/>
    <col min="11007" max="11007" width="11.44140625" style="200" bestFit="1" customWidth="1"/>
    <col min="11008" max="11008" width="12.88671875" style="200" bestFit="1" customWidth="1"/>
    <col min="11009" max="11009" width="7.5546875" style="200" bestFit="1" customWidth="1"/>
    <col min="11010" max="11010" width="16.44140625" style="200" bestFit="1" customWidth="1"/>
    <col min="11011" max="11011" width="13.44140625" style="200" bestFit="1" customWidth="1"/>
    <col min="11012" max="11012" width="16.44140625" style="200" bestFit="1" customWidth="1"/>
    <col min="11013" max="11013" width="11.44140625" style="200"/>
    <col min="11014" max="11014" width="18.44140625" style="200" bestFit="1" customWidth="1"/>
    <col min="11015" max="11015" width="11.44140625" style="200"/>
    <col min="11016" max="11016" width="14.44140625" style="200" bestFit="1" customWidth="1"/>
    <col min="11017" max="11024" width="11.44140625" style="200"/>
    <col min="11025" max="11025" width="18.44140625" style="200" bestFit="1" customWidth="1"/>
    <col min="11026" max="11259" width="11.44140625" style="200"/>
    <col min="11260" max="11260" width="5.44140625" style="200" customWidth="1"/>
    <col min="11261" max="11261" width="37" style="200" bestFit="1" customWidth="1"/>
    <col min="11262" max="11262" width="17.44140625" style="200" customWidth="1"/>
    <col min="11263" max="11263" width="11.44140625" style="200" bestFit="1" customWidth="1"/>
    <col min="11264" max="11264" width="12.88671875" style="200" bestFit="1" customWidth="1"/>
    <col min="11265" max="11265" width="7.5546875" style="200" bestFit="1" customWidth="1"/>
    <col min="11266" max="11266" width="16.44140625" style="200" bestFit="1" customWidth="1"/>
    <col min="11267" max="11267" width="13.44140625" style="200" bestFit="1" customWidth="1"/>
    <col min="11268" max="11268" width="16.44140625" style="200" bestFit="1" customWidth="1"/>
    <col min="11269" max="11269" width="11.44140625" style="200"/>
    <col min="11270" max="11270" width="18.44140625" style="200" bestFit="1" customWidth="1"/>
    <col min="11271" max="11271" width="11.44140625" style="200"/>
    <col min="11272" max="11272" width="14.44140625" style="200" bestFit="1" customWidth="1"/>
    <col min="11273" max="11280" width="11.44140625" style="200"/>
    <col min="11281" max="11281" width="18.44140625" style="200" bestFit="1" customWidth="1"/>
    <col min="11282" max="11515" width="11.44140625" style="200"/>
    <col min="11516" max="11516" width="5.44140625" style="200" customWidth="1"/>
    <col min="11517" max="11517" width="37" style="200" bestFit="1" customWidth="1"/>
    <col min="11518" max="11518" width="17.44140625" style="200" customWidth="1"/>
    <col min="11519" max="11519" width="11.44140625" style="200" bestFit="1" customWidth="1"/>
    <col min="11520" max="11520" width="12.88671875" style="200" bestFit="1" customWidth="1"/>
    <col min="11521" max="11521" width="7.5546875" style="200" bestFit="1" customWidth="1"/>
    <col min="11522" max="11522" width="16.44140625" style="200" bestFit="1" customWidth="1"/>
    <col min="11523" max="11523" width="13.44140625" style="200" bestFit="1" customWidth="1"/>
    <col min="11524" max="11524" width="16.44140625" style="200" bestFit="1" customWidth="1"/>
    <col min="11525" max="11525" width="11.44140625" style="200"/>
    <col min="11526" max="11526" width="18.44140625" style="200" bestFit="1" customWidth="1"/>
    <col min="11527" max="11527" width="11.44140625" style="200"/>
    <col min="11528" max="11528" width="14.44140625" style="200" bestFit="1" customWidth="1"/>
    <col min="11529" max="11536" width="11.44140625" style="200"/>
    <col min="11537" max="11537" width="18.44140625" style="200" bestFit="1" customWidth="1"/>
    <col min="11538" max="11771" width="11.44140625" style="200"/>
    <col min="11772" max="11772" width="5.44140625" style="200" customWidth="1"/>
    <col min="11773" max="11773" width="37" style="200" bestFit="1" customWidth="1"/>
    <col min="11774" max="11774" width="17.44140625" style="200" customWidth="1"/>
    <col min="11775" max="11775" width="11.44140625" style="200" bestFit="1" customWidth="1"/>
    <col min="11776" max="11776" width="12.88671875" style="200" bestFit="1" customWidth="1"/>
    <col min="11777" max="11777" width="7.5546875" style="200" bestFit="1" customWidth="1"/>
    <col min="11778" max="11778" width="16.44140625" style="200" bestFit="1" customWidth="1"/>
    <col min="11779" max="11779" width="13.44140625" style="200" bestFit="1" customWidth="1"/>
    <col min="11780" max="11780" width="16.44140625" style="200" bestFit="1" customWidth="1"/>
    <col min="11781" max="11781" width="11.44140625" style="200"/>
    <col min="11782" max="11782" width="18.44140625" style="200" bestFit="1" customWidth="1"/>
    <col min="11783" max="11783" width="11.44140625" style="200"/>
    <col min="11784" max="11784" width="14.44140625" style="200" bestFit="1" customWidth="1"/>
    <col min="11785" max="11792" width="11.44140625" style="200"/>
    <col min="11793" max="11793" width="18.44140625" style="200" bestFit="1" customWidth="1"/>
    <col min="11794" max="12027" width="11.44140625" style="200"/>
    <col min="12028" max="12028" width="5.44140625" style="200" customWidth="1"/>
    <col min="12029" max="12029" width="37" style="200" bestFit="1" customWidth="1"/>
    <col min="12030" max="12030" width="17.44140625" style="200" customWidth="1"/>
    <col min="12031" max="12031" width="11.44140625" style="200" bestFit="1" customWidth="1"/>
    <col min="12032" max="12032" width="12.88671875" style="200" bestFit="1" customWidth="1"/>
    <col min="12033" max="12033" width="7.5546875" style="200" bestFit="1" customWidth="1"/>
    <col min="12034" max="12034" width="16.44140625" style="200" bestFit="1" customWidth="1"/>
    <col min="12035" max="12035" width="13.44140625" style="200" bestFit="1" customWidth="1"/>
    <col min="12036" max="12036" width="16.44140625" style="200" bestFit="1" customWidth="1"/>
    <col min="12037" max="12037" width="11.44140625" style="200"/>
    <col min="12038" max="12038" width="18.44140625" style="200" bestFit="1" customWidth="1"/>
    <col min="12039" max="12039" width="11.44140625" style="200"/>
    <col min="12040" max="12040" width="14.44140625" style="200" bestFit="1" customWidth="1"/>
    <col min="12041" max="12048" width="11.44140625" style="200"/>
    <col min="12049" max="12049" width="18.44140625" style="200" bestFit="1" customWidth="1"/>
    <col min="12050" max="12283" width="11.44140625" style="200"/>
    <col min="12284" max="12284" width="5.44140625" style="200" customWidth="1"/>
    <col min="12285" max="12285" width="37" style="200" bestFit="1" customWidth="1"/>
    <col min="12286" max="12286" width="17.44140625" style="200" customWidth="1"/>
    <col min="12287" max="12287" width="11.44140625" style="200" bestFit="1" customWidth="1"/>
    <col min="12288" max="12288" width="12.88671875" style="200" bestFit="1" customWidth="1"/>
    <col min="12289" max="12289" width="7.5546875" style="200" bestFit="1" customWidth="1"/>
    <col min="12290" max="12290" width="16.44140625" style="200" bestFit="1" customWidth="1"/>
    <col min="12291" max="12291" width="13.44140625" style="200" bestFit="1" customWidth="1"/>
    <col min="12292" max="12292" width="16.44140625" style="200" bestFit="1" customWidth="1"/>
    <col min="12293" max="12293" width="11.44140625" style="200"/>
    <col min="12294" max="12294" width="18.44140625" style="200" bestFit="1" customWidth="1"/>
    <col min="12295" max="12295" width="11.44140625" style="200"/>
    <col min="12296" max="12296" width="14.44140625" style="200" bestFit="1" customWidth="1"/>
    <col min="12297" max="12304" width="11.44140625" style="200"/>
    <col min="12305" max="12305" width="18.44140625" style="200" bestFit="1" customWidth="1"/>
    <col min="12306" max="12539" width="11.44140625" style="200"/>
    <col min="12540" max="12540" width="5.44140625" style="200" customWidth="1"/>
    <col min="12541" max="12541" width="37" style="200" bestFit="1" customWidth="1"/>
    <col min="12542" max="12542" width="17.44140625" style="200" customWidth="1"/>
    <col min="12543" max="12543" width="11.44140625" style="200" bestFit="1" customWidth="1"/>
    <col min="12544" max="12544" width="12.88671875" style="200" bestFit="1" customWidth="1"/>
    <col min="12545" max="12545" width="7.5546875" style="200" bestFit="1" customWidth="1"/>
    <col min="12546" max="12546" width="16.44140625" style="200" bestFit="1" customWidth="1"/>
    <col min="12547" max="12547" width="13.44140625" style="200" bestFit="1" customWidth="1"/>
    <col min="12548" max="12548" width="16.44140625" style="200" bestFit="1" customWidth="1"/>
    <col min="12549" max="12549" width="11.44140625" style="200"/>
    <col min="12550" max="12550" width="18.44140625" style="200" bestFit="1" customWidth="1"/>
    <col min="12551" max="12551" width="11.44140625" style="200"/>
    <col min="12552" max="12552" width="14.44140625" style="200" bestFit="1" customWidth="1"/>
    <col min="12553" max="12560" width="11.44140625" style="200"/>
    <col min="12561" max="12561" width="18.44140625" style="200" bestFit="1" customWidth="1"/>
    <col min="12562" max="12795" width="11.44140625" style="200"/>
    <col min="12796" max="12796" width="5.44140625" style="200" customWidth="1"/>
    <col min="12797" max="12797" width="37" style="200" bestFit="1" customWidth="1"/>
    <col min="12798" max="12798" width="17.44140625" style="200" customWidth="1"/>
    <col min="12799" max="12799" width="11.44140625" style="200" bestFit="1" customWidth="1"/>
    <col min="12800" max="12800" width="12.88671875" style="200" bestFit="1" customWidth="1"/>
    <col min="12801" max="12801" width="7.5546875" style="200" bestFit="1" customWidth="1"/>
    <col min="12802" max="12802" width="16.44140625" style="200" bestFit="1" customWidth="1"/>
    <col min="12803" max="12803" width="13.44140625" style="200" bestFit="1" customWidth="1"/>
    <col min="12804" max="12804" width="16.44140625" style="200" bestFit="1" customWidth="1"/>
    <col min="12805" max="12805" width="11.44140625" style="200"/>
    <col min="12806" max="12806" width="18.44140625" style="200" bestFit="1" customWidth="1"/>
    <col min="12807" max="12807" width="11.44140625" style="200"/>
    <col min="12808" max="12808" width="14.44140625" style="200" bestFit="1" customWidth="1"/>
    <col min="12809" max="12816" width="11.44140625" style="200"/>
    <col min="12817" max="12817" width="18.44140625" style="200" bestFit="1" customWidth="1"/>
    <col min="12818" max="13051" width="11.44140625" style="200"/>
    <col min="13052" max="13052" width="5.44140625" style="200" customWidth="1"/>
    <col min="13053" max="13053" width="37" style="200" bestFit="1" customWidth="1"/>
    <col min="13054" max="13054" width="17.44140625" style="200" customWidth="1"/>
    <col min="13055" max="13055" width="11.44140625" style="200" bestFit="1" customWidth="1"/>
    <col min="13056" max="13056" width="12.88671875" style="200" bestFit="1" customWidth="1"/>
    <col min="13057" max="13057" width="7.5546875" style="200" bestFit="1" customWidth="1"/>
    <col min="13058" max="13058" width="16.44140625" style="200" bestFit="1" customWidth="1"/>
    <col min="13059" max="13059" width="13.44140625" style="200" bestFit="1" customWidth="1"/>
    <col min="13060" max="13060" width="16.44140625" style="200" bestFit="1" customWidth="1"/>
    <col min="13061" max="13061" width="11.44140625" style="200"/>
    <col min="13062" max="13062" width="18.44140625" style="200" bestFit="1" customWidth="1"/>
    <col min="13063" max="13063" width="11.44140625" style="200"/>
    <col min="13064" max="13064" width="14.44140625" style="200" bestFit="1" customWidth="1"/>
    <col min="13065" max="13072" width="11.44140625" style="200"/>
    <col min="13073" max="13073" width="18.44140625" style="200" bestFit="1" customWidth="1"/>
    <col min="13074" max="13307" width="11.44140625" style="200"/>
    <col min="13308" max="13308" width="5.44140625" style="200" customWidth="1"/>
    <col min="13309" max="13309" width="37" style="200" bestFit="1" customWidth="1"/>
    <col min="13310" max="13310" width="17.44140625" style="200" customWidth="1"/>
    <col min="13311" max="13311" width="11.44140625" style="200" bestFit="1" customWidth="1"/>
    <col min="13312" max="13312" width="12.88671875" style="200" bestFit="1" customWidth="1"/>
    <col min="13313" max="13313" width="7.5546875" style="200" bestFit="1" customWidth="1"/>
    <col min="13314" max="13314" width="16.44140625" style="200" bestFit="1" customWidth="1"/>
    <col min="13315" max="13315" width="13.44140625" style="200" bestFit="1" customWidth="1"/>
    <col min="13316" max="13316" width="16.44140625" style="200" bestFit="1" customWidth="1"/>
    <col min="13317" max="13317" width="11.44140625" style="200"/>
    <col min="13318" max="13318" width="18.44140625" style="200" bestFit="1" customWidth="1"/>
    <col min="13319" max="13319" width="11.44140625" style="200"/>
    <col min="13320" max="13320" width="14.44140625" style="200" bestFit="1" customWidth="1"/>
    <col min="13321" max="13328" width="11.44140625" style="200"/>
    <col min="13329" max="13329" width="18.44140625" style="200" bestFit="1" customWidth="1"/>
    <col min="13330" max="13563" width="11.44140625" style="200"/>
    <col min="13564" max="13564" width="5.44140625" style="200" customWidth="1"/>
    <col min="13565" max="13565" width="37" style="200" bestFit="1" customWidth="1"/>
    <col min="13566" max="13566" width="17.44140625" style="200" customWidth="1"/>
    <col min="13567" max="13567" width="11.44140625" style="200" bestFit="1" customWidth="1"/>
    <col min="13568" max="13568" width="12.88671875" style="200" bestFit="1" customWidth="1"/>
    <col min="13569" max="13569" width="7.5546875" style="200" bestFit="1" customWidth="1"/>
    <col min="13570" max="13570" width="16.44140625" style="200" bestFit="1" customWidth="1"/>
    <col min="13571" max="13571" width="13.44140625" style="200" bestFit="1" customWidth="1"/>
    <col min="13572" max="13572" width="16.44140625" style="200" bestFit="1" customWidth="1"/>
    <col min="13573" max="13573" width="11.44140625" style="200"/>
    <col min="13574" max="13574" width="18.44140625" style="200" bestFit="1" customWidth="1"/>
    <col min="13575" max="13575" width="11.44140625" style="200"/>
    <col min="13576" max="13576" width="14.44140625" style="200" bestFit="1" customWidth="1"/>
    <col min="13577" max="13584" width="11.44140625" style="200"/>
    <col min="13585" max="13585" width="18.44140625" style="200" bestFit="1" customWidth="1"/>
    <col min="13586" max="13819" width="11.44140625" style="200"/>
    <col min="13820" max="13820" width="5.44140625" style="200" customWidth="1"/>
    <col min="13821" max="13821" width="37" style="200" bestFit="1" customWidth="1"/>
    <col min="13822" max="13822" width="17.44140625" style="200" customWidth="1"/>
    <col min="13823" max="13823" width="11.44140625" style="200" bestFit="1" customWidth="1"/>
    <col min="13824" max="13824" width="12.88671875" style="200" bestFit="1" customWidth="1"/>
    <col min="13825" max="13825" width="7.5546875" style="200" bestFit="1" customWidth="1"/>
    <col min="13826" max="13826" width="16.44140625" style="200" bestFit="1" customWidth="1"/>
    <col min="13827" max="13827" width="13.44140625" style="200" bestFit="1" customWidth="1"/>
    <col min="13828" max="13828" width="16.44140625" style="200" bestFit="1" customWidth="1"/>
    <col min="13829" max="13829" width="11.44140625" style="200"/>
    <col min="13830" max="13830" width="18.44140625" style="200" bestFit="1" customWidth="1"/>
    <col min="13831" max="13831" width="11.44140625" style="200"/>
    <col min="13832" max="13832" width="14.44140625" style="200" bestFit="1" customWidth="1"/>
    <col min="13833" max="13840" width="11.44140625" style="200"/>
    <col min="13841" max="13841" width="18.44140625" style="200" bestFit="1" customWidth="1"/>
    <col min="13842" max="14075" width="11.44140625" style="200"/>
    <col min="14076" max="14076" width="5.44140625" style="200" customWidth="1"/>
    <col min="14077" max="14077" width="37" style="200" bestFit="1" customWidth="1"/>
    <col min="14078" max="14078" width="17.44140625" style="200" customWidth="1"/>
    <col min="14079" max="14079" width="11.44140625" style="200" bestFit="1" customWidth="1"/>
    <col min="14080" max="14080" width="12.88671875" style="200" bestFit="1" customWidth="1"/>
    <col min="14081" max="14081" width="7.5546875" style="200" bestFit="1" customWidth="1"/>
    <col min="14082" max="14082" width="16.44140625" style="200" bestFit="1" customWidth="1"/>
    <col min="14083" max="14083" width="13.44140625" style="200" bestFit="1" customWidth="1"/>
    <col min="14084" max="14084" width="16.44140625" style="200" bestFit="1" customWidth="1"/>
    <col min="14085" max="14085" width="11.44140625" style="200"/>
    <col min="14086" max="14086" width="18.44140625" style="200" bestFit="1" customWidth="1"/>
    <col min="14087" max="14087" width="11.44140625" style="200"/>
    <col min="14088" max="14088" width="14.44140625" style="200" bestFit="1" customWidth="1"/>
    <col min="14089" max="14096" width="11.44140625" style="200"/>
    <col min="14097" max="14097" width="18.44140625" style="200" bestFit="1" customWidth="1"/>
    <col min="14098" max="14331" width="11.44140625" style="200"/>
    <col min="14332" max="14332" width="5.44140625" style="200" customWidth="1"/>
    <col min="14333" max="14333" width="37" style="200" bestFit="1" customWidth="1"/>
    <col min="14334" max="14334" width="17.44140625" style="200" customWidth="1"/>
    <col min="14335" max="14335" width="11.44140625" style="200" bestFit="1" customWidth="1"/>
    <col min="14336" max="14336" width="12.88671875" style="200" bestFit="1" customWidth="1"/>
    <col min="14337" max="14337" width="7.5546875" style="200" bestFit="1" customWidth="1"/>
    <col min="14338" max="14338" width="16.44140625" style="200" bestFit="1" customWidth="1"/>
    <col min="14339" max="14339" width="13.44140625" style="200" bestFit="1" customWidth="1"/>
    <col min="14340" max="14340" width="16.44140625" style="200" bestFit="1" customWidth="1"/>
    <col min="14341" max="14341" width="11.44140625" style="200"/>
    <col min="14342" max="14342" width="18.44140625" style="200" bestFit="1" customWidth="1"/>
    <col min="14343" max="14343" width="11.44140625" style="200"/>
    <col min="14344" max="14344" width="14.44140625" style="200" bestFit="1" customWidth="1"/>
    <col min="14345" max="14352" width="11.44140625" style="200"/>
    <col min="14353" max="14353" width="18.44140625" style="200" bestFit="1" customWidth="1"/>
    <col min="14354" max="14587" width="11.44140625" style="200"/>
    <col min="14588" max="14588" width="5.44140625" style="200" customWidth="1"/>
    <col min="14589" max="14589" width="37" style="200" bestFit="1" customWidth="1"/>
    <col min="14590" max="14590" width="17.44140625" style="200" customWidth="1"/>
    <col min="14591" max="14591" width="11.44140625" style="200" bestFit="1" customWidth="1"/>
    <col min="14592" max="14592" width="12.88671875" style="200" bestFit="1" customWidth="1"/>
    <col min="14593" max="14593" width="7.5546875" style="200" bestFit="1" customWidth="1"/>
    <col min="14594" max="14594" width="16.44140625" style="200" bestFit="1" customWidth="1"/>
    <col min="14595" max="14595" width="13.44140625" style="200" bestFit="1" customWidth="1"/>
    <col min="14596" max="14596" width="16.44140625" style="200" bestFit="1" customWidth="1"/>
    <col min="14597" max="14597" width="11.44140625" style="200"/>
    <col min="14598" max="14598" width="18.44140625" style="200" bestFit="1" customWidth="1"/>
    <col min="14599" max="14599" width="11.44140625" style="200"/>
    <col min="14600" max="14600" width="14.44140625" style="200" bestFit="1" customWidth="1"/>
    <col min="14601" max="14608" width="11.44140625" style="200"/>
    <col min="14609" max="14609" width="18.44140625" style="200" bestFit="1" customWidth="1"/>
    <col min="14610" max="14843" width="11.44140625" style="200"/>
    <col min="14844" max="14844" width="5.44140625" style="200" customWidth="1"/>
    <col min="14845" max="14845" width="37" style="200" bestFit="1" customWidth="1"/>
    <col min="14846" max="14846" width="17.44140625" style="200" customWidth="1"/>
    <col min="14847" max="14847" width="11.44140625" style="200" bestFit="1" customWidth="1"/>
    <col min="14848" max="14848" width="12.88671875" style="200" bestFit="1" customWidth="1"/>
    <col min="14849" max="14849" width="7.5546875" style="200" bestFit="1" customWidth="1"/>
    <col min="14850" max="14850" width="16.44140625" style="200" bestFit="1" customWidth="1"/>
    <col min="14851" max="14851" width="13.44140625" style="200" bestFit="1" customWidth="1"/>
    <col min="14852" max="14852" width="16.44140625" style="200" bestFit="1" customWidth="1"/>
    <col min="14853" max="14853" width="11.44140625" style="200"/>
    <col min="14854" max="14854" width="18.44140625" style="200" bestFit="1" customWidth="1"/>
    <col min="14855" max="14855" width="11.44140625" style="200"/>
    <col min="14856" max="14856" width="14.44140625" style="200" bestFit="1" customWidth="1"/>
    <col min="14857" max="14864" width="11.44140625" style="200"/>
    <col min="14865" max="14865" width="18.44140625" style="200" bestFit="1" customWidth="1"/>
    <col min="14866" max="15099" width="11.44140625" style="200"/>
    <col min="15100" max="15100" width="5.44140625" style="200" customWidth="1"/>
    <col min="15101" max="15101" width="37" style="200" bestFit="1" customWidth="1"/>
    <col min="15102" max="15102" width="17.44140625" style="200" customWidth="1"/>
    <col min="15103" max="15103" width="11.44140625" style="200" bestFit="1" customWidth="1"/>
    <col min="15104" max="15104" width="12.88671875" style="200" bestFit="1" customWidth="1"/>
    <col min="15105" max="15105" width="7.5546875" style="200" bestFit="1" customWidth="1"/>
    <col min="15106" max="15106" width="16.44140625" style="200" bestFit="1" customWidth="1"/>
    <col min="15107" max="15107" width="13.44140625" style="200" bestFit="1" customWidth="1"/>
    <col min="15108" max="15108" width="16.44140625" style="200" bestFit="1" customWidth="1"/>
    <col min="15109" max="15109" width="11.44140625" style="200"/>
    <col min="15110" max="15110" width="18.44140625" style="200" bestFit="1" customWidth="1"/>
    <col min="15111" max="15111" width="11.44140625" style="200"/>
    <col min="15112" max="15112" width="14.44140625" style="200" bestFit="1" customWidth="1"/>
    <col min="15113" max="15120" width="11.44140625" style="200"/>
    <col min="15121" max="15121" width="18.44140625" style="200" bestFit="1" customWidth="1"/>
    <col min="15122" max="15355" width="11.44140625" style="200"/>
    <col min="15356" max="15356" width="5.44140625" style="200" customWidth="1"/>
    <col min="15357" max="15357" width="37" style="200" bestFit="1" customWidth="1"/>
    <col min="15358" max="15358" width="17.44140625" style="200" customWidth="1"/>
    <col min="15359" max="15359" width="11.44140625" style="200" bestFit="1" customWidth="1"/>
    <col min="15360" max="15360" width="12.88671875" style="200" bestFit="1" customWidth="1"/>
    <col min="15361" max="15361" width="7.5546875" style="200" bestFit="1" customWidth="1"/>
    <col min="15362" max="15362" width="16.44140625" style="200" bestFit="1" customWidth="1"/>
    <col min="15363" max="15363" width="13.44140625" style="200" bestFit="1" customWidth="1"/>
    <col min="15364" max="15364" width="16.44140625" style="200" bestFit="1" customWidth="1"/>
    <col min="15365" max="15365" width="11.44140625" style="200"/>
    <col min="15366" max="15366" width="18.44140625" style="200" bestFit="1" customWidth="1"/>
    <col min="15367" max="15367" width="11.44140625" style="200"/>
    <col min="15368" max="15368" width="14.44140625" style="200" bestFit="1" customWidth="1"/>
    <col min="15369" max="15376" width="11.44140625" style="200"/>
    <col min="15377" max="15377" width="18.44140625" style="200" bestFit="1" customWidth="1"/>
    <col min="15378" max="15611" width="11.44140625" style="200"/>
    <col min="15612" max="15612" width="5.44140625" style="200" customWidth="1"/>
    <col min="15613" max="15613" width="37" style="200" bestFit="1" customWidth="1"/>
    <col min="15614" max="15614" width="17.44140625" style="200" customWidth="1"/>
    <col min="15615" max="15615" width="11.44140625" style="200" bestFit="1" customWidth="1"/>
    <col min="15616" max="15616" width="12.88671875" style="200" bestFit="1" customWidth="1"/>
    <col min="15617" max="15617" width="7.5546875" style="200" bestFit="1" customWidth="1"/>
    <col min="15618" max="15618" width="16.44140625" style="200" bestFit="1" customWidth="1"/>
    <col min="15619" max="15619" width="13.44140625" style="200" bestFit="1" customWidth="1"/>
    <col min="15620" max="15620" width="16.44140625" style="200" bestFit="1" customWidth="1"/>
    <col min="15621" max="15621" width="11.44140625" style="200"/>
    <col min="15622" max="15622" width="18.44140625" style="200" bestFit="1" customWidth="1"/>
    <col min="15623" max="15623" width="11.44140625" style="200"/>
    <col min="15624" max="15624" width="14.44140625" style="200" bestFit="1" customWidth="1"/>
    <col min="15625" max="15632" width="11.44140625" style="200"/>
    <col min="15633" max="15633" width="18.44140625" style="200" bestFit="1" customWidth="1"/>
    <col min="15634" max="15867" width="11.44140625" style="200"/>
    <col min="15868" max="15868" width="5.44140625" style="200" customWidth="1"/>
    <col min="15869" max="15869" width="37" style="200" bestFit="1" customWidth="1"/>
    <col min="15870" max="15870" width="17.44140625" style="200" customWidth="1"/>
    <col min="15871" max="15871" width="11.44140625" style="200" bestFit="1" customWidth="1"/>
    <col min="15872" max="15872" width="12.88671875" style="200" bestFit="1" customWidth="1"/>
    <col min="15873" max="15873" width="7.5546875" style="200" bestFit="1" customWidth="1"/>
    <col min="15874" max="15874" width="16.44140625" style="200" bestFit="1" customWidth="1"/>
    <col min="15875" max="15875" width="13.44140625" style="200" bestFit="1" customWidth="1"/>
    <col min="15876" max="15876" width="16.44140625" style="200" bestFit="1" customWidth="1"/>
    <col min="15877" max="15877" width="11.44140625" style="200"/>
    <col min="15878" max="15878" width="18.44140625" style="200" bestFit="1" customWidth="1"/>
    <col min="15879" max="15879" width="11.44140625" style="200"/>
    <col min="15880" max="15880" width="14.44140625" style="200" bestFit="1" customWidth="1"/>
    <col min="15881" max="15888" width="11.44140625" style="200"/>
    <col min="15889" max="15889" width="18.44140625" style="200" bestFit="1" customWidth="1"/>
    <col min="15890" max="16123" width="11.44140625" style="200"/>
    <col min="16124" max="16124" width="5.44140625" style="200" customWidth="1"/>
    <col min="16125" max="16125" width="37" style="200" bestFit="1" customWidth="1"/>
    <col min="16126" max="16126" width="17.44140625" style="200" customWidth="1"/>
    <col min="16127" max="16127" width="11.44140625" style="200" bestFit="1" customWidth="1"/>
    <col min="16128" max="16128" width="12.88671875" style="200" bestFit="1" customWidth="1"/>
    <col min="16129" max="16129" width="7.5546875" style="200" bestFit="1" customWidth="1"/>
    <col min="16130" max="16130" width="16.44140625" style="200" bestFit="1" customWidth="1"/>
    <col min="16131" max="16131" width="13.44140625" style="200" bestFit="1" customWidth="1"/>
    <col min="16132" max="16132" width="16.44140625" style="200" bestFit="1" customWidth="1"/>
    <col min="16133" max="16133" width="11.44140625" style="200"/>
    <col min="16134" max="16134" width="18.44140625" style="200" bestFit="1" customWidth="1"/>
    <col min="16135" max="16135" width="11.44140625" style="200"/>
    <col min="16136" max="16136" width="14.44140625" style="200" bestFit="1" customWidth="1"/>
    <col min="16137" max="16144" width="11.44140625" style="200"/>
    <col min="16145" max="16145" width="18.44140625" style="200" bestFit="1" customWidth="1"/>
    <col min="16146" max="16378" width="11.44140625" style="200"/>
    <col min="16379" max="16384" width="10.88671875" style="200" customWidth="1"/>
  </cols>
  <sheetData>
    <row r="1" spans="1:12" ht="11.4" thickBot="1"/>
    <row r="2" spans="1:12" ht="20.25" customHeight="1">
      <c r="A2" s="207"/>
      <c r="B2" s="1737" t="str">
        <f>+PRESUPUESTO!D2</f>
        <v>"MEJORAMIENTO VIAL MEDIANTE LA CONSTRUCCIÓN DE PAVIMENTO RÍGIDO DE LA PRIMERA ETAPA DE LA VÍA QUE COMUNICA A LA VEREDA PONDORES EN EL CORREGIMIENTO DE CONEJO, MUNICIPIO DE FONSECA - DEPARTAMENTO DE LA GUAJIRA."</v>
      </c>
      <c r="C2" s="1738"/>
      <c r="D2" s="1738"/>
      <c r="E2" s="1738"/>
      <c r="F2" s="1738"/>
      <c r="G2" s="1738"/>
      <c r="H2" s="1738"/>
      <c r="I2" s="1738"/>
      <c r="J2" s="1739"/>
      <c r="K2" s="207"/>
      <c r="L2" s="207"/>
    </row>
    <row r="3" spans="1:12" ht="42.75" customHeight="1" thickBot="1">
      <c r="A3" s="207"/>
      <c r="B3" s="1740"/>
      <c r="C3" s="1741"/>
      <c r="D3" s="1741"/>
      <c r="E3" s="1741"/>
      <c r="F3" s="1741"/>
      <c r="G3" s="1741"/>
      <c r="H3" s="1741"/>
      <c r="I3" s="1741"/>
      <c r="J3" s="1742"/>
      <c r="K3" s="207"/>
      <c r="L3" s="207"/>
    </row>
    <row r="4" spans="1:12" ht="42" customHeight="1" thickBot="1">
      <c r="A4" s="207"/>
      <c r="B4" s="1743" t="s">
        <v>198</v>
      </c>
      <c r="C4" s="1744"/>
      <c r="D4" s="1744"/>
      <c r="E4" s="1744"/>
      <c r="F4" s="1744"/>
      <c r="G4" s="1744"/>
      <c r="H4" s="1744"/>
      <c r="I4" s="1744"/>
      <c r="J4" s="1745"/>
      <c r="K4" s="207"/>
      <c r="L4" s="207"/>
    </row>
    <row r="5" spans="1:12" ht="24.75" customHeight="1" thickBot="1">
      <c r="A5" s="207"/>
      <c r="B5" s="1746" t="s">
        <v>199</v>
      </c>
      <c r="C5" s="1748" t="s">
        <v>200</v>
      </c>
      <c r="D5" s="621" t="s">
        <v>193</v>
      </c>
      <c r="E5" s="621" t="s">
        <v>194</v>
      </c>
      <c r="F5" s="621" t="s">
        <v>196</v>
      </c>
      <c r="G5" s="621" t="s">
        <v>146</v>
      </c>
      <c r="H5" s="622" t="s">
        <v>197</v>
      </c>
      <c r="I5" s="623" t="s">
        <v>201</v>
      </c>
      <c r="J5" s="624" t="s">
        <v>202</v>
      </c>
      <c r="K5" s="207"/>
      <c r="L5" s="207"/>
    </row>
    <row r="6" spans="1:12" ht="39.75" customHeight="1" thickBot="1">
      <c r="A6" s="207"/>
      <c r="B6" s="1747"/>
      <c r="C6" s="1749"/>
      <c r="D6" s="625" t="s">
        <v>203</v>
      </c>
      <c r="E6" s="625" t="s">
        <v>15</v>
      </c>
      <c r="F6" s="625" t="s">
        <v>204</v>
      </c>
      <c r="G6" s="625" t="s">
        <v>205</v>
      </c>
      <c r="H6" s="626" t="s">
        <v>206</v>
      </c>
      <c r="I6" s="627" t="s">
        <v>207</v>
      </c>
      <c r="J6" s="628" t="s">
        <v>208</v>
      </c>
      <c r="K6" s="207"/>
      <c r="L6" s="207"/>
    </row>
    <row r="7" spans="1:12" s="201" customFormat="1" ht="10.199999999999999">
      <c r="A7" s="439"/>
      <c r="B7" s="339">
        <v>1</v>
      </c>
      <c r="C7" s="340" t="s">
        <v>209</v>
      </c>
      <c r="D7" s="340"/>
      <c r="E7" s="340"/>
      <c r="F7" s="341"/>
      <c r="G7" s="341"/>
      <c r="H7" s="342"/>
      <c r="I7" s="343"/>
      <c r="J7" s="344"/>
      <c r="K7" s="439"/>
      <c r="L7" s="439"/>
    </row>
    <row r="8" spans="1:12" s="201" customFormat="1" ht="10.199999999999999">
      <c r="A8" s="439"/>
      <c r="B8" s="345">
        <v>1.1000000000000001</v>
      </c>
      <c r="C8" s="346" t="s">
        <v>210</v>
      </c>
      <c r="D8" s="346"/>
      <c r="E8" s="346"/>
      <c r="F8" s="347"/>
      <c r="G8" s="348"/>
      <c r="H8" s="1491"/>
      <c r="I8" s="349"/>
      <c r="J8" s="350"/>
      <c r="K8" s="439"/>
      <c r="L8" s="439"/>
    </row>
    <row r="9" spans="1:12" ht="10.199999999999999">
      <c r="A9" s="207"/>
      <c r="B9" s="351" t="s">
        <v>211</v>
      </c>
      <c r="C9" s="352" t="s">
        <v>212</v>
      </c>
      <c r="D9" s="1493">
        <f>+FP!C12</f>
        <v>6174985</v>
      </c>
      <c r="E9" s="353">
        <v>1</v>
      </c>
      <c r="F9" s="354">
        <v>0.5</v>
      </c>
      <c r="G9" s="355">
        <f>+FM!I39</f>
        <v>1.9929333333333332</v>
      </c>
      <c r="H9" s="1492">
        <f>ROUND(D9*E9*F9*G9,0)</f>
        <v>6153167</v>
      </c>
      <c r="I9" s="526">
        <f>+AIU!F13</f>
        <v>4</v>
      </c>
      <c r="J9" s="1499">
        <f>(H9*I9)</f>
        <v>24612668</v>
      </c>
      <c r="K9" s="207"/>
      <c r="L9" s="207"/>
    </row>
    <row r="10" spans="1:12" ht="10.199999999999999">
      <c r="A10" s="207"/>
      <c r="B10" s="351" t="s">
        <v>213</v>
      </c>
      <c r="C10" s="352" t="s">
        <v>683</v>
      </c>
      <c r="D10" s="1493">
        <f>+FP!G12</f>
        <v>3434120.1002000002</v>
      </c>
      <c r="E10" s="353">
        <v>1</v>
      </c>
      <c r="F10" s="354">
        <v>1</v>
      </c>
      <c r="G10" s="355">
        <f>+G9</f>
        <v>1.9929333333333332</v>
      </c>
      <c r="H10" s="1492">
        <f>ROUND(D10*E10*F10*G10,0)</f>
        <v>6843972</v>
      </c>
      <c r="I10" s="526">
        <f>+AIU!J6</f>
        <v>3</v>
      </c>
      <c r="J10" s="1499">
        <f>+(H10*I10)</f>
        <v>20531916</v>
      </c>
      <c r="K10" s="207"/>
      <c r="L10" s="207"/>
    </row>
    <row r="11" spans="1:12" ht="10.199999999999999">
      <c r="A11" s="207"/>
      <c r="B11" s="351" t="s">
        <v>214</v>
      </c>
      <c r="C11" s="352" t="s">
        <v>299</v>
      </c>
      <c r="D11" s="1493">
        <f>+FP!K12</f>
        <v>3434120.1002000002</v>
      </c>
      <c r="E11" s="353">
        <v>1</v>
      </c>
      <c r="F11" s="354">
        <v>1</v>
      </c>
      <c r="G11" s="355">
        <f t="shared" ref="G11" si="0">+G10</f>
        <v>1.9929333333333332</v>
      </c>
      <c r="H11" s="1492">
        <f t="shared" ref="H11:H14" si="1">ROUND(D11*E11*F11*G11,0)</f>
        <v>6843972</v>
      </c>
      <c r="I11" s="526">
        <f>+I10</f>
        <v>3</v>
      </c>
      <c r="J11" s="1499">
        <f t="shared" ref="J11:J14" si="2">+(H11*I11)</f>
        <v>20531916</v>
      </c>
      <c r="K11" s="207"/>
      <c r="L11" s="207"/>
    </row>
    <row r="12" spans="1:12" ht="10.199999999999999">
      <c r="A12" s="207"/>
      <c r="B12" s="351" t="s">
        <v>232</v>
      </c>
      <c r="C12" s="640" t="s">
        <v>224</v>
      </c>
      <c r="D12" s="1494">
        <f>+FP!I12</f>
        <v>3434120.1002000002</v>
      </c>
      <c r="E12" s="641">
        <v>1</v>
      </c>
      <c r="F12" s="642">
        <v>1</v>
      </c>
      <c r="G12" s="643">
        <f>+G11</f>
        <v>1.9929333333333332</v>
      </c>
      <c r="H12" s="1492">
        <f>ROUND(D12*E12*F12*G12,0)</f>
        <v>6843972</v>
      </c>
      <c r="I12" s="526">
        <f t="shared" ref="I12:I13" si="3">+I11</f>
        <v>3</v>
      </c>
      <c r="J12" s="1499">
        <f t="shared" si="2"/>
        <v>20531916</v>
      </c>
      <c r="K12" s="207"/>
      <c r="L12" s="207"/>
    </row>
    <row r="13" spans="1:12" ht="10.199999999999999">
      <c r="A13" s="207"/>
      <c r="B13" s="351" t="s">
        <v>233</v>
      </c>
      <c r="C13" s="602" t="s">
        <v>684</v>
      </c>
      <c r="D13" s="1495">
        <f>+FP!O12</f>
        <v>2935453</v>
      </c>
      <c r="E13" s="603">
        <v>1</v>
      </c>
      <c r="F13" s="604">
        <v>1</v>
      </c>
      <c r="G13" s="643">
        <f>+G12</f>
        <v>1.9929333333333332</v>
      </c>
      <c r="H13" s="1492">
        <f t="shared" si="1"/>
        <v>5850162</v>
      </c>
      <c r="I13" s="526">
        <f t="shared" si="3"/>
        <v>3</v>
      </c>
      <c r="J13" s="1499">
        <f t="shared" si="2"/>
        <v>17550486</v>
      </c>
      <c r="K13" s="207"/>
      <c r="L13" s="207"/>
    </row>
    <row r="14" spans="1:12" ht="10.199999999999999">
      <c r="A14" s="207"/>
      <c r="B14" s="1364" t="s">
        <v>428</v>
      </c>
      <c r="C14" s="1365" t="s">
        <v>789</v>
      </c>
      <c r="D14" s="1496">
        <f>FP!M12</f>
        <v>3737870.83</v>
      </c>
      <c r="E14" s="1366">
        <v>1</v>
      </c>
      <c r="F14" s="1367">
        <v>0.2</v>
      </c>
      <c r="G14" s="355">
        <f>G13</f>
        <v>1.9929333333333332</v>
      </c>
      <c r="H14" s="1492">
        <f t="shared" si="1"/>
        <v>1489865</v>
      </c>
      <c r="I14" s="1368">
        <v>4</v>
      </c>
      <c r="J14" s="1499">
        <f t="shared" si="2"/>
        <v>5959460</v>
      </c>
      <c r="K14" s="207"/>
      <c r="L14" s="207"/>
    </row>
    <row r="15" spans="1:12" s="201" customFormat="1" ht="10.199999999999999">
      <c r="A15" s="439"/>
      <c r="B15" s="345" t="s">
        <v>420</v>
      </c>
      <c r="C15" s="346" t="s">
        <v>215</v>
      </c>
      <c r="D15" s="1497"/>
      <c r="E15" s="353"/>
      <c r="F15" s="354"/>
      <c r="G15" s="348"/>
      <c r="H15" s="1492"/>
      <c r="I15" s="526"/>
      <c r="J15" s="1499"/>
      <c r="K15" s="439"/>
      <c r="L15" s="439"/>
    </row>
    <row r="16" spans="1:12" ht="10.199999999999999">
      <c r="A16" s="207"/>
      <c r="B16" s="351" t="s">
        <v>421</v>
      </c>
      <c r="C16" s="356" t="s">
        <v>192</v>
      </c>
      <c r="D16" s="1493">
        <f>+FP!AG12</f>
        <v>1388166.6666666667</v>
      </c>
      <c r="E16" s="353">
        <v>1</v>
      </c>
      <c r="F16" s="354">
        <v>1</v>
      </c>
      <c r="G16" s="355">
        <f>+G9</f>
        <v>1.9929333333333332</v>
      </c>
      <c r="H16" s="1492">
        <f>ROUND(D16*E16*F16*G16,0)</f>
        <v>2766524</v>
      </c>
      <c r="I16" s="526">
        <f>+I13</f>
        <v>3</v>
      </c>
      <c r="J16" s="1499">
        <f>+(H16*I16)</f>
        <v>8299572</v>
      </c>
      <c r="K16" s="207"/>
      <c r="L16" s="207"/>
    </row>
    <row r="17" spans="1:15" ht="13.2">
      <c r="A17" s="207"/>
      <c r="B17" s="357" t="s">
        <v>422</v>
      </c>
      <c r="C17" s="358" t="s">
        <v>348</v>
      </c>
      <c r="D17" s="1498">
        <f>+FP!W12</f>
        <v>1634033.3333333333</v>
      </c>
      <c r="E17" s="359">
        <v>1</v>
      </c>
      <c r="F17" s="360">
        <v>1</v>
      </c>
      <c r="G17" s="355">
        <f>+G9</f>
        <v>1.9929333333333332</v>
      </c>
      <c r="H17" s="1492">
        <f>ROUND(D17*E17*F17*G17,0)</f>
        <v>3256519</v>
      </c>
      <c r="I17" s="527">
        <f>+I16</f>
        <v>3</v>
      </c>
      <c r="J17" s="1499">
        <f>+(H17*I17)</f>
        <v>9769557</v>
      </c>
      <c r="K17" s="207"/>
      <c r="L17" s="207"/>
      <c r="M17"/>
      <c r="N17"/>
      <c r="O17"/>
    </row>
    <row r="18" spans="1:15" ht="13.2">
      <c r="A18" s="207"/>
      <c r="B18" s="351" t="s">
        <v>423</v>
      </c>
      <c r="C18" s="358" t="s">
        <v>147</v>
      </c>
      <c r="D18" s="1498">
        <f>+FP!Y12</f>
        <v>1300000</v>
      </c>
      <c r="E18" s="359">
        <v>1</v>
      </c>
      <c r="F18" s="360">
        <v>1</v>
      </c>
      <c r="G18" s="355">
        <f>+G10</f>
        <v>1.9929333333333332</v>
      </c>
      <c r="H18" s="1492">
        <f>ROUND(D18*E18*F18*G18,0)</f>
        <v>2590813</v>
      </c>
      <c r="I18" s="527">
        <f>+I17</f>
        <v>3</v>
      </c>
      <c r="J18" s="1499">
        <f>+(H18*I18)</f>
        <v>7772439</v>
      </c>
      <c r="K18" s="207"/>
      <c r="L18" s="207"/>
      <c r="M18"/>
      <c r="N18"/>
      <c r="O18"/>
    </row>
    <row r="19" spans="1:15" s="201" customFormat="1" ht="15.75" customHeight="1" thickBot="1">
      <c r="A19" s="439"/>
      <c r="B19" s="361"/>
      <c r="C19" s="1734" t="s">
        <v>216</v>
      </c>
      <c r="D19" s="1735"/>
      <c r="E19" s="1735"/>
      <c r="F19" s="1735"/>
      <c r="G19" s="1735"/>
      <c r="H19" s="1735"/>
      <c r="I19" s="1736"/>
      <c r="J19" s="362">
        <f>SUM(J9:J18)</f>
        <v>135559930</v>
      </c>
      <c r="K19" s="439"/>
      <c r="L19" s="440">
        <f>SUM(J9:J13)*1.19</f>
        <v>123473093.38</v>
      </c>
      <c r="M19">
        <v>857675840</v>
      </c>
      <c r="N19"/>
      <c r="O19"/>
    </row>
    <row r="20" spans="1:15" ht="15" customHeight="1">
      <c r="A20" s="207"/>
      <c r="B20" s="1716" t="s">
        <v>217</v>
      </c>
      <c r="C20" s="1717"/>
      <c r="D20" s="1717"/>
      <c r="E20" s="1717"/>
      <c r="F20" s="1717"/>
      <c r="G20" s="1717"/>
      <c r="H20" s="1717"/>
      <c r="I20" s="1717"/>
      <c r="J20" s="1718"/>
      <c r="K20" s="207"/>
      <c r="L20" s="207">
        <f>SUM(J16:J18)*1.19</f>
        <v>30751465.919999998</v>
      </c>
      <c r="M20">
        <v>170189040</v>
      </c>
      <c r="N20"/>
      <c r="O20"/>
    </row>
    <row r="21" spans="1:15" s="201" customFormat="1" ht="13.2">
      <c r="A21" s="439"/>
      <c r="B21" s="529" t="s">
        <v>218</v>
      </c>
      <c r="C21" s="530" t="s">
        <v>217</v>
      </c>
      <c r="D21" s="531" t="s">
        <v>44</v>
      </c>
      <c r="E21" s="530"/>
      <c r="F21" s="531" t="s">
        <v>15</v>
      </c>
      <c r="G21" s="531"/>
      <c r="H21" s="532" t="s">
        <v>180</v>
      </c>
      <c r="I21" s="533"/>
      <c r="J21" s="534" t="s">
        <v>179</v>
      </c>
      <c r="K21" s="439"/>
      <c r="L21" s="439"/>
      <c r="M21"/>
      <c r="N21"/>
      <c r="O21"/>
    </row>
    <row r="22" spans="1:15" s="201" customFormat="1" ht="13.2">
      <c r="A22" s="439"/>
      <c r="B22" s="594">
        <v>2.1</v>
      </c>
      <c r="C22" s="535" t="s">
        <v>399</v>
      </c>
      <c r="D22" s="536" t="s">
        <v>164</v>
      </c>
      <c r="E22" s="530"/>
      <c r="F22" s="537">
        <f>+I18</f>
        <v>3</v>
      </c>
      <c r="G22" s="531"/>
      <c r="H22" s="1486">
        <v>1322331.0449999999</v>
      </c>
      <c r="I22" s="533"/>
      <c r="J22" s="1500">
        <f>+(F22*H22)</f>
        <v>3966993.1349999998</v>
      </c>
      <c r="K22" s="439"/>
      <c r="L22" s="439"/>
      <c r="M22"/>
      <c r="N22"/>
      <c r="O22"/>
    </row>
    <row r="23" spans="1:15" s="201" customFormat="1" ht="13.2">
      <c r="A23" s="439"/>
      <c r="B23" s="594">
        <v>2.2000000000000002</v>
      </c>
      <c r="C23" s="535" t="s">
        <v>478</v>
      </c>
      <c r="D23" s="536" t="s">
        <v>164</v>
      </c>
      <c r="E23" s="537">
        <f>+F22</f>
        <v>3</v>
      </c>
      <c r="F23" s="537">
        <v>7</v>
      </c>
      <c r="G23" s="536"/>
      <c r="H23" s="1487">
        <v>150000</v>
      </c>
      <c r="I23" s="533"/>
      <c r="J23" s="1500">
        <f>+(F23*H23*E23)</f>
        <v>3150000</v>
      </c>
      <c r="K23" s="439"/>
      <c r="L23" s="439"/>
      <c r="M23"/>
      <c r="N23"/>
      <c r="O23"/>
    </row>
    <row r="24" spans="1:15" s="201" customFormat="1" ht="13.2">
      <c r="A24" s="439"/>
      <c r="B24" s="594">
        <v>2.2999999999999998</v>
      </c>
      <c r="C24" s="535" t="s">
        <v>400</v>
      </c>
      <c r="D24" s="536" t="s">
        <v>164</v>
      </c>
      <c r="E24" s="530"/>
      <c r="F24" s="537">
        <f>+F22</f>
        <v>3</v>
      </c>
      <c r="G24" s="531"/>
      <c r="H24" s="1488">
        <f>+AIU!J26</f>
        <v>250000</v>
      </c>
      <c r="I24" s="533"/>
      <c r="J24" s="1500">
        <f>+(F24*H24)</f>
        <v>750000</v>
      </c>
      <c r="K24" s="439"/>
      <c r="L24" s="439"/>
      <c r="M24"/>
      <c r="N24"/>
      <c r="O24"/>
    </row>
    <row r="25" spans="1:15" s="201" customFormat="1" ht="13.2">
      <c r="A25" s="439"/>
      <c r="B25" s="594">
        <v>2.4</v>
      </c>
      <c r="C25" s="535" t="s">
        <v>363</v>
      </c>
      <c r="D25" s="536" t="s">
        <v>164</v>
      </c>
      <c r="E25" s="530"/>
      <c r="F25" s="537">
        <f>+F24</f>
        <v>3</v>
      </c>
      <c r="G25" s="531"/>
      <c r="H25" s="1488">
        <f>+AIU!J27</f>
        <v>250000</v>
      </c>
      <c r="I25" s="533"/>
      <c r="J25" s="1500">
        <f>+(F25*H25)</f>
        <v>750000</v>
      </c>
      <c r="K25" s="439"/>
      <c r="L25" s="439"/>
      <c r="M25"/>
      <c r="N25"/>
      <c r="O25"/>
    </row>
    <row r="26" spans="1:15" s="201" customFormat="1" ht="13.2">
      <c r="A26" s="439"/>
      <c r="B26" s="594">
        <v>2.5</v>
      </c>
      <c r="C26" s="535" t="s">
        <v>401</v>
      </c>
      <c r="D26" s="536" t="s">
        <v>164</v>
      </c>
      <c r="E26" s="530"/>
      <c r="F26" s="537">
        <f t="shared" ref="F26:F27" si="4">+F25</f>
        <v>3</v>
      </c>
      <c r="G26" s="531"/>
      <c r="H26" s="1488">
        <f>+AIU!J28</f>
        <v>250000</v>
      </c>
      <c r="I26" s="533"/>
      <c r="J26" s="1500">
        <f>+(F26*H26)</f>
        <v>750000</v>
      </c>
      <c r="K26" s="439"/>
      <c r="L26" s="439"/>
      <c r="M26"/>
      <c r="N26"/>
      <c r="O26"/>
    </row>
    <row r="27" spans="1:15" s="201" customFormat="1" ht="13.2">
      <c r="A27" s="439"/>
      <c r="B27" s="594">
        <v>2.6</v>
      </c>
      <c r="C27" s="535" t="s">
        <v>300</v>
      </c>
      <c r="D27" s="536" t="s">
        <v>164</v>
      </c>
      <c r="E27" s="536">
        <v>1</v>
      </c>
      <c r="F27" s="537">
        <f t="shared" si="4"/>
        <v>3</v>
      </c>
      <c r="G27" s="531"/>
      <c r="H27" s="1489">
        <f>+AIU!J39</f>
        <v>1500000</v>
      </c>
      <c r="I27" s="533"/>
      <c r="J27" s="1500">
        <f>+(F27*H27)</f>
        <v>4500000</v>
      </c>
      <c r="K27" s="439"/>
      <c r="L27" s="439"/>
      <c r="M27"/>
      <c r="N27"/>
      <c r="O27"/>
    </row>
    <row r="28" spans="1:15" s="201" customFormat="1" ht="20.399999999999999">
      <c r="A28" s="439"/>
      <c r="B28" s="594">
        <v>2.7</v>
      </c>
      <c r="C28" s="538" t="s">
        <v>402</v>
      </c>
      <c r="D28" s="536" t="s">
        <v>164</v>
      </c>
      <c r="E28" s="530"/>
      <c r="F28" s="537">
        <v>1</v>
      </c>
      <c r="G28" s="531"/>
      <c r="H28" s="1486">
        <f>+ENSAYOS!I82</f>
        <v>10793076.280000001</v>
      </c>
      <c r="I28" s="533"/>
      <c r="J28" s="1500">
        <f>+(F28*H28)</f>
        <v>10793076.280000001</v>
      </c>
      <c r="K28" s="439"/>
      <c r="L28" s="439"/>
    </row>
    <row r="29" spans="1:15" s="201" customFormat="1" ht="20.399999999999999">
      <c r="A29" s="439"/>
      <c r="B29" s="594">
        <v>2.8</v>
      </c>
      <c r="C29" s="538" t="s">
        <v>347</v>
      </c>
      <c r="D29" s="536" t="s">
        <v>164</v>
      </c>
      <c r="E29" s="530"/>
      <c r="F29" s="537">
        <f>+F27</f>
        <v>3</v>
      </c>
      <c r="G29" s="531"/>
      <c r="H29" s="1486">
        <f>+AIU!J40</f>
        <v>7000000</v>
      </c>
      <c r="I29" s="533"/>
      <c r="J29" s="1500">
        <f>+(H29*F29)</f>
        <v>21000000</v>
      </c>
      <c r="K29" s="439"/>
      <c r="L29" s="439"/>
    </row>
    <row r="30" spans="1:15" s="201" customFormat="1" ht="10.199999999999999">
      <c r="A30" s="439"/>
      <c r="B30" s="594">
        <v>2.9</v>
      </c>
      <c r="C30" s="590" t="s">
        <v>424</v>
      </c>
      <c r="D30" s="591" t="s">
        <v>164</v>
      </c>
      <c r="E30" s="1333">
        <f>+F29</f>
        <v>3</v>
      </c>
      <c r="F30" s="537">
        <v>7</v>
      </c>
      <c r="G30" s="592"/>
      <c r="H30" s="1490">
        <f>+AIU!J41</f>
        <v>0</v>
      </c>
      <c r="I30" s="593"/>
      <c r="J30" s="1501">
        <f>+(E30*H30*F30)</f>
        <v>0</v>
      </c>
      <c r="K30" s="439"/>
      <c r="L30" s="439"/>
    </row>
    <row r="31" spans="1:15" s="201" customFormat="1" thickBot="1">
      <c r="A31" s="439"/>
      <c r="B31" s="594">
        <v>2.1</v>
      </c>
      <c r="C31" s="539" t="s">
        <v>403</v>
      </c>
      <c r="D31" s="540" t="s">
        <v>164</v>
      </c>
      <c r="E31" s="541"/>
      <c r="F31" s="537">
        <f>+F29</f>
        <v>3</v>
      </c>
      <c r="G31" s="542"/>
      <c r="H31" s="1485">
        <v>241237.7272773108</v>
      </c>
      <c r="I31" s="543"/>
      <c r="J31" s="1502">
        <f>+(H31*F31)</f>
        <v>723713.18183193239</v>
      </c>
      <c r="K31" s="439"/>
      <c r="L31" s="439"/>
    </row>
    <row r="32" spans="1:15" s="201" customFormat="1" thickBot="1">
      <c r="A32" s="439"/>
      <c r="B32" s="1369"/>
      <c r="C32" s="1370"/>
      <c r="D32" s="1371"/>
      <c r="E32" s="1372"/>
      <c r="F32" s="1373"/>
      <c r="G32" s="1374"/>
      <c r="H32" s="1375"/>
      <c r="I32" s="1376"/>
      <c r="J32" s="1377"/>
      <c r="K32" s="439"/>
      <c r="L32" s="439"/>
    </row>
    <row r="33" spans="1:16" s="201" customFormat="1" ht="15.75" customHeight="1" thickBot="1">
      <c r="A33" s="439"/>
      <c r="B33" s="406"/>
      <c r="C33" s="1719" t="s">
        <v>219</v>
      </c>
      <c r="D33" s="1720"/>
      <c r="E33" s="1720"/>
      <c r="F33" s="1720"/>
      <c r="G33" s="1720"/>
      <c r="H33" s="1720"/>
      <c r="I33" s="1721"/>
      <c r="J33" s="407">
        <f>SUM(J22:J31)</f>
        <v>46383782.596831933</v>
      </c>
      <c r="K33" s="439"/>
      <c r="L33" s="440">
        <f>J33*1.19</f>
        <v>55196701.290229999</v>
      </c>
      <c r="M33" s="201">
        <v>784686000</v>
      </c>
    </row>
    <row r="34" spans="1:16" s="201" customFormat="1" ht="15.75" customHeight="1">
      <c r="A34" s="439"/>
      <c r="B34" s="1716" t="s">
        <v>790</v>
      </c>
      <c r="C34" s="1717"/>
      <c r="D34" s="1717"/>
      <c r="E34" s="1717"/>
      <c r="F34" s="1717"/>
      <c r="G34" s="1717"/>
      <c r="H34" s="1717"/>
      <c r="I34" s="1717"/>
      <c r="J34" s="1718"/>
      <c r="K34" s="439"/>
      <c r="L34" s="440"/>
    </row>
    <row r="35" spans="1:16" s="201" customFormat="1" ht="15.75" customHeight="1">
      <c r="A35" s="439"/>
      <c r="B35" s="1378" t="s">
        <v>791</v>
      </c>
      <c r="C35" s="1378" t="s">
        <v>792</v>
      </c>
      <c r="D35" s="1378" t="s">
        <v>44</v>
      </c>
      <c r="E35" s="1378"/>
      <c r="F35" s="1378" t="s">
        <v>15</v>
      </c>
      <c r="G35" s="1378"/>
      <c r="H35" s="1378" t="s">
        <v>180</v>
      </c>
      <c r="I35" s="1378"/>
      <c r="J35" s="1378" t="s">
        <v>179</v>
      </c>
      <c r="K35" s="439"/>
      <c r="L35" s="440"/>
    </row>
    <row r="36" spans="1:16" s="201" customFormat="1" ht="15.75" customHeight="1">
      <c r="A36" s="439"/>
      <c r="B36" s="1379" t="s">
        <v>161</v>
      </c>
      <c r="C36" s="1354" t="s">
        <v>759</v>
      </c>
      <c r="D36" s="1381" t="s">
        <v>282</v>
      </c>
      <c r="E36" s="1380"/>
      <c r="F36" s="1382">
        <v>1.4999999999999999E-2</v>
      </c>
      <c r="G36" s="1380"/>
      <c r="H36" s="1383">
        <f>(J33+J19)*F36</f>
        <v>2729155.6889524786</v>
      </c>
      <c r="I36" s="1380"/>
      <c r="J36" s="1384">
        <f>H36</f>
        <v>2729155.6889524786</v>
      </c>
      <c r="K36" s="439"/>
      <c r="L36" s="440"/>
    </row>
    <row r="37" spans="1:16" s="201" customFormat="1" ht="15.75" customHeight="1">
      <c r="A37" s="439"/>
      <c r="B37" s="1379" t="s">
        <v>406</v>
      </c>
      <c r="C37" s="1354" t="s">
        <v>710</v>
      </c>
      <c r="D37" s="1381" t="s">
        <v>282</v>
      </c>
      <c r="E37" s="1380"/>
      <c r="F37" s="1391">
        <f>0.04</f>
        <v>0.04</v>
      </c>
      <c r="G37" s="1380"/>
      <c r="H37" s="1383">
        <f>(J33+J19)*F37</f>
        <v>7277748.5038732765</v>
      </c>
      <c r="I37" s="1380"/>
      <c r="J37" s="1384">
        <f t="shared" ref="J37:J43" si="5">H37</f>
        <v>7277748.5038732765</v>
      </c>
      <c r="K37" s="439"/>
      <c r="L37" s="440"/>
    </row>
    <row r="38" spans="1:16" s="201" customFormat="1" ht="15.75" customHeight="1">
      <c r="A38" s="439"/>
      <c r="B38" s="1379" t="s">
        <v>793</v>
      </c>
      <c r="C38" s="1354" t="s">
        <v>760</v>
      </c>
      <c r="D38" s="1381" t="s">
        <v>282</v>
      </c>
      <c r="E38" s="1380"/>
      <c r="F38" s="1391">
        <f>0.02</f>
        <v>0.02</v>
      </c>
      <c r="G38" s="1380"/>
      <c r="H38" s="1383">
        <f>(J33+J19)*F38</f>
        <v>3638874.2519366383</v>
      </c>
      <c r="I38" s="1380"/>
      <c r="J38" s="1384">
        <f t="shared" si="5"/>
        <v>3638874.2519366383</v>
      </c>
      <c r="K38" s="439"/>
      <c r="L38" s="440"/>
    </row>
    <row r="39" spans="1:16" s="201" customFormat="1" ht="21.75" customHeight="1">
      <c r="A39" s="439"/>
      <c r="B39" s="1379" t="s">
        <v>794</v>
      </c>
      <c r="C39" s="1354" t="s">
        <v>761</v>
      </c>
      <c r="D39" s="1381" t="s">
        <v>282</v>
      </c>
      <c r="E39" s="1380"/>
      <c r="F39" s="1391">
        <f>0.02</f>
        <v>0.02</v>
      </c>
      <c r="G39" s="1380"/>
      <c r="H39" s="1383">
        <f>(J33+J19)*F39</f>
        <v>3638874.2519366383</v>
      </c>
      <c r="I39" s="1380"/>
      <c r="J39" s="1384">
        <f t="shared" si="5"/>
        <v>3638874.2519366383</v>
      </c>
      <c r="K39" s="439"/>
      <c r="L39" s="440"/>
    </row>
    <row r="40" spans="1:16" s="201" customFormat="1" ht="23.25" customHeight="1">
      <c r="A40" s="439"/>
      <c r="B40" s="1379" t="s">
        <v>795</v>
      </c>
      <c r="C40" s="1354" t="s">
        <v>762</v>
      </c>
      <c r="D40" s="1381" t="s">
        <v>282</v>
      </c>
      <c r="E40" s="1380"/>
      <c r="F40" s="1391">
        <f>0.02</f>
        <v>0.02</v>
      </c>
      <c r="G40" s="1380"/>
      <c r="H40" s="1383">
        <f>(J33+J19)*F40</f>
        <v>3638874.2519366383</v>
      </c>
      <c r="I40" s="1380"/>
      <c r="J40" s="1384">
        <f t="shared" si="5"/>
        <v>3638874.2519366383</v>
      </c>
      <c r="K40" s="439"/>
      <c r="L40" s="440"/>
    </row>
    <row r="41" spans="1:16" s="201" customFormat="1" ht="15.75" customHeight="1">
      <c r="A41" s="439"/>
      <c r="B41" s="1379" t="s">
        <v>796</v>
      </c>
      <c r="C41" s="1354" t="s">
        <v>770</v>
      </c>
      <c r="D41" s="1381" t="s">
        <v>282</v>
      </c>
      <c r="E41" s="1380"/>
      <c r="F41" s="1391">
        <f>0.015</f>
        <v>1.4999999999999999E-2</v>
      </c>
      <c r="G41" s="1380"/>
      <c r="H41" s="1383">
        <f>(J33+J19)*F41</f>
        <v>2729155.6889524786</v>
      </c>
      <c r="I41" s="1380"/>
      <c r="J41" s="1384">
        <f t="shared" si="5"/>
        <v>2729155.6889524786</v>
      </c>
      <c r="K41" s="439"/>
      <c r="L41" s="440"/>
    </row>
    <row r="42" spans="1:16" s="201" customFormat="1" ht="15.75" customHeight="1">
      <c r="A42" s="439"/>
      <c r="B42" s="1379" t="s">
        <v>797</v>
      </c>
      <c r="C42" s="1390" t="s">
        <v>800</v>
      </c>
      <c r="D42" s="1381" t="s">
        <v>282</v>
      </c>
      <c r="E42" s="1381"/>
      <c r="F42" s="1391">
        <v>0.02</v>
      </c>
      <c r="G42" s="1381"/>
      <c r="H42" s="1383">
        <f>(J33+J19)*F42</f>
        <v>3638874.2519366383</v>
      </c>
      <c r="I42" s="1381"/>
      <c r="J42" s="1384">
        <f t="shared" si="5"/>
        <v>3638874.2519366383</v>
      </c>
      <c r="K42" s="439"/>
      <c r="L42" s="440"/>
    </row>
    <row r="43" spans="1:16" s="201" customFormat="1" ht="15.75" customHeight="1" thickBot="1">
      <c r="A43" s="439"/>
      <c r="B43" s="1379" t="s">
        <v>802</v>
      </c>
      <c r="C43" s="1392" t="s">
        <v>788</v>
      </c>
      <c r="D43" s="1393" t="s">
        <v>282</v>
      </c>
      <c r="E43" s="1385"/>
      <c r="F43" s="1394">
        <v>0.01</v>
      </c>
      <c r="G43" s="1385"/>
      <c r="H43" s="1395">
        <f>(J39+J25)*F43</f>
        <v>43888.742519366388</v>
      </c>
      <c r="I43" s="1385"/>
      <c r="J43" s="1386">
        <f t="shared" si="5"/>
        <v>43888.742519366388</v>
      </c>
      <c r="K43" s="439"/>
      <c r="L43" s="440"/>
      <c r="P43" s="1387"/>
    </row>
    <row r="44" spans="1:16" s="201" customFormat="1" ht="15.75" customHeight="1" thickBot="1">
      <c r="A44" s="439"/>
      <c r="B44" s="1731" t="s">
        <v>798</v>
      </c>
      <c r="C44" s="1732"/>
      <c r="D44" s="1732"/>
      <c r="E44" s="1732"/>
      <c r="F44" s="1732"/>
      <c r="G44" s="1732"/>
      <c r="H44" s="1732"/>
      <c r="I44" s="1733"/>
      <c r="J44" s="1388">
        <f>SUM(J36:J43)</f>
        <v>27335445.632044151</v>
      </c>
      <c r="K44" s="439"/>
      <c r="L44" s="440"/>
    </row>
    <row r="45" spans="1:16" ht="15" customHeight="1">
      <c r="A45" s="207"/>
      <c r="B45" s="1722" t="s">
        <v>220</v>
      </c>
      <c r="C45" s="1723"/>
      <c r="D45" s="1723"/>
      <c r="E45" s="1723"/>
      <c r="F45" s="1723"/>
      <c r="G45" s="1723"/>
      <c r="H45" s="1723"/>
      <c r="I45" s="1723"/>
      <c r="J45" s="1724"/>
      <c r="K45" s="207"/>
      <c r="L45" s="207"/>
      <c r="M45"/>
    </row>
    <row r="46" spans="1:16" ht="15" customHeight="1">
      <c r="A46" s="207"/>
      <c r="B46" s="363"/>
      <c r="C46" s="1725" t="s">
        <v>799</v>
      </c>
      <c r="D46" s="1726"/>
      <c r="E46" s="1726"/>
      <c r="F46" s="1726"/>
      <c r="G46" s="1726"/>
      <c r="H46" s="1726"/>
      <c r="I46" s="1727"/>
      <c r="J46" s="364">
        <f>+(J33+J19+J44)</f>
        <v>209279158.22887605</v>
      </c>
      <c r="K46" s="441"/>
      <c r="L46" s="369"/>
    </row>
    <row r="47" spans="1:16" ht="15" customHeight="1">
      <c r="A47" s="207"/>
      <c r="B47" s="363"/>
      <c r="C47" s="1725" t="s">
        <v>221</v>
      </c>
      <c r="D47" s="1726"/>
      <c r="E47" s="1726"/>
      <c r="F47" s="1726"/>
      <c r="G47" s="1726"/>
      <c r="H47" s="1726"/>
      <c r="I47" s="1727"/>
      <c r="J47" s="364">
        <f>+(J46*19%)</f>
        <v>39763040.063486449</v>
      </c>
      <c r="K47" s="441"/>
      <c r="L47" s="207"/>
    </row>
    <row r="48" spans="1:16" ht="15" customHeight="1" thickBot="1">
      <c r="A48" s="207"/>
      <c r="B48" s="365"/>
      <c r="C48" s="1728" t="s">
        <v>222</v>
      </c>
      <c r="D48" s="1729"/>
      <c r="E48" s="1729"/>
      <c r="F48" s="1729"/>
      <c r="G48" s="1729"/>
      <c r="H48" s="1729"/>
      <c r="I48" s="1730"/>
      <c r="J48" s="595">
        <f>+ROUND(J47+J46,0)</f>
        <v>249042198</v>
      </c>
      <c r="K48" s="441"/>
      <c r="L48" s="657">
        <f>SUM(L19:L33)</f>
        <v>209421260.59022999</v>
      </c>
    </row>
    <row r="49" spans="1:15" ht="15.75" customHeight="1" thickTop="1" thickBot="1">
      <c r="A49" s="207"/>
      <c r="B49" s="1713"/>
      <c r="C49" s="1714"/>
      <c r="D49" s="1714"/>
      <c r="E49" s="1714"/>
      <c r="F49" s="1714"/>
      <c r="G49" s="1714"/>
      <c r="H49" s="1714"/>
      <c r="I49" s="1714"/>
      <c r="J49" s="1715"/>
      <c r="K49" s="369"/>
      <c r="L49" s="369"/>
      <c r="N49" s="528"/>
      <c r="O49" s="232"/>
    </row>
    <row r="50" spans="1:15" s="207" customFormat="1" ht="13.2">
      <c r="B50" s="366"/>
      <c r="C50" s="276"/>
      <c r="H50" s="367"/>
      <c r="I50" s="368"/>
      <c r="J50" s="369"/>
      <c r="N50" s="208"/>
    </row>
    <row r="51" spans="1:15" s="207" customFormat="1" ht="10.199999999999999">
      <c r="I51" s="368"/>
      <c r="J51" s="369"/>
    </row>
    <row r="52" spans="1:15" s="202" customFormat="1" ht="13.2">
      <c r="A52" s="209"/>
      <c r="B52" s="366"/>
      <c r="C52" s="277"/>
      <c r="D52" s="207"/>
      <c r="E52" s="207"/>
      <c r="F52" s="207"/>
      <c r="G52" s="207"/>
      <c r="H52" s="367"/>
      <c r="I52" s="431"/>
      <c r="J52" s="432"/>
      <c r="K52" s="207"/>
      <c r="L52" s="209"/>
    </row>
    <row r="53" spans="1:15" s="202" customFormat="1" ht="13.2">
      <c r="A53" s="209"/>
      <c r="B53" s="366"/>
      <c r="C53" s="277"/>
      <c r="D53" s="207"/>
      <c r="E53" s="207"/>
      <c r="F53" s="207"/>
      <c r="G53" s="207"/>
      <c r="H53" s="367"/>
      <c r="I53" s="431"/>
      <c r="J53" s="432"/>
      <c r="K53" s="207"/>
      <c r="L53" s="209"/>
    </row>
    <row r="54" spans="1:15" s="202" customFormat="1" ht="13.2">
      <c r="A54" s="209"/>
      <c r="B54" s="366"/>
      <c r="C54" s="277"/>
      <c r="D54" s="207"/>
      <c r="E54" s="207"/>
      <c r="F54" s="207"/>
      <c r="G54" s="207"/>
      <c r="H54" s="367"/>
      <c r="I54" s="431"/>
      <c r="J54" s="432"/>
      <c r="K54" s="207"/>
      <c r="L54" s="209"/>
    </row>
    <row r="55" spans="1:15" s="202" customFormat="1" ht="13.2">
      <c r="A55" s="209"/>
      <c r="B55" s="366"/>
      <c r="C55" s="277"/>
      <c r="D55" s="207"/>
      <c r="E55" s="207"/>
      <c r="F55" s="207"/>
      <c r="G55" s="207"/>
      <c r="H55" s="367"/>
      <c r="I55" s="431"/>
      <c r="J55" s="432"/>
      <c r="K55" s="207"/>
      <c r="L55" s="209"/>
    </row>
    <row r="56" spans="1:15" s="202" customFormat="1" ht="13.2">
      <c r="A56" s="209"/>
      <c r="B56" s="366"/>
      <c r="C56" s="277"/>
      <c r="D56" s="207"/>
      <c r="E56" s="207"/>
      <c r="F56" s="207"/>
      <c r="G56" s="207"/>
      <c r="H56" s="367"/>
      <c r="I56" s="431"/>
      <c r="J56" s="432"/>
      <c r="K56" s="207"/>
      <c r="L56" s="209"/>
    </row>
    <row r="57" spans="1:15" s="202" customFormat="1" ht="13.2">
      <c r="A57" s="209"/>
      <c r="B57" s="366"/>
      <c r="C57" s="277"/>
      <c r="D57" s="207"/>
      <c r="E57" s="207"/>
      <c r="F57" s="207"/>
      <c r="G57" s="207"/>
      <c r="H57" s="367"/>
      <c r="I57" s="431"/>
      <c r="J57" s="432"/>
      <c r="K57" s="207"/>
      <c r="L57" s="209"/>
    </row>
    <row r="58" spans="1:15" s="202" customFormat="1" ht="13.2">
      <c r="A58" s="209"/>
      <c r="B58" s="366"/>
      <c r="C58" s="277"/>
      <c r="D58" s="207"/>
      <c r="E58" s="207"/>
      <c r="F58" s="207"/>
      <c r="G58" s="207"/>
      <c r="H58" s="367"/>
      <c r="I58" s="431"/>
      <c r="J58" s="432"/>
      <c r="K58" s="207"/>
      <c r="L58" s="209"/>
    </row>
    <row r="59" spans="1:15" s="202" customFormat="1" ht="13.2">
      <c r="A59" s="209"/>
      <c r="B59" s="366"/>
      <c r="C59" s="277"/>
      <c r="D59" s="207"/>
      <c r="E59" s="207"/>
      <c r="F59" s="209"/>
      <c r="G59" s="209"/>
      <c r="H59" s="209"/>
      <c r="I59" s="209"/>
      <c r="J59" s="209"/>
      <c r="K59" s="209"/>
      <c r="L59" s="209"/>
    </row>
    <row r="60" spans="1:15" s="202" customFormat="1" ht="13.2">
      <c r="A60" s="209"/>
      <c r="B60" s="1092"/>
      <c r="C60" s="1093"/>
      <c r="D60" s="207"/>
      <c r="E60" s="207"/>
      <c r="F60" s="209"/>
      <c r="G60" s="209"/>
      <c r="H60" s="209"/>
      <c r="I60" s="209"/>
      <c r="J60" s="209"/>
      <c r="K60" s="209"/>
      <c r="L60" s="209"/>
    </row>
    <row r="61" spans="1:15" s="202" customFormat="1" ht="15.6">
      <c r="A61" s="209"/>
      <c r="B61" s="552" t="str">
        <f>+AIU!B72</f>
        <v>JESUS EDUARDO ROBLES SMITH</v>
      </c>
      <c r="C61" s="437"/>
      <c r="D61" s="437"/>
      <c r="E61" s="105"/>
      <c r="F61" s="209"/>
      <c r="G61" s="209"/>
      <c r="H61" s="209"/>
      <c r="I61" s="209"/>
      <c r="J61" s="209"/>
      <c r="K61" s="209"/>
      <c r="L61" s="209"/>
    </row>
    <row r="62" spans="1:15" s="202" customFormat="1" ht="15">
      <c r="A62" s="209"/>
      <c r="B62" s="551" t="str">
        <f>+AIU!B73</f>
        <v>INGENIERO CIVIL</v>
      </c>
      <c r="C62" s="223"/>
      <c r="D62" s="213"/>
      <c r="E62" s="6"/>
      <c r="F62" s="209"/>
      <c r="G62" s="209"/>
      <c r="H62" s="209"/>
      <c r="I62" s="209"/>
      <c r="J62" s="209"/>
      <c r="K62" s="209"/>
      <c r="L62" s="209"/>
    </row>
    <row r="63" spans="1:15" s="202" customFormat="1" ht="15">
      <c r="A63" s="209"/>
      <c r="B63" s="551" t="str">
        <f>+AIU!B74</f>
        <v>M.P. 25202-316144 CND</v>
      </c>
      <c r="C63" s="223"/>
      <c r="D63" s="211"/>
      <c r="E63" s="6"/>
      <c r="F63" s="209"/>
      <c r="G63" s="209"/>
      <c r="H63" s="209"/>
      <c r="I63" s="209"/>
      <c r="J63" s="209"/>
      <c r="K63" s="209"/>
      <c r="L63" s="209"/>
    </row>
    <row r="64" spans="1:15" s="202" customFormat="1">
      <c r="A64" s="209"/>
      <c r="B64" s="438"/>
      <c r="C64" s="433"/>
      <c r="D64" s="433"/>
      <c r="E64" s="433"/>
      <c r="F64" s="209"/>
      <c r="G64" s="209"/>
      <c r="H64" s="209"/>
      <c r="I64" s="209"/>
      <c r="J64" s="209"/>
      <c r="K64" s="209"/>
      <c r="L64" s="209"/>
    </row>
    <row r="65" spans="1:19">
      <c r="A65" s="207"/>
      <c r="B65" s="438"/>
      <c r="C65" s="433"/>
      <c r="D65" s="433"/>
      <c r="E65" s="433"/>
      <c r="F65" s="433"/>
      <c r="G65" s="433"/>
      <c r="H65" s="434"/>
      <c r="I65" s="435"/>
      <c r="J65" s="436"/>
      <c r="K65" s="207"/>
      <c r="L65" s="207"/>
    </row>
    <row r="66" spans="1:19">
      <c r="A66" s="207"/>
      <c r="B66" s="438"/>
      <c r="C66" s="433"/>
      <c r="D66" s="433"/>
      <c r="E66" s="433"/>
      <c r="F66" s="433"/>
      <c r="G66" s="433"/>
      <c r="H66" s="434"/>
      <c r="I66" s="435"/>
      <c r="J66" s="436"/>
      <c r="K66" s="207"/>
      <c r="L66" s="207"/>
    </row>
    <row r="67" spans="1:19">
      <c r="A67" s="209"/>
      <c r="B67" s="438"/>
      <c r="C67" s="433"/>
      <c r="D67" s="433"/>
      <c r="E67" s="433"/>
      <c r="F67" s="433"/>
      <c r="G67" s="433"/>
      <c r="H67" s="434"/>
      <c r="I67" s="435"/>
      <c r="J67" s="436"/>
      <c r="K67" s="207"/>
      <c r="L67" s="207"/>
    </row>
    <row r="68" spans="1:19">
      <c r="A68" s="209"/>
      <c r="B68" s="438"/>
      <c r="C68" s="433"/>
      <c r="D68" s="433"/>
      <c r="E68" s="433"/>
      <c r="F68" s="433"/>
      <c r="H68" s="220"/>
    </row>
    <row r="69" spans="1:19">
      <c r="A69" s="209"/>
      <c r="B69" s="438"/>
      <c r="C69" s="433"/>
      <c r="D69" s="433"/>
      <c r="E69" s="433"/>
      <c r="F69" s="433"/>
      <c r="H69" s="220"/>
    </row>
    <row r="70" spans="1:19">
      <c r="A70" s="209"/>
      <c r="B70" s="438"/>
      <c r="C70" s="433"/>
      <c r="D70" s="433"/>
      <c r="E70" s="433"/>
      <c r="F70" s="433"/>
      <c r="H70" s="220"/>
    </row>
    <row r="71" spans="1:19">
      <c r="A71" s="209"/>
      <c r="B71" s="438"/>
      <c r="C71" s="433"/>
      <c r="D71" s="433"/>
      <c r="E71" s="433"/>
      <c r="F71" s="433"/>
      <c r="H71" s="220"/>
    </row>
    <row r="72" spans="1:19">
      <c r="A72" s="209"/>
      <c r="H72" s="220"/>
      <c r="Q72" s="203"/>
    </row>
    <row r="73" spans="1:19">
      <c r="A73" s="209"/>
      <c r="H73" s="220"/>
    </row>
    <row r="74" spans="1:19">
      <c r="A74" s="207"/>
      <c r="H74" s="220"/>
      <c r="Q74" s="203"/>
      <c r="R74" s="203"/>
      <c r="S74" s="203"/>
    </row>
    <row r="75" spans="1:19">
      <c r="A75" s="207"/>
      <c r="H75" s="220"/>
      <c r="Q75" s="204"/>
      <c r="R75" s="203"/>
      <c r="S75" s="203"/>
    </row>
    <row r="76" spans="1:19">
      <c r="A76" s="207"/>
      <c r="Q76" s="203"/>
      <c r="R76" s="203"/>
      <c r="S76" s="203"/>
    </row>
    <row r="77" spans="1:19">
      <c r="Q77" s="203"/>
      <c r="R77" s="203"/>
      <c r="S77" s="203"/>
    </row>
    <row r="78" spans="1:19">
      <c r="Q78" s="203"/>
      <c r="R78" s="203"/>
      <c r="S78" s="203"/>
    </row>
    <row r="79" spans="1:19">
      <c r="Q79" s="203"/>
      <c r="R79" s="203"/>
      <c r="S79" s="203"/>
    </row>
    <row r="80" spans="1:19">
      <c r="Q80" s="203"/>
      <c r="R80" s="203"/>
      <c r="S80" s="203"/>
    </row>
    <row r="81" spans="17:19">
      <c r="Q81" s="203"/>
      <c r="R81" s="203"/>
      <c r="S81" s="203"/>
    </row>
    <row r="82" spans="17:19">
      <c r="Q82" s="203"/>
      <c r="R82" s="203"/>
      <c r="S82" s="203"/>
    </row>
  </sheetData>
  <sheetProtection formatCells="0" formatColumns="0" formatRows="0" insertColumns="0" insertRows="0" insertHyperlinks="0" deleteColumns="0" deleteRows="0" sort="0" autoFilter="0" pivotTables="0"/>
  <mergeCells count="14">
    <mergeCell ref="C19:I19"/>
    <mergeCell ref="B2:J3"/>
    <mergeCell ref="B4:J4"/>
    <mergeCell ref="B5:B6"/>
    <mergeCell ref="C5:C6"/>
    <mergeCell ref="B49:J49"/>
    <mergeCell ref="B20:J20"/>
    <mergeCell ref="C33:I33"/>
    <mergeCell ref="B45:J45"/>
    <mergeCell ref="C46:I46"/>
    <mergeCell ref="C47:I47"/>
    <mergeCell ref="C48:I48"/>
    <mergeCell ref="B34:J34"/>
    <mergeCell ref="B44:I44"/>
  </mergeCells>
  <phoneticPr fontId="135" type="noConversion"/>
  <printOptions horizontalCentered="1"/>
  <pageMargins left="0.70866141732283472" right="0.70866141732283472" top="0.74803149606299213" bottom="0.74803149606299213" header="0.31496062992125984" footer="0.31496062992125984"/>
  <pageSetup scale="57" orientation="portrait" r:id="rId1"/>
  <ignoredErrors>
    <ignoredError sqref="H11:H13 J23 J3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3">
    <tabColor theme="6" tint="0.39997558519241921"/>
  </sheetPr>
  <dimension ref="A1:F31"/>
  <sheetViews>
    <sheetView workbookViewId="0">
      <selection sqref="A1:C1"/>
    </sheetView>
  </sheetViews>
  <sheetFormatPr baseColWidth="10" defaultColWidth="11.44140625" defaultRowHeight="14.1" customHeight="1"/>
  <cols>
    <col min="1" max="4" width="18.44140625" style="129" customWidth="1"/>
    <col min="5" max="6" width="15.5546875" style="129" customWidth="1"/>
    <col min="7" max="16384" width="11.44140625" style="129"/>
  </cols>
  <sheetData>
    <row r="1" spans="1:6" ht="14.1" customHeight="1">
      <c r="A1" s="1767"/>
      <c r="B1" s="1768"/>
      <c r="C1" s="1769"/>
      <c r="D1" s="1770"/>
      <c r="E1" s="1771"/>
      <c r="F1" s="1772"/>
    </row>
    <row r="2" spans="1:6" ht="14.1" customHeight="1">
      <c r="A2" s="1773"/>
      <c r="B2" s="1774"/>
      <c r="C2" s="1775"/>
      <c r="D2" s="1776"/>
      <c r="E2" s="1777"/>
      <c r="F2" s="1778"/>
    </row>
    <row r="3" spans="1:6" ht="14.1" customHeight="1">
      <c r="A3" s="1773"/>
      <c r="B3" s="1774"/>
      <c r="C3" s="1775"/>
      <c r="D3" s="1776"/>
      <c r="E3" s="1777"/>
      <c r="F3" s="1778"/>
    </row>
    <row r="4" spans="1:6" ht="14.1" customHeight="1">
      <c r="A4" s="1773"/>
      <c r="B4" s="1774"/>
      <c r="C4" s="1775"/>
      <c r="D4" s="1779"/>
      <c r="E4" s="1780"/>
      <c r="F4" s="1781"/>
    </row>
    <row r="5" spans="1:6" ht="14.1" customHeight="1">
      <c r="A5" s="1782"/>
      <c r="B5" s="1783"/>
      <c r="C5" s="1784"/>
      <c r="D5" s="1785"/>
      <c r="E5" s="1786"/>
      <c r="F5" s="1787"/>
    </row>
    <row r="6" spans="1:6" ht="14.1" customHeight="1">
      <c r="A6" s="1788"/>
      <c r="B6" s="1788"/>
      <c r="C6" s="1788"/>
      <c r="D6" s="190"/>
      <c r="E6" s="190"/>
      <c r="F6" s="191"/>
    </row>
    <row r="7" spans="1:6" ht="14.1" customHeight="1">
      <c r="A7" s="1756" t="str">
        <f>+PRESUPUESTO!D2</f>
        <v>"MEJORAMIENTO VIAL MEDIANTE LA CONSTRUCCIÓN DE PAVIMENTO RÍGIDO DE LA PRIMERA ETAPA DE LA VÍA QUE COMUNICA A LA VEREDA PONDORES EN EL CORREGIMIENTO DE CONEJO, MUNICIPIO DE FONSECA - DEPARTAMENTO DE LA GUAJIRA."</v>
      </c>
      <c r="B7" s="1757"/>
      <c r="C7" s="1757"/>
      <c r="D7" s="1757"/>
      <c r="E7" s="1757"/>
      <c r="F7" s="1758"/>
    </row>
    <row r="8" spans="1:6" ht="14.1" customHeight="1">
      <c r="A8" s="1759"/>
      <c r="B8" s="1760"/>
      <c r="C8" s="1760"/>
      <c r="D8" s="1760"/>
      <c r="E8" s="1760"/>
      <c r="F8" s="1761"/>
    </row>
    <row r="9" spans="1:6" ht="14.1" customHeight="1">
      <c r="A9" s="191"/>
      <c r="B9" s="191"/>
      <c r="C9" s="191"/>
      <c r="D9" s="191"/>
      <c r="E9" s="190"/>
      <c r="F9" s="191"/>
    </row>
    <row r="10" spans="1:6" ht="14.1" customHeight="1">
      <c r="A10" s="191"/>
      <c r="B10" s="191"/>
      <c r="C10" s="191"/>
      <c r="D10" s="191"/>
      <c r="E10" s="190"/>
      <c r="F10" s="191"/>
    </row>
    <row r="11" spans="1:6" ht="14.1" customHeight="1">
      <c r="A11" s="1762" t="s">
        <v>85</v>
      </c>
      <c r="B11" s="1763"/>
      <c r="C11" s="1763"/>
      <c r="D11" s="1763"/>
      <c r="E11" s="1763"/>
      <c r="F11" s="1764"/>
    </row>
    <row r="12" spans="1:6" ht="14.1" customHeight="1">
      <c r="A12" s="1762" t="s">
        <v>86</v>
      </c>
      <c r="B12" s="1763"/>
      <c r="C12" s="1763"/>
      <c r="D12" s="1764"/>
      <c r="E12" s="1765" t="s">
        <v>87</v>
      </c>
      <c r="F12" s="1766"/>
    </row>
    <row r="13" spans="1:6" ht="14.1" customHeight="1">
      <c r="A13" s="1753" t="s">
        <v>151</v>
      </c>
      <c r="B13" s="1754"/>
      <c r="C13" s="1754"/>
      <c r="D13" s="1755"/>
      <c r="E13" s="193">
        <v>145</v>
      </c>
      <c r="F13" s="192" t="s">
        <v>88</v>
      </c>
    </row>
    <row r="14" spans="1:6" ht="14.1" customHeight="1">
      <c r="A14" s="1753" t="s">
        <v>130</v>
      </c>
      <c r="B14" s="1754"/>
      <c r="C14" s="1754"/>
      <c r="D14" s="1755"/>
      <c r="E14" s="193">
        <v>78</v>
      </c>
      <c r="F14" s="192" t="s">
        <v>88</v>
      </c>
    </row>
    <row r="15" spans="1:6" ht="14.1" customHeight="1">
      <c r="A15" s="1753" t="s">
        <v>129</v>
      </c>
      <c r="B15" s="1754"/>
      <c r="C15" s="1754"/>
      <c r="D15" s="1755"/>
      <c r="E15" s="193">
        <v>78</v>
      </c>
      <c r="F15" s="192" t="s">
        <v>88</v>
      </c>
    </row>
    <row r="16" spans="1:6" ht="14.1" customHeight="1">
      <c r="A16" s="1753" t="s">
        <v>136</v>
      </c>
      <c r="B16" s="1754"/>
      <c r="C16" s="1754"/>
      <c r="D16" s="1755"/>
      <c r="E16" s="193">
        <v>78</v>
      </c>
      <c r="F16" s="192" t="s">
        <v>88</v>
      </c>
    </row>
    <row r="17" spans="1:6" ht="14.1" customHeight="1">
      <c r="A17" s="1753" t="s">
        <v>134</v>
      </c>
      <c r="B17" s="1754"/>
      <c r="C17" s="1754"/>
      <c r="D17" s="1755"/>
      <c r="E17" s="193">
        <v>22</v>
      </c>
      <c r="F17" s="192" t="s">
        <v>88</v>
      </c>
    </row>
    <row r="19" spans="1:6" ht="14.1" customHeight="1">
      <c r="A19" s="191"/>
      <c r="B19" s="191"/>
      <c r="C19" s="191"/>
      <c r="D19" s="191"/>
      <c r="E19" s="190"/>
      <c r="F19" s="191"/>
    </row>
    <row r="20" spans="1:6" ht="14.1" customHeight="1">
      <c r="A20" s="1750"/>
      <c r="B20" s="1751"/>
      <c r="C20" s="1751"/>
      <c r="D20" s="1751"/>
      <c r="E20" s="1751"/>
      <c r="F20" s="1752"/>
    </row>
    <row r="21" spans="1:6" ht="14.1" customHeight="1">
      <c r="A21" s="191"/>
      <c r="B21" s="191"/>
      <c r="C21" s="191"/>
      <c r="D21" s="191"/>
      <c r="E21" s="190"/>
      <c r="F21" s="191"/>
    </row>
    <row r="22" spans="1:6" ht="14.1" customHeight="1">
      <c r="A22" s="113"/>
      <c r="B22" s="114"/>
      <c r="C22" s="114"/>
      <c r="D22" s="114"/>
      <c r="E22" s="114"/>
      <c r="F22" s="115"/>
    </row>
    <row r="23" spans="1:6" ht="14.1" customHeight="1">
      <c r="A23" s="116" t="s">
        <v>89</v>
      </c>
      <c r="B23" s="117"/>
      <c r="C23" s="105"/>
      <c r="D23" s="105"/>
      <c r="E23" s="105"/>
      <c r="F23" s="118"/>
    </row>
    <row r="24" spans="1:6" ht="14.1" customHeight="1">
      <c r="A24" s="119"/>
      <c r="B24" s="120"/>
      <c r="C24" s="105"/>
      <c r="D24" s="105"/>
      <c r="E24" s="105"/>
      <c r="F24" s="118"/>
    </row>
    <row r="25" spans="1:6" ht="14.1" customHeight="1">
      <c r="A25" s="119"/>
      <c r="B25" s="120"/>
      <c r="C25" s="105"/>
      <c r="D25" s="105"/>
      <c r="E25" s="105"/>
      <c r="F25" s="118"/>
    </row>
    <row r="26" spans="1:6" ht="14.1" customHeight="1">
      <c r="A26" s="119"/>
      <c r="B26" s="120"/>
      <c r="C26" s="105"/>
      <c r="D26" s="105"/>
      <c r="E26" s="105"/>
      <c r="F26" s="118"/>
    </row>
    <row r="27" spans="1:6" ht="14.1" customHeight="1">
      <c r="A27" s="119"/>
      <c r="B27" s="120"/>
      <c r="C27" s="105"/>
      <c r="D27" s="105"/>
      <c r="E27" s="105"/>
      <c r="F27" s="121"/>
    </row>
    <row r="28" spans="1:6" ht="14.1" customHeight="1">
      <c r="A28" s="122"/>
      <c r="B28" s="120"/>
      <c r="C28" s="105"/>
      <c r="D28" s="105"/>
      <c r="E28" s="105"/>
      <c r="F28" s="123"/>
    </row>
    <row r="29" spans="1:6" ht="14.1" customHeight="1">
      <c r="A29" s="124"/>
      <c r="B29" s="120"/>
      <c r="C29" s="105"/>
      <c r="D29" s="105"/>
      <c r="E29" s="105"/>
      <c r="F29" s="121"/>
    </row>
    <row r="30" spans="1:6" ht="14.1" customHeight="1">
      <c r="A30" s="125"/>
      <c r="B30" s="126"/>
      <c r="C30" s="127"/>
      <c r="D30" s="127"/>
      <c r="E30" s="127"/>
      <c r="F30" s="128"/>
    </row>
    <row r="31" spans="1:6" ht="14.1" customHeight="1">
      <c r="A31" s="120"/>
      <c r="B31" s="117"/>
      <c r="C31" s="105"/>
      <c r="D31" s="105"/>
      <c r="E31" s="105"/>
      <c r="F31" s="194"/>
    </row>
  </sheetData>
  <mergeCells count="20">
    <mergeCell ref="A4:C4"/>
    <mergeCell ref="D4:F4"/>
    <mergeCell ref="A5:C5"/>
    <mergeCell ref="D5:F5"/>
    <mergeCell ref="A6:C6"/>
    <mergeCell ref="A1:C1"/>
    <mergeCell ref="D1:F1"/>
    <mergeCell ref="A2:C2"/>
    <mergeCell ref="D2:F3"/>
    <mergeCell ref="A3:C3"/>
    <mergeCell ref="A20:F20"/>
    <mergeCell ref="A15:D15"/>
    <mergeCell ref="A17:D17"/>
    <mergeCell ref="A16:D16"/>
    <mergeCell ref="A7:F8"/>
    <mergeCell ref="A13:D13"/>
    <mergeCell ref="A14:D14"/>
    <mergeCell ref="A11:F11"/>
    <mergeCell ref="A12:D12"/>
    <mergeCell ref="E12:F12"/>
  </mergeCells>
  <conditionalFormatting sqref="D2">
    <cfRule type="cellIs" dxfId="8" priority="2" stopIfTrue="1" operator="equal">
      <formula>"ESCRIBA AQUÍ EL NOMBRE DE LA OBRA"</formula>
    </cfRule>
  </conditionalFormatting>
  <conditionalFormatting sqref="D4">
    <cfRule type="cellIs" dxfId="7" priority="1" stopIfTrue="1" operator="equal">
      <formula>"ESCRIBA AQUÍ EL NOMBRE DE LA OBRA"</formula>
    </cfRule>
  </conditionalFormatting>
  <printOptions horizontalCentered="1"/>
  <pageMargins left="0.78740157480314965" right="0.59055118110236227" top="0.98425196850393704" bottom="0.78740157480314965" header="0.59055118110236227" footer="0.39370078740157483"/>
  <pageSetup scale="85" orientation="portrait" r:id="rId1"/>
  <headerFooter>
    <oddFooter>&amp;C&amp;"Century Gothic,Negrita"&amp;8DISTANCIA MATERIALES&amp;R&amp;"Century Gothic,Normal"&amp;8Página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6">
    <tabColor theme="6" tint="0.39997558519241921"/>
  </sheetPr>
  <dimension ref="A1:K331"/>
  <sheetViews>
    <sheetView workbookViewId="0"/>
  </sheetViews>
  <sheetFormatPr baseColWidth="10" defaultColWidth="11.44140625" defaultRowHeight="14.4" customHeight="1"/>
  <cols>
    <col min="1" max="1" width="20.5546875" style="105" customWidth="1"/>
    <col min="2" max="6" width="12.5546875" style="105" customWidth="1"/>
    <col min="7" max="7" width="15.5546875" style="105" customWidth="1"/>
    <col min="8" max="16384" width="11.44140625" style="105"/>
  </cols>
  <sheetData>
    <row r="1" spans="1:9" ht="14.25" customHeight="1">
      <c r="A1" s="130"/>
      <c r="B1" s="131"/>
      <c r="C1" s="132"/>
      <c r="D1" s="130"/>
      <c r="E1" s="131"/>
      <c r="F1" s="131"/>
      <c r="G1" s="132"/>
    </row>
    <row r="2" spans="1:9" ht="14.4" customHeight="1">
      <c r="A2" s="1801"/>
      <c r="B2" s="1802"/>
      <c r="C2" s="1803"/>
      <c r="D2" s="133"/>
      <c r="E2" s="134"/>
      <c r="F2" s="134"/>
      <c r="G2" s="135"/>
    </row>
    <row r="3" spans="1:9" ht="14.4" customHeight="1">
      <c r="A3" s="1801"/>
      <c r="B3" s="1802"/>
      <c r="C3" s="1803"/>
      <c r="D3" s="1801" t="s">
        <v>51</v>
      </c>
      <c r="E3" s="1802"/>
      <c r="F3" s="1802"/>
      <c r="G3" s="1803"/>
    </row>
    <row r="4" spans="1:9" ht="14.4" customHeight="1">
      <c r="A4" s="1801"/>
      <c r="B4" s="1802"/>
      <c r="C4" s="1803"/>
      <c r="D4" s="133"/>
      <c r="E4" s="134"/>
      <c r="F4" s="134"/>
      <c r="G4" s="135"/>
    </row>
    <row r="5" spans="1:9" ht="14.4" customHeight="1" thickBot="1">
      <c r="A5" s="136"/>
      <c r="B5" s="137"/>
      <c r="C5" s="138"/>
      <c r="D5" s="136"/>
      <c r="E5" s="137"/>
      <c r="F5" s="137"/>
      <c r="G5" s="138"/>
    </row>
    <row r="7" spans="1:9" ht="14.4" customHeight="1">
      <c r="A7" s="1804" t="str">
        <f>+PRESUPUESTO!$D$2</f>
        <v>"MEJORAMIENTO VIAL MEDIANTE LA CONSTRUCCIÓN DE PAVIMENTO RÍGIDO DE LA PRIMERA ETAPA DE LA VÍA QUE COMUNICA A LA VEREDA PONDORES EN EL CORREGIMIENTO DE CONEJO, MUNICIPIO DE FONSECA - DEPARTAMENTO DE LA GUAJIRA."</v>
      </c>
      <c r="B7" s="1804"/>
      <c r="C7" s="1804"/>
      <c r="D7" s="1804"/>
      <c r="E7" s="1804"/>
      <c r="F7" s="139" t="s">
        <v>57</v>
      </c>
      <c r="G7" s="134"/>
    </row>
    <row r="8" spans="1:9" ht="14.4" customHeight="1">
      <c r="A8" s="1804"/>
      <c r="B8" s="1804"/>
      <c r="C8" s="1804"/>
      <c r="D8" s="1804"/>
      <c r="E8" s="1804"/>
      <c r="F8" s="134"/>
      <c r="G8" s="134"/>
    </row>
    <row r="9" spans="1:9" ht="14.4" customHeight="1">
      <c r="A9" s="182"/>
      <c r="B9" s="182"/>
      <c r="C9" s="182"/>
      <c r="D9" s="182"/>
      <c r="E9" s="182"/>
      <c r="F9" s="134"/>
      <c r="G9" s="134"/>
    </row>
    <row r="10" spans="1:9" ht="14.4" customHeight="1">
      <c r="A10" s="134" t="s">
        <v>117</v>
      </c>
      <c r="B10" s="134"/>
      <c r="C10" s="134"/>
      <c r="D10" s="134"/>
      <c r="E10" s="134"/>
      <c r="F10" s="139" t="s">
        <v>28</v>
      </c>
      <c r="G10" s="134" t="s">
        <v>0</v>
      </c>
    </row>
    <row r="11" spans="1:9" ht="14.25" customHeight="1">
      <c r="B11" s="134"/>
      <c r="F11" s="134"/>
      <c r="G11" s="134"/>
    </row>
    <row r="12" spans="1:9" ht="14.4" customHeight="1" thickBot="1">
      <c r="A12" s="134" t="s">
        <v>16</v>
      </c>
    </row>
    <row r="13" spans="1:9" ht="14.4" customHeight="1">
      <c r="A13" s="1789" t="s">
        <v>21</v>
      </c>
      <c r="B13" s="1790"/>
      <c r="C13" s="1791"/>
      <c r="D13" s="140" t="s">
        <v>1</v>
      </c>
      <c r="E13" s="141" t="s">
        <v>8</v>
      </c>
      <c r="F13" s="140" t="s">
        <v>2</v>
      </c>
      <c r="G13" s="1792"/>
    </row>
    <row r="14" spans="1:9" ht="14.4" customHeight="1">
      <c r="A14" s="142" t="s">
        <v>50</v>
      </c>
      <c r="B14" s="177"/>
      <c r="C14" s="144"/>
      <c r="D14" s="110">
        <f>+Equ!$D$21</f>
        <v>15000</v>
      </c>
      <c r="E14" s="110">
        <v>1.7</v>
      </c>
      <c r="F14" s="110">
        <f>+ROUND(D14/E14,0)</f>
        <v>8824</v>
      </c>
      <c r="G14" s="1793"/>
    </row>
    <row r="15" spans="1:9" ht="14.4" customHeight="1">
      <c r="A15" s="142" t="s">
        <v>52</v>
      </c>
      <c r="B15" s="177"/>
      <c r="C15" s="144"/>
      <c r="D15" s="110">
        <f>+Equ!$D$22</f>
        <v>7500</v>
      </c>
      <c r="E15" s="110">
        <v>1.7</v>
      </c>
      <c r="F15" s="110">
        <f>+ROUND(D15/E15,0)</f>
        <v>4412</v>
      </c>
      <c r="G15" s="1793"/>
    </row>
    <row r="16" spans="1:9" ht="14.4" customHeight="1">
      <c r="A16" s="142" t="s">
        <v>49</v>
      </c>
      <c r="B16" s="143">
        <v>0.1</v>
      </c>
      <c r="C16" s="144"/>
      <c r="D16" s="110"/>
      <c r="E16" s="110"/>
      <c r="F16" s="110">
        <v>8906</v>
      </c>
      <c r="G16" s="1793"/>
      <c r="I16" s="111"/>
    </row>
    <row r="17" spans="1:7" ht="14.4" customHeight="1">
      <c r="A17" s="142"/>
      <c r="B17" s="177"/>
      <c r="C17" s="144"/>
      <c r="D17" s="110"/>
      <c r="E17" s="110"/>
      <c r="F17" s="110"/>
      <c r="G17" s="1793"/>
    </row>
    <row r="18" spans="1:7" ht="14.4" customHeight="1" thickBot="1">
      <c r="A18" s="147"/>
      <c r="B18" s="148"/>
      <c r="C18" s="149"/>
      <c r="D18" s="150"/>
      <c r="E18" s="150"/>
      <c r="F18" s="150"/>
      <c r="G18" s="1794"/>
    </row>
    <row r="19" spans="1:7" ht="14.4" customHeight="1" thickBot="1">
      <c r="F19" s="105" t="s">
        <v>3</v>
      </c>
      <c r="G19" s="151">
        <f>SUM(F14:F18)</f>
        <v>22142</v>
      </c>
    </row>
    <row r="20" spans="1:7" ht="14.4" customHeight="1" thickBot="1">
      <c r="A20" s="134" t="s">
        <v>17</v>
      </c>
      <c r="G20" s="111"/>
    </row>
    <row r="21" spans="1:7" ht="14.4" customHeight="1">
      <c r="A21" s="183" t="s">
        <v>21</v>
      </c>
      <c r="B21" s="140" t="s">
        <v>4</v>
      </c>
      <c r="C21" s="152" t="s">
        <v>5</v>
      </c>
      <c r="D21" s="140" t="s">
        <v>6</v>
      </c>
      <c r="E21" s="140" t="s">
        <v>56</v>
      </c>
      <c r="F21" s="140" t="s">
        <v>2</v>
      </c>
      <c r="G21" s="1792"/>
    </row>
    <row r="22" spans="1:7" ht="14.4" customHeight="1">
      <c r="A22" s="145" t="s">
        <v>37</v>
      </c>
      <c r="B22" s="109" t="s">
        <v>102</v>
      </c>
      <c r="C22" s="110">
        <f>+Sum!$D$13</f>
        <v>700</v>
      </c>
      <c r="D22" s="110">
        <v>260</v>
      </c>
      <c r="E22" s="163">
        <v>0.03</v>
      </c>
      <c r="F22" s="110">
        <f>+ROUND((C22*D22)+(C22*D22*E22),0)</f>
        <v>187460</v>
      </c>
      <c r="G22" s="1793"/>
    </row>
    <row r="23" spans="1:7" ht="14.4" customHeight="1">
      <c r="A23" s="142" t="s">
        <v>113</v>
      </c>
      <c r="B23" s="109" t="s">
        <v>0</v>
      </c>
      <c r="C23" s="110">
        <f>+Sum!$D$14</f>
        <v>85000</v>
      </c>
      <c r="D23" s="110">
        <v>0.82</v>
      </c>
      <c r="E23" s="163">
        <v>0.04</v>
      </c>
      <c r="F23" s="110">
        <f>+ROUND((C23*D23)+(C23*D23*E23),0)</f>
        <v>72488</v>
      </c>
      <c r="G23" s="1793"/>
    </row>
    <row r="24" spans="1:7" ht="14.4" customHeight="1">
      <c r="A24" s="142" t="s">
        <v>38</v>
      </c>
      <c r="B24" s="109" t="s">
        <v>0</v>
      </c>
      <c r="C24" s="110">
        <f>+Sum!$D$15</f>
        <v>65000</v>
      </c>
      <c r="D24" s="110">
        <v>0.62</v>
      </c>
      <c r="E24" s="163">
        <v>0.03</v>
      </c>
      <c r="F24" s="110">
        <f>+ROUND((C24*D24)+(C24*D24*E24),0)</f>
        <v>41509</v>
      </c>
      <c r="G24" s="1793"/>
    </row>
    <row r="25" spans="1:7" ht="14.4" customHeight="1">
      <c r="A25" s="142" t="s">
        <v>78</v>
      </c>
      <c r="B25" s="109" t="s">
        <v>109</v>
      </c>
      <c r="C25" s="110">
        <f>+Sum!$D$17</f>
        <v>192.9</v>
      </c>
      <c r="D25" s="110">
        <v>185</v>
      </c>
      <c r="E25" s="163">
        <v>0.02</v>
      </c>
      <c r="F25" s="110">
        <f>+ROUND((C25*D25)+(C25*D25*E25),0)</f>
        <v>36400</v>
      </c>
      <c r="G25" s="1793"/>
    </row>
    <row r="26" spans="1:7" ht="14.4" customHeight="1">
      <c r="A26" s="153" t="s">
        <v>119</v>
      </c>
      <c r="B26" s="176" t="s">
        <v>33</v>
      </c>
      <c r="C26" s="146">
        <f>+Sum!$D$24</f>
        <v>18500</v>
      </c>
      <c r="D26" s="146">
        <v>1</v>
      </c>
      <c r="E26" s="165">
        <v>0.03</v>
      </c>
      <c r="F26" s="110">
        <f>+ROUND((C26*D26)+(C26*D26*E26),0)</f>
        <v>19055</v>
      </c>
      <c r="G26" s="1793"/>
    </row>
    <row r="27" spans="1:7" ht="14.4" customHeight="1" thickBot="1">
      <c r="A27" s="147"/>
      <c r="B27" s="154"/>
      <c r="C27" s="150"/>
      <c r="D27" s="150"/>
      <c r="E27" s="150"/>
      <c r="F27" s="150"/>
      <c r="G27" s="1794"/>
    </row>
    <row r="28" spans="1:7" ht="14.4" customHeight="1" thickBot="1">
      <c r="F28" s="105" t="s">
        <v>3</v>
      </c>
      <c r="G28" s="184">
        <f>SUM(F22:F27)</f>
        <v>356912</v>
      </c>
    </row>
    <row r="29" spans="1:7" ht="14.4" customHeight="1" thickBot="1">
      <c r="A29" s="134" t="s">
        <v>18</v>
      </c>
      <c r="G29" s="111"/>
    </row>
    <row r="30" spans="1:7" ht="14.4" customHeight="1">
      <c r="A30" s="185" t="s">
        <v>23</v>
      </c>
      <c r="B30" s="140" t="s">
        <v>46</v>
      </c>
      <c r="C30" s="140" t="s">
        <v>36</v>
      </c>
      <c r="D30" s="152" t="s">
        <v>26</v>
      </c>
      <c r="E30" s="140" t="s">
        <v>25</v>
      </c>
      <c r="F30" s="140" t="s">
        <v>2</v>
      </c>
      <c r="G30" s="1792"/>
    </row>
    <row r="31" spans="1:7" ht="14.4" customHeight="1">
      <c r="A31" s="145" t="s">
        <v>114</v>
      </c>
      <c r="B31" s="186">
        <f>+D22</f>
        <v>260</v>
      </c>
      <c r="C31" s="186">
        <f>+Loc!$E$13</f>
        <v>145</v>
      </c>
      <c r="D31" s="187">
        <f>+B31*C31</f>
        <v>37700</v>
      </c>
      <c r="E31" s="110">
        <v>1</v>
      </c>
      <c r="F31" s="110">
        <f>ROUND(E31*D31,0)</f>
        <v>37700</v>
      </c>
      <c r="G31" s="1793"/>
    </row>
    <row r="32" spans="1:7" ht="14.4" customHeight="1">
      <c r="A32" s="145" t="s">
        <v>113</v>
      </c>
      <c r="B32" s="186">
        <f>+D23</f>
        <v>0.82</v>
      </c>
      <c r="C32" s="186">
        <v>52</v>
      </c>
      <c r="D32" s="187">
        <f>+B32*C32</f>
        <v>42.64</v>
      </c>
      <c r="E32" s="110">
        <v>1500</v>
      </c>
      <c r="F32" s="110">
        <f>ROUND(E32*D32,0)</f>
        <v>63960</v>
      </c>
      <c r="G32" s="1793"/>
    </row>
    <row r="33" spans="1:11" ht="14.4" customHeight="1">
      <c r="A33" s="142" t="s">
        <v>38</v>
      </c>
      <c r="B33" s="186">
        <f>+D24</f>
        <v>0.62</v>
      </c>
      <c r="C33" s="186">
        <v>52</v>
      </c>
      <c r="D33" s="187">
        <f>+B33*C33</f>
        <v>32.24</v>
      </c>
      <c r="E33" s="110">
        <v>1500</v>
      </c>
      <c r="F33" s="110">
        <f>ROUND(E33*D33,0)</f>
        <v>48360</v>
      </c>
      <c r="G33" s="1793"/>
    </row>
    <row r="34" spans="1:11" ht="14.4" customHeight="1" thickBot="1">
      <c r="A34" s="147"/>
      <c r="B34" s="167"/>
      <c r="C34" s="167"/>
      <c r="D34" s="150"/>
      <c r="E34" s="150"/>
      <c r="F34" s="150"/>
      <c r="G34" s="1794"/>
    </row>
    <row r="35" spans="1:11" ht="14.4" customHeight="1" thickBot="1">
      <c r="F35" s="117" t="s">
        <v>3</v>
      </c>
      <c r="G35" s="184">
        <f>SUM(F31:F34)</f>
        <v>150020</v>
      </c>
    </row>
    <row r="36" spans="1:11" ht="14.4" customHeight="1" thickBot="1">
      <c r="A36" s="134" t="s">
        <v>19</v>
      </c>
      <c r="G36" s="111"/>
    </row>
    <row r="37" spans="1:11" ht="14.4" customHeight="1">
      <c r="A37" s="161" t="s">
        <v>24</v>
      </c>
      <c r="B37" s="140" t="s">
        <v>7</v>
      </c>
      <c r="C37" s="140" t="s">
        <v>43</v>
      </c>
      <c r="D37" s="162" t="s">
        <v>27</v>
      </c>
      <c r="E37" s="140" t="s">
        <v>8</v>
      </c>
      <c r="F37" s="140" t="s">
        <v>2</v>
      </c>
      <c r="G37" s="1792"/>
    </row>
    <row r="38" spans="1:11" ht="14.4" customHeight="1">
      <c r="A38" s="142" t="s">
        <v>116</v>
      </c>
      <c r="B38" s="110">
        <f>52202*2</f>
        <v>104404</v>
      </c>
      <c r="C38" s="163">
        <v>1.58</v>
      </c>
      <c r="D38" s="164">
        <f>C38*B38</f>
        <v>164958.32</v>
      </c>
      <c r="E38" s="164">
        <v>6.94</v>
      </c>
      <c r="F38" s="164">
        <f>ROUND(D38/E38,0)</f>
        <v>23769</v>
      </c>
      <c r="G38" s="1793"/>
    </row>
    <row r="39" spans="1:11" ht="14.4" customHeight="1">
      <c r="A39" s="142" t="s">
        <v>150</v>
      </c>
      <c r="B39" s="110">
        <f>40084*6</f>
        <v>240504</v>
      </c>
      <c r="C39" s="163">
        <v>1.86</v>
      </c>
      <c r="D39" s="164">
        <f>C39*B39</f>
        <v>447337.44</v>
      </c>
      <c r="E39" s="164">
        <f>+E38</f>
        <v>6.94</v>
      </c>
      <c r="F39" s="164">
        <f>ROUND(D39/E39,0)</f>
        <v>64458</v>
      </c>
      <c r="G39" s="1793"/>
    </row>
    <row r="40" spans="1:11" ht="14.4" customHeight="1">
      <c r="A40" s="142"/>
      <c r="B40" s="179"/>
      <c r="C40" s="164"/>
      <c r="D40" s="164"/>
      <c r="E40" s="188"/>
      <c r="F40" s="164"/>
      <c r="G40" s="1793"/>
    </row>
    <row r="41" spans="1:11" ht="14.4" customHeight="1" thickBot="1">
      <c r="A41" s="147"/>
      <c r="B41" s="167"/>
      <c r="C41" s="150"/>
      <c r="D41" s="168"/>
      <c r="E41" s="168"/>
      <c r="F41" s="168"/>
      <c r="G41" s="1794"/>
    </row>
    <row r="42" spans="1:11" ht="14.4" customHeight="1" thickBot="1">
      <c r="D42" s="157"/>
      <c r="E42" s="157"/>
      <c r="F42" s="105" t="s">
        <v>3</v>
      </c>
      <c r="G42" s="169">
        <f>SUM(F38:F41)</f>
        <v>88227</v>
      </c>
    </row>
    <row r="43" spans="1:11" ht="14.4" customHeight="1" thickBot="1">
      <c r="G43" s="111"/>
    </row>
    <row r="44" spans="1:11" ht="14.4" customHeight="1" thickBot="1">
      <c r="D44" s="134" t="s">
        <v>10</v>
      </c>
      <c r="G44" s="170">
        <f>ROUND(G19+G28+G35+G42,0)</f>
        <v>617301</v>
      </c>
      <c r="K44" s="111"/>
    </row>
    <row r="45" spans="1:11" ht="14.4" customHeight="1">
      <c r="G45" s="111"/>
    </row>
    <row r="46" spans="1:11" ht="14.4" customHeight="1" thickBot="1">
      <c r="A46" s="134" t="s">
        <v>20</v>
      </c>
      <c r="G46" s="111"/>
    </row>
    <row r="47" spans="1:11" ht="14.4" customHeight="1">
      <c r="A47" s="1789" t="s">
        <v>21</v>
      </c>
      <c r="B47" s="1790"/>
      <c r="C47" s="1790"/>
      <c r="D47" s="1791"/>
      <c r="E47" s="171" t="s">
        <v>11</v>
      </c>
      <c r="F47" s="171" t="s">
        <v>22</v>
      </c>
      <c r="G47" s="1792"/>
    </row>
    <row r="48" spans="1:11" ht="14.4" customHeight="1">
      <c r="A48" s="1795" t="s">
        <v>30</v>
      </c>
      <c r="B48" s="1796"/>
      <c r="C48" s="1796"/>
      <c r="D48" s="1797"/>
      <c r="E48" s="172">
        <v>0.22</v>
      </c>
      <c r="F48" s="110">
        <f>ROUND($G$44*E48,0)</f>
        <v>135806</v>
      </c>
      <c r="G48" s="1793"/>
    </row>
    <row r="49" spans="1:7" ht="14.4" customHeight="1">
      <c r="A49" s="1795" t="s">
        <v>32</v>
      </c>
      <c r="B49" s="1796"/>
      <c r="C49" s="1796"/>
      <c r="D49" s="1797"/>
      <c r="E49" s="172">
        <v>0.05</v>
      </c>
      <c r="F49" s="110">
        <f>ROUND($G$44*E49,0)</f>
        <v>30865</v>
      </c>
      <c r="G49" s="1793"/>
    </row>
    <row r="50" spans="1:7" ht="14.4" customHeight="1" thickBot="1">
      <c r="A50" s="1798" t="s">
        <v>31</v>
      </c>
      <c r="B50" s="1799"/>
      <c r="C50" s="1799"/>
      <c r="D50" s="1800"/>
      <c r="E50" s="173">
        <v>0.03</v>
      </c>
      <c r="F50" s="150">
        <f>ROUND($G$44*E50,0)</f>
        <v>18519</v>
      </c>
      <c r="G50" s="1793"/>
    </row>
    <row r="51" spans="1:7" ht="14.4" customHeight="1" thickBot="1">
      <c r="F51" s="105" t="s">
        <v>3</v>
      </c>
      <c r="G51" s="169">
        <f>SUM(F48:F50)</f>
        <v>185190</v>
      </c>
    </row>
    <row r="52" spans="1:7" ht="14.4" customHeight="1" thickBot="1">
      <c r="A52" s="105" t="s">
        <v>72</v>
      </c>
      <c r="G52" s="111"/>
    </row>
    <row r="53" spans="1:7" ht="14.4" customHeight="1" thickBot="1">
      <c r="D53" s="189" t="s">
        <v>29</v>
      </c>
      <c r="G53" s="174">
        <f>ROUND(G44+G51,0)</f>
        <v>802491</v>
      </c>
    </row>
    <row r="54" spans="1:7" ht="14.4" customHeight="1">
      <c r="A54" s="134" t="s">
        <v>104</v>
      </c>
      <c r="D54" s="189"/>
      <c r="G54" s="175"/>
    </row>
    <row r="55" spans="1:7" ht="14.4" customHeight="1" thickBot="1">
      <c r="A55" s="105" t="s">
        <v>105</v>
      </c>
    </row>
    <row r="56" spans="1:7" ht="14.4" customHeight="1">
      <c r="A56" s="130"/>
      <c r="B56" s="131"/>
      <c r="C56" s="132"/>
      <c r="D56" s="130"/>
      <c r="E56" s="131"/>
      <c r="F56" s="131"/>
      <c r="G56" s="132"/>
    </row>
    <row r="57" spans="1:7" ht="14.4" customHeight="1">
      <c r="A57" s="1801"/>
      <c r="B57" s="1802"/>
      <c r="C57" s="1803"/>
      <c r="D57" s="133"/>
      <c r="E57" s="134"/>
      <c r="F57" s="134"/>
      <c r="G57" s="135"/>
    </row>
    <row r="58" spans="1:7" ht="14.4" customHeight="1">
      <c r="A58" s="1801"/>
      <c r="B58" s="1802"/>
      <c r="C58" s="1803"/>
      <c r="D58" s="1801" t="s">
        <v>51</v>
      </c>
      <c r="E58" s="1802"/>
      <c r="F58" s="1802"/>
      <c r="G58" s="1803"/>
    </row>
    <row r="59" spans="1:7" ht="14.4" customHeight="1">
      <c r="A59" s="1801"/>
      <c r="B59" s="1802"/>
      <c r="C59" s="1803"/>
      <c r="D59" s="133"/>
      <c r="E59" s="134"/>
      <c r="F59" s="134"/>
      <c r="G59" s="135"/>
    </row>
    <row r="60" spans="1:7" ht="14.4" customHeight="1" thickBot="1">
      <c r="A60" s="136"/>
      <c r="B60" s="137"/>
      <c r="C60" s="138"/>
      <c r="D60" s="136"/>
      <c r="E60" s="137"/>
      <c r="F60" s="137"/>
      <c r="G60" s="138"/>
    </row>
    <row r="62" spans="1:7" ht="14.4" customHeight="1">
      <c r="A62" s="1804" t="str">
        <f>+A7</f>
        <v>"MEJORAMIENTO VIAL MEDIANTE LA CONSTRUCCIÓN DE PAVIMENTO RÍGIDO DE LA PRIMERA ETAPA DE LA VÍA QUE COMUNICA A LA VEREDA PONDORES EN EL CORREGIMIENTO DE CONEJO, MUNICIPIO DE FONSECA - DEPARTAMENTO DE LA GUAJIRA."</v>
      </c>
      <c r="B62" s="1804"/>
      <c r="C62" s="1804"/>
      <c r="D62" s="1804"/>
      <c r="E62" s="1804"/>
      <c r="F62" s="139" t="s">
        <v>57</v>
      </c>
      <c r="G62" s="134"/>
    </row>
    <row r="63" spans="1:7" ht="14.4" customHeight="1">
      <c r="A63" s="1804"/>
      <c r="B63" s="1804"/>
      <c r="C63" s="1804"/>
      <c r="D63" s="1804"/>
      <c r="E63" s="1804"/>
      <c r="F63" s="134"/>
      <c r="G63" s="134"/>
    </row>
    <row r="64" spans="1:7" ht="14.4" customHeight="1">
      <c r="A64" s="182"/>
      <c r="B64" s="182"/>
      <c r="C64" s="182"/>
      <c r="D64" s="182"/>
      <c r="E64" s="182"/>
      <c r="F64" s="134"/>
      <c r="G64" s="134"/>
    </row>
    <row r="65" spans="1:9" ht="14.4" customHeight="1">
      <c r="A65" s="134" t="s">
        <v>118</v>
      </c>
      <c r="B65" s="134"/>
      <c r="C65" s="134"/>
      <c r="D65" s="134"/>
      <c r="E65" s="134"/>
      <c r="F65" s="139" t="s">
        <v>28</v>
      </c>
      <c r="G65" s="134" t="s">
        <v>0</v>
      </c>
    </row>
    <row r="66" spans="1:9" ht="14.4" customHeight="1">
      <c r="B66" s="134"/>
      <c r="F66" s="134"/>
      <c r="G66" s="134"/>
    </row>
    <row r="67" spans="1:9" ht="14.4" customHeight="1" thickBot="1">
      <c r="A67" s="134" t="s">
        <v>16</v>
      </c>
    </row>
    <row r="68" spans="1:9" ht="14.4" customHeight="1">
      <c r="A68" s="1789" t="s">
        <v>21</v>
      </c>
      <c r="B68" s="1790"/>
      <c r="C68" s="1791"/>
      <c r="D68" s="140" t="s">
        <v>1</v>
      </c>
      <c r="E68" s="141" t="s">
        <v>8</v>
      </c>
      <c r="F68" s="140" t="s">
        <v>2</v>
      </c>
      <c r="G68" s="1792"/>
    </row>
    <row r="69" spans="1:9" ht="14.4" customHeight="1">
      <c r="A69" s="142" t="s">
        <v>50</v>
      </c>
      <c r="B69" s="177"/>
      <c r="C69" s="144"/>
      <c r="D69" s="110">
        <f>+Equ!$D$21</f>
        <v>15000</v>
      </c>
      <c r="E69" s="110">
        <v>1.5</v>
      </c>
      <c r="F69" s="110">
        <f>+ROUND(D69/E69,0)</f>
        <v>10000</v>
      </c>
      <c r="G69" s="1793"/>
    </row>
    <row r="70" spans="1:9" ht="14.4" customHeight="1">
      <c r="A70" s="142" t="s">
        <v>52</v>
      </c>
      <c r="B70" s="177"/>
      <c r="C70" s="144"/>
      <c r="D70" s="110">
        <f>+Equ!$D$22</f>
        <v>7500</v>
      </c>
      <c r="E70" s="110">
        <v>1.5</v>
      </c>
      <c r="F70" s="110">
        <f>+ROUND(D70/E70,0)</f>
        <v>5000</v>
      </c>
      <c r="G70" s="1793"/>
    </row>
    <row r="71" spans="1:9" ht="14.4" customHeight="1">
      <c r="A71" s="142" t="s">
        <v>49</v>
      </c>
      <c r="B71" s="143">
        <v>0.1</v>
      </c>
      <c r="C71" s="144"/>
      <c r="D71" s="110"/>
      <c r="E71" s="110"/>
      <c r="F71" s="110">
        <v>8906</v>
      </c>
      <c r="G71" s="1793"/>
      <c r="I71" s="111"/>
    </row>
    <row r="72" spans="1:9" ht="14.4" customHeight="1">
      <c r="A72" s="142"/>
      <c r="B72" s="177"/>
      <c r="C72" s="144"/>
      <c r="D72" s="110"/>
      <c r="E72" s="110"/>
      <c r="F72" s="110"/>
      <c r="G72" s="1793"/>
    </row>
    <row r="73" spans="1:9" ht="14.4" customHeight="1" thickBot="1">
      <c r="A73" s="147"/>
      <c r="B73" s="148"/>
      <c r="C73" s="149"/>
      <c r="D73" s="150"/>
      <c r="E73" s="150"/>
      <c r="F73" s="150"/>
      <c r="G73" s="1794"/>
    </row>
    <row r="74" spans="1:9" ht="14.4" customHeight="1" thickBot="1">
      <c r="F74" s="105" t="s">
        <v>3</v>
      </c>
      <c r="G74" s="151">
        <f>SUM(F69:F73)</f>
        <v>23906</v>
      </c>
    </row>
    <row r="75" spans="1:9" ht="14.4" customHeight="1" thickBot="1">
      <c r="A75" s="134" t="s">
        <v>17</v>
      </c>
      <c r="G75" s="111"/>
    </row>
    <row r="76" spans="1:9" ht="14.4" customHeight="1">
      <c r="A76" s="183" t="s">
        <v>21</v>
      </c>
      <c r="B76" s="140" t="s">
        <v>4</v>
      </c>
      <c r="C76" s="152" t="s">
        <v>5</v>
      </c>
      <c r="D76" s="140" t="s">
        <v>6</v>
      </c>
      <c r="E76" s="140" t="s">
        <v>56</v>
      </c>
      <c r="F76" s="140" t="s">
        <v>2</v>
      </c>
      <c r="G76" s="1792"/>
    </row>
    <row r="77" spans="1:9" ht="14.4" customHeight="1">
      <c r="A77" s="145" t="s">
        <v>37</v>
      </c>
      <c r="B77" s="109" t="s">
        <v>102</v>
      </c>
      <c r="C77" s="110">
        <f>+Sum!$D$13</f>
        <v>700</v>
      </c>
      <c r="D77" s="110">
        <v>305</v>
      </c>
      <c r="E77" s="163">
        <v>0.03</v>
      </c>
      <c r="F77" s="110">
        <f>+ROUND((C77*D77)+(C77*D77*E77),0)</f>
        <v>219905</v>
      </c>
      <c r="G77" s="1793"/>
    </row>
    <row r="78" spans="1:9" ht="14.4" customHeight="1">
      <c r="A78" s="142" t="s">
        <v>113</v>
      </c>
      <c r="B78" s="109" t="s">
        <v>0</v>
      </c>
      <c r="C78" s="110">
        <f>+Sum!$D$14</f>
        <v>85000</v>
      </c>
      <c r="D78" s="110">
        <v>0.77</v>
      </c>
      <c r="E78" s="163">
        <v>0.04</v>
      </c>
      <c r="F78" s="110">
        <f>+ROUND((C78*D78)+(C78*D78*E78),0)</f>
        <v>68068</v>
      </c>
      <c r="G78" s="1793"/>
    </row>
    <row r="79" spans="1:9" ht="14.4" customHeight="1">
      <c r="A79" s="142" t="s">
        <v>38</v>
      </c>
      <c r="B79" s="109" t="s">
        <v>0</v>
      </c>
      <c r="C79" s="110">
        <f>+Sum!$D$15</f>
        <v>65000</v>
      </c>
      <c r="D79" s="110">
        <v>0.77</v>
      </c>
      <c r="E79" s="163">
        <v>0.03</v>
      </c>
      <c r="F79" s="110">
        <f>+ROUND((C79*D79)+(C79*D79*E79),0)</f>
        <v>51552</v>
      </c>
      <c r="G79" s="1793"/>
    </row>
    <row r="80" spans="1:9" ht="14.4" customHeight="1">
      <c r="A80" s="142" t="s">
        <v>78</v>
      </c>
      <c r="B80" s="109" t="s">
        <v>109</v>
      </c>
      <c r="C80" s="110">
        <f>+Sum!$D$17</f>
        <v>192.9</v>
      </c>
      <c r="D80" s="110">
        <v>198</v>
      </c>
      <c r="E80" s="163">
        <v>0.02</v>
      </c>
      <c r="F80" s="110">
        <f>+ROUND((C80*D80)+(C80*D80*E80),0)</f>
        <v>38958</v>
      </c>
      <c r="G80" s="1793"/>
    </row>
    <row r="81" spans="1:7" ht="14.4" customHeight="1">
      <c r="A81" s="153" t="s">
        <v>119</v>
      </c>
      <c r="B81" s="176" t="s">
        <v>33</v>
      </c>
      <c r="C81" s="146">
        <f>+Sum!$D$24</f>
        <v>18500</v>
      </c>
      <c r="D81" s="146">
        <v>1</v>
      </c>
      <c r="E81" s="165">
        <v>0.03</v>
      </c>
      <c r="F81" s="110">
        <f>+ROUND((C81*D81)+(C81*D81*E81),0)</f>
        <v>19055</v>
      </c>
      <c r="G81" s="1793"/>
    </row>
    <row r="82" spans="1:7" ht="14.4" customHeight="1" thickBot="1">
      <c r="A82" s="147"/>
      <c r="B82" s="154"/>
      <c r="C82" s="150"/>
      <c r="D82" s="150"/>
      <c r="E82" s="150"/>
      <c r="F82" s="150"/>
      <c r="G82" s="1794"/>
    </row>
    <row r="83" spans="1:7" ht="14.4" customHeight="1" thickBot="1">
      <c r="F83" s="105" t="s">
        <v>3</v>
      </c>
      <c r="G83" s="184">
        <f>SUM(F77:F82)</f>
        <v>397538</v>
      </c>
    </row>
    <row r="84" spans="1:7" ht="14.4" customHeight="1" thickBot="1">
      <c r="A84" s="134" t="s">
        <v>18</v>
      </c>
      <c r="G84" s="111"/>
    </row>
    <row r="85" spans="1:7" ht="14.4" customHeight="1">
      <c r="A85" s="185" t="s">
        <v>23</v>
      </c>
      <c r="B85" s="140" t="s">
        <v>46</v>
      </c>
      <c r="C85" s="140" t="s">
        <v>36</v>
      </c>
      <c r="D85" s="152" t="s">
        <v>26</v>
      </c>
      <c r="E85" s="140" t="s">
        <v>25</v>
      </c>
      <c r="F85" s="140" t="s">
        <v>2</v>
      </c>
      <c r="G85" s="1792"/>
    </row>
    <row r="86" spans="1:7" ht="14.4" customHeight="1">
      <c r="A86" s="145" t="s">
        <v>114</v>
      </c>
      <c r="B86" s="186">
        <f>+D77</f>
        <v>305</v>
      </c>
      <c r="C86" s="186">
        <f>+Loc!$E$13</f>
        <v>145</v>
      </c>
      <c r="D86" s="187">
        <f>+B86*C86</f>
        <v>44225</v>
      </c>
      <c r="E86" s="110">
        <v>1</v>
      </c>
      <c r="F86" s="110">
        <f>ROUND(E86*D86,0)</f>
        <v>44225</v>
      </c>
      <c r="G86" s="1793"/>
    </row>
    <row r="87" spans="1:7" ht="14.4" customHeight="1">
      <c r="A87" s="145" t="s">
        <v>113</v>
      </c>
      <c r="B87" s="186">
        <f>+D78</f>
        <v>0.77</v>
      </c>
      <c r="C87" s="186">
        <v>52</v>
      </c>
      <c r="D87" s="187">
        <f>+B87*C87</f>
        <v>40.04</v>
      </c>
      <c r="E87" s="110">
        <v>1500</v>
      </c>
      <c r="F87" s="110">
        <f>ROUND(E87*D87,0)</f>
        <v>60060</v>
      </c>
      <c r="G87" s="1793"/>
    </row>
    <row r="88" spans="1:7" ht="14.4" customHeight="1">
      <c r="A88" s="142" t="s">
        <v>38</v>
      </c>
      <c r="B88" s="186">
        <f>+D79</f>
        <v>0.77</v>
      </c>
      <c r="C88" s="186">
        <v>52</v>
      </c>
      <c r="D88" s="187">
        <f>+B88*C88</f>
        <v>40.04</v>
      </c>
      <c r="E88" s="110">
        <v>1500</v>
      </c>
      <c r="F88" s="110">
        <f>ROUND(E88*D88,0)</f>
        <v>60060</v>
      </c>
      <c r="G88" s="1793"/>
    </row>
    <row r="89" spans="1:7" ht="14.4" customHeight="1" thickBot="1">
      <c r="A89" s="147"/>
      <c r="B89" s="167"/>
      <c r="C89" s="167"/>
      <c r="D89" s="150"/>
      <c r="E89" s="150"/>
      <c r="F89" s="150"/>
      <c r="G89" s="1794"/>
    </row>
    <row r="90" spans="1:7" ht="14.4" customHeight="1" thickBot="1">
      <c r="F90" s="117" t="s">
        <v>3</v>
      </c>
      <c r="G90" s="184">
        <f>SUM(F86:F89)</f>
        <v>164345</v>
      </c>
    </row>
    <row r="91" spans="1:7" ht="14.4" customHeight="1" thickBot="1">
      <c r="A91" s="134" t="s">
        <v>19</v>
      </c>
      <c r="G91" s="111"/>
    </row>
    <row r="92" spans="1:7" ht="14.4" customHeight="1">
      <c r="A92" s="161" t="s">
        <v>24</v>
      </c>
      <c r="B92" s="140" t="s">
        <v>7</v>
      </c>
      <c r="C92" s="140" t="s">
        <v>43</v>
      </c>
      <c r="D92" s="162" t="s">
        <v>27</v>
      </c>
      <c r="E92" s="140" t="s">
        <v>8</v>
      </c>
      <c r="F92" s="140" t="s">
        <v>2</v>
      </c>
      <c r="G92" s="1792"/>
    </row>
    <row r="93" spans="1:7" ht="14.4" customHeight="1">
      <c r="A93" s="142" t="s">
        <v>116</v>
      </c>
      <c r="B93" s="110">
        <f>52202*2</f>
        <v>104404</v>
      </c>
      <c r="C93" s="163">
        <v>1.58</v>
      </c>
      <c r="D93" s="164">
        <f>C93*B93</f>
        <v>164958.32</v>
      </c>
      <c r="E93" s="164">
        <v>6.94</v>
      </c>
      <c r="F93" s="164">
        <f>ROUND(D93/E93,0)</f>
        <v>23769</v>
      </c>
      <c r="G93" s="1793"/>
    </row>
    <row r="94" spans="1:7" ht="14.4" customHeight="1">
      <c r="A94" s="142" t="s">
        <v>150</v>
      </c>
      <c r="B94" s="110">
        <f>40084*6</f>
        <v>240504</v>
      </c>
      <c r="C94" s="163">
        <v>1.86</v>
      </c>
      <c r="D94" s="164">
        <f>C94*B94</f>
        <v>447337.44</v>
      </c>
      <c r="E94" s="164">
        <f>+E93</f>
        <v>6.94</v>
      </c>
      <c r="F94" s="164">
        <f>ROUND(D94/E94,0)</f>
        <v>64458</v>
      </c>
      <c r="G94" s="1793"/>
    </row>
    <row r="95" spans="1:7" ht="14.4" customHeight="1">
      <c r="A95" s="142"/>
      <c r="B95" s="179"/>
      <c r="C95" s="164"/>
      <c r="D95" s="164"/>
      <c r="E95" s="188"/>
      <c r="F95" s="164"/>
      <c r="G95" s="1793"/>
    </row>
    <row r="96" spans="1:7" ht="14.4" customHeight="1" thickBot="1">
      <c r="A96" s="147"/>
      <c r="B96" s="167"/>
      <c r="C96" s="150"/>
      <c r="D96" s="168"/>
      <c r="E96" s="168"/>
      <c r="F96" s="168"/>
      <c r="G96" s="1794"/>
    </row>
    <row r="97" spans="1:10" ht="14.4" customHeight="1" thickBot="1">
      <c r="D97" s="157"/>
      <c r="E97" s="157"/>
      <c r="F97" s="105" t="s">
        <v>3</v>
      </c>
      <c r="G97" s="169">
        <f>SUM(F93:F96)</f>
        <v>88227</v>
      </c>
    </row>
    <row r="98" spans="1:10" ht="14.4" customHeight="1" thickBot="1">
      <c r="G98" s="111"/>
    </row>
    <row r="99" spans="1:10" ht="14.4" customHeight="1" thickBot="1">
      <c r="D99" s="134" t="s">
        <v>10</v>
      </c>
      <c r="G99" s="170">
        <f>ROUND(G74+G83+G90+G97,0)</f>
        <v>674016</v>
      </c>
      <c r="J99" s="111"/>
    </row>
    <row r="100" spans="1:10" ht="14.4" customHeight="1">
      <c r="G100" s="111"/>
    </row>
    <row r="101" spans="1:10" ht="14.4" customHeight="1" thickBot="1">
      <c r="A101" s="134" t="s">
        <v>20</v>
      </c>
      <c r="G101" s="111"/>
    </row>
    <row r="102" spans="1:10" ht="14.4" customHeight="1">
      <c r="A102" s="1789" t="s">
        <v>21</v>
      </c>
      <c r="B102" s="1790"/>
      <c r="C102" s="1790"/>
      <c r="D102" s="1791"/>
      <c r="E102" s="171" t="s">
        <v>11</v>
      </c>
      <c r="F102" s="171" t="s">
        <v>22</v>
      </c>
      <c r="G102" s="1792"/>
    </row>
    <row r="103" spans="1:10" ht="14.4" customHeight="1">
      <c r="A103" s="1795" t="s">
        <v>30</v>
      </c>
      <c r="B103" s="1796"/>
      <c r="C103" s="1796"/>
      <c r="D103" s="1797"/>
      <c r="E103" s="172">
        <v>0.22</v>
      </c>
      <c r="F103" s="110">
        <f>ROUND($G$44*E103,0)</f>
        <v>135806</v>
      </c>
      <c r="G103" s="1793"/>
    </row>
    <row r="104" spans="1:10" ht="14.4" customHeight="1">
      <c r="A104" s="1795" t="s">
        <v>32</v>
      </c>
      <c r="B104" s="1796"/>
      <c r="C104" s="1796"/>
      <c r="D104" s="1797"/>
      <c r="E104" s="172">
        <v>0.05</v>
      </c>
      <c r="F104" s="110">
        <f>ROUND($G$44*E104,0)</f>
        <v>30865</v>
      </c>
      <c r="G104" s="1793"/>
    </row>
    <row r="105" spans="1:10" ht="14.4" customHeight="1" thickBot="1">
      <c r="A105" s="1798" t="s">
        <v>31</v>
      </c>
      <c r="B105" s="1799"/>
      <c r="C105" s="1799"/>
      <c r="D105" s="1800"/>
      <c r="E105" s="173">
        <v>0.03</v>
      </c>
      <c r="F105" s="150">
        <f>ROUND($G$44*E105,0)</f>
        <v>18519</v>
      </c>
      <c r="G105" s="1793"/>
    </row>
    <row r="106" spans="1:10" ht="14.4" customHeight="1" thickBot="1">
      <c r="F106" s="105" t="s">
        <v>3</v>
      </c>
      <c r="G106" s="169">
        <f>SUM(F103:F105)</f>
        <v>185190</v>
      </c>
    </row>
    <row r="107" spans="1:10" ht="14.4" customHeight="1" thickBot="1">
      <c r="A107" s="105" t="s">
        <v>72</v>
      </c>
      <c r="G107" s="111"/>
    </row>
    <row r="108" spans="1:10" ht="14.4" customHeight="1" thickBot="1">
      <c r="D108" s="189" t="s">
        <v>29</v>
      </c>
      <c r="G108" s="174">
        <f>ROUND(G99+G106,0)</f>
        <v>859206</v>
      </c>
    </row>
    <row r="109" spans="1:10" ht="14.4" customHeight="1">
      <c r="A109" s="134" t="s">
        <v>104</v>
      </c>
      <c r="D109" s="189"/>
      <c r="G109" s="175"/>
    </row>
    <row r="110" spans="1:10" ht="14.4" customHeight="1" thickBot="1">
      <c r="A110" s="105" t="s">
        <v>105</v>
      </c>
    </row>
    <row r="111" spans="1:10" ht="14.4" customHeight="1">
      <c r="A111" s="130"/>
      <c r="B111" s="131"/>
      <c r="C111" s="132"/>
      <c r="D111" s="130"/>
      <c r="E111" s="131"/>
      <c r="F111" s="131"/>
      <c r="G111" s="132"/>
    </row>
    <row r="112" spans="1:10" ht="14.4" customHeight="1">
      <c r="A112" s="1801"/>
      <c r="B112" s="1802"/>
      <c r="C112" s="1803"/>
      <c r="D112" s="133"/>
      <c r="E112" s="134"/>
      <c r="F112" s="134"/>
      <c r="G112" s="135"/>
    </row>
    <row r="113" spans="1:9" ht="14.4" customHeight="1">
      <c r="A113" s="1801"/>
      <c r="B113" s="1802"/>
      <c r="C113" s="1803"/>
      <c r="D113" s="1801" t="s">
        <v>51</v>
      </c>
      <c r="E113" s="1802"/>
      <c r="F113" s="1802"/>
      <c r="G113" s="1803"/>
    </row>
    <row r="114" spans="1:9" ht="14.4" customHeight="1">
      <c r="A114" s="1801"/>
      <c r="B114" s="1802"/>
      <c r="C114" s="1803"/>
      <c r="D114" s="133"/>
      <c r="E114" s="134"/>
      <c r="F114" s="134"/>
      <c r="G114" s="135"/>
    </row>
    <row r="115" spans="1:9" ht="14.4" customHeight="1" thickBot="1">
      <c r="A115" s="136"/>
      <c r="B115" s="137"/>
      <c r="C115" s="138"/>
      <c r="D115" s="136"/>
      <c r="E115" s="137"/>
      <c r="F115" s="137"/>
      <c r="G115" s="138"/>
    </row>
    <row r="117" spans="1:9" ht="14.4" customHeight="1">
      <c r="A117" s="1804" t="str">
        <f>+A7</f>
        <v>"MEJORAMIENTO VIAL MEDIANTE LA CONSTRUCCIÓN DE PAVIMENTO RÍGIDO DE LA PRIMERA ETAPA DE LA VÍA QUE COMUNICA A LA VEREDA PONDORES EN EL CORREGIMIENTO DE CONEJO, MUNICIPIO DE FONSECA - DEPARTAMENTO DE LA GUAJIRA."</v>
      </c>
      <c r="B117" s="1804"/>
      <c r="C117" s="1804"/>
      <c r="D117" s="1804"/>
      <c r="E117" s="1804"/>
      <c r="F117" s="139" t="s">
        <v>57</v>
      </c>
      <c r="G117" s="134"/>
    </row>
    <row r="118" spans="1:9" ht="14.4" customHeight="1">
      <c r="A118" s="1804"/>
      <c r="B118" s="1804"/>
      <c r="C118" s="1804"/>
      <c r="D118" s="1804"/>
      <c r="E118" s="1804"/>
      <c r="F118" s="134"/>
      <c r="G118" s="134"/>
    </row>
    <row r="119" spans="1:9" ht="14.4" customHeight="1">
      <c r="A119" s="182"/>
      <c r="B119" s="182"/>
      <c r="C119" s="182"/>
      <c r="D119" s="182"/>
      <c r="E119" s="182"/>
      <c r="F119" s="134"/>
      <c r="G119" s="134"/>
    </row>
    <row r="120" spans="1:9" ht="14.4" customHeight="1">
      <c r="A120" s="134" t="s">
        <v>112</v>
      </c>
      <c r="B120" s="134"/>
      <c r="C120" s="134"/>
      <c r="D120" s="134"/>
      <c r="E120" s="134"/>
      <c r="F120" s="139" t="s">
        <v>28</v>
      </c>
      <c r="G120" s="134" t="s">
        <v>0</v>
      </c>
    </row>
    <row r="121" spans="1:9" ht="14.4" customHeight="1">
      <c r="B121" s="134"/>
      <c r="F121" s="134"/>
      <c r="G121" s="134"/>
    </row>
    <row r="122" spans="1:9" ht="14.4" customHeight="1" thickBot="1">
      <c r="A122" s="134" t="s">
        <v>16</v>
      </c>
    </row>
    <row r="123" spans="1:9" ht="14.4" customHeight="1">
      <c r="A123" s="1789" t="s">
        <v>21</v>
      </c>
      <c r="B123" s="1790"/>
      <c r="C123" s="1791"/>
      <c r="D123" s="140" t="s">
        <v>1</v>
      </c>
      <c r="E123" s="141" t="s">
        <v>8</v>
      </c>
      <c r="F123" s="140" t="s">
        <v>2</v>
      </c>
      <c r="G123" s="1792"/>
    </row>
    <row r="124" spans="1:9" ht="14.4" customHeight="1">
      <c r="A124" s="142" t="s">
        <v>50</v>
      </c>
      <c r="B124" s="177"/>
      <c r="C124" s="144"/>
      <c r="D124" s="110">
        <f>+Equ!$D$21</f>
        <v>15000</v>
      </c>
      <c r="E124" s="110">
        <v>1</v>
      </c>
      <c r="F124" s="110">
        <f>+ROUND(D124/E124,0)</f>
        <v>15000</v>
      </c>
      <c r="G124" s="1793"/>
    </row>
    <row r="125" spans="1:9" ht="14.4" customHeight="1">
      <c r="A125" s="142" t="s">
        <v>52</v>
      </c>
      <c r="B125" s="177"/>
      <c r="C125" s="144"/>
      <c r="D125" s="110">
        <f>+Equ!$D$22</f>
        <v>7500</v>
      </c>
      <c r="E125" s="110">
        <v>1</v>
      </c>
      <c r="F125" s="110">
        <f>+ROUND(D125/E125,0)</f>
        <v>7500</v>
      </c>
      <c r="G125" s="1793"/>
    </row>
    <row r="126" spans="1:9" ht="14.4" customHeight="1">
      <c r="A126" s="142" t="s">
        <v>49</v>
      </c>
      <c r="B126" s="143"/>
      <c r="C126" s="144"/>
      <c r="D126" s="110"/>
      <c r="E126" s="110"/>
      <c r="F126" s="110"/>
      <c r="G126" s="1793"/>
      <c r="I126" s="111"/>
    </row>
    <row r="127" spans="1:9" ht="14.4" customHeight="1">
      <c r="A127" s="142"/>
      <c r="B127" s="177"/>
      <c r="C127" s="144"/>
      <c r="D127" s="110"/>
      <c r="E127" s="110"/>
      <c r="F127" s="110"/>
      <c r="G127" s="1793"/>
    </row>
    <row r="128" spans="1:9" ht="14.4" customHeight="1" thickBot="1">
      <c r="A128" s="147"/>
      <c r="B128" s="148"/>
      <c r="C128" s="149"/>
      <c r="D128" s="150"/>
      <c r="E128" s="150"/>
      <c r="F128" s="150"/>
      <c r="G128" s="1794"/>
    </row>
    <row r="129" spans="1:7" ht="14.4" customHeight="1" thickBot="1">
      <c r="F129" s="105" t="s">
        <v>3</v>
      </c>
      <c r="G129" s="151">
        <f>SUM(F124:F128)</f>
        <v>22500</v>
      </c>
    </row>
    <row r="130" spans="1:7" ht="14.4" customHeight="1" thickBot="1">
      <c r="A130" s="134" t="s">
        <v>17</v>
      </c>
      <c r="G130" s="111"/>
    </row>
    <row r="131" spans="1:7" ht="14.4" customHeight="1">
      <c r="A131" s="183" t="s">
        <v>21</v>
      </c>
      <c r="B131" s="140" t="s">
        <v>4</v>
      </c>
      <c r="C131" s="152" t="s">
        <v>5</v>
      </c>
      <c r="D131" s="140" t="s">
        <v>6</v>
      </c>
      <c r="E131" s="140" t="s">
        <v>56</v>
      </c>
      <c r="F131" s="140" t="s">
        <v>2</v>
      </c>
      <c r="G131" s="1792"/>
    </row>
    <row r="132" spans="1:7" ht="14.4" customHeight="1">
      <c r="A132" s="145" t="s">
        <v>37</v>
      </c>
      <c r="B132" s="109" t="s">
        <v>102</v>
      </c>
      <c r="C132" s="110">
        <f>+Sum!$D$13</f>
        <v>700</v>
      </c>
      <c r="D132" s="110">
        <v>400</v>
      </c>
      <c r="E132" s="163">
        <v>0.03</v>
      </c>
      <c r="F132" s="110">
        <f>+ROUND((C132*D132)+(C132*D132*E132),0)</f>
        <v>288400</v>
      </c>
      <c r="G132" s="1793"/>
    </row>
    <row r="133" spans="1:7" ht="14.4" customHeight="1">
      <c r="A133" s="142" t="s">
        <v>113</v>
      </c>
      <c r="B133" s="109" t="s">
        <v>0</v>
      </c>
      <c r="C133" s="110">
        <f>+Sum!$D$14</f>
        <v>85000</v>
      </c>
      <c r="D133" s="110">
        <v>0.6</v>
      </c>
      <c r="E133" s="163">
        <v>0.04</v>
      </c>
      <c r="F133" s="110">
        <f>+ROUND((C133*D133)+(C133*D133*E133),0)</f>
        <v>53040</v>
      </c>
      <c r="G133" s="1793"/>
    </row>
    <row r="134" spans="1:7" ht="14.4" customHeight="1">
      <c r="A134" s="142" t="s">
        <v>38</v>
      </c>
      <c r="B134" s="109" t="s">
        <v>0</v>
      </c>
      <c r="C134" s="110">
        <f>+Sum!$D$15</f>
        <v>65000</v>
      </c>
      <c r="D134" s="110">
        <v>0.76</v>
      </c>
      <c r="E134" s="163">
        <v>0.03</v>
      </c>
      <c r="F134" s="110">
        <f>+ROUND((C134*D134)+(C134*D134*E134),0)</f>
        <v>50882</v>
      </c>
      <c r="G134" s="1793"/>
    </row>
    <row r="135" spans="1:7" ht="14.4" customHeight="1">
      <c r="A135" s="142" t="s">
        <v>78</v>
      </c>
      <c r="B135" s="109" t="s">
        <v>109</v>
      </c>
      <c r="C135" s="110">
        <f>+Sum!$D$17</f>
        <v>192.9</v>
      </c>
      <c r="D135" s="110">
        <v>210</v>
      </c>
      <c r="E135" s="163">
        <v>0.02</v>
      </c>
      <c r="F135" s="110">
        <f>+ROUND((C135*D135)+(C135*D135*E135),0)</f>
        <v>41319</v>
      </c>
      <c r="G135" s="1793"/>
    </row>
    <row r="136" spans="1:7" ht="14.4" customHeight="1">
      <c r="A136" s="153" t="s">
        <v>119</v>
      </c>
      <c r="B136" s="176" t="s">
        <v>33</v>
      </c>
      <c r="C136" s="146">
        <f>+Sum!$D$24</f>
        <v>18500</v>
      </c>
      <c r="D136" s="146">
        <v>1</v>
      </c>
      <c r="E136" s="165">
        <v>0.03</v>
      </c>
      <c r="F136" s="110">
        <f>+ROUND((C136*D136)+(C136*D136*E136),0)</f>
        <v>19055</v>
      </c>
      <c r="G136" s="1793"/>
    </row>
    <row r="137" spans="1:7" ht="14.4" customHeight="1" thickBot="1">
      <c r="A137" s="147"/>
      <c r="B137" s="154"/>
      <c r="C137" s="150"/>
      <c r="D137" s="150"/>
      <c r="E137" s="150"/>
      <c r="F137" s="150"/>
      <c r="G137" s="1794"/>
    </row>
    <row r="138" spans="1:7" ht="14.4" customHeight="1" thickBot="1">
      <c r="F138" s="105" t="s">
        <v>3</v>
      </c>
      <c r="G138" s="184">
        <f>SUM(F132:F137)</f>
        <v>452696</v>
      </c>
    </row>
    <row r="139" spans="1:7" ht="14.4" customHeight="1" thickBot="1">
      <c r="A139" s="134" t="s">
        <v>18</v>
      </c>
      <c r="G139" s="111"/>
    </row>
    <row r="140" spans="1:7" ht="14.4" customHeight="1">
      <c r="A140" s="185" t="s">
        <v>23</v>
      </c>
      <c r="B140" s="140" t="s">
        <v>46</v>
      </c>
      <c r="C140" s="140" t="s">
        <v>36</v>
      </c>
      <c r="D140" s="152" t="s">
        <v>26</v>
      </c>
      <c r="E140" s="140" t="s">
        <v>25</v>
      </c>
      <c r="F140" s="140" t="s">
        <v>2</v>
      </c>
      <c r="G140" s="1792"/>
    </row>
    <row r="141" spans="1:7" ht="14.4" customHeight="1">
      <c r="A141" s="145" t="s">
        <v>114</v>
      </c>
      <c r="B141" s="186">
        <f>+D132</f>
        <v>400</v>
      </c>
      <c r="C141" s="186">
        <f>+Loc!$E$13</f>
        <v>145</v>
      </c>
      <c r="D141" s="187">
        <f>+B141*C141</f>
        <v>58000</v>
      </c>
      <c r="E141" s="110">
        <v>0.5</v>
      </c>
      <c r="F141" s="110">
        <f>ROUND(E141*D141,0)</f>
        <v>29000</v>
      </c>
      <c r="G141" s="1793"/>
    </row>
    <row r="142" spans="1:7" ht="14.4" customHeight="1">
      <c r="A142" s="145" t="s">
        <v>113</v>
      </c>
      <c r="B142" s="186">
        <f>+D133</f>
        <v>0.6</v>
      </c>
      <c r="C142" s="186">
        <v>52</v>
      </c>
      <c r="D142" s="187">
        <f>+B142*C142</f>
        <v>31.2</v>
      </c>
      <c r="E142" s="110">
        <v>1500</v>
      </c>
      <c r="F142" s="110">
        <f>ROUND(E142*D142,0)</f>
        <v>46800</v>
      </c>
      <c r="G142" s="1793"/>
    </row>
    <row r="143" spans="1:7" ht="14.4" customHeight="1">
      <c r="A143" s="142" t="s">
        <v>38</v>
      </c>
      <c r="B143" s="186">
        <f>+D134</f>
        <v>0.76</v>
      </c>
      <c r="C143" s="186">
        <v>52</v>
      </c>
      <c r="D143" s="187">
        <f>+B143*C143</f>
        <v>39.520000000000003</v>
      </c>
      <c r="E143" s="110">
        <v>1500</v>
      </c>
      <c r="F143" s="110">
        <f>ROUND(E143*D143,0)</f>
        <v>59280</v>
      </c>
      <c r="G143" s="1793"/>
    </row>
    <row r="144" spans="1:7" ht="14.4" customHeight="1" thickBot="1">
      <c r="A144" s="147"/>
      <c r="B144" s="167"/>
      <c r="C144" s="167"/>
      <c r="D144" s="150"/>
      <c r="E144" s="150"/>
      <c r="F144" s="150"/>
      <c r="G144" s="1794"/>
    </row>
    <row r="145" spans="1:9" ht="14.4" customHeight="1" thickBot="1">
      <c r="F145" s="117" t="s">
        <v>3</v>
      </c>
      <c r="G145" s="184">
        <f>SUM(F141:F144)</f>
        <v>135080</v>
      </c>
    </row>
    <row r="146" spans="1:9" ht="14.4" customHeight="1" thickBot="1">
      <c r="A146" s="134" t="s">
        <v>19</v>
      </c>
      <c r="G146" s="111"/>
    </row>
    <row r="147" spans="1:9" ht="14.4" customHeight="1">
      <c r="A147" s="161" t="s">
        <v>24</v>
      </c>
      <c r="B147" s="140" t="s">
        <v>7</v>
      </c>
      <c r="C147" s="140" t="s">
        <v>43</v>
      </c>
      <c r="D147" s="162" t="s">
        <v>27</v>
      </c>
      <c r="E147" s="140" t="s">
        <v>8</v>
      </c>
      <c r="F147" s="140" t="s">
        <v>2</v>
      </c>
      <c r="G147" s="1792"/>
    </row>
    <row r="148" spans="1:9" ht="14.4" customHeight="1">
      <c r="A148" s="142" t="s">
        <v>116</v>
      </c>
      <c r="B148" s="110">
        <f>52202*2</f>
        <v>104404</v>
      </c>
      <c r="C148" s="163">
        <v>1.58</v>
      </c>
      <c r="D148" s="164">
        <f>C148*B148</f>
        <v>164958.32</v>
      </c>
      <c r="E148" s="164">
        <v>8.1999999999999993</v>
      </c>
      <c r="F148" s="164">
        <f>ROUND(D148/E148,0)</f>
        <v>20117</v>
      </c>
      <c r="G148" s="1793"/>
    </row>
    <row r="149" spans="1:9" ht="14.4" customHeight="1">
      <c r="A149" s="142" t="s">
        <v>150</v>
      </c>
      <c r="B149" s="110">
        <f>40084*6</f>
        <v>240504</v>
      </c>
      <c r="C149" s="163">
        <v>1.86</v>
      </c>
      <c r="D149" s="164">
        <f>C149*B149</f>
        <v>447337.44</v>
      </c>
      <c r="E149" s="164">
        <v>8.1999999999999993</v>
      </c>
      <c r="F149" s="164">
        <f>ROUND(D149/E149,0)</f>
        <v>54553</v>
      </c>
      <c r="G149" s="1793"/>
    </row>
    <row r="150" spans="1:9" ht="14.4" customHeight="1">
      <c r="A150" s="142"/>
      <c r="B150" s="179"/>
      <c r="C150" s="164"/>
      <c r="D150" s="164"/>
      <c r="E150" s="188"/>
      <c r="F150" s="164"/>
      <c r="G150" s="1793"/>
    </row>
    <row r="151" spans="1:9" ht="14.4" customHeight="1" thickBot="1">
      <c r="A151" s="147"/>
      <c r="B151" s="167"/>
      <c r="C151" s="150"/>
      <c r="D151" s="168"/>
      <c r="E151" s="168"/>
      <c r="F151" s="168"/>
      <c r="G151" s="1794"/>
    </row>
    <row r="152" spans="1:9" ht="14.4" customHeight="1" thickBot="1">
      <c r="D152" s="157"/>
      <c r="E152" s="157"/>
      <c r="F152" s="105" t="s">
        <v>3</v>
      </c>
      <c r="G152" s="169">
        <f>SUM(F148:F151)</f>
        <v>74670</v>
      </c>
      <c r="I152" s="111"/>
    </row>
    <row r="153" spans="1:9" ht="14.4" customHeight="1" thickBot="1">
      <c r="G153" s="111"/>
    </row>
    <row r="154" spans="1:9" ht="14.4" customHeight="1" thickBot="1">
      <c r="D154" s="134" t="s">
        <v>10</v>
      </c>
      <c r="G154" s="170">
        <f>ROUND(G129+G138+G145+G152,0)</f>
        <v>684946</v>
      </c>
    </row>
    <row r="155" spans="1:9" ht="14.4" customHeight="1">
      <c r="G155" s="111"/>
    </row>
    <row r="156" spans="1:9" ht="14.4" customHeight="1" thickBot="1">
      <c r="A156" s="134" t="s">
        <v>20</v>
      </c>
      <c r="G156" s="111"/>
    </row>
    <row r="157" spans="1:9" ht="14.4" customHeight="1">
      <c r="A157" s="1789" t="s">
        <v>21</v>
      </c>
      <c r="B157" s="1790"/>
      <c r="C157" s="1790"/>
      <c r="D157" s="1791"/>
      <c r="E157" s="171" t="s">
        <v>11</v>
      </c>
      <c r="F157" s="171" t="s">
        <v>22</v>
      </c>
      <c r="G157" s="1792"/>
    </row>
    <row r="158" spans="1:9" ht="14.4" customHeight="1">
      <c r="A158" s="1795" t="s">
        <v>30</v>
      </c>
      <c r="B158" s="1796"/>
      <c r="C158" s="1796"/>
      <c r="D158" s="1797"/>
      <c r="E158" s="172">
        <v>0.22</v>
      </c>
      <c r="F158" s="110">
        <f>ROUND($G$44*E158,0)</f>
        <v>135806</v>
      </c>
      <c r="G158" s="1793"/>
    </row>
    <row r="159" spans="1:9" ht="14.4" customHeight="1">
      <c r="A159" s="1795" t="s">
        <v>32</v>
      </c>
      <c r="B159" s="1796"/>
      <c r="C159" s="1796"/>
      <c r="D159" s="1797"/>
      <c r="E159" s="172">
        <v>0.05</v>
      </c>
      <c r="F159" s="110">
        <f>ROUND($G$44*E159,0)</f>
        <v>30865</v>
      </c>
      <c r="G159" s="1793"/>
    </row>
    <row r="160" spans="1:9" ht="14.4" customHeight="1" thickBot="1">
      <c r="A160" s="1798" t="s">
        <v>31</v>
      </c>
      <c r="B160" s="1799"/>
      <c r="C160" s="1799"/>
      <c r="D160" s="1800"/>
      <c r="E160" s="173">
        <v>0.03</v>
      </c>
      <c r="F160" s="150">
        <f>ROUND($G$44*E160,0)</f>
        <v>18519</v>
      </c>
      <c r="G160" s="1793"/>
    </row>
    <row r="161" spans="1:7" ht="14.4" customHeight="1" thickBot="1">
      <c r="F161" s="105" t="s">
        <v>3</v>
      </c>
      <c r="G161" s="169">
        <f>SUM(F158:F160)</f>
        <v>185190</v>
      </c>
    </row>
    <row r="162" spans="1:7" ht="14.4" customHeight="1" thickBot="1">
      <c r="A162" s="105" t="s">
        <v>72</v>
      </c>
      <c r="G162" s="111"/>
    </row>
    <row r="163" spans="1:7" ht="14.4" customHeight="1" thickBot="1">
      <c r="D163" s="189" t="s">
        <v>29</v>
      </c>
      <c r="G163" s="174">
        <f>ROUND(G154+G161,0)</f>
        <v>870136</v>
      </c>
    </row>
    <row r="164" spans="1:7" ht="14.4" customHeight="1">
      <c r="A164" s="134" t="s">
        <v>104</v>
      </c>
      <c r="D164" s="189"/>
      <c r="G164" s="175"/>
    </row>
    <row r="165" spans="1:7" ht="14.4" customHeight="1" thickBot="1">
      <c r="A165" s="105" t="s">
        <v>105</v>
      </c>
    </row>
    <row r="166" spans="1:7" ht="14.4" customHeight="1">
      <c r="A166" s="130"/>
      <c r="B166" s="131"/>
      <c r="C166" s="132"/>
      <c r="D166" s="130"/>
      <c r="E166" s="131"/>
      <c r="F166" s="131"/>
      <c r="G166" s="132"/>
    </row>
    <row r="167" spans="1:7" ht="14.4" customHeight="1">
      <c r="A167" s="1801"/>
      <c r="B167" s="1802"/>
      <c r="C167" s="1803"/>
      <c r="D167" s="133"/>
      <c r="E167" s="134"/>
      <c r="F167" s="134"/>
      <c r="G167" s="135"/>
    </row>
    <row r="168" spans="1:7" ht="14.4" customHeight="1">
      <c r="A168" s="1801"/>
      <c r="B168" s="1802"/>
      <c r="C168" s="1803"/>
      <c r="D168" s="1801" t="s">
        <v>51</v>
      </c>
      <c r="E168" s="1802"/>
      <c r="F168" s="1802"/>
      <c r="G168" s="1803"/>
    </row>
    <row r="169" spans="1:7" ht="14.4" customHeight="1">
      <c r="A169" s="1801"/>
      <c r="B169" s="1802"/>
      <c r="C169" s="1803"/>
      <c r="D169" s="133"/>
      <c r="E169" s="134"/>
      <c r="F169" s="134"/>
      <c r="G169" s="135"/>
    </row>
    <row r="170" spans="1:7" ht="14.4" customHeight="1" thickBot="1">
      <c r="A170" s="136"/>
      <c r="B170" s="137"/>
      <c r="C170" s="138"/>
      <c r="D170" s="136"/>
      <c r="E170" s="137"/>
      <c r="F170" s="137"/>
      <c r="G170" s="138"/>
    </row>
    <row r="172" spans="1:7" ht="14.4" customHeight="1">
      <c r="A172" s="1804" t="str">
        <f>+A7</f>
        <v>"MEJORAMIENTO VIAL MEDIANTE LA CONSTRUCCIÓN DE PAVIMENTO RÍGIDO DE LA PRIMERA ETAPA DE LA VÍA QUE COMUNICA A LA VEREDA PONDORES EN EL CORREGIMIENTO DE CONEJO, MUNICIPIO DE FONSECA - DEPARTAMENTO DE LA GUAJIRA."</v>
      </c>
      <c r="B172" s="1804"/>
      <c r="C172" s="1804"/>
      <c r="D172" s="1804"/>
      <c r="E172" s="1804"/>
      <c r="F172" s="1802" t="s">
        <v>57</v>
      </c>
      <c r="G172" s="1802"/>
    </row>
    <row r="173" spans="1:7" ht="14.4" customHeight="1">
      <c r="A173" s="1804"/>
      <c r="B173" s="1804"/>
      <c r="C173" s="1804"/>
      <c r="D173" s="1804"/>
      <c r="E173" s="1804"/>
      <c r="F173" s="134"/>
      <c r="G173" s="134"/>
    </row>
    <row r="174" spans="1:7" ht="14.4" customHeight="1">
      <c r="A174" s="182"/>
      <c r="B174" s="182"/>
      <c r="C174" s="182"/>
      <c r="D174" s="182"/>
      <c r="E174" s="182"/>
      <c r="F174" s="134"/>
      <c r="G174" s="134"/>
    </row>
    <row r="175" spans="1:7" ht="14.4" customHeight="1">
      <c r="A175" s="134" t="s">
        <v>276</v>
      </c>
      <c r="B175" s="134"/>
      <c r="C175" s="134"/>
      <c r="D175" s="134"/>
      <c r="E175" s="134"/>
      <c r="F175" s="139" t="s">
        <v>28</v>
      </c>
      <c r="G175" s="134" t="s">
        <v>0</v>
      </c>
    </row>
    <row r="176" spans="1:7" ht="14.4" customHeight="1">
      <c r="B176" s="134"/>
      <c r="F176" s="134"/>
      <c r="G176" s="134"/>
    </row>
    <row r="177" spans="1:8" ht="14.4" customHeight="1" thickBot="1">
      <c r="A177" s="134" t="s">
        <v>16</v>
      </c>
    </row>
    <row r="178" spans="1:8" ht="14.4" customHeight="1">
      <c r="A178" s="1789" t="s">
        <v>21</v>
      </c>
      <c r="B178" s="1790"/>
      <c r="C178" s="1791"/>
      <c r="D178" s="140" t="s">
        <v>1</v>
      </c>
      <c r="E178" s="141" t="s">
        <v>8</v>
      </c>
      <c r="F178" s="140" t="s">
        <v>2</v>
      </c>
      <c r="G178" s="1792"/>
    </row>
    <row r="179" spans="1:8" ht="14.4" customHeight="1">
      <c r="A179" s="142" t="s">
        <v>50</v>
      </c>
      <c r="B179" s="177"/>
      <c r="C179" s="144"/>
      <c r="D179" s="110">
        <f>+Equ!$D$21</f>
        <v>15000</v>
      </c>
      <c r="E179" s="110">
        <v>1</v>
      </c>
      <c r="F179" s="110">
        <f>+ROUND(D179/E179,0)</f>
        <v>15000</v>
      </c>
      <c r="G179" s="1793"/>
    </row>
    <row r="180" spans="1:8" ht="14.4" customHeight="1">
      <c r="A180" s="142" t="s">
        <v>52</v>
      </c>
      <c r="B180" s="177"/>
      <c r="C180" s="144"/>
      <c r="D180" s="110">
        <f>+Equ!$D$22</f>
        <v>7500</v>
      </c>
      <c r="E180" s="110">
        <v>1</v>
      </c>
      <c r="F180" s="110">
        <f>+ROUND(D180/E180,0)</f>
        <v>7500</v>
      </c>
      <c r="G180" s="1793"/>
    </row>
    <row r="181" spans="1:8" ht="14.4" customHeight="1">
      <c r="A181" s="142" t="s">
        <v>49</v>
      </c>
      <c r="B181" s="143"/>
      <c r="C181" s="144"/>
      <c r="D181" s="110"/>
      <c r="E181" s="110"/>
      <c r="F181" s="110"/>
      <c r="G181" s="1793"/>
      <c r="H181" s="111"/>
    </row>
    <row r="182" spans="1:8" ht="14.4" customHeight="1">
      <c r="A182" s="142"/>
      <c r="B182" s="177"/>
      <c r="C182" s="144"/>
      <c r="D182" s="110"/>
      <c r="E182" s="110"/>
      <c r="F182" s="110"/>
      <c r="G182" s="1793"/>
    </row>
    <row r="183" spans="1:8" ht="14.4" customHeight="1" thickBot="1">
      <c r="A183" s="147"/>
      <c r="B183" s="148"/>
      <c r="C183" s="149"/>
      <c r="D183" s="150"/>
      <c r="E183" s="150"/>
      <c r="F183" s="150"/>
      <c r="G183" s="1794"/>
    </row>
    <row r="184" spans="1:8" ht="14.4" customHeight="1" thickBot="1">
      <c r="F184" s="105" t="s">
        <v>3</v>
      </c>
      <c r="G184" s="151">
        <f>SUM(F179:F183)</f>
        <v>22500</v>
      </c>
    </row>
    <row r="185" spans="1:8" ht="14.4" customHeight="1" thickBot="1">
      <c r="A185" s="134" t="s">
        <v>17</v>
      </c>
      <c r="G185" s="111"/>
    </row>
    <row r="186" spans="1:8" ht="14.4" customHeight="1">
      <c r="A186" s="183" t="s">
        <v>21</v>
      </c>
      <c r="B186" s="140" t="s">
        <v>4</v>
      </c>
      <c r="C186" s="152" t="s">
        <v>5</v>
      </c>
      <c r="D186" s="140" t="s">
        <v>6</v>
      </c>
      <c r="E186" s="140" t="s">
        <v>56</v>
      </c>
      <c r="F186" s="140" t="s">
        <v>2</v>
      </c>
      <c r="G186" s="1792"/>
    </row>
    <row r="187" spans="1:8" ht="14.4" customHeight="1">
      <c r="A187" s="145" t="s">
        <v>37</v>
      </c>
      <c r="B187" s="109" t="s">
        <v>102</v>
      </c>
      <c r="C187" s="110">
        <f>+Sum!D13</f>
        <v>700</v>
      </c>
      <c r="D187" s="110">
        <v>400</v>
      </c>
      <c r="E187" s="163">
        <v>0.03</v>
      </c>
      <c r="F187" s="110">
        <f>+ROUND((C187*D187)+(C187*D187*E187),0)</f>
        <v>288400</v>
      </c>
      <c r="G187" s="1793"/>
    </row>
    <row r="188" spans="1:8" ht="14.4" customHeight="1">
      <c r="A188" s="142" t="s">
        <v>113</v>
      </c>
      <c r="B188" s="109" t="s">
        <v>0</v>
      </c>
      <c r="C188" s="110">
        <f>+Sum!$D$14</f>
        <v>85000</v>
      </c>
      <c r="D188" s="110">
        <v>0.6</v>
      </c>
      <c r="E188" s="163">
        <v>0.04</v>
      </c>
      <c r="F188" s="110">
        <f>+ROUND((C188*D188)+(C188*D188*E188),0)</f>
        <v>53040</v>
      </c>
      <c r="G188" s="1793"/>
      <c r="H188" s="105">
        <f>50*7.5</f>
        <v>375</v>
      </c>
    </row>
    <row r="189" spans="1:8" ht="14.4" customHeight="1">
      <c r="A189" s="142" t="s">
        <v>38</v>
      </c>
      <c r="B189" s="109" t="s">
        <v>0</v>
      </c>
      <c r="C189" s="110">
        <f>+Sum!$D$15</f>
        <v>65000</v>
      </c>
      <c r="D189" s="110">
        <v>0.76</v>
      </c>
      <c r="E189" s="163">
        <v>0.03</v>
      </c>
      <c r="F189" s="110">
        <f>+ROUND((C189*D189)+(C189*D189*E189),0)</f>
        <v>50882</v>
      </c>
      <c r="G189" s="1793"/>
    </row>
    <row r="190" spans="1:8" ht="14.4" customHeight="1">
      <c r="A190" s="142" t="s">
        <v>78</v>
      </c>
      <c r="B190" s="109" t="s">
        <v>109</v>
      </c>
      <c r="C190" s="110">
        <f>+Sum!$D$17</f>
        <v>192.9</v>
      </c>
      <c r="D190" s="110">
        <v>210</v>
      </c>
      <c r="E190" s="163">
        <v>0.02</v>
      </c>
      <c r="F190" s="110">
        <f>+ROUND((C190*D190)+(C190*D190*E190),0)</f>
        <v>41319</v>
      </c>
      <c r="G190" s="1793"/>
    </row>
    <row r="191" spans="1:8" ht="14.4" customHeight="1">
      <c r="A191" s="153" t="s">
        <v>119</v>
      </c>
      <c r="B191" s="176" t="s">
        <v>33</v>
      </c>
      <c r="C191" s="146">
        <f>+Sum!$D$24</f>
        <v>18500</v>
      </c>
      <c r="D191" s="146">
        <v>1</v>
      </c>
      <c r="E191" s="165">
        <v>0.03</v>
      </c>
      <c r="F191" s="110">
        <f>+ROUND((C191*D191)+(C191*D191*E191),0)</f>
        <v>19055</v>
      </c>
      <c r="G191" s="1793"/>
    </row>
    <row r="192" spans="1:8" ht="14.4" customHeight="1" thickBot="1">
      <c r="A192" s="147"/>
      <c r="B192" s="154"/>
      <c r="C192" s="150"/>
      <c r="D192" s="150"/>
      <c r="E192" s="150"/>
      <c r="F192" s="150"/>
      <c r="G192" s="1794"/>
    </row>
    <row r="193" spans="1:9" ht="14.4" customHeight="1" thickBot="1">
      <c r="F193" s="105" t="s">
        <v>3</v>
      </c>
      <c r="G193" s="184">
        <f>SUM(F187:F192)</f>
        <v>452696</v>
      </c>
    </row>
    <row r="194" spans="1:9" ht="14.4" customHeight="1" thickBot="1">
      <c r="A194" s="134" t="s">
        <v>18</v>
      </c>
      <c r="G194" s="111"/>
    </row>
    <row r="195" spans="1:9" ht="14.4" customHeight="1">
      <c r="A195" s="185" t="s">
        <v>23</v>
      </c>
      <c r="B195" s="140" t="s">
        <v>46</v>
      </c>
      <c r="C195" s="140" t="s">
        <v>36</v>
      </c>
      <c r="D195" s="152" t="s">
        <v>26</v>
      </c>
      <c r="E195" s="140" t="s">
        <v>25</v>
      </c>
      <c r="F195" s="140" t="s">
        <v>2</v>
      </c>
      <c r="G195" s="1792"/>
    </row>
    <row r="196" spans="1:9" ht="14.4" customHeight="1">
      <c r="A196" s="145" t="s">
        <v>114</v>
      </c>
      <c r="B196" s="186">
        <f>+D187</f>
        <v>400</v>
      </c>
      <c r="C196" s="186">
        <f>+Loc!$E$13</f>
        <v>145</v>
      </c>
      <c r="D196" s="187">
        <f>+B196*C196</f>
        <v>58000</v>
      </c>
      <c r="E196" s="110">
        <v>0.5</v>
      </c>
      <c r="F196" s="110">
        <f>ROUND(E196*D196,0)</f>
        <v>29000</v>
      </c>
      <c r="G196" s="1793"/>
    </row>
    <row r="197" spans="1:9" ht="14.4" customHeight="1">
      <c r="A197" s="145" t="s">
        <v>113</v>
      </c>
      <c r="B197" s="186">
        <f>+D188</f>
        <v>0.6</v>
      </c>
      <c r="C197" s="186">
        <v>52</v>
      </c>
      <c r="D197" s="187">
        <f>+B197*C197</f>
        <v>31.2</v>
      </c>
      <c r="E197" s="110">
        <v>1500</v>
      </c>
      <c r="F197" s="110">
        <f>ROUND(E197*D197,0)</f>
        <v>46800</v>
      </c>
      <c r="G197" s="1793"/>
    </row>
    <row r="198" spans="1:9" ht="14.4" customHeight="1">
      <c r="A198" s="142" t="s">
        <v>38</v>
      </c>
      <c r="B198" s="186">
        <f>+D189</f>
        <v>0.76</v>
      </c>
      <c r="C198" s="186">
        <v>52</v>
      </c>
      <c r="D198" s="187">
        <f>+B198*C198</f>
        <v>39.520000000000003</v>
      </c>
      <c r="E198" s="110">
        <v>1500</v>
      </c>
      <c r="F198" s="110">
        <f>ROUND(E198*D198,0)</f>
        <v>59280</v>
      </c>
      <c r="G198" s="1793"/>
    </row>
    <row r="199" spans="1:9" ht="14.4" customHeight="1" thickBot="1">
      <c r="A199" s="147"/>
      <c r="B199" s="167"/>
      <c r="C199" s="167"/>
      <c r="D199" s="150"/>
      <c r="E199" s="150"/>
      <c r="F199" s="150"/>
      <c r="G199" s="1794"/>
    </row>
    <row r="200" spans="1:9" ht="14.4" customHeight="1" thickBot="1">
      <c r="F200" s="117" t="s">
        <v>3</v>
      </c>
      <c r="G200" s="184">
        <f>SUM(F196:F199)</f>
        <v>135080</v>
      </c>
    </row>
    <row r="201" spans="1:9" ht="14.4" customHeight="1" thickBot="1">
      <c r="A201" s="134" t="s">
        <v>19</v>
      </c>
      <c r="G201" s="111"/>
    </row>
    <row r="202" spans="1:9" ht="14.4" customHeight="1">
      <c r="A202" s="161" t="s">
        <v>24</v>
      </c>
      <c r="B202" s="140" t="s">
        <v>7</v>
      </c>
      <c r="C202" s="140" t="s">
        <v>43</v>
      </c>
      <c r="D202" s="162" t="s">
        <v>27</v>
      </c>
      <c r="E202" s="140" t="s">
        <v>8</v>
      </c>
      <c r="F202" s="140" t="s">
        <v>2</v>
      </c>
      <c r="G202" s="1792"/>
    </row>
    <row r="203" spans="1:9" ht="14.4" customHeight="1">
      <c r="A203" s="142" t="s">
        <v>116</v>
      </c>
      <c r="B203" s="110">
        <f>52202*2</f>
        <v>104404</v>
      </c>
      <c r="C203" s="163">
        <v>1.58</v>
      </c>
      <c r="D203" s="164">
        <f>C203*B203</f>
        <v>164958.32</v>
      </c>
      <c r="E203" s="164">
        <v>8.1999999999999993</v>
      </c>
      <c r="F203" s="164">
        <f>ROUND(D203/E203,0)</f>
        <v>20117</v>
      </c>
      <c r="G203" s="1793"/>
    </row>
    <row r="204" spans="1:9" ht="14.4" customHeight="1">
      <c r="A204" s="142" t="s">
        <v>150</v>
      </c>
      <c r="B204" s="110">
        <f>40084*6</f>
        <v>240504</v>
      </c>
      <c r="C204" s="163">
        <v>1.86</v>
      </c>
      <c r="D204" s="164">
        <f>C204*B204</f>
        <v>447337.44</v>
      </c>
      <c r="E204" s="164">
        <v>8.1999999999999993</v>
      </c>
      <c r="F204" s="164">
        <f>ROUND(D204/E204,0)</f>
        <v>54553</v>
      </c>
      <c r="G204" s="1793"/>
    </row>
    <row r="205" spans="1:9" ht="14.4" customHeight="1">
      <c r="A205" s="142"/>
      <c r="B205" s="179"/>
      <c r="C205" s="164"/>
      <c r="D205" s="164"/>
      <c r="E205" s="188"/>
      <c r="F205" s="164"/>
      <c r="G205" s="1793"/>
    </row>
    <row r="206" spans="1:9" ht="14.4" customHeight="1" thickBot="1">
      <c r="A206" s="147"/>
      <c r="B206" s="167"/>
      <c r="C206" s="150"/>
      <c r="D206" s="168"/>
      <c r="E206" s="168"/>
      <c r="F206" s="168"/>
      <c r="G206" s="1794"/>
    </row>
    <row r="207" spans="1:9" ht="14.4" customHeight="1" thickBot="1">
      <c r="D207" s="157"/>
      <c r="E207" s="157"/>
      <c r="F207" s="105" t="s">
        <v>3</v>
      </c>
      <c r="G207" s="169">
        <f>SUM(F203:F206)</f>
        <v>74670</v>
      </c>
      <c r="I207" s="111"/>
    </row>
    <row r="208" spans="1:9" ht="14.4" customHeight="1" thickBot="1">
      <c r="G208" s="111"/>
    </row>
    <row r="209" spans="1:7" ht="14.4" customHeight="1" thickBot="1">
      <c r="D209" s="134" t="s">
        <v>10</v>
      </c>
      <c r="G209" s="170">
        <f>ROUND(G184+G193+G200+G207,0)</f>
        <v>684946</v>
      </c>
    </row>
    <row r="210" spans="1:7" ht="14.4" customHeight="1">
      <c r="G210" s="111"/>
    </row>
    <row r="211" spans="1:7" ht="14.4" customHeight="1" thickBot="1">
      <c r="A211" s="134" t="s">
        <v>20</v>
      </c>
      <c r="G211" s="111"/>
    </row>
    <row r="212" spans="1:7" ht="14.4" customHeight="1">
      <c r="A212" s="1789" t="s">
        <v>21</v>
      </c>
      <c r="B212" s="1790"/>
      <c r="C212" s="1790"/>
      <c r="D212" s="1791"/>
      <c r="E212" s="171" t="s">
        <v>11</v>
      </c>
      <c r="F212" s="171" t="s">
        <v>22</v>
      </c>
      <c r="G212" s="1792"/>
    </row>
    <row r="213" spans="1:7" ht="14.4" customHeight="1">
      <c r="A213" s="1795" t="s">
        <v>30</v>
      </c>
      <c r="B213" s="1796"/>
      <c r="C213" s="1796"/>
      <c r="D213" s="1797"/>
      <c r="E213" s="172">
        <v>0.22</v>
      </c>
      <c r="F213" s="110">
        <f>ROUND($G$44*E213,0)</f>
        <v>135806</v>
      </c>
      <c r="G213" s="1793"/>
    </row>
    <row r="214" spans="1:7" ht="14.4" customHeight="1">
      <c r="A214" s="1795" t="s">
        <v>32</v>
      </c>
      <c r="B214" s="1796"/>
      <c r="C214" s="1796"/>
      <c r="D214" s="1797"/>
      <c r="E214" s="172">
        <v>0.05</v>
      </c>
      <c r="F214" s="110">
        <f>ROUND($G$44*E214,0)</f>
        <v>30865</v>
      </c>
      <c r="G214" s="1793"/>
    </row>
    <row r="215" spans="1:7" ht="14.4" customHeight="1" thickBot="1">
      <c r="A215" s="1798" t="s">
        <v>31</v>
      </c>
      <c r="B215" s="1799"/>
      <c r="C215" s="1799"/>
      <c r="D215" s="1800"/>
      <c r="E215" s="173">
        <v>0.03</v>
      </c>
      <c r="F215" s="150">
        <f>ROUND($G$44*E215,0)</f>
        <v>18519</v>
      </c>
      <c r="G215" s="1793"/>
    </row>
    <row r="216" spans="1:7" ht="14.4" customHeight="1" thickBot="1">
      <c r="F216" s="105" t="s">
        <v>3</v>
      </c>
      <c r="G216" s="169">
        <f>SUM(F213:F215)</f>
        <v>185190</v>
      </c>
    </row>
    <row r="217" spans="1:7" ht="14.4" customHeight="1" thickBot="1">
      <c r="A217" s="105" t="s">
        <v>72</v>
      </c>
      <c r="G217" s="111"/>
    </row>
    <row r="218" spans="1:7" ht="14.4" customHeight="1" thickBot="1">
      <c r="D218" s="189" t="s">
        <v>29</v>
      </c>
      <c r="G218" s="174">
        <f>ROUND(G209+G216,0)</f>
        <v>870136</v>
      </c>
    </row>
    <row r="219" spans="1:7" ht="14.4" customHeight="1">
      <c r="A219" s="134" t="s">
        <v>104</v>
      </c>
      <c r="D219" s="189"/>
      <c r="G219" s="175"/>
    </row>
    <row r="220" spans="1:7" ht="14.4" customHeight="1" thickBot="1">
      <c r="A220" s="105" t="s">
        <v>105</v>
      </c>
    </row>
    <row r="221" spans="1:7" ht="14.4" customHeight="1">
      <c r="A221" s="130"/>
      <c r="B221" s="131"/>
      <c r="C221" s="132"/>
      <c r="D221" s="130"/>
      <c r="E221" s="131"/>
      <c r="F221" s="131"/>
      <c r="G221" s="132"/>
    </row>
    <row r="222" spans="1:7" ht="14.4" customHeight="1">
      <c r="A222" s="1801"/>
      <c r="B222" s="1802"/>
      <c r="C222" s="1803"/>
      <c r="D222" s="133"/>
      <c r="E222" s="134"/>
      <c r="F222" s="134"/>
      <c r="G222" s="135"/>
    </row>
    <row r="223" spans="1:7" ht="14.4" customHeight="1">
      <c r="A223" s="1801"/>
      <c r="B223" s="1802"/>
      <c r="C223" s="1803"/>
      <c r="D223" s="1801" t="s">
        <v>51</v>
      </c>
      <c r="E223" s="1802"/>
      <c r="F223" s="1802"/>
      <c r="G223" s="1803"/>
    </row>
    <row r="224" spans="1:7" ht="14.4" customHeight="1">
      <c r="A224" s="1801"/>
      <c r="B224" s="1802"/>
      <c r="C224" s="1803"/>
      <c r="D224" s="133"/>
      <c r="E224" s="134"/>
      <c r="F224" s="134"/>
      <c r="G224" s="135"/>
    </row>
    <row r="225" spans="1:7" ht="14.4" customHeight="1" thickBot="1">
      <c r="A225" s="136"/>
      <c r="B225" s="137"/>
      <c r="C225" s="138"/>
      <c r="D225" s="136"/>
      <c r="E225" s="137"/>
      <c r="F225" s="137"/>
      <c r="G225" s="138"/>
    </row>
    <row r="227" spans="1:7" ht="14.4" customHeight="1">
      <c r="A227" s="1804" t="str">
        <f>+A7</f>
        <v>"MEJORAMIENTO VIAL MEDIANTE LA CONSTRUCCIÓN DE PAVIMENTO RÍGIDO DE LA PRIMERA ETAPA DE LA VÍA QUE COMUNICA A LA VEREDA PONDORES EN EL CORREGIMIENTO DE CONEJO, MUNICIPIO DE FONSECA - DEPARTAMENTO DE LA GUAJIRA."</v>
      </c>
      <c r="B227" s="1804"/>
      <c r="C227" s="1804"/>
      <c r="D227" s="1804"/>
      <c r="E227" s="1804"/>
      <c r="F227" s="1802" t="s">
        <v>57</v>
      </c>
      <c r="G227" s="1802"/>
    </row>
    <row r="228" spans="1:7" ht="14.4" customHeight="1">
      <c r="A228" s="1804"/>
      <c r="B228" s="1804"/>
      <c r="C228" s="1804"/>
      <c r="D228" s="1804"/>
      <c r="E228" s="1804"/>
      <c r="F228" s="134"/>
      <c r="G228" s="134"/>
    </row>
    <row r="229" spans="1:7" ht="14.4" customHeight="1">
      <c r="A229" s="182"/>
      <c r="B229" s="182"/>
      <c r="C229" s="182"/>
      <c r="D229" s="182"/>
      <c r="E229" s="182"/>
      <c r="F229" s="134"/>
      <c r="G229" s="134"/>
    </row>
    <row r="230" spans="1:7" ht="14.4" customHeight="1">
      <c r="A230" s="134" t="s">
        <v>120</v>
      </c>
      <c r="B230" s="134"/>
      <c r="C230" s="134"/>
      <c r="D230" s="134"/>
      <c r="E230" s="134"/>
      <c r="F230" s="139" t="s">
        <v>28</v>
      </c>
      <c r="G230" s="134" t="s">
        <v>0</v>
      </c>
    </row>
    <row r="231" spans="1:7" ht="14.4" customHeight="1">
      <c r="B231" s="134"/>
      <c r="F231" s="134"/>
      <c r="G231" s="134"/>
    </row>
    <row r="232" spans="1:7" ht="14.4" customHeight="1" thickBot="1">
      <c r="A232" s="134" t="s">
        <v>16</v>
      </c>
    </row>
    <row r="233" spans="1:7" ht="14.4" customHeight="1">
      <c r="A233" s="1789" t="s">
        <v>21</v>
      </c>
      <c r="B233" s="1790"/>
      <c r="C233" s="1791"/>
      <c r="D233" s="140" t="s">
        <v>1</v>
      </c>
      <c r="E233" s="141" t="s">
        <v>8</v>
      </c>
      <c r="F233" s="140" t="s">
        <v>2</v>
      </c>
      <c r="G233" s="1792"/>
    </row>
    <row r="234" spans="1:7" ht="14.4" customHeight="1">
      <c r="A234" s="142" t="s">
        <v>49</v>
      </c>
      <c r="B234" s="143">
        <v>0.1</v>
      </c>
      <c r="C234" s="144"/>
      <c r="D234" s="110"/>
      <c r="E234" s="110"/>
      <c r="F234" s="110">
        <f>+ROUND(B234*G263,0)</f>
        <v>1287</v>
      </c>
      <c r="G234" s="1793"/>
    </row>
    <row r="235" spans="1:7" ht="14.4" customHeight="1">
      <c r="A235" s="142"/>
      <c r="B235" s="143"/>
      <c r="C235" s="144"/>
      <c r="D235" s="110"/>
      <c r="E235" s="110"/>
      <c r="F235" s="110"/>
      <c r="G235" s="1793"/>
    </row>
    <row r="236" spans="1:7" ht="14.4" customHeight="1">
      <c r="A236" s="142"/>
      <c r="B236" s="143"/>
      <c r="C236" s="144"/>
      <c r="D236" s="110"/>
      <c r="E236" s="110"/>
      <c r="F236" s="110"/>
      <c r="G236" s="1793"/>
    </row>
    <row r="237" spans="1:7" ht="14.4" customHeight="1">
      <c r="A237" s="142"/>
      <c r="B237" s="177"/>
      <c r="C237" s="144"/>
      <c r="D237" s="110"/>
      <c r="E237" s="110"/>
      <c r="F237" s="110"/>
      <c r="G237" s="1793"/>
    </row>
    <row r="238" spans="1:7" ht="14.4" customHeight="1" thickBot="1">
      <c r="A238" s="147"/>
      <c r="B238" s="148"/>
      <c r="C238" s="149"/>
      <c r="D238" s="150"/>
      <c r="E238" s="150"/>
      <c r="F238" s="150"/>
      <c r="G238" s="1794"/>
    </row>
    <row r="239" spans="1:7" ht="14.4" customHeight="1" thickBot="1">
      <c r="F239" s="105" t="s">
        <v>3</v>
      </c>
      <c r="G239" s="151">
        <f>SUM(F234:F238)</f>
        <v>1287</v>
      </c>
    </row>
    <row r="240" spans="1:7" ht="14.4" customHeight="1" thickBot="1">
      <c r="A240" s="134" t="s">
        <v>17</v>
      </c>
      <c r="G240" s="111"/>
    </row>
    <row r="241" spans="1:7" ht="14.4" customHeight="1">
      <c r="A241" s="183" t="s">
        <v>21</v>
      </c>
      <c r="B241" s="140" t="s">
        <v>4</v>
      </c>
      <c r="C241" s="152" t="s">
        <v>5</v>
      </c>
      <c r="D241" s="140" t="s">
        <v>6</v>
      </c>
      <c r="E241" s="140" t="s">
        <v>56</v>
      </c>
      <c r="F241" s="140" t="s">
        <v>2</v>
      </c>
      <c r="G241" s="1792"/>
    </row>
    <row r="242" spans="1:7" ht="14.4" customHeight="1">
      <c r="A242" s="145" t="s">
        <v>37</v>
      </c>
      <c r="B242" s="109" t="s">
        <v>102</v>
      </c>
      <c r="C242" s="110">
        <f>+Sum!D13</f>
        <v>700</v>
      </c>
      <c r="D242" s="110">
        <v>454</v>
      </c>
      <c r="E242" s="163">
        <v>0.03</v>
      </c>
      <c r="F242" s="110">
        <f>+ROUND((C242*D242)+(C242*D242*E242),0)</f>
        <v>327334</v>
      </c>
      <c r="G242" s="1793"/>
    </row>
    <row r="243" spans="1:7" ht="14.4" customHeight="1">
      <c r="A243" s="142" t="s">
        <v>38</v>
      </c>
      <c r="B243" s="109" t="s">
        <v>0</v>
      </c>
      <c r="C243" s="110">
        <f>+Sum!$D$15</f>
        <v>65000</v>
      </c>
      <c r="D243" s="110">
        <v>1.1000000000000001</v>
      </c>
      <c r="E243" s="163">
        <v>0.03</v>
      </c>
      <c r="F243" s="110">
        <f>+ROUND((C243*D243)+(C243*D243*E243),0)</f>
        <v>73645</v>
      </c>
      <c r="G243" s="1793"/>
    </row>
    <row r="244" spans="1:7" ht="14.4" customHeight="1">
      <c r="A244" s="142" t="s">
        <v>78</v>
      </c>
      <c r="B244" s="109" t="s">
        <v>109</v>
      </c>
      <c r="C244" s="110">
        <f>+Sum!$D$17</f>
        <v>192.9</v>
      </c>
      <c r="D244" s="110">
        <v>220</v>
      </c>
      <c r="E244" s="163">
        <v>0.02</v>
      </c>
      <c r="F244" s="110">
        <f>+ROUND((C244*D244)+(C244*D244*E244),0)</f>
        <v>43287</v>
      </c>
      <c r="G244" s="1793"/>
    </row>
    <row r="245" spans="1:7" ht="14.4" customHeight="1">
      <c r="A245" s="153"/>
      <c r="B245" s="176"/>
      <c r="C245" s="146"/>
      <c r="D245" s="146"/>
      <c r="E245" s="165"/>
      <c r="F245" s="146"/>
      <c r="G245" s="1793"/>
    </row>
    <row r="246" spans="1:7" ht="14.4" customHeight="1" thickBot="1">
      <c r="A246" s="147"/>
      <c r="B246" s="154"/>
      <c r="C246" s="150"/>
      <c r="D246" s="150"/>
      <c r="E246" s="150"/>
      <c r="F246" s="150"/>
      <c r="G246" s="1794"/>
    </row>
    <row r="247" spans="1:7" ht="14.4" customHeight="1" thickBot="1">
      <c r="F247" s="105" t="s">
        <v>3</v>
      </c>
      <c r="G247" s="184">
        <f>SUM(F242:F246)</f>
        <v>444266</v>
      </c>
    </row>
    <row r="248" spans="1:7" ht="14.4" customHeight="1" thickBot="1">
      <c r="A248" s="134" t="s">
        <v>18</v>
      </c>
      <c r="G248" s="111"/>
    </row>
    <row r="249" spans="1:7" ht="14.4" customHeight="1">
      <c r="A249" s="185" t="s">
        <v>23</v>
      </c>
      <c r="B249" s="140" t="s">
        <v>46</v>
      </c>
      <c r="C249" s="140" t="s">
        <v>36</v>
      </c>
      <c r="D249" s="152" t="s">
        <v>26</v>
      </c>
      <c r="E249" s="140" t="s">
        <v>25</v>
      </c>
      <c r="F249" s="140" t="s">
        <v>2</v>
      </c>
      <c r="G249" s="1792"/>
    </row>
    <row r="250" spans="1:7" ht="14.4" customHeight="1">
      <c r="A250" s="145" t="s">
        <v>114</v>
      </c>
      <c r="B250" s="186">
        <f>+D242</f>
        <v>454</v>
      </c>
      <c r="C250" s="186">
        <f>+Loc!$E$13</f>
        <v>145</v>
      </c>
      <c r="D250" s="187">
        <f>+B250*C250</f>
        <v>65830</v>
      </c>
      <c r="E250" s="110">
        <v>1</v>
      </c>
      <c r="F250" s="110">
        <f>ROUND(E250*D250,0)</f>
        <v>65830</v>
      </c>
      <c r="G250" s="1793"/>
    </row>
    <row r="251" spans="1:7" ht="14.4" customHeight="1">
      <c r="A251" s="142" t="s">
        <v>38</v>
      </c>
      <c r="B251" s="186">
        <f>+D243</f>
        <v>1.1000000000000001</v>
      </c>
      <c r="C251" s="186">
        <v>52</v>
      </c>
      <c r="D251" s="187">
        <f>+B251*C251</f>
        <v>57.2</v>
      </c>
      <c r="E251" s="110">
        <v>1500</v>
      </c>
      <c r="F251" s="110">
        <f>ROUND(E251*D251,0)</f>
        <v>85800</v>
      </c>
      <c r="G251" s="1793"/>
    </row>
    <row r="252" spans="1:7" ht="14.4" customHeight="1">
      <c r="A252" s="145"/>
      <c r="B252" s="186"/>
      <c r="C252" s="186"/>
      <c r="D252" s="187"/>
      <c r="E252" s="110"/>
      <c r="F252" s="110"/>
      <c r="G252" s="1793"/>
    </row>
    <row r="253" spans="1:7" ht="14.4" customHeight="1">
      <c r="A253" s="145"/>
      <c r="B253" s="186"/>
      <c r="C253" s="112"/>
      <c r="D253" s="187"/>
      <c r="E253" s="110"/>
      <c r="F253" s="110"/>
      <c r="G253" s="1793"/>
    </row>
    <row r="254" spans="1:7" ht="14.4" customHeight="1" thickBot="1">
      <c r="A254" s="147"/>
      <c r="B254" s="167"/>
      <c r="C254" s="167"/>
      <c r="D254" s="150"/>
      <c r="E254" s="150"/>
      <c r="F254" s="150"/>
      <c r="G254" s="1794"/>
    </row>
    <row r="255" spans="1:7" ht="14.4" customHeight="1" thickBot="1">
      <c r="F255" s="117" t="s">
        <v>3</v>
      </c>
      <c r="G255" s="184">
        <f>SUM(F250:F254)</f>
        <v>151630</v>
      </c>
    </row>
    <row r="256" spans="1:7" ht="14.4" customHeight="1" thickBot="1">
      <c r="A256" s="134" t="s">
        <v>19</v>
      </c>
      <c r="G256" s="111"/>
    </row>
    <row r="257" spans="1:7" ht="14.4" customHeight="1">
      <c r="A257" s="161" t="s">
        <v>24</v>
      </c>
      <c r="B257" s="140" t="s">
        <v>7</v>
      </c>
      <c r="C257" s="140" t="s">
        <v>43</v>
      </c>
      <c r="D257" s="162" t="s">
        <v>27</v>
      </c>
      <c r="E257" s="140" t="s">
        <v>8</v>
      </c>
      <c r="F257" s="140" t="s">
        <v>2</v>
      </c>
      <c r="G257" s="1792"/>
    </row>
    <row r="258" spans="1:7" ht="14.4" customHeight="1">
      <c r="A258" s="142" t="s">
        <v>149</v>
      </c>
      <c r="B258" s="110">
        <f>52202*1</f>
        <v>52202</v>
      </c>
      <c r="C258" s="163">
        <v>1.58</v>
      </c>
      <c r="D258" s="164">
        <f>C258*B258</f>
        <v>82479.16</v>
      </c>
      <c r="E258" s="164">
        <v>18</v>
      </c>
      <c r="F258" s="164">
        <f>ROUND(D258/E258,0)</f>
        <v>4582</v>
      </c>
      <c r="G258" s="1793"/>
    </row>
    <row r="259" spans="1:7" ht="14.4" customHeight="1">
      <c r="A259" s="142" t="s">
        <v>121</v>
      </c>
      <c r="B259" s="110">
        <f>40084*2</f>
        <v>80168</v>
      </c>
      <c r="C259" s="163">
        <v>1.86</v>
      </c>
      <c r="D259" s="164">
        <f>C259*B259</f>
        <v>149112.48000000001</v>
      </c>
      <c r="E259" s="164">
        <f>+E258</f>
        <v>18</v>
      </c>
      <c r="F259" s="164">
        <f>ROUND(D259/E259,0)</f>
        <v>8284</v>
      </c>
      <c r="G259" s="1793"/>
    </row>
    <row r="260" spans="1:7" ht="14.4" customHeight="1">
      <c r="A260" s="142"/>
      <c r="B260" s="110"/>
      <c r="C260" s="163"/>
      <c r="D260" s="164"/>
      <c r="E260" s="164"/>
      <c r="F260" s="164"/>
      <c r="G260" s="1793"/>
    </row>
    <row r="261" spans="1:7" ht="14.4" customHeight="1">
      <c r="A261" s="142"/>
      <c r="B261" s="179"/>
      <c r="C261" s="164"/>
      <c r="D261" s="164"/>
      <c r="E261" s="188"/>
      <c r="F261" s="164"/>
      <c r="G261" s="1793"/>
    </row>
    <row r="262" spans="1:7" ht="14.4" customHeight="1" thickBot="1">
      <c r="A262" s="147"/>
      <c r="B262" s="167"/>
      <c r="C262" s="150"/>
      <c r="D262" s="168"/>
      <c r="E262" s="168"/>
      <c r="F262" s="168"/>
      <c r="G262" s="1794"/>
    </row>
    <row r="263" spans="1:7" ht="14.4" customHeight="1" thickBot="1">
      <c r="D263" s="157"/>
      <c r="E263" s="157"/>
      <c r="F263" s="105" t="s">
        <v>3</v>
      </c>
      <c r="G263" s="169">
        <f>SUM(F258:F262)</f>
        <v>12866</v>
      </c>
    </row>
    <row r="264" spans="1:7" ht="14.4" customHeight="1" thickBot="1">
      <c r="G264" s="111"/>
    </row>
    <row r="265" spans="1:7" ht="14.4" customHeight="1" thickBot="1">
      <c r="D265" s="134" t="s">
        <v>10</v>
      </c>
      <c r="G265" s="170">
        <f>ROUND(G239+G247+G255+G263,0)</f>
        <v>610049</v>
      </c>
    </row>
    <row r="266" spans="1:7" ht="14.4" customHeight="1">
      <c r="G266" s="111"/>
    </row>
    <row r="267" spans="1:7" ht="14.4" customHeight="1" thickBot="1">
      <c r="A267" s="134" t="s">
        <v>20</v>
      </c>
      <c r="G267" s="111"/>
    </row>
    <row r="268" spans="1:7" ht="14.4" customHeight="1">
      <c r="A268" s="1789" t="s">
        <v>21</v>
      </c>
      <c r="B268" s="1790"/>
      <c r="C268" s="1790"/>
      <c r="D268" s="1791"/>
      <c r="E268" s="171" t="s">
        <v>11</v>
      </c>
      <c r="F268" s="171" t="s">
        <v>22</v>
      </c>
      <c r="G268" s="1792"/>
    </row>
    <row r="269" spans="1:7" ht="14.4" customHeight="1">
      <c r="A269" s="1795" t="s">
        <v>30</v>
      </c>
      <c r="B269" s="1796"/>
      <c r="C269" s="1796"/>
      <c r="D269" s="1797"/>
      <c r="E269" s="172">
        <v>0.22</v>
      </c>
      <c r="F269" s="110">
        <f>ROUND($G$44*E269,0)</f>
        <v>135806</v>
      </c>
      <c r="G269" s="1793"/>
    </row>
    <row r="270" spans="1:7" ht="14.4" customHeight="1">
      <c r="A270" s="1795" t="s">
        <v>32</v>
      </c>
      <c r="B270" s="1796"/>
      <c r="C270" s="1796"/>
      <c r="D270" s="1797"/>
      <c r="E270" s="172">
        <v>0.05</v>
      </c>
      <c r="F270" s="110">
        <f>ROUND($G$44*E270,0)</f>
        <v>30865</v>
      </c>
      <c r="G270" s="1793"/>
    </row>
    <row r="271" spans="1:7" ht="14.4" customHeight="1" thickBot="1">
      <c r="A271" s="1798" t="s">
        <v>31</v>
      </c>
      <c r="B271" s="1799"/>
      <c r="C271" s="1799"/>
      <c r="D271" s="1800"/>
      <c r="E271" s="173">
        <v>0.03</v>
      </c>
      <c r="F271" s="150">
        <f>ROUND($G$44*E271,0)</f>
        <v>18519</v>
      </c>
      <c r="G271" s="1793"/>
    </row>
    <row r="272" spans="1:7" ht="14.4" customHeight="1" thickBot="1">
      <c r="F272" s="105" t="s">
        <v>3</v>
      </c>
      <c r="G272" s="169">
        <f>SUM(F269:F271)</f>
        <v>185190</v>
      </c>
    </row>
    <row r="273" spans="1:7" ht="14.4" customHeight="1" thickBot="1">
      <c r="A273" s="105" t="s">
        <v>72</v>
      </c>
      <c r="G273" s="111"/>
    </row>
    <row r="274" spans="1:7" ht="14.4" customHeight="1" thickBot="1">
      <c r="D274" s="189" t="s">
        <v>29</v>
      </c>
      <c r="G274" s="174">
        <f>ROUND(G265+G272,0)</f>
        <v>795239</v>
      </c>
    </row>
    <row r="275" spans="1:7" ht="14.4" customHeight="1">
      <c r="A275" s="134" t="s">
        <v>104</v>
      </c>
      <c r="D275" s="189"/>
      <c r="G275" s="175"/>
    </row>
    <row r="276" spans="1:7" ht="14.4" customHeight="1" thickBot="1">
      <c r="A276" s="105" t="s">
        <v>105</v>
      </c>
    </row>
    <row r="277" spans="1:7" ht="14.4" customHeight="1">
      <c r="A277" s="130"/>
      <c r="B277" s="131"/>
      <c r="C277" s="132"/>
      <c r="D277" s="130"/>
      <c r="E277" s="131"/>
      <c r="F277" s="131"/>
      <c r="G277" s="132"/>
    </row>
    <row r="278" spans="1:7" ht="14.4" customHeight="1">
      <c r="A278" s="1801"/>
      <c r="B278" s="1802"/>
      <c r="C278" s="1803"/>
      <c r="D278" s="133"/>
      <c r="E278" s="134"/>
      <c r="F278" s="134"/>
      <c r="G278" s="135"/>
    </row>
    <row r="279" spans="1:7" ht="14.4" customHeight="1">
      <c r="A279" s="1801"/>
      <c r="B279" s="1802"/>
      <c r="C279" s="1803"/>
      <c r="D279" s="1801" t="s">
        <v>51</v>
      </c>
      <c r="E279" s="1802"/>
      <c r="F279" s="1802"/>
      <c r="G279" s="1803"/>
    </row>
    <row r="280" spans="1:7" ht="14.4" customHeight="1">
      <c r="A280" s="1801"/>
      <c r="B280" s="1802"/>
      <c r="C280" s="1803"/>
      <c r="D280" s="133"/>
      <c r="E280" s="134"/>
      <c r="F280" s="134"/>
      <c r="G280" s="135"/>
    </row>
    <row r="281" spans="1:7" ht="14.4" customHeight="1" thickBot="1">
      <c r="A281" s="136"/>
      <c r="B281" s="137"/>
      <c r="C281" s="138"/>
      <c r="D281" s="136"/>
      <c r="E281" s="137"/>
      <c r="F281" s="137"/>
      <c r="G281" s="138"/>
    </row>
    <row r="283" spans="1:7" ht="14.4" customHeight="1">
      <c r="A283" s="1804" t="str">
        <f>+A7</f>
        <v>"MEJORAMIENTO VIAL MEDIANTE LA CONSTRUCCIÓN DE PAVIMENTO RÍGIDO DE LA PRIMERA ETAPA DE LA VÍA QUE COMUNICA A LA VEREDA PONDORES EN EL CORREGIMIENTO DE CONEJO, MUNICIPIO DE FONSECA - DEPARTAMENTO DE LA GUAJIRA."</v>
      </c>
      <c r="B283" s="1804"/>
      <c r="C283" s="1804"/>
      <c r="D283" s="1804"/>
      <c r="E283" s="1804"/>
      <c r="F283" s="139" t="s">
        <v>57</v>
      </c>
      <c r="G283" s="134"/>
    </row>
    <row r="284" spans="1:7" ht="14.4" customHeight="1">
      <c r="A284" s="1804"/>
      <c r="B284" s="1804"/>
      <c r="C284" s="1804"/>
      <c r="D284" s="1804"/>
      <c r="E284" s="1804"/>
      <c r="F284" s="134"/>
      <c r="G284" s="134"/>
    </row>
    <row r="285" spans="1:7" ht="14.4" customHeight="1">
      <c r="A285" s="182"/>
      <c r="B285" s="182"/>
      <c r="C285" s="182"/>
      <c r="D285" s="182"/>
      <c r="E285" s="182"/>
      <c r="F285" s="134"/>
      <c r="G285" s="134"/>
    </row>
    <row r="286" spans="1:7" ht="14.4" customHeight="1">
      <c r="A286" s="134" t="s">
        <v>122</v>
      </c>
      <c r="B286" s="134"/>
      <c r="C286" s="134"/>
      <c r="D286" s="134"/>
      <c r="E286" s="134"/>
      <c r="F286" s="139" t="s">
        <v>28</v>
      </c>
      <c r="G286" s="134" t="s">
        <v>0</v>
      </c>
    </row>
    <row r="287" spans="1:7" ht="14.4" customHeight="1">
      <c r="B287" s="134"/>
      <c r="F287" s="134"/>
      <c r="G287" s="134"/>
    </row>
    <row r="288" spans="1:7" ht="14.4" customHeight="1" thickBot="1">
      <c r="A288" s="134" t="s">
        <v>16</v>
      </c>
    </row>
    <row r="289" spans="1:7" ht="14.4" customHeight="1">
      <c r="A289" s="1789" t="s">
        <v>21</v>
      </c>
      <c r="B289" s="1790"/>
      <c r="C289" s="1791"/>
      <c r="D289" s="140" t="s">
        <v>1</v>
      </c>
      <c r="E289" s="141" t="s">
        <v>8</v>
      </c>
      <c r="F289" s="140" t="s">
        <v>2</v>
      </c>
      <c r="G289" s="1792"/>
    </row>
    <row r="290" spans="1:7" ht="14.4" customHeight="1">
      <c r="A290" s="142" t="s">
        <v>49</v>
      </c>
      <c r="B290" s="143">
        <v>0.1</v>
      </c>
      <c r="C290" s="144"/>
      <c r="D290" s="110"/>
      <c r="E290" s="110"/>
      <c r="F290" s="110">
        <f>+ROUND(B290*G319,0)</f>
        <v>1287</v>
      </c>
      <c r="G290" s="1793"/>
    </row>
    <row r="291" spans="1:7" ht="14.4" customHeight="1">
      <c r="A291" s="142"/>
      <c r="B291" s="143"/>
      <c r="C291" s="144"/>
      <c r="D291" s="110"/>
      <c r="E291" s="110"/>
      <c r="F291" s="110"/>
      <c r="G291" s="1793"/>
    </row>
    <row r="292" spans="1:7" ht="14.4" customHeight="1">
      <c r="A292" s="142"/>
      <c r="B292" s="143"/>
      <c r="C292" s="144"/>
      <c r="D292" s="110"/>
      <c r="E292" s="110"/>
      <c r="F292" s="110"/>
      <c r="G292" s="1793"/>
    </row>
    <row r="293" spans="1:7" ht="14.4" customHeight="1">
      <c r="A293" s="142"/>
      <c r="B293" s="177"/>
      <c r="C293" s="144"/>
      <c r="D293" s="110"/>
      <c r="E293" s="110"/>
      <c r="F293" s="110"/>
      <c r="G293" s="1793"/>
    </row>
    <row r="294" spans="1:7" ht="14.4" customHeight="1" thickBot="1">
      <c r="A294" s="147"/>
      <c r="B294" s="148"/>
      <c r="C294" s="149"/>
      <c r="D294" s="150"/>
      <c r="E294" s="150"/>
      <c r="F294" s="150"/>
      <c r="G294" s="1794"/>
    </row>
    <row r="295" spans="1:7" ht="14.4" customHeight="1" thickBot="1">
      <c r="F295" s="105" t="s">
        <v>3</v>
      </c>
      <c r="G295" s="151">
        <f>SUM(F290:F294)</f>
        <v>1287</v>
      </c>
    </row>
    <row r="296" spans="1:7" ht="14.4" customHeight="1" thickBot="1">
      <c r="A296" s="134" t="s">
        <v>17</v>
      </c>
      <c r="G296" s="111"/>
    </row>
    <row r="297" spans="1:7" ht="14.4" customHeight="1">
      <c r="A297" s="183" t="s">
        <v>21</v>
      </c>
      <c r="B297" s="140" t="s">
        <v>4</v>
      </c>
      <c r="C297" s="152" t="s">
        <v>5</v>
      </c>
      <c r="D297" s="140" t="s">
        <v>6</v>
      </c>
      <c r="E297" s="140" t="s">
        <v>56</v>
      </c>
      <c r="F297" s="140" t="s">
        <v>2</v>
      </c>
      <c r="G297" s="1792"/>
    </row>
    <row r="298" spans="1:7" ht="14.4" customHeight="1">
      <c r="A298" s="145" t="s">
        <v>37</v>
      </c>
      <c r="B298" s="109" t="s">
        <v>102</v>
      </c>
      <c r="C298" s="110">
        <f>+Sum!$D$13</f>
        <v>700</v>
      </c>
      <c r="D298" s="110">
        <v>364</v>
      </c>
      <c r="E298" s="163">
        <v>0.03</v>
      </c>
      <c r="F298" s="110">
        <f>+ROUND((C298*D298)+(C298*D298*E298),0)</f>
        <v>262444</v>
      </c>
      <c r="G298" s="1793"/>
    </row>
    <row r="299" spans="1:7" ht="14.4" customHeight="1">
      <c r="A299" s="142" t="s">
        <v>38</v>
      </c>
      <c r="B299" s="109" t="s">
        <v>0</v>
      </c>
      <c r="C299" s="110">
        <f>+Sum!$D$15</f>
        <v>65000</v>
      </c>
      <c r="D299" s="110">
        <v>1.1299999999999999</v>
      </c>
      <c r="E299" s="163">
        <v>0.03</v>
      </c>
      <c r="F299" s="110">
        <f>+ROUND((C299*D299)+(C299*D299*E299),0)</f>
        <v>75654</v>
      </c>
      <c r="G299" s="1793"/>
    </row>
    <row r="300" spans="1:7" ht="14.4" customHeight="1">
      <c r="A300" s="142" t="s">
        <v>78</v>
      </c>
      <c r="B300" s="109" t="s">
        <v>109</v>
      </c>
      <c r="C300" s="110">
        <f>+Sum!$D$17</f>
        <v>192.9</v>
      </c>
      <c r="D300" s="110">
        <v>185</v>
      </c>
      <c r="E300" s="163">
        <v>0.02</v>
      </c>
      <c r="F300" s="110">
        <f>+ROUND((C300*D300)+(C300*D300*E300),0)</f>
        <v>36400</v>
      </c>
      <c r="G300" s="1793"/>
    </row>
    <row r="301" spans="1:7" ht="14.4" customHeight="1">
      <c r="A301" s="153"/>
      <c r="B301" s="176"/>
      <c r="C301" s="146"/>
      <c r="D301" s="146"/>
      <c r="E301" s="165"/>
      <c r="F301" s="146"/>
      <c r="G301" s="1793"/>
    </row>
    <row r="302" spans="1:7" ht="14.4" customHeight="1" thickBot="1">
      <c r="A302" s="147"/>
      <c r="B302" s="154"/>
      <c r="C302" s="150"/>
      <c r="D302" s="150"/>
      <c r="E302" s="150"/>
      <c r="F302" s="150"/>
      <c r="G302" s="1794"/>
    </row>
    <row r="303" spans="1:7" ht="14.4" customHeight="1" thickBot="1">
      <c r="F303" s="105" t="s">
        <v>3</v>
      </c>
      <c r="G303" s="184">
        <f>SUM(F298:F302)</f>
        <v>374498</v>
      </c>
    </row>
    <row r="304" spans="1:7" ht="14.4" customHeight="1" thickBot="1">
      <c r="A304" s="134" t="s">
        <v>18</v>
      </c>
      <c r="G304" s="111"/>
    </row>
    <row r="305" spans="1:7" ht="14.4" customHeight="1">
      <c r="A305" s="185" t="s">
        <v>23</v>
      </c>
      <c r="B305" s="140" t="s">
        <v>46</v>
      </c>
      <c r="C305" s="140" t="s">
        <v>36</v>
      </c>
      <c r="D305" s="152" t="s">
        <v>26</v>
      </c>
      <c r="E305" s="140" t="s">
        <v>25</v>
      </c>
      <c r="F305" s="140" t="s">
        <v>2</v>
      </c>
      <c r="G305" s="1792"/>
    </row>
    <row r="306" spans="1:7" ht="14.4" customHeight="1">
      <c r="A306" s="145" t="s">
        <v>114</v>
      </c>
      <c r="B306" s="186">
        <f>+D298</f>
        <v>364</v>
      </c>
      <c r="C306" s="186">
        <f>+Loc!$E$13</f>
        <v>145</v>
      </c>
      <c r="D306" s="187">
        <f>+B306*C306</f>
        <v>52780</v>
      </c>
      <c r="E306" s="110">
        <v>1</v>
      </c>
      <c r="F306" s="110">
        <f>ROUND(E306*D306,0)</f>
        <v>52780</v>
      </c>
      <c r="G306" s="1793"/>
    </row>
    <row r="307" spans="1:7" ht="14.4" customHeight="1">
      <c r="A307" s="142" t="s">
        <v>38</v>
      </c>
      <c r="B307" s="186">
        <f>+D299</f>
        <v>1.1299999999999999</v>
      </c>
      <c r="C307" s="186">
        <v>52</v>
      </c>
      <c r="D307" s="187">
        <f>+B307*C307</f>
        <v>58.759999999999991</v>
      </c>
      <c r="E307" s="110">
        <v>1500</v>
      </c>
      <c r="F307" s="110">
        <f>ROUND(E307*D307,0)</f>
        <v>88140</v>
      </c>
      <c r="G307" s="1793"/>
    </row>
    <row r="308" spans="1:7" ht="14.4" customHeight="1">
      <c r="A308" s="145"/>
      <c r="B308" s="186"/>
      <c r="C308" s="186"/>
      <c r="D308" s="187"/>
      <c r="E308" s="110"/>
      <c r="F308" s="110"/>
      <c r="G308" s="1793"/>
    </row>
    <row r="309" spans="1:7" ht="14.4" customHeight="1">
      <c r="A309" s="145"/>
      <c r="B309" s="186"/>
      <c r="C309" s="112"/>
      <c r="D309" s="187"/>
      <c r="E309" s="110"/>
      <c r="F309" s="110"/>
      <c r="G309" s="1793"/>
    </row>
    <row r="310" spans="1:7" ht="14.4" customHeight="1" thickBot="1">
      <c r="A310" s="147"/>
      <c r="B310" s="167"/>
      <c r="C310" s="167"/>
      <c r="D310" s="150"/>
      <c r="E310" s="150"/>
      <c r="F310" s="150"/>
      <c r="G310" s="1794"/>
    </row>
    <row r="311" spans="1:7" ht="14.4" customHeight="1" thickBot="1">
      <c r="F311" s="117" t="s">
        <v>3</v>
      </c>
      <c r="G311" s="184">
        <f>SUM(F306:F310)</f>
        <v>140920</v>
      </c>
    </row>
    <row r="312" spans="1:7" ht="14.4" customHeight="1" thickBot="1">
      <c r="A312" s="134" t="s">
        <v>19</v>
      </c>
      <c r="G312" s="111"/>
    </row>
    <row r="313" spans="1:7" ht="14.4" customHeight="1">
      <c r="A313" s="161" t="s">
        <v>24</v>
      </c>
      <c r="B313" s="140" t="s">
        <v>7</v>
      </c>
      <c r="C313" s="140" t="s">
        <v>43</v>
      </c>
      <c r="D313" s="162" t="s">
        <v>27</v>
      </c>
      <c r="E313" s="140" t="s">
        <v>8</v>
      </c>
      <c r="F313" s="140" t="s">
        <v>2</v>
      </c>
      <c r="G313" s="1792"/>
    </row>
    <row r="314" spans="1:7" ht="14.4" customHeight="1">
      <c r="A314" s="142" t="s">
        <v>149</v>
      </c>
      <c r="B314" s="110">
        <f>52202*1</f>
        <v>52202</v>
      </c>
      <c r="C314" s="163">
        <v>1.58</v>
      </c>
      <c r="D314" s="164">
        <f>C314*B314</f>
        <v>82479.16</v>
      </c>
      <c r="E314" s="164">
        <v>18</v>
      </c>
      <c r="F314" s="164">
        <f>ROUND(D314/E314,0)</f>
        <v>4582</v>
      </c>
      <c r="G314" s="1793"/>
    </row>
    <row r="315" spans="1:7" ht="14.4" customHeight="1">
      <c r="A315" s="142" t="s">
        <v>121</v>
      </c>
      <c r="B315" s="110">
        <f>40084*2</f>
        <v>80168</v>
      </c>
      <c r="C315" s="163">
        <v>1.86</v>
      </c>
      <c r="D315" s="164">
        <f>C315*B315</f>
        <v>149112.48000000001</v>
      </c>
      <c r="E315" s="164">
        <v>18</v>
      </c>
      <c r="F315" s="164">
        <f>ROUND(D315/E315,0)</f>
        <v>8284</v>
      </c>
      <c r="G315" s="1793"/>
    </row>
    <row r="316" spans="1:7" ht="14.4" customHeight="1">
      <c r="A316" s="142"/>
      <c r="B316" s="110"/>
      <c r="C316" s="163"/>
      <c r="D316" s="164"/>
      <c r="E316" s="164"/>
      <c r="F316" s="164"/>
      <c r="G316" s="1793"/>
    </row>
    <row r="317" spans="1:7" ht="14.4" customHeight="1">
      <c r="A317" s="142"/>
      <c r="B317" s="179"/>
      <c r="C317" s="164"/>
      <c r="D317" s="164"/>
      <c r="E317" s="188"/>
      <c r="F317" s="164"/>
      <c r="G317" s="1793"/>
    </row>
    <row r="318" spans="1:7" ht="14.4" customHeight="1" thickBot="1">
      <c r="A318" s="147"/>
      <c r="B318" s="167"/>
      <c r="C318" s="150"/>
      <c r="D318" s="168"/>
      <c r="E318" s="168"/>
      <c r="F318" s="168"/>
      <c r="G318" s="1794"/>
    </row>
    <row r="319" spans="1:7" ht="14.4" customHeight="1" thickBot="1">
      <c r="D319" s="157"/>
      <c r="E319" s="157"/>
      <c r="F319" s="105" t="s">
        <v>3</v>
      </c>
      <c r="G319" s="169">
        <f>SUM(F314:F318)</f>
        <v>12866</v>
      </c>
    </row>
    <row r="320" spans="1:7" ht="14.4" customHeight="1" thickBot="1">
      <c r="G320" s="111"/>
    </row>
    <row r="321" spans="1:7" ht="14.4" customHeight="1" thickBot="1">
      <c r="D321" s="134" t="s">
        <v>10</v>
      </c>
      <c r="G321" s="170">
        <f>ROUND(G295+G303+G311+G319,0)</f>
        <v>529571</v>
      </c>
    </row>
    <row r="322" spans="1:7" ht="14.4" customHeight="1">
      <c r="G322" s="111"/>
    </row>
    <row r="323" spans="1:7" ht="14.4" customHeight="1" thickBot="1">
      <c r="A323" s="134" t="s">
        <v>20</v>
      </c>
      <c r="G323" s="111"/>
    </row>
    <row r="324" spans="1:7" ht="14.4" customHeight="1">
      <c r="A324" s="1789" t="s">
        <v>21</v>
      </c>
      <c r="B324" s="1790"/>
      <c r="C324" s="1790"/>
      <c r="D324" s="1791"/>
      <c r="E324" s="171" t="s">
        <v>11</v>
      </c>
      <c r="F324" s="171" t="s">
        <v>22</v>
      </c>
      <c r="G324" s="1792"/>
    </row>
    <row r="325" spans="1:7" ht="14.4" customHeight="1">
      <c r="A325" s="1795" t="s">
        <v>30</v>
      </c>
      <c r="B325" s="1796"/>
      <c r="C325" s="1796"/>
      <c r="D325" s="1797"/>
      <c r="E325" s="172">
        <v>0.22</v>
      </c>
      <c r="F325" s="110">
        <f>ROUND($G$44*E325,0)</f>
        <v>135806</v>
      </c>
      <c r="G325" s="1793"/>
    </row>
    <row r="326" spans="1:7" ht="14.4" customHeight="1">
      <c r="A326" s="1795" t="s">
        <v>32</v>
      </c>
      <c r="B326" s="1796"/>
      <c r="C326" s="1796"/>
      <c r="D326" s="1797"/>
      <c r="E326" s="172">
        <v>0.05</v>
      </c>
      <c r="F326" s="110">
        <f>ROUND($G$44*E326,0)</f>
        <v>30865</v>
      </c>
      <c r="G326" s="1793"/>
    </row>
    <row r="327" spans="1:7" ht="14.4" customHeight="1" thickBot="1">
      <c r="A327" s="1798" t="s">
        <v>31</v>
      </c>
      <c r="B327" s="1799"/>
      <c r="C327" s="1799"/>
      <c r="D327" s="1800"/>
      <c r="E327" s="173">
        <v>0.03</v>
      </c>
      <c r="F327" s="150">
        <f>ROUND($G$44*E327,0)</f>
        <v>18519</v>
      </c>
      <c r="G327" s="1793"/>
    </row>
    <row r="328" spans="1:7" ht="14.4" customHeight="1" thickBot="1">
      <c r="F328" s="105" t="s">
        <v>3</v>
      </c>
      <c r="G328" s="169">
        <f>SUM(F325:F327)</f>
        <v>185190</v>
      </c>
    </row>
    <row r="329" spans="1:7" ht="14.4" customHeight="1" thickBot="1">
      <c r="A329" s="105" t="s">
        <v>72</v>
      </c>
      <c r="G329" s="111"/>
    </row>
    <row r="330" spans="1:7" ht="14.4" customHeight="1" thickBot="1">
      <c r="D330" s="189" t="s">
        <v>29</v>
      </c>
      <c r="G330" s="174">
        <f>ROUND(G321+G328,0)</f>
        <v>714761</v>
      </c>
    </row>
    <row r="331" spans="1:7" ht="14.4" customHeight="1">
      <c r="A331" s="134"/>
      <c r="D331" s="189"/>
      <c r="G331" s="175"/>
    </row>
  </sheetData>
  <mergeCells count="92">
    <mergeCell ref="A268:D268"/>
    <mergeCell ref="G268:G271"/>
    <mergeCell ref="G313:G318"/>
    <mergeCell ref="A283:E284"/>
    <mergeCell ref="G297:G302"/>
    <mergeCell ref="A289:C289"/>
    <mergeCell ref="G289:G294"/>
    <mergeCell ref="G305:G310"/>
    <mergeCell ref="D279:G279"/>
    <mergeCell ref="A278:C278"/>
    <mergeCell ref="A279:C279"/>
    <mergeCell ref="A269:D269"/>
    <mergeCell ref="A270:D270"/>
    <mergeCell ref="A271:D271"/>
    <mergeCell ref="A280:C280"/>
    <mergeCell ref="A324:D324"/>
    <mergeCell ref="G324:G327"/>
    <mergeCell ref="A325:D325"/>
    <mergeCell ref="A326:D326"/>
    <mergeCell ref="A327:D327"/>
    <mergeCell ref="G249:G254"/>
    <mergeCell ref="G257:G262"/>
    <mergeCell ref="A169:C169"/>
    <mergeCell ref="A172:E173"/>
    <mergeCell ref="A224:C224"/>
    <mergeCell ref="A222:C222"/>
    <mergeCell ref="A223:C223"/>
    <mergeCell ref="D223:G223"/>
    <mergeCell ref="A178:C178"/>
    <mergeCell ref="G178:G183"/>
    <mergeCell ref="G186:G192"/>
    <mergeCell ref="G195:G199"/>
    <mergeCell ref="G202:G206"/>
    <mergeCell ref="A212:D212"/>
    <mergeCell ref="A227:E228"/>
    <mergeCell ref="A233:C233"/>
    <mergeCell ref="A160:D160"/>
    <mergeCell ref="G233:G238"/>
    <mergeCell ref="G241:G246"/>
    <mergeCell ref="F172:G172"/>
    <mergeCell ref="F227:G227"/>
    <mergeCell ref="A2:C2"/>
    <mergeCell ref="A3:C3"/>
    <mergeCell ref="D3:G3"/>
    <mergeCell ref="A4:C4"/>
    <mergeCell ref="A13:C13"/>
    <mergeCell ref="G13:G18"/>
    <mergeCell ref="A7:E8"/>
    <mergeCell ref="G21:G27"/>
    <mergeCell ref="G30:G34"/>
    <mergeCell ref="G37:G41"/>
    <mergeCell ref="A47:D47"/>
    <mergeCell ref="G47:G50"/>
    <mergeCell ref="A48:D48"/>
    <mergeCell ref="A49:D49"/>
    <mergeCell ref="A50:D50"/>
    <mergeCell ref="A57:C57"/>
    <mergeCell ref="A58:C58"/>
    <mergeCell ref="D58:G58"/>
    <mergeCell ref="A59:C59"/>
    <mergeCell ref="A62:E63"/>
    <mergeCell ref="A117:E118"/>
    <mergeCell ref="A102:D102"/>
    <mergeCell ref="G102:G105"/>
    <mergeCell ref="A103:D103"/>
    <mergeCell ref="A104:D104"/>
    <mergeCell ref="A105:D105"/>
    <mergeCell ref="A112:C112"/>
    <mergeCell ref="A113:C113"/>
    <mergeCell ref="D113:G113"/>
    <mergeCell ref="A114:C114"/>
    <mergeCell ref="A68:C68"/>
    <mergeCell ref="G68:G73"/>
    <mergeCell ref="G76:G82"/>
    <mergeCell ref="G85:G89"/>
    <mergeCell ref="G92:G96"/>
    <mergeCell ref="A123:C123"/>
    <mergeCell ref="G123:G128"/>
    <mergeCell ref="G131:G137"/>
    <mergeCell ref="G140:G144"/>
    <mergeCell ref="G212:G215"/>
    <mergeCell ref="A213:D213"/>
    <mergeCell ref="A214:D214"/>
    <mergeCell ref="A215:D215"/>
    <mergeCell ref="A167:C167"/>
    <mergeCell ref="A168:C168"/>
    <mergeCell ref="D168:G168"/>
    <mergeCell ref="G147:G151"/>
    <mergeCell ref="A157:D157"/>
    <mergeCell ref="G157:G160"/>
    <mergeCell ref="A158:D158"/>
    <mergeCell ref="A159:D159"/>
  </mergeCells>
  <printOptions horizontalCentered="1" verticalCentered="1"/>
  <pageMargins left="0.59055118110236227" right="0.59055118110236227" top="0.78740157480314965" bottom="0.78740157480314965" header="0.59055118110236227" footer="0.59055118110236227"/>
  <pageSetup scale="84" fitToHeight="6" orientation="portrait" horizontalDpi="300" verticalDpi="300" r:id="rId1"/>
  <headerFooter alignWithMargins="0">
    <oddFooter>&amp;C&amp;"Arial,Negrita"&amp;8CONCRETOS Y MORTEROS&amp;R&amp;"Century Gothic,Negrita"&amp;8ÍTEM BÁSICO</oddFooter>
  </headerFooter>
  <rowBreaks count="5" manualBreakCount="5">
    <brk id="55" max="6" man="1"/>
    <brk id="110" max="6" man="1"/>
    <brk id="165" max="6" man="1"/>
    <brk id="220" max="6" man="1"/>
    <brk id="276"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7">
    <tabColor theme="8" tint="-0.249977111117893"/>
  </sheetPr>
  <dimension ref="A1:G56"/>
  <sheetViews>
    <sheetView workbookViewId="0"/>
  </sheetViews>
  <sheetFormatPr baseColWidth="10" defaultColWidth="11.44140625" defaultRowHeight="14.4" customHeight="1"/>
  <cols>
    <col min="1" max="1" width="20.5546875" style="6" customWidth="1"/>
    <col min="2" max="6" width="12.5546875" style="6" customWidth="1"/>
    <col min="7" max="7" width="15.5546875" style="6" customWidth="1"/>
    <col min="8" max="16384" width="11.44140625" style="6"/>
  </cols>
  <sheetData>
    <row r="1" spans="1:7" ht="14.4" customHeight="1">
      <c r="A1" s="9"/>
      <c r="B1" s="10"/>
      <c r="C1" s="11"/>
      <c r="D1" s="9"/>
      <c r="E1" s="10"/>
      <c r="F1" s="10"/>
      <c r="G1" s="11"/>
    </row>
    <row r="2" spans="1:7" ht="14.4" customHeight="1">
      <c r="A2" s="1819" t="s">
        <v>53</v>
      </c>
      <c r="B2" s="1820"/>
      <c r="C2" s="1821"/>
      <c r="D2" s="12"/>
      <c r="E2" s="13"/>
      <c r="F2" s="13"/>
      <c r="G2" s="14"/>
    </row>
    <row r="3" spans="1:7" ht="14.4" customHeight="1">
      <c r="A3" s="1819" t="s">
        <v>13</v>
      </c>
      <c r="B3" s="1820"/>
      <c r="C3" s="1821"/>
      <c r="D3" s="1819" t="s">
        <v>51</v>
      </c>
      <c r="E3" s="1820"/>
      <c r="F3" s="1820"/>
      <c r="G3" s="1821"/>
    </row>
    <row r="4" spans="1:7" ht="14.4" customHeight="1">
      <c r="A4" s="1819" t="s">
        <v>90</v>
      </c>
      <c r="B4" s="1820"/>
      <c r="C4" s="1821"/>
      <c r="D4" s="12"/>
      <c r="E4" s="13"/>
      <c r="F4" s="13"/>
      <c r="G4" s="14"/>
    </row>
    <row r="5" spans="1:7" ht="14.4" customHeight="1" thickBot="1">
      <c r="A5" s="15"/>
      <c r="B5" s="16"/>
      <c r="C5" s="17"/>
      <c r="D5" s="15"/>
      <c r="E5" s="16"/>
      <c r="F5" s="16"/>
      <c r="G5" s="17"/>
    </row>
    <row r="7" spans="1:7" ht="14.4" customHeight="1">
      <c r="A7" s="1823" t="str">
        <f>+'APU-Básicos'!A7</f>
        <v>"MEJORAMIENTO VIAL MEDIANTE LA CONSTRUCCIÓN DE PAVIMENTO RÍGIDO DE LA PRIMERA ETAPA DE LA VÍA QUE COMUNICA A LA VEREDA PONDORES EN EL CORREGIMIENTO DE CONEJO, MUNICIPIO DE FONSECA - DEPARTAMENTO DE LA GUAJIRA."</v>
      </c>
      <c r="B7" s="1823"/>
      <c r="C7" s="1823"/>
      <c r="D7" s="1823"/>
      <c r="E7" s="1823"/>
      <c r="F7" s="108" t="s">
        <v>106</v>
      </c>
      <c r="G7" s="13"/>
    </row>
    <row r="8" spans="1:7" ht="14.4" customHeight="1">
      <c r="A8" s="1823"/>
      <c r="B8" s="1823"/>
      <c r="C8" s="1823"/>
      <c r="D8" s="1823"/>
      <c r="E8" s="1823"/>
      <c r="F8" s="108"/>
      <c r="G8" s="13"/>
    </row>
    <row r="9" spans="1:7" ht="14.4" customHeight="1">
      <c r="A9" s="107"/>
      <c r="B9" s="107"/>
      <c r="C9" s="107"/>
      <c r="D9" s="107"/>
      <c r="E9" s="107"/>
      <c r="F9" s="108"/>
      <c r="G9" s="13"/>
    </row>
    <row r="10" spans="1:7" ht="14.4" customHeight="1">
      <c r="A10" s="13" t="s">
        <v>71</v>
      </c>
      <c r="B10" s="13"/>
      <c r="C10" s="13"/>
      <c r="D10" s="13"/>
      <c r="E10" s="13"/>
      <c r="F10" s="108" t="s">
        <v>28</v>
      </c>
      <c r="G10" s="13" t="s">
        <v>41</v>
      </c>
    </row>
    <row r="11" spans="1:7" ht="14.4" customHeight="1">
      <c r="A11" s="13"/>
      <c r="B11" s="13"/>
      <c r="C11" s="13"/>
      <c r="D11" s="13"/>
      <c r="E11" s="13"/>
      <c r="F11" s="13"/>
      <c r="G11" s="13"/>
    </row>
    <row r="12" spans="1:7" ht="14.4" customHeight="1" thickBot="1">
      <c r="A12" s="13" t="s">
        <v>16</v>
      </c>
    </row>
    <row r="13" spans="1:7" ht="14.4" customHeight="1">
      <c r="A13" s="1805" t="s">
        <v>21</v>
      </c>
      <c r="B13" s="1822"/>
      <c r="C13" s="1806"/>
      <c r="D13" s="20" t="s">
        <v>1</v>
      </c>
      <c r="E13" s="19" t="s">
        <v>8</v>
      </c>
      <c r="F13" s="20" t="s">
        <v>2</v>
      </c>
      <c r="G13" s="1807"/>
    </row>
    <row r="14" spans="1:7" ht="14.4" customHeight="1">
      <c r="A14" s="21" t="s">
        <v>45</v>
      </c>
      <c r="B14" s="22"/>
      <c r="C14" s="23"/>
      <c r="D14" s="5">
        <f>+Equ!D10</f>
        <v>0</v>
      </c>
      <c r="E14" s="5">
        <v>18</v>
      </c>
      <c r="F14" s="5">
        <f>ROUND(D14/E14,0)</f>
        <v>0</v>
      </c>
      <c r="G14" s="1808"/>
    </row>
    <row r="15" spans="1:7" ht="14.4" customHeight="1">
      <c r="A15" s="21" t="s">
        <v>93</v>
      </c>
      <c r="B15" s="24">
        <v>0.1</v>
      </c>
      <c r="C15" s="23"/>
      <c r="D15" s="5"/>
      <c r="E15" s="5"/>
      <c r="F15" s="5">
        <f>+ROUND(B15*G43,0)</f>
        <v>149</v>
      </c>
      <c r="G15" s="1808"/>
    </row>
    <row r="16" spans="1:7" ht="14.4" customHeight="1">
      <c r="A16" s="21"/>
      <c r="B16" s="22"/>
      <c r="C16" s="23"/>
      <c r="D16" s="5"/>
      <c r="E16" s="5"/>
      <c r="F16" s="5"/>
      <c r="G16" s="1808"/>
    </row>
    <row r="17" spans="1:7" ht="14.4" customHeight="1">
      <c r="A17" s="21"/>
      <c r="B17" s="22"/>
      <c r="C17" s="23"/>
      <c r="D17" s="5"/>
      <c r="E17" s="5"/>
      <c r="F17" s="5"/>
      <c r="G17" s="1808"/>
    </row>
    <row r="18" spans="1:7" ht="14.4" customHeight="1" thickBot="1">
      <c r="A18" s="25"/>
      <c r="B18" s="26"/>
      <c r="C18" s="27"/>
      <c r="D18" s="28"/>
      <c r="E18" s="28"/>
      <c r="F18" s="28"/>
      <c r="G18" s="1809"/>
    </row>
    <row r="19" spans="1:7" ht="14.4" customHeight="1" thickBot="1">
      <c r="F19" s="6" t="s">
        <v>3</v>
      </c>
      <c r="G19" s="29">
        <f>SUM(F14:F18)</f>
        <v>149</v>
      </c>
    </row>
    <row r="20" spans="1:7" ht="14.4" customHeight="1" thickBot="1">
      <c r="A20" s="13" t="s">
        <v>17</v>
      </c>
      <c r="G20" s="30"/>
    </row>
    <row r="21" spans="1:7" ht="14.4" customHeight="1">
      <c r="A21" s="1805" t="s">
        <v>21</v>
      </c>
      <c r="B21" s="1806"/>
      <c r="C21" s="20" t="s">
        <v>4</v>
      </c>
      <c r="D21" s="31" t="s">
        <v>5</v>
      </c>
      <c r="E21" s="20" t="s">
        <v>6</v>
      </c>
      <c r="F21" s="20" t="s">
        <v>2</v>
      </c>
      <c r="G21" s="1807"/>
    </row>
    <row r="22" spans="1:7" ht="14.4" customHeight="1">
      <c r="A22" s="21" t="s">
        <v>92</v>
      </c>
      <c r="B22" s="23"/>
      <c r="C22" s="8" t="s">
        <v>48</v>
      </c>
      <c r="D22" s="5">
        <f>+Sum!D27</f>
        <v>3500</v>
      </c>
      <c r="E22" s="5">
        <v>0.01</v>
      </c>
      <c r="F22" s="5">
        <f>+D22*E22</f>
        <v>35</v>
      </c>
      <c r="G22" s="1808"/>
    </row>
    <row r="23" spans="1:7" ht="14.4" customHeight="1">
      <c r="A23" s="21" t="s">
        <v>47</v>
      </c>
      <c r="B23" s="23"/>
      <c r="C23" s="8" t="s">
        <v>44</v>
      </c>
      <c r="D23" s="5">
        <f>+Sum!D23</f>
        <v>600</v>
      </c>
      <c r="E23" s="5">
        <v>0.2</v>
      </c>
      <c r="F23" s="5">
        <f>ROUND(D23*E23,0)</f>
        <v>120</v>
      </c>
      <c r="G23" s="1808"/>
    </row>
    <row r="24" spans="1:7" ht="14.4" customHeight="1">
      <c r="A24" s="21"/>
      <c r="B24" s="23"/>
      <c r="C24" s="8"/>
      <c r="D24" s="5"/>
      <c r="E24" s="5"/>
      <c r="F24" s="5"/>
      <c r="G24" s="1808"/>
    </row>
    <row r="25" spans="1:7" ht="14.4" customHeight="1">
      <c r="A25" s="34"/>
      <c r="B25" s="54"/>
      <c r="C25" s="35"/>
      <c r="D25" s="36"/>
      <c r="E25" s="36"/>
      <c r="F25" s="5"/>
      <c r="G25" s="1808"/>
    </row>
    <row r="26" spans="1:7" ht="14.4" customHeight="1" thickBot="1">
      <c r="A26" s="25"/>
      <c r="B26" s="27"/>
      <c r="C26" s="53"/>
      <c r="D26" s="28"/>
      <c r="E26" s="28"/>
      <c r="F26" s="28"/>
      <c r="G26" s="1809"/>
    </row>
    <row r="27" spans="1:7" ht="14.4" customHeight="1" thickBot="1">
      <c r="F27" s="6" t="s">
        <v>3</v>
      </c>
      <c r="G27" s="29">
        <f>SUM(F22:F26)</f>
        <v>155</v>
      </c>
    </row>
    <row r="28" spans="1:7" ht="14.4" customHeight="1" thickBot="1">
      <c r="A28" s="13" t="s">
        <v>18</v>
      </c>
      <c r="G28" s="30"/>
    </row>
    <row r="29" spans="1:7" ht="14.4" customHeight="1">
      <c r="A29" s="18" t="s">
        <v>23</v>
      </c>
      <c r="B29" s="20" t="s">
        <v>46</v>
      </c>
      <c r="C29" s="20" t="s">
        <v>36</v>
      </c>
      <c r="D29" s="31" t="s">
        <v>26</v>
      </c>
      <c r="E29" s="20" t="s">
        <v>25</v>
      </c>
      <c r="F29" s="20" t="s">
        <v>2</v>
      </c>
      <c r="G29" s="1807"/>
    </row>
    <row r="30" spans="1:7" ht="14.4" customHeight="1">
      <c r="A30" s="37"/>
      <c r="B30" s="8"/>
      <c r="C30" s="8"/>
      <c r="D30" s="7"/>
      <c r="E30" s="5"/>
      <c r="F30" s="5"/>
      <c r="G30" s="1808"/>
    </row>
    <row r="31" spans="1:7" ht="14.4" customHeight="1">
      <c r="A31" s="37"/>
      <c r="B31" s="8"/>
      <c r="C31" s="8"/>
      <c r="D31" s="7"/>
      <c r="E31" s="5"/>
      <c r="F31" s="5"/>
      <c r="G31" s="1808"/>
    </row>
    <row r="32" spans="1:7" ht="14.4" customHeight="1">
      <c r="A32" s="37"/>
      <c r="B32" s="8"/>
      <c r="C32" s="8"/>
      <c r="D32" s="7"/>
      <c r="E32" s="5"/>
      <c r="F32" s="5"/>
      <c r="G32" s="1808"/>
    </row>
    <row r="33" spans="1:7" ht="14.4" customHeight="1">
      <c r="A33" s="37"/>
      <c r="B33" s="32"/>
      <c r="C33" s="32"/>
      <c r="D33" s="5"/>
      <c r="E33" s="5"/>
      <c r="F33" s="5"/>
      <c r="G33" s="1808"/>
    </row>
    <row r="34" spans="1:7" ht="14.4" customHeight="1" thickBot="1">
      <c r="A34" s="15"/>
      <c r="B34" s="38"/>
      <c r="C34" s="38"/>
      <c r="D34" s="39"/>
      <c r="E34" s="40"/>
      <c r="F34" s="39"/>
      <c r="G34" s="1809"/>
    </row>
    <row r="35" spans="1:7" ht="14.4" customHeight="1" thickBot="1">
      <c r="F35" s="6" t="s">
        <v>3</v>
      </c>
      <c r="G35" s="29">
        <f>SUM(F30:F34)</f>
        <v>0</v>
      </c>
    </row>
    <row r="36" spans="1:7" ht="14.4" customHeight="1" thickBot="1">
      <c r="A36" s="13" t="s">
        <v>19</v>
      </c>
      <c r="G36" s="30"/>
    </row>
    <row r="37" spans="1:7" ht="14.4" customHeight="1">
      <c r="A37" s="41" t="s">
        <v>24</v>
      </c>
      <c r="B37" s="20" t="s">
        <v>7</v>
      </c>
      <c r="C37" s="20" t="s">
        <v>42</v>
      </c>
      <c r="D37" s="42" t="s">
        <v>27</v>
      </c>
      <c r="E37" s="20" t="s">
        <v>8</v>
      </c>
      <c r="F37" s="20" t="s">
        <v>2</v>
      </c>
      <c r="G37" s="1807"/>
    </row>
    <row r="38" spans="1:7" ht="14.4" customHeight="1">
      <c r="A38" s="21" t="s">
        <v>66</v>
      </c>
      <c r="B38" s="5">
        <v>65719</v>
      </c>
      <c r="C38" s="106">
        <v>1.7163999999999999</v>
      </c>
      <c r="D38" s="44">
        <f>ROUND(C38*B38,0)</f>
        <v>112800</v>
      </c>
      <c r="E38" s="44">
        <v>196</v>
      </c>
      <c r="F38" s="44">
        <f>ROUND(D38/E38,0)</f>
        <v>576</v>
      </c>
      <c r="G38" s="1808"/>
    </row>
    <row r="39" spans="1:7" ht="14.4" customHeight="1">
      <c r="A39" s="21" t="s">
        <v>94</v>
      </c>
      <c r="B39" s="5">
        <f>52202*2</f>
        <v>104404</v>
      </c>
      <c r="C39" s="106">
        <f>+C38</f>
        <v>1.7163999999999999</v>
      </c>
      <c r="D39" s="44">
        <f>ROUND(C39*B39,0)</f>
        <v>179199</v>
      </c>
      <c r="E39" s="44">
        <f>E38</f>
        <v>196</v>
      </c>
      <c r="F39" s="44">
        <f>ROUND(D39/E39,0)</f>
        <v>914</v>
      </c>
      <c r="G39" s="1808"/>
    </row>
    <row r="40" spans="1:7" ht="14.4" customHeight="1">
      <c r="A40" s="21"/>
      <c r="B40" s="5"/>
      <c r="C40" s="43"/>
      <c r="D40" s="44"/>
      <c r="E40" s="44"/>
      <c r="F40" s="44"/>
      <c r="G40" s="1808"/>
    </row>
    <row r="41" spans="1:7" ht="14.4" customHeight="1">
      <c r="A41" s="34"/>
      <c r="B41" s="36"/>
      <c r="C41" s="55"/>
      <c r="D41" s="56"/>
      <c r="E41" s="56"/>
      <c r="F41" s="56"/>
      <c r="G41" s="1808"/>
    </row>
    <row r="42" spans="1:7" ht="14.4" customHeight="1" thickBot="1">
      <c r="A42" s="25"/>
      <c r="B42" s="33"/>
      <c r="C42" s="28"/>
      <c r="D42" s="45"/>
      <c r="E42" s="45"/>
      <c r="F42" s="45"/>
      <c r="G42" s="1809"/>
    </row>
    <row r="43" spans="1:7" ht="14.4" customHeight="1" thickBot="1">
      <c r="D43" s="46"/>
      <c r="E43" s="46"/>
      <c r="F43" s="6" t="s">
        <v>3</v>
      </c>
      <c r="G43" s="47">
        <f>SUM(F38:F42)</f>
        <v>1490</v>
      </c>
    </row>
    <row r="44" spans="1:7" ht="14.4" customHeight="1" thickBot="1">
      <c r="G44" s="30"/>
    </row>
    <row r="45" spans="1:7" ht="14.4" customHeight="1" thickBot="1">
      <c r="D45" s="13" t="s">
        <v>10</v>
      </c>
      <c r="G45" s="48">
        <f>ROUND(G19+G27+G35+G43,0)</f>
        <v>1794</v>
      </c>
    </row>
    <row r="46" spans="1:7" ht="14.4" customHeight="1">
      <c r="G46" s="30"/>
    </row>
    <row r="47" spans="1:7" ht="14.4" customHeight="1" thickBot="1">
      <c r="A47" s="13" t="s">
        <v>20</v>
      </c>
      <c r="G47" s="30"/>
    </row>
    <row r="48" spans="1:7" ht="14.4" customHeight="1">
      <c r="A48" s="1810" t="s">
        <v>21</v>
      </c>
      <c r="B48" s="1811"/>
      <c r="C48" s="1811"/>
      <c r="D48" s="1812"/>
      <c r="E48" s="49" t="s">
        <v>11</v>
      </c>
      <c r="F48" s="49" t="s">
        <v>22</v>
      </c>
      <c r="G48" s="1807"/>
    </row>
    <row r="49" spans="1:7" ht="14.4" customHeight="1">
      <c r="A49" s="1813" t="s">
        <v>30</v>
      </c>
      <c r="B49" s="1814"/>
      <c r="C49" s="1814"/>
      <c r="D49" s="1815"/>
      <c r="E49" s="50">
        <v>0.26</v>
      </c>
      <c r="F49" s="5">
        <f>ROUND($G$45*E49,0)</f>
        <v>466</v>
      </c>
      <c r="G49" s="1808"/>
    </row>
    <row r="50" spans="1:7" ht="14.4" customHeight="1">
      <c r="A50" s="1813" t="s">
        <v>31</v>
      </c>
      <c r="B50" s="1814"/>
      <c r="C50" s="1814"/>
      <c r="D50" s="1815"/>
      <c r="E50" s="50">
        <v>0.04</v>
      </c>
      <c r="F50" s="5">
        <f>ROUND($G$45*E50,0)</f>
        <v>72</v>
      </c>
      <c r="G50" s="1808"/>
    </row>
    <row r="51" spans="1:7" ht="14.4" customHeight="1" thickBot="1">
      <c r="A51" s="1816" t="s">
        <v>32</v>
      </c>
      <c r="B51" s="1817"/>
      <c r="C51" s="1817"/>
      <c r="D51" s="1818"/>
      <c r="E51" s="51">
        <v>0.02</v>
      </c>
      <c r="F51" s="28">
        <f>ROUND($G$45*E51,0)</f>
        <v>36</v>
      </c>
      <c r="G51" s="1808"/>
    </row>
    <row r="52" spans="1:7" ht="14.4" customHeight="1" thickBot="1">
      <c r="F52" s="6" t="s">
        <v>3</v>
      </c>
      <c r="G52" s="47">
        <f>ROUND(SUM(F49:F51),)</f>
        <v>574</v>
      </c>
    </row>
    <row r="53" spans="1:7" ht="14.4" customHeight="1" thickBot="1">
      <c r="A53" s="6" t="s">
        <v>72</v>
      </c>
      <c r="G53" s="30"/>
    </row>
    <row r="54" spans="1:7" ht="14.4" customHeight="1" thickBot="1">
      <c r="D54" s="13" t="s">
        <v>29</v>
      </c>
      <c r="G54" s="52">
        <f>ROUND(G45+G52,)</f>
        <v>2368</v>
      </c>
    </row>
    <row r="55" spans="1:7" ht="14.4" customHeight="1">
      <c r="A55" s="13" t="s">
        <v>104</v>
      </c>
      <c r="D55" s="13"/>
      <c r="G55" s="57"/>
    </row>
    <row r="56" spans="1:7" ht="14.4" customHeight="1">
      <c r="A56" s="6" t="s">
        <v>105</v>
      </c>
    </row>
  </sheetData>
  <mergeCells count="16">
    <mergeCell ref="A2:C2"/>
    <mergeCell ref="A3:C3"/>
    <mergeCell ref="D3:G3"/>
    <mergeCell ref="A4:C4"/>
    <mergeCell ref="A13:C13"/>
    <mergeCell ref="G13:G18"/>
    <mergeCell ref="A7:E8"/>
    <mergeCell ref="A21:B21"/>
    <mergeCell ref="G21:G26"/>
    <mergeCell ref="G29:G34"/>
    <mergeCell ref="G37:G42"/>
    <mergeCell ref="A48:D48"/>
    <mergeCell ref="G48:G51"/>
    <mergeCell ref="A49:D49"/>
    <mergeCell ref="A50:D50"/>
    <mergeCell ref="A51:D51"/>
  </mergeCells>
  <printOptions horizontalCentered="1" verticalCentered="1"/>
  <pageMargins left="0.78740157480314965" right="0.59055118110236227" top="0.78740157480314965" bottom="0.78740157480314965" header="0.59055118110236227" footer="0.59055118110236227"/>
  <pageSetup scale="85" orientation="portrait" horizontalDpi="300" verticalDpi="300" r:id="rId1"/>
  <headerFooter alignWithMargins="0">
    <oddFooter>&amp;R&amp;"Century Gothic,Negrita"&amp;8ÍTEM 200.4P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8">
    <tabColor theme="8" tint="-0.249977111117893"/>
  </sheetPr>
  <dimension ref="A1:I56"/>
  <sheetViews>
    <sheetView workbookViewId="0"/>
  </sheetViews>
  <sheetFormatPr baseColWidth="10" defaultColWidth="11.44140625" defaultRowHeight="14.4" customHeight="1"/>
  <cols>
    <col min="1" max="1" width="20.5546875" style="6" customWidth="1"/>
    <col min="2" max="6" width="12.5546875" style="6" customWidth="1"/>
    <col min="7" max="7" width="15.5546875" style="6" customWidth="1"/>
    <col min="8" max="16384" width="11.44140625" style="6"/>
  </cols>
  <sheetData>
    <row r="1" spans="1:7" ht="14.4" customHeight="1">
      <c r="A1" s="9"/>
      <c r="B1" s="10"/>
      <c r="C1" s="11"/>
      <c r="D1" s="9"/>
      <c r="E1" s="10"/>
      <c r="F1" s="10"/>
      <c r="G1" s="11"/>
    </row>
    <row r="2" spans="1:7" ht="14.4" customHeight="1">
      <c r="A2" s="1819" t="s">
        <v>53</v>
      </c>
      <c r="B2" s="1820"/>
      <c r="C2" s="1821"/>
      <c r="D2" s="12"/>
      <c r="E2" s="13"/>
      <c r="F2" s="13"/>
      <c r="G2" s="14"/>
    </row>
    <row r="3" spans="1:7" ht="14.4" customHeight="1">
      <c r="A3" s="1819" t="s">
        <v>13</v>
      </c>
      <c r="B3" s="1820"/>
      <c r="C3" s="1821"/>
      <c r="D3" s="1819" t="s">
        <v>51</v>
      </c>
      <c r="E3" s="1820"/>
      <c r="F3" s="1820"/>
      <c r="G3" s="1821"/>
    </row>
    <row r="4" spans="1:7" ht="14.4" customHeight="1">
      <c r="A4" s="1819" t="s">
        <v>90</v>
      </c>
      <c r="B4" s="1820"/>
      <c r="C4" s="1821"/>
      <c r="D4" s="12"/>
      <c r="E4" s="13"/>
      <c r="F4" s="13"/>
      <c r="G4" s="14"/>
    </row>
    <row r="5" spans="1:7" ht="14.4" customHeight="1" thickBot="1">
      <c r="A5" s="15"/>
      <c r="B5" s="16"/>
      <c r="C5" s="17"/>
      <c r="D5" s="15"/>
      <c r="E5" s="16"/>
      <c r="F5" s="16"/>
      <c r="G5" s="17"/>
    </row>
    <row r="7" spans="1:7" ht="14.4" customHeight="1">
      <c r="A7" s="1823" t="str">
        <f>+'APU-Básicos'!A7</f>
        <v>"MEJORAMIENTO VIAL MEDIANTE LA CONSTRUCCIÓN DE PAVIMENTO RÍGIDO DE LA PRIMERA ETAPA DE LA VÍA QUE COMUNICA A LA VEREDA PONDORES EN EL CORREGIMIENTO DE CONEJO, MUNICIPIO DE FONSECA - DEPARTAMENTO DE LA GUAJIRA."</v>
      </c>
      <c r="B7" s="1823"/>
      <c r="C7" s="1823"/>
      <c r="D7" s="1823"/>
      <c r="E7" s="1823"/>
      <c r="F7" s="108" t="s">
        <v>107</v>
      </c>
      <c r="G7" s="13"/>
    </row>
    <row r="8" spans="1:7" ht="14.4" customHeight="1">
      <c r="A8" s="1823"/>
      <c r="B8" s="1823"/>
      <c r="C8" s="1823"/>
      <c r="D8" s="1823"/>
      <c r="E8" s="1823"/>
      <c r="F8" s="108"/>
      <c r="G8" s="13"/>
    </row>
    <row r="9" spans="1:7" ht="14.4" customHeight="1">
      <c r="A9" s="13"/>
      <c r="B9" s="13"/>
      <c r="C9" s="13"/>
      <c r="D9" s="13"/>
      <c r="E9" s="13"/>
      <c r="F9" s="108"/>
      <c r="G9" s="13"/>
    </row>
    <row r="10" spans="1:7" ht="14.4" customHeight="1">
      <c r="A10" s="13" t="s">
        <v>99</v>
      </c>
      <c r="B10" s="13"/>
      <c r="C10" s="13"/>
      <c r="D10" s="13"/>
      <c r="E10" s="13"/>
      <c r="F10" s="108" t="s">
        <v>28</v>
      </c>
      <c r="G10" s="13" t="s">
        <v>41</v>
      </c>
    </row>
    <row r="11" spans="1:7" ht="14.4" customHeight="1">
      <c r="A11" s="13"/>
      <c r="B11" s="13"/>
      <c r="C11" s="13"/>
      <c r="D11" s="13"/>
      <c r="E11" s="13"/>
      <c r="F11" s="13"/>
      <c r="G11" s="13"/>
    </row>
    <row r="12" spans="1:7" ht="14.4" customHeight="1" thickBot="1">
      <c r="A12" s="13" t="s">
        <v>16</v>
      </c>
    </row>
    <row r="13" spans="1:7" ht="14.4" customHeight="1">
      <c r="A13" s="1805" t="s">
        <v>21</v>
      </c>
      <c r="B13" s="1822"/>
      <c r="C13" s="1806"/>
      <c r="D13" s="20" t="s">
        <v>1</v>
      </c>
      <c r="E13" s="19" t="s">
        <v>8</v>
      </c>
      <c r="F13" s="20" t="s">
        <v>2</v>
      </c>
      <c r="G13" s="1807"/>
    </row>
    <row r="14" spans="1:7" ht="14.4" customHeight="1">
      <c r="A14" s="21" t="s">
        <v>93</v>
      </c>
      <c r="B14" s="24">
        <v>0.1</v>
      </c>
      <c r="C14" s="23"/>
      <c r="D14" s="5"/>
      <c r="E14" s="5"/>
      <c r="F14" s="5">
        <f>+ROUND(B14*G43,0)</f>
        <v>224</v>
      </c>
      <c r="G14" s="1808"/>
    </row>
    <row r="15" spans="1:7" ht="14.4" customHeight="1">
      <c r="A15" s="21"/>
      <c r="B15" s="22"/>
      <c r="C15" s="23"/>
      <c r="D15" s="5"/>
      <c r="E15" s="5"/>
      <c r="F15" s="5"/>
      <c r="G15" s="1808"/>
    </row>
    <row r="16" spans="1:7" ht="14.4" customHeight="1">
      <c r="A16" s="21"/>
      <c r="B16" s="22"/>
      <c r="C16" s="23"/>
      <c r="D16" s="5"/>
      <c r="E16" s="5"/>
      <c r="F16" s="5"/>
      <c r="G16" s="1808"/>
    </row>
    <row r="17" spans="1:7" ht="14.4" customHeight="1">
      <c r="A17" s="21"/>
      <c r="B17" s="22"/>
      <c r="C17" s="23"/>
      <c r="D17" s="5"/>
      <c r="E17" s="5"/>
      <c r="F17" s="5"/>
      <c r="G17" s="1808"/>
    </row>
    <row r="18" spans="1:7" ht="14.4" customHeight="1" thickBot="1">
      <c r="A18" s="25"/>
      <c r="B18" s="26"/>
      <c r="C18" s="27"/>
      <c r="D18" s="28"/>
      <c r="E18" s="28"/>
      <c r="F18" s="28"/>
      <c r="G18" s="1809"/>
    </row>
    <row r="19" spans="1:7" ht="14.4" customHeight="1" thickBot="1">
      <c r="F19" s="6" t="s">
        <v>3</v>
      </c>
      <c r="G19" s="29">
        <f>SUM(F14:F18)</f>
        <v>224</v>
      </c>
    </row>
    <row r="20" spans="1:7" ht="14.4" customHeight="1" thickBot="1">
      <c r="A20" s="13" t="s">
        <v>17</v>
      </c>
      <c r="G20" s="30"/>
    </row>
    <row r="21" spans="1:7" ht="14.4" customHeight="1">
      <c r="A21" s="1805" t="s">
        <v>21</v>
      </c>
      <c r="B21" s="1806"/>
      <c r="C21" s="20" t="s">
        <v>4</v>
      </c>
      <c r="D21" s="31" t="s">
        <v>5</v>
      </c>
      <c r="E21" s="20" t="s">
        <v>6</v>
      </c>
      <c r="F21" s="20" t="s">
        <v>2</v>
      </c>
      <c r="G21" s="1807"/>
    </row>
    <row r="22" spans="1:7" ht="14.4" customHeight="1">
      <c r="A22" s="21" t="s">
        <v>95</v>
      </c>
      <c r="B22" s="23"/>
      <c r="C22" s="8" t="s">
        <v>75</v>
      </c>
      <c r="D22" s="5" t="e">
        <f>+Sum!#REF!</f>
        <v>#REF!</v>
      </c>
      <c r="E22" s="5">
        <v>0.1</v>
      </c>
      <c r="F22" s="5" t="e">
        <f>+D22*E22</f>
        <v>#REF!</v>
      </c>
      <c r="G22" s="1808"/>
    </row>
    <row r="23" spans="1:7" ht="14.4" customHeight="1">
      <c r="A23" s="21" t="s">
        <v>96</v>
      </c>
      <c r="B23" s="23"/>
      <c r="C23" s="8" t="s">
        <v>75</v>
      </c>
      <c r="D23" s="5" t="e">
        <f>+Sum!#REF!</f>
        <v>#REF!</v>
      </c>
      <c r="E23" s="5">
        <v>0.1</v>
      </c>
      <c r="F23" s="5" t="e">
        <f>+D23*E23</f>
        <v>#REF!</v>
      </c>
      <c r="G23" s="1808"/>
    </row>
    <row r="24" spans="1:7" ht="14.4" customHeight="1">
      <c r="A24" s="21" t="s">
        <v>97</v>
      </c>
      <c r="B24" s="23"/>
      <c r="C24" s="8" t="s">
        <v>102</v>
      </c>
      <c r="D24" s="5">
        <f>+Sum!D35</f>
        <v>10800</v>
      </c>
      <c r="E24" s="5">
        <v>0.01</v>
      </c>
      <c r="F24" s="5">
        <f>+D24*E24</f>
        <v>108</v>
      </c>
      <c r="G24" s="1808"/>
    </row>
    <row r="25" spans="1:7" ht="14.4" customHeight="1">
      <c r="A25" s="34" t="s">
        <v>98</v>
      </c>
      <c r="B25" s="54"/>
      <c r="C25" s="35" t="s">
        <v>75</v>
      </c>
      <c r="D25" s="36" t="e">
        <f>+Sum!#REF!</f>
        <v>#REF!</v>
      </c>
      <c r="E25" s="36">
        <v>1</v>
      </c>
      <c r="F25" s="5" t="e">
        <f>+D25*E25</f>
        <v>#REF!</v>
      </c>
      <c r="G25" s="1808"/>
    </row>
    <row r="26" spans="1:7" ht="14.4" customHeight="1">
      <c r="A26" s="34" t="s">
        <v>91</v>
      </c>
      <c r="B26" s="54"/>
      <c r="C26" s="35" t="s">
        <v>103</v>
      </c>
      <c r="D26" s="36">
        <f>+Sum!D27</f>
        <v>3500</v>
      </c>
      <c r="E26" s="36">
        <v>0.02</v>
      </c>
      <c r="F26" s="5">
        <f>+D26*E26</f>
        <v>70</v>
      </c>
      <c r="G26" s="1808"/>
    </row>
    <row r="27" spans="1:7" ht="14.4" customHeight="1" thickBot="1">
      <c r="A27" s="25"/>
      <c r="B27" s="27"/>
      <c r="C27" s="53"/>
      <c r="D27" s="28"/>
      <c r="E27" s="28"/>
      <c r="F27" s="28"/>
      <c r="G27" s="1809"/>
    </row>
    <row r="28" spans="1:7" ht="14.4" customHeight="1" thickBot="1">
      <c r="F28" s="6" t="s">
        <v>3</v>
      </c>
      <c r="G28" s="29" t="e">
        <f>SUM(F22:F27)</f>
        <v>#REF!</v>
      </c>
    </row>
    <row r="29" spans="1:7" ht="14.4" customHeight="1" thickBot="1">
      <c r="A29" s="13" t="s">
        <v>18</v>
      </c>
      <c r="G29" s="30"/>
    </row>
    <row r="30" spans="1:7" ht="14.4" customHeight="1">
      <c r="A30" s="18" t="s">
        <v>23</v>
      </c>
      <c r="B30" s="20" t="s">
        <v>46</v>
      </c>
      <c r="C30" s="20" t="s">
        <v>36</v>
      </c>
      <c r="D30" s="31" t="s">
        <v>26</v>
      </c>
      <c r="E30" s="20" t="s">
        <v>25</v>
      </c>
      <c r="F30" s="20" t="s">
        <v>2</v>
      </c>
      <c r="G30" s="1807"/>
    </row>
    <row r="31" spans="1:7" ht="14.4" customHeight="1">
      <c r="A31" s="37"/>
      <c r="B31" s="8"/>
      <c r="C31" s="8"/>
      <c r="D31" s="7"/>
      <c r="E31" s="5"/>
      <c r="F31" s="5"/>
      <c r="G31" s="1808"/>
    </row>
    <row r="32" spans="1:7" ht="14.4" customHeight="1">
      <c r="A32" s="37"/>
      <c r="B32" s="8"/>
      <c r="C32" s="8"/>
      <c r="D32" s="7"/>
      <c r="E32" s="5"/>
      <c r="F32" s="5"/>
      <c r="G32" s="1808"/>
    </row>
    <row r="33" spans="1:9" ht="14.4" customHeight="1">
      <c r="A33" s="37"/>
      <c r="B33" s="32"/>
      <c r="C33" s="32"/>
      <c r="D33" s="5"/>
      <c r="E33" s="5"/>
      <c r="F33" s="5"/>
      <c r="G33" s="1808"/>
    </row>
    <row r="34" spans="1:9" ht="14.4" customHeight="1" thickBot="1">
      <c r="A34" s="15"/>
      <c r="B34" s="38"/>
      <c r="C34" s="38"/>
      <c r="D34" s="39"/>
      <c r="E34" s="40"/>
      <c r="F34" s="39"/>
      <c r="G34" s="1809"/>
    </row>
    <row r="35" spans="1:9" ht="14.4" customHeight="1" thickBot="1">
      <c r="F35" s="6" t="s">
        <v>3</v>
      </c>
      <c r="G35" s="29">
        <f>SUM(F31:F34)</f>
        <v>0</v>
      </c>
    </row>
    <row r="36" spans="1:9" ht="14.4" customHeight="1" thickBot="1">
      <c r="A36" s="13" t="s">
        <v>19</v>
      </c>
      <c r="G36" s="30"/>
    </row>
    <row r="37" spans="1:9" ht="14.4" customHeight="1">
      <c r="A37" s="41" t="s">
        <v>24</v>
      </c>
      <c r="B37" s="20" t="s">
        <v>7</v>
      </c>
      <c r="C37" s="20" t="s">
        <v>42</v>
      </c>
      <c r="D37" s="42" t="s">
        <v>27</v>
      </c>
      <c r="E37" s="20" t="s">
        <v>8</v>
      </c>
      <c r="F37" s="20" t="s">
        <v>2</v>
      </c>
      <c r="G37" s="1807"/>
    </row>
    <row r="38" spans="1:9" ht="14.4" customHeight="1">
      <c r="A38" s="21" t="s">
        <v>100</v>
      </c>
      <c r="B38" s="5">
        <v>52202</v>
      </c>
      <c r="C38" s="106">
        <v>1.7163999999999999</v>
      </c>
      <c r="D38" s="44">
        <f>ROUND(C38*B38,0)</f>
        <v>89600</v>
      </c>
      <c r="E38" s="44">
        <f>8.85*8</f>
        <v>70.8</v>
      </c>
      <c r="F38" s="44">
        <f>ROUND(D38/E38,0)</f>
        <v>1266</v>
      </c>
      <c r="G38" s="1808"/>
      <c r="I38" s="30"/>
    </row>
    <row r="39" spans="1:9" ht="14.4" customHeight="1">
      <c r="A39" s="21" t="s">
        <v>101</v>
      </c>
      <c r="B39" s="5">
        <v>40084</v>
      </c>
      <c r="C39" s="106">
        <f>+C38</f>
        <v>1.7163999999999999</v>
      </c>
      <c r="D39" s="44">
        <f>ROUND(C39*B39,0)</f>
        <v>68800</v>
      </c>
      <c r="E39" s="44">
        <f>E38</f>
        <v>70.8</v>
      </c>
      <c r="F39" s="44">
        <f>ROUND(D39/E39,0)</f>
        <v>972</v>
      </c>
      <c r="G39" s="1808"/>
    </row>
    <row r="40" spans="1:9" ht="14.4" customHeight="1">
      <c r="A40" s="21"/>
      <c r="B40" s="5"/>
      <c r="C40" s="43"/>
      <c r="D40" s="44"/>
      <c r="E40" s="44"/>
      <c r="F40" s="44"/>
      <c r="G40" s="1808"/>
    </row>
    <row r="41" spans="1:9" ht="14.4" customHeight="1">
      <c r="A41" s="34"/>
      <c r="B41" s="36"/>
      <c r="C41" s="55"/>
      <c r="D41" s="56"/>
      <c r="E41" s="56"/>
      <c r="F41" s="56"/>
      <c r="G41" s="1808"/>
    </row>
    <row r="42" spans="1:9" ht="14.4" customHeight="1" thickBot="1">
      <c r="A42" s="25"/>
      <c r="B42" s="33"/>
      <c r="C42" s="28"/>
      <c r="D42" s="45"/>
      <c r="E42" s="45"/>
      <c r="F42" s="45"/>
      <c r="G42" s="1809"/>
    </row>
    <row r="43" spans="1:9" ht="14.4" customHeight="1" thickBot="1">
      <c r="D43" s="46"/>
      <c r="E43" s="46"/>
      <c r="F43" s="6" t="s">
        <v>3</v>
      </c>
      <c r="G43" s="47">
        <f>SUM(F38:F42)</f>
        <v>2238</v>
      </c>
    </row>
    <row r="44" spans="1:9" ht="14.4" customHeight="1" thickBot="1">
      <c r="G44" s="30"/>
    </row>
    <row r="45" spans="1:9" ht="14.4" customHeight="1" thickBot="1">
      <c r="D45" s="13" t="s">
        <v>10</v>
      </c>
      <c r="G45" s="48" t="e">
        <f>ROUND(G19+G28+G35+G43,0)</f>
        <v>#REF!</v>
      </c>
    </row>
    <row r="46" spans="1:9" ht="14.4" customHeight="1">
      <c r="G46" s="30"/>
    </row>
    <row r="47" spans="1:9" ht="14.4" customHeight="1" thickBot="1">
      <c r="A47" s="13" t="s">
        <v>20</v>
      </c>
      <c r="G47" s="30"/>
    </row>
    <row r="48" spans="1:9" ht="14.4" customHeight="1">
      <c r="A48" s="1810" t="s">
        <v>21</v>
      </c>
      <c r="B48" s="1811"/>
      <c r="C48" s="1811"/>
      <c r="D48" s="1812"/>
      <c r="E48" s="49" t="s">
        <v>11</v>
      </c>
      <c r="F48" s="49" t="s">
        <v>22</v>
      </c>
      <c r="G48" s="1807"/>
    </row>
    <row r="49" spans="1:7" ht="14.4" customHeight="1">
      <c r="A49" s="1813" t="s">
        <v>30</v>
      </c>
      <c r="B49" s="1814"/>
      <c r="C49" s="1814"/>
      <c r="D49" s="1815"/>
      <c r="E49" s="50">
        <v>0.26</v>
      </c>
      <c r="F49" s="5" t="e">
        <f>ROUND($G$45*E49,0)</f>
        <v>#REF!</v>
      </c>
      <c r="G49" s="1808"/>
    </row>
    <row r="50" spans="1:7" ht="14.4" customHeight="1">
      <c r="A50" s="1813" t="s">
        <v>31</v>
      </c>
      <c r="B50" s="1814"/>
      <c r="C50" s="1814"/>
      <c r="D50" s="1815"/>
      <c r="E50" s="50">
        <v>0.04</v>
      </c>
      <c r="F50" s="5" t="e">
        <f>ROUND($G$45*E50,0)</f>
        <v>#REF!</v>
      </c>
      <c r="G50" s="1808"/>
    </row>
    <row r="51" spans="1:7" ht="14.4" customHeight="1" thickBot="1">
      <c r="A51" s="1816" t="s">
        <v>32</v>
      </c>
      <c r="B51" s="1817"/>
      <c r="C51" s="1817"/>
      <c r="D51" s="1818"/>
      <c r="E51" s="51">
        <v>0.02</v>
      </c>
      <c r="F51" s="28" t="e">
        <f>ROUND($G$45*E51,0)</f>
        <v>#REF!</v>
      </c>
      <c r="G51" s="1808"/>
    </row>
    <row r="52" spans="1:7" ht="14.4" customHeight="1" thickBot="1">
      <c r="F52" s="6" t="s">
        <v>3</v>
      </c>
      <c r="G52" s="47" t="e">
        <f>ROUND(SUM(F49:F51),)</f>
        <v>#REF!</v>
      </c>
    </row>
    <row r="53" spans="1:7" ht="14.4" customHeight="1" thickBot="1">
      <c r="A53" s="6" t="s">
        <v>72</v>
      </c>
      <c r="G53" s="30"/>
    </row>
    <row r="54" spans="1:7" ht="14.4" customHeight="1" thickBot="1">
      <c r="D54" s="13" t="s">
        <v>29</v>
      </c>
      <c r="G54" s="52" t="e">
        <f>ROUND(G45+G52,)</f>
        <v>#REF!</v>
      </c>
    </row>
    <row r="55" spans="1:7" ht="14.4" customHeight="1">
      <c r="A55" s="13" t="s">
        <v>104</v>
      </c>
      <c r="D55" s="13"/>
      <c r="G55" s="57"/>
    </row>
    <row r="56" spans="1:7" ht="14.4" customHeight="1">
      <c r="A56" s="6" t="s">
        <v>105</v>
      </c>
    </row>
  </sheetData>
  <mergeCells count="16">
    <mergeCell ref="A21:B21"/>
    <mergeCell ref="G21:G27"/>
    <mergeCell ref="G30:G34"/>
    <mergeCell ref="G37:G42"/>
    <mergeCell ref="A48:D48"/>
    <mergeCell ref="G48:G51"/>
    <mergeCell ref="A49:D49"/>
    <mergeCell ref="A50:D50"/>
    <mergeCell ref="A51:D51"/>
    <mergeCell ref="A2:C2"/>
    <mergeCell ref="A3:C3"/>
    <mergeCell ref="D3:G3"/>
    <mergeCell ref="A4:C4"/>
    <mergeCell ref="A13:C13"/>
    <mergeCell ref="G13:G18"/>
    <mergeCell ref="A7:E8"/>
  </mergeCells>
  <printOptions horizontalCentered="1" verticalCentered="1"/>
  <pageMargins left="0.78740157480314965" right="0.59055118110236227" top="0.78740157480314965" bottom="0.78740157480314965" header="0.59055118110236227" footer="0.59055118110236227"/>
  <pageSetup scale="85" orientation="portrait" horizontalDpi="300" verticalDpi="300" r:id="rId1"/>
  <headerFooter alignWithMargins="0">
    <oddFooter>&amp;R&amp;"Century Gothic,Negrita"&amp;8ÍTEM 200.4P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9">
    <tabColor theme="6" tint="-0.249977111117893"/>
  </sheetPr>
  <dimension ref="A1:I55"/>
  <sheetViews>
    <sheetView workbookViewId="0"/>
  </sheetViews>
  <sheetFormatPr baseColWidth="10" defaultColWidth="11.44140625" defaultRowHeight="14.1" customHeight="1"/>
  <cols>
    <col min="1" max="1" width="20.5546875" style="105" customWidth="1"/>
    <col min="2" max="6" width="12.5546875" style="105" customWidth="1"/>
    <col min="7" max="7" width="15.5546875" style="105" customWidth="1"/>
    <col min="8" max="16384" width="11.44140625" style="105"/>
  </cols>
  <sheetData>
    <row r="1" spans="1:7" ht="14.1" customHeight="1">
      <c r="A1" s="130"/>
      <c r="B1" s="131"/>
      <c r="C1" s="132"/>
      <c r="D1" s="130"/>
      <c r="E1" s="131"/>
      <c r="F1" s="131"/>
      <c r="G1" s="132"/>
    </row>
    <row r="2" spans="1:7" ht="14.1" customHeight="1">
      <c r="A2" s="1801"/>
      <c r="B2" s="1802"/>
      <c r="C2" s="1803"/>
      <c r="D2" s="133"/>
      <c r="E2" s="134"/>
      <c r="F2" s="134"/>
      <c r="G2" s="135"/>
    </row>
    <row r="3" spans="1:7" ht="14.1" customHeight="1">
      <c r="A3" s="1801"/>
      <c r="B3" s="1802"/>
      <c r="C3" s="1803"/>
      <c r="D3" s="1801" t="s">
        <v>51</v>
      </c>
      <c r="E3" s="1802"/>
      <c r="F3" s="1802"/>
      <c r="G3" s="1803"/>
    </row>
    <row r="4" spans="1:7" ht="14.1" customHeight="1">
      <c r="A4" s="1801"/>
      <c r="B4" s="1802"/>
      <c r="C4" s="1803"/>
      <c r="D4" s="133"/>
      <c r="E4" s="134"/>
      <c r="F4" s="134"/>
      <c r="G4" s="135"/>
    </row>
    <row r="5" spans="1:7" ht="14.1" customHeight="1" thickBot="1">
      <c r="A5" s="136"/>
      <c r="B5" s="137"/>
      <c r="C5" s="138"/>
      <c r="D5" s="136"/>
      <c r="E5" s="137"/>
      <c r="F5" s="137"/>
      <c r="G5" s="138"/>
    </row>
    <row r="7" spans="1:7" ht="14.1" customHeight="1">
      <c r="A7" s="1804" t="str">
        <f>+'APU-Básicos'!A7</f>
        <v>"MEJORAMIENTO VIAL MEDIANTE LA CONSTRUCCIÓN DE PAVIMENTO RÍGIDO DE LA PRIMERA ETAPA DE LA VÍA QUE COMUNICA A LA VEREDA PONDORES EN EL CORREGIMIENTO DE CONEJO, MUNICIPIO DE FONSECA - DEPARTAMENTO DE LA GUAJIRA."</v>
      </c>
      <c r="B7" s="1804"/>
      <c r="C7" s="1804"/>
      <c r="D7" s="1804"/>
      <c r="E7" s="1804"/>
      <c r="F7" s="139" t="s">
        <v>132</v>
      </c>
      <c r="G7" s="134"/>
    </row>
    <row r="8" spans="1:7" ht="14.1" customHeight="1">
      <c r="A8" s="1804"/>
      <c r="B8" s="1804"/>
      <c r="C8" s="1804"/>
      <c r="D8" s="1804"/>
      <c r="E8" s="1804"/>
      <c r="F8" s="139"/>
      <c r="G8" s="134"/>
    </row>
    <row r="9" spans="1:7" ht="14.1" customHeight="1">
      <c r="A9" s="134"/>
      <c r="B9" s="134"/>
      <c r="C9" s="134"/>
      <c r="D9" s="134"/>
      <c r="E9" s="134"/>
      <c r="F9" s="139"/>
      <c r="G9" s="134"/>
    </row>
    <row r="10" spans="1:7" ht="14.1" customHeight="1">
      <c r="A10" s="134" t="s">
        <v>131</v>
      </c>
      <c r="B10" s="134"/>
      <c r="C10" s="134"/>
      <c r="D10" s="134"/>
      <c r="E10" s="134"/>
      <c r="F10" s="139" t="s">
        <v>28</v>
      </c>
      <c r="G10" s="134" t="s">
        <v>41</v>
      </c>
    </row>
    <row r="11" spans="1:7" ht="14.1" customHeight="1">
      <c r="A11" s="134"/>
      <c r="B11" s="134"/>
      <c r="C11" s="134"/>
      <c r="D11" s="134"/>
      <c r="E11" s="134"/>
      <c r="F11" s="134"/>
      <c r="G11" s="134"/>
    </row>
    <row r="12" spans="1:7" ht="14.1" customHeight="1" thickBot="1">
      <c r="A12" s="134" t="s">
        <v>16</v>
      </c>
    </row>
    <row r="13" spans="1:7" ht="14.1" customHeight="1">
      <c r="A13" s="1632" t="s">
        <v>21</v>
      </c>
      <c r="B13" s="1633"/>
      <c r="C13" s="1824"/>
      <c r="D13" s="140" t="s">
        <v>1</v>
      </c>
      <c r="E13" s="141" t="s">
        <v>8</v>
      </c>
      <c r="F13" s="140" t="s">
        <v>2</v>
      </c>
      <c r="G13" s="1792"/>
    </row>
    <row r="14" spans="1:7" ht="14.1" customHeight="1">
      <c r="A14" s="142" t="s">
        <v>45</v>
      </c>
      <c r="B14" s="177"/>
      <c r="C14" s="144"/>
      <c r="D14" s="110">
        <f>+Equ!D10</f>
        <v>0</v>
      </c>
      <c r="E14" s="110">
        <v>30</v>
      </c>
      <c r="F14" s="110">
        <f>+ROUND(D14/E14,0)</f>
        <v>0</v>
      </c>
      <c r="G14" s="1793"/>
    </row>
    <row r="15" spans="1:7" ht="14.1" customHeight="1">
      <c r="A15" s="142" t="s">
        <v>93</v>
      </c>
      <c r="B15" s="143">
        <v>0.1</v>
      </c>
      <c r="C15" s="144"/>
      <c r="D15" s="110"/>
      <c r="E15" s="110"/>
      <c r="F15" s="110">
        <f>+ROUND(B15*G43,0)</f>
        <v>105</v>
      </c>
      <c r="G15" s="1793"/>
    </row>
    <row r="16" spans="1:7" ht="14.1" customHeight="1">
      <c r="A16" s="142"/>
      <c r="B16" s="177"/>
      <c r="C16" s="144"/>
      <c r="D16" s="110"/>
      <c r="E16" s="110"/>
      <c r="F16" s="110"/>
      <c r="G16" s="1793"/>
    </row>
    <row r="17" spans="1:7" ht="14.1" customHeight="1">
      <c r="A17" s="142"/>
      <c r="B17" s="177"/>
      <c r="C17" s="144"/>
      <c r="D17" s="110"/>
      <c r="E17" s="110"/>
      <c r="F17" s="110"/>
      <c r="G17" s="1793"/>
    </row>
    <row r="18" spans="1:7" ht="14.1" customHeight="1" thickBot="1">
      <c r="A18" s="147"/>
      <c r="B18" s="148"/>
      <c r="C18" s="149"/>
      <c r="D18" s="150"/>
      <c r="E18" s="150"/>
      <c r="F18" s="150"/>
      <c r="G18" s="1794"/>
    </row>
    <row r="19" spans="1:7" ht="14.1" customHeight="1" thickBot="1">
      <c r="F19" s="105" t="s">
        <v>3</v>
      </c>
      <c r="G19" s="151">
        <f>SUM(F14:F18)</f>
        <v>105</v>
      </c>
    </row>
    <row r="20" spans="1:7" ht="14.1" customHeight="1" thickBot="1">
      <c r="A20" s="134" t="s">
        <v>17</v>
      </c>
      <c r="G20" s="111"/>
    </row>
    <row r="21" spans="1:7" ht="14.1" customHeight="1">
      <c r="A21" s="1632" t="s">
        <v>21</v>
      </c>
      <c r="B21" s="1824"/>
      <c r="C21" s="140" t="s">
        <v>4</v>
      </c>
      <c r="D21" s="152" t="s">
        <v>5</v>
      </c>
      <c r="E21" s="140" t="s">
        <v>6</v>
      </c>
      <c r="F21" s="140" t="s">
        <v>2</v>
      </c>
      <c r="G21" s="1792"/>
    </row>
    <row r="22" spans="1:7" ht="14.1" customHeight="1">
      <c r="A22" s="142" t="s">
        <v>91</v>
      </c>
      <c r="B22" s="144"/>
      <c r="C22" s="109" t="s">
        <v>103</v>
      </c>
      <c r="D22" s="110">
        <f>+Sum!D27</f>
        <v>3500</v>
      </c>
      <c r="E22" s="110">
        <v>0.01</v>
      </c>
      <c r="F22" s="110">
        <f>+ROUND(D22*E22,0)</f>
        <v>35</v>
      </c>
      <c r="G22" s="1793"/>
    </row>
    <row r="23" spans="1:7" ht="14.1" customHeight="1">
      <c r="A23" s="142" t="s">
        <v>133</v>
      </c>
      <c r="B23" s="144"/>
      <c r="C23" s="109" t="s">
        <v>75</v>
      </c>
      <c r="D23" s="110">
        <f>+Sum!D23</f>
        <v>600</v>
      </c>
      <c r="E23" s="110">
        <v>0.2</v>
      </c>
      <c r="F23" s="110">
        <f>+ROUND(D23*E23,0)</f>
        <v>120</v>
      </c>
      <c r="G23" s="1793"/>
    </row>
    <row r="24" spans="1:7" ht="14.1" customHeight="1">
      <c r="A24" s="142"/>
      <c r="B24" s="144"/>
      <c r="C24" s="109"/>
      <c r="D24" s="110"/>
      <c r="E24" s="110"/>
      <c r="F24" s="110"/>
      <c r="G24" s="1793"/>
    </row>
    <row r="25" spans="1:7" ht="14.1" customHeight="1">
      <c r="A25" s="153"/>
      <c r="B25" s="115"/>
      <c r="C25" s="176"/>
      <c r="D25" s="146"/>
      <c r="E25" s="146"/>
      <c r="F25" s="110"/>
      <c r="G25" s="1793"/>
    </row>
    <row r="26" spans="1:7" ht="14.1" customHeight="1" thickBot="1">
      <c r="A26" s="147"/>
      <c r="B26" s="149"/>
      <c r="C26" s="154"/>
      <c r="D26" s="150"/>
      <c r="E26" s="150"/>
      <c r="F26" s="150"/>
      <c r="G26" s="1794"/>
    </row>
    <row r="27" spans="1:7" ht="14.1" customHeight="1" thickBot="1">
      <c r="F27" s="105" t="s">
        <v>3</v>
      </c>
      <c r="G27" s="151">
        <f>SUM(F22:F26)</f>
        <v>155</v>
      </c>
    </row>
    <row r="28" spans="1:7" ht="14.1" customHeight="1" thickBot="1">
      <c r="A28" s="134" t="s">
        <v>18</v>
      </c>
      <c r="G28" s="111"/>
    </row>
    <row r="29" spans="1:7" ht="14.1" customHeight="1">
      <c r="A29" s="155" t="s">
        <v>23</v>
      </c>
      <c r="B29" s="140" t="s">
        <v>46</v>
      </c>
      <c r="C29" s="140" t="s">
        <v>36</v>
      </c>
      <c r="D29" s="152" t="s">
        <v>26</v>
      </c>
      <c r="E29" s="140" t="s">
        <v>25</v>
      </c>
      <c r="F29" s="140" t="s">
        <v>2</v>
      </c>
      <c r="G29" s="1792"/>
    </row>
    <row r="30" spans="1:7" ht="14.1" customHeight="1">
      <c r="A30" s="156"/>
      <c r="B30" s="109"/>
      <c r="C30" s="109"/>
      <c r="D30" s="178"/>
      <c r="E30" s="110"/>
      <c r="F30" s="110"/>
      <c r="G30" s="1793"/>
    </row>
    <row r="31" spans="1:7" ht="14.1" customHeight="1">
      <c r="A31" s="156"/>
      <c r="B31" s="109"/>
      <c r="C31" s="109"/>
      <c r="D31" s="178"/>
      <c r="E31" s="110"/>
      <c r="F31" s="110"/>
      <c r="G31" s="1793"/>
    </row>
    <row r="32" spans="1:7" ht="14.1" customHeight="1">
      <c r="A32" s="156"/>
      <c r="B32" s="109"/>
      <c r="C32" s="109"/>
      <c r="D32" s="178"/>
      <c r="E32" s="110"/>
      <c r="F32" s="110"/>
      <c r="G32" s="1793"/>
    </row>
    <row r="33" spans="1:9" ht="14.1" customHeight="1">
      <c r="A33" s="156"/>
      <c r="B33" s="179"/>
      <c r="C33" s="179"/>
      <c r="D33" s="110"/>
      <c r="E33" s="110"/>
      <c r="F33" s="110"/>
      <c r="G33" s="1793"/>
    </row>
    <row r="34" spans="1:9" ht="14.1" customHeight="1" thickBot="1">
      <c r="A34" s="136"/>
      <c r="B34" s="158"/>
      <c r="C34" s="158"/>
      <c r="D34" s="159"/>
      <c r="E34" s="160"/>
      <c r="F34" s="159"/>
      <c r="G34" s="1794"/>
    </row>
    <row r="35" spans="1:9" ht="14.1" customHeight="1" thickBot="1">
      <c r="F35" s="105" t="s">
        <v>3</v>
      </c>
      <c r="G35" s="151">
        <f>SUM(F30:F34)</f>
        <v>0</v>
      </c>
    </row>
    <row r="36" spans="1:9" ht="14.1" customHeight="1" thickBot="1">
      <c r="A36" s="134" t="s">
        <v>19</v>
      </c>
      <c r="G36" s="111"/>
    </row>
    <row r="37" spans="1:9" ht="14.1" customHeight="1">
      <c r="A37" s="161" t="s">
        <v>24</v>
      </c>
      <c r="B37" s="140" t="s">
        <v>7</v>
      </c>
      <c r="C37" s="140" t="s">
        <v>42</v>
      </c>
      <c r="D37" s="162" t="s">
        <v>27</v>
      </c>
      <c r="E37" s="140" t="s">
        <v>8</v>
      </c>
      <c r="F37" s="140" t="s">
        <v>2</v>
      </c>
      <c r="G37" s="1792"/>
    </row>
    <row r="38" spans="1:9" ht="14.1" customHeight="1">
      <c r="A38" s="142" t="s">
        <v>100</v>
      </c>
      <c r="B38" s="110">
        <v>52202</v>
      </c>
      <c r="C38" s="163">
        <v>1.58</v>
      </c>
      <c r="D38" s="164">
        <f>ROUND(C38*B38,0)</f>
        <v>82479</v>
      </c>
      <c r="E38" s="164">
        <v>220</v>
      </c>
      <c r="F38" s="164">
        <f>ROUND(D38/E38,0)</f>
        <v>375</v>
      </c>
      <c r="G38" s="1793"/>
      <c r="I38" s="111"/>
    </row>
    <row r="39" spans="1:9" ht="14.1" customHeight="1">
      <c r="A39" s="142" t="s">
        <v>34</v>
      </c>
      <c r="B39" s="110">
        <f>40084*2</f>
        <v>80168</v>
      </c>
      <c r="C39" s="163">
        <v>1.86</v>
      </c>
      <c r="D39" s="164">
        <f>ROUND(C39*B39,0)</f>
        <v>149112</v>
      </c>
      <c r="E39" s="164">
        <f>E38</f>
        <v>220</v>
      </c>
      <c r="F39" s="164">
        <f>ROUND(D39/E39,0)</f>
        <v>678</v>
      </c>
      <c r="G39" s="1793"/>
    </row>
    <row r="40" spans="1:9" ht="14.1" customHeight="1">
      <c r="A40" s="142"/>
      <c r="B40" s="110"/>
      <c r="C40" s="180"/>
      <c r="D40" s="164"/>
      <c r="E40" s="164"/>
      <c r="F40" s="164"/>
      <c r="G40" s="1793"/>
    </row>
    <row r="41" spans="1:9" ht="14.1" customHeight="1">
      <c r="A41" s="153"/>
      <c r="B41" s="146"/>
      <c r="C41" s="181"/>
      <c r="D41" s="166"/>
      <c r="E41" s="166"/>
      <c r="F41" s="166"/>
      <c r="G41" s="1793"/>
    </row>
    <row r="42" spans="1:9" ht="14.1" customHeight="1" thickBot="1">
      <c r="A42" s="147"/>
      <c r="B42" s="167"/>
      <c r="C42" s="150"/>
      <c r="D42" s="168"/>
      <c r="E42" s="168"/>
      <c r="F42" s="168"/>
      <c r="G42" s="1794"/>
    </row>
    <row r="43" spans="1:9" ht="14.1" customHeight="1" thickBot="1">
      <c r="D43" s="157"/>
      <c r="E43" s="157"/>
      <c r="F43" s="105" t="s">
        <v>3</v>
      </c>
      <c r="G43" s="169">
        <f>SUM(F38:F42)</f>
        <v>1053</v>
      </c>
    </row>
    <row r="44" spans="1:9" ht="14.1" customHeight="1" thickBot="1">
      <c r="G44" s="111"/>
    </row>
    <row r="45" spans="1:9" ht="14.1" customHeight="1" thickBot="1">
      <c r="D45" s="134" t="s">
        <v>10</v>
      </c>
      <c r="G45" s="170">
        <f>ROUND(G19+G27+G35+G43,0)</f>
        <v>1313</v>
      </c>
    </row>
    <row r="46" spans="1:9" ht="14.1" customHeight="1">
      <c r="G46" s="111"/>
    </row>
    <row r="47" spans="1:9" ht="14.1" customHeight="1" thickBot="1">
      <c r="A47" s="134" t="s">
        <v>20</v>
      </c>
      <c r="G47" s="111"/>
    </row>
    <row r="48" spans="1:9" ht="14.1" customHeight="1">
      <c r="A48" s="1789" t="s">
        <v>21</v>
      </c>
      <c r="B48" s="1790"/>
      <c r="C48" s="1790"/>
      <c r="D48" s="1791"/>
      <c r="E48" s="171" t="s">
        <v>11</v>
      </c>
      <c r="F48" s="171" t="s">
        <v>22</v>
      </c>
      <c r="G48" s="1792"/>
    </row>
    <row r="49" spans="1:7" ht="14.1" customHeight="1">
      <c r="A49" s="1795" t="s">
        <v>30</v>
      </c>
      <c r="B49" s="1796"/>
      <c r="C49" s="1796"/>
      <c r="D49" s="1797"/>
      <c r="E49" s="172">
        <v>0.22</v>
      </c>
      <c r="F49" s="110">
        <f>ROUND($G$45*E49,0)</f>
        <v>289</v>
      </c>
      <c r="G49" s="1793"/>
    </row>
    <row r="50" spans="1:7" ht="14.1" customHeight="1">
      <c r="A50" s="1795" t="s">
        <v>31</v>
      </c>
      <c r="B50" s="1796"/>
      <c r="C50" s="1796"/>
      <c r="D50" s="1797"/>
      <c r="E50" s="172">
        <v>0.05</v>
      </c>
      <c r="F50" s="110">
        <f>ROUND($G$45*E50,0)</f>
        <v>66</v>
      </c>
      <c r="G50" s="1793"/>
    </row>
    <row r="51" spans="1:7" ht="14.1" customHeight="1" thickBot="1">
      <c r="A51" s="1798" t="s">
        <v>32</v>
      </c>
      <c r="B51" s="1799"/>
      <c r="C51" s="1799"/>
      <c r="D51" s="1800"/>
      <c r="E51" s="173">
        <v>0.03</v>
      </c>
      <c r="F51" s="150">
        <f>ROUND($G$45*E51,0)</f>
        <v>39</v>
      </c>
      <c r="G51" s="1793"/>
    </row>
    <row r="52" spans="1:7" ht="14.1" customHeight="1" thickBot="1">
      <c r="F52" s="105" t="s">
        <v>3</v>
      </c>
      <c r="G52" s="169">
        <f>ROUND(SUM(F49:F51),)</f>
        <v>394</v>
      </c>
    </row>
    <row r="53" spans="1:7" ht="14.1" customHeight="1" thickBot="1">
      <c r="A53" s="105" t="s">
        <v>72</v>
      </c>
      <c r="G53" s="111"/>
    </row>
    <row r="54" spans="1:7" ht="14.1" customHeight="1" thickBot="1">
      <c r="D54" s="134" t="s">
        <v>29</v>
      </c>
      <c r="G54" s="174">
        <v>0</v>
      </c>
    </row>
    <row r="55" spans="1:7" ht="14.1" customHeight="1">
      <c r="A55" s="134"/>
      <c r="D55" s="134"/>
      <c r="G55" s="175"/>
    </row>
  </sheetData>
  <mergeCells count="16">
    <mergeCell ref="A21:B21"/>
    <mergeCell ref="G21:G26"/>
    <mergeCell ref="G29:G34"/>
    <mergeCell ref="G37:G42"/>
    <mergeCell ref="A48:D48"/>
    <mergeCell ref="G48:G51"/>
    <mergeCell ref="A49:D49"/>
    <mergeCell ref="A50:D50"/>
    <mergeCell ref="A51:D51"/>
    <mergeCell ref="A13:C13"/>
    <mergeCell ref="G13:G18"/>
    <mergeCell ref="A2:C2"/>
    <mergeCell ref="A3:C3"/>
    <mergeCell ref="D3:G3"/>
    <mergeCell ref="A4:C4"/>
    <mergeCell ref="A7:E8"/>
  </mergeCells>
  <printOptions horizontalCentered="1" verticalCentered="1"/>
  <pageMargins left="0.59055118110236227" right="0.59055118110236227" top="0.78740157480314965" bottom="0.78740157480314965" header="0.59055118110236227" footer="0.59055118110236227"/>
  <pageSetup scale="84" orientation="portrait" r:id="rId1"/>
  <headerFooter alignWithMargins="0">
    <oddFooter>&amp;C&amp;"Arial,Negrita"&amp;8ACTIVIDADES PRELIMINARES&amp;R&amp;"Century Gothic,Negrita"&amp;8ÍTEM 200P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91"/>
  <sheetViews>
    <sheetView view="pageBreakPreview" topLeftCell="A68" zoomScale="70" zoomScaleNormal="40" zoomScaleSheetLayoutView="70" workbookViewId="0">
      <selection activeCell="F50" sqref="F50"/>
    </sheetView>
  </sheetViews>
  <sheetFormatPr baseColWidth="10" defaultColWidth="8" defaultRowHeight="13.2"/>
  <cols>
    <col min="1" max="1" width="8" style="1100"/>
    <col min="2" max="2" width="53.44140625" style="1100" customWidth="1"/>
    <col min="3" max="3" width="59.5546875" style="1100" bestFit="1" customWidth="1"/>
    <col min="4" max="4" width="18" style="1100" customWidth="1"/>
    <col min="5" max="5" width="16.109375" style="1100" customWidth="1"/>
    <col min="6" max="6" width="19.109375" style="1100" bestFit="1" customWidth="1"/>
    <col min="7" max="7" width="13.44140625" style="1100" customWidth="1"/>
    <col min="8" max="8" width="18.5546875" style="1100" customWidth="1"/>
    <col min="9" max="9" width="25.109375" style="1100" bestFit="1" customWidth="1"/>
    <col min="10" max="10" width="52.5546875" style="1100" customWidth="1"/>
    <col min="11" max="11" width="94.44140625" style="1100" customWidth="1"/>
    <col min="12" max="16384" width="8" style="1100"/>
  </cols>
  <sheetData>
    <row r="1" spans="1:11" ht="13.8">
      <c r="B1" s="1101" t="s">
        <v>584</v>
      </c>
      <c r="C1" s="1102">
        <f>+CANTIDADES!F10</f>
        <v>853</v>
      </c>
      <c r="D1" s="1103"/>
      <c r="E1" s="1103"/>
      <c r="F1" s="1103"/>
      <c r="G1" s="1103"/>
      <c r="H1" s="1103"/>
      <c r="I1" s="1103"/>
      <c r="J1" s="1103"/>
      <c r="K1" s="1103"/>
    </row>
    <row r="2" spans="1:11" ht="13.8">
      <c r="B2" s="1101" t="s">
        <v>585</v>
      </c>
      <c r="C2" s="1104">
        <v>250</v>
      </c>
      <c r="D2" s="1103" t="s">
        <v>685</v>
      </c>
      <c r="E2" s="1103" t="s">
        <v>686</v>
      </c>
      <c r="F2" s="1103"/>
      <c r="G2" s="1103"/>
      <c r="H2" s="1103"/>
      <c r="I2" s="1103"/>
      <c r="J2" s="1103"/>
      <c r="K2" s="1103"/>
    </row>
    <row r="3" spans="1:11" ht="13.8">
      <c r="B3" s="1101" t="s">
        <v>586</v>
      </c>
      <c r="C3" s="1104">
        <f>+C1/C2</f>
        <v>3.4119999999999999</v>
      </c>
      <c r="D3" s="1103"/>
      <c r="E3" s="1103"/>
      <c r="F3" s="1103"/>
      <c r="G3" s="1103"/>
      <c r="H3" s="1103"/>
      <c r="I3" s="1103"/>
      <c r="J3" s="1103"/>
      <c r="K3" s="1103"/>
    </row>
    <row r="4" spans="1:11" ht="13.8">
      <c r="B4" s="1101" t="s">
        <v>587</v>
      </c>
      <c r="C4" s="1104">
        <v>0.5</v>
      </c>
      <c r="D4" s="1103"/>
      <c r="E4" s="1103"/>
      <c r="F4" s="1103"/>
      <c r="G4" s="1103"/>
      <c r="H4" s="1103"/>
      <c r="I4" s="1103"/>
      <c r="J4" s="1103"/>
      <c r="K4" s="1103"/>
    </row>
    <row r="5" spans="1:11" ht="14.4" thickBot="1">
      <c r="B5" s="1103"/>
      <c r="C5" s="1103"/>
      <c r="D5" s="1103"/>
      <c r="E5" s="1103"/>
      <c r="F5" s="1103"/>
      <c r="G5" s="1103"/>
      <c r="H5" s="1103"/>
      <c r="I5" s="1103"/>
      <c r="J5" s="1103"/>
      <c r="K5" s="1103"/>
    </row>
    <row r="6" spans="1:11" ht="27.75" customHeight="1" thickBot="1">
      <c r="B6" s="1830" t="s">
        <v>588</v>
      </c>
      <c r="C6" s="1831"/>
      <c r="D6" s="1831"/>
      <c r="E6" s="1831"/>
      <c r="F6" s="1831"/>
      <c r="G6" s="1831"/>
      <c r="H6" s="1831"/>
      <c r="I6" s="1831"/>
      <c r="J6" s="1831"/>
      <c r="K6" s="1832"/>
    </row>
    <row r="7" spans="1:11" ht="28.5" customHeight="1">
      <c r="B7" s="1833" t="s">
        <v>589</v>
      </c>
      <c r="C7" s="1833"/>
      <c r="D7" s="1833"/>
      <c r="E7" s="1833"/>
      <c r="F7" s="1833"/>
      <c r="G7" s="1833"/>
      <c r="H7" s="1833"/>
      <c r="I7" s="1833"/>
      <c r="J7" s="1833"/>
      <c r="K7" s="1833"/>
    </row>
    <row r="8" spans="1:11" ht="51.75" customHeight="1">
      <c r="A8" s="1105" t="s">
        <v>270</v>
      </c>
      <c r="B8" s="1106" t="s">
        <v>590</v>
      </c>
      <c r="C8" s="1106" t="s">
        <v>591</v>
      </c>
      <c r="D8" s="1106" t="s">
        <v>592</v>
      </c>
      <c r="E8" s="1107" t="s">
        <v>593</v>
      </c>
      <c r="F8" s="1107" t="s">
        <v>594</v>
      </c>
      <c r="G8" s="1107" t="s">
        <v>595</v>
      </c>
      <c r="H8" s="1107" t="s">
        <v>596</v>
      </c>
      <c r="I8" s="1106" t="s">
        <v>597</v>
      </c>
      <c r="J8" s="1106" t="s">
        <v>598</v>
      </c>
      <c r="K8" s="1106" t="s">
        <v>599</v>
      </c>
    </row>
    <row r="9" spans="1:11" ht="51.75" customHeight="1">
      <c r="A9" s="1108" t="str">
        <f>+PRESUPUESTO!B11</f>
        <v>1,1</v>
      </c>
      <c r="B9" s="1110" t="str">
        <f>+PRESUPUESTO!D11</f>
        <v>Desmonte y limpieza en zonas no boscosas</v>
      </c>
      <c r="C9" s="1829" t="s">
        <v>600</v>
      </c>
      <c r="D9" s="1829"/>
      <c r="E9" s="1829"/>
      <c r="F9" s="1829"/>
      <c r="G9" s="1110">
        <v>0</v>
      </c>
      <c r="H9" s="1111">
        <v>0</v>
      </c>
      <c r="I9" s="1111">
        <f t="shared" ref="I9:I11" si="0">+G9*H9</f>
        <v>0</v>
      </c>
      <c r="J9" s="1113" t="s">
        <v>704</v>
      </c>
      <c r="K9" s="1113" t="s">
        <v>600</v>
      </c>
    </row>
    <row r="10" spans="1:11" ht="28.5" customHeight="1">
      <c r="A10" s="1108" t="str">
        <f>+PRESUPUESTO!B12</f>
        <v>1,2</v>
      </c>
      <c r="B10" s="1112" t="str">
        <f>+PRESUPUESTO!D12</f>
        <v>Excavaciones en material común de la explanación y canales</v>
      </c>
      <c r="C10" s="1829" t="s">
        <v>600</v>
      </c>
      <c r="D10" s="1829"/>
      <c r="E10" s="1829"/>
      <c r="F10" s="1829"/>
      <c r="G10" s="1110">
        <v>0</v>
      </c>
      <c r="H10" s="1111">
        <v>0</v>
      </c>
      <c r="I10" s="1111">
        <f t="shared" si="0"/>
        <v>0</v>
      </c>
      <c r="J10" s="1113" t="s">
        <v>763</v>
      </c>
      <c r="K10" s="1113" t="s">
        <v>600</v>
      </c>
    </row>
    <row r="11" spans="1:11" ht="41.4">
      <c r="A11" s="1108" t="str">
        <f>+PRESUPUESTO!B13</f>
        <v>1,3</v>
      </c>
      <c r="B11" s="1112" t="str">
        <f>+PRESUPUESTO!D13</f>
        <v>Transporte de materiales provenientes de la excavación de la explanación, canales y préstamos para distancias mayores de mil metros (1000 m)</v>
      </c>
      <c r="C11" s="1829" t="s">
        <v>600</v>
      </c>
      <c r="D11" s="1829"/>
      <c r="E11" s="1829"/>
      <c r="F11" s="1829"/>
      <c r="G11" s="1110">
        <f>0</f>
        <v>0</v>
      </c>
      <c r="H11" s="1111">
        <v>0</v>
      </c>
      <c r="I11" s="1111">
        <f t="shared" si="0"/>
        <v>0</v>
      </c>
      <c r="J11" s="1110" t="s">
        <v>666</v>
      </c>
      <c r="K11" s="1110" t="s">
        <v>600</v>
      </c>
    </row>
    <row r="12" spans="1:11" ht="28.5" customHeight="1">
      <c r="A12" s="1825" t="str">
        <f>+PRESUPUESTO!B17</f>
        <v>2,1</v>
      </c>
      <c r="B12" s="1826" t="s">
        <v>764</v>
      </c>
      <c r="C12" s="1114" t="s">
        <v>601</v>
      </c>
      <c r="D12" s="1110" t="s">
        <v>602</v>
      </c>
      <c r="E12" s="1110">
        <f>30*$C$4</f>
        <v>15</v>
      </c>
      <c r="F12" s="1110">
        <v>1</v>
      </c>
      <c r="G12" s="1110">
        <f>+E12*F12</f>
        <v>15</v>
      </c>
      <c r="H12" s="1115">
        <f>42500*1.19</f>
        <v>50575</v>
      </c>
      <c r="I12" s="1115">
        <f>+G12*H12</f>
        <v>758625</v>
      </c>
      <c r="J12" s="1834" t="s">
        <v>765</v>
      </c>
      <c r="K12" s="1113" t="s">
        <v>613</v>
      </c>
    </row>
    <row r="13" spans="1:11" ht="28.5" customHeight="1">
      <c r="A13" s="1825"/>
      <c r="B13" s="1828"/>
      <c r="C13" s="1114" t="s">
        <v>607</v>
      </c>
      <c r="D13" s="1110" t="s">
        <v>608</v>
      </c>
      <c r="E13" s="1110">
        <f>4*$C$4</f>
        <v>2</v>
      </c>
      <c r="F13" s="1110">
        <v>1</v>
      </c>
      <c r="G13" s="1110">
        <f t="shared" ref="G13:G50" si="1">+E13*F13</f>
        <v>2</v>
      </c>
      <c r="H13" s="1115">
        <f>50000*1.19</f>
        <v>59500</v>
      </c>
      <c r="I13" s="1115">
        <f>+G13*H13</f>
        <v>119000</v>
      </c>
      <c r="J13" s="1835"/>
      <c r="K13" s="1113" t="s">
        <v>616</v>
      </c>
    </row>
    <row r="14" spans="1:11" ht="28.5" customHeight="1">
      <c r="A14" s="1825"/>
      <c r="B14" s="1828"/>
      <c r="C14" s="1114" t="s">
        <v>717</v>
      </c>
      <c r="D14" s="1110" t="s">
        <v>606</v>
      </c>
      <c r="E14" s="1110">
        <f>30*$C$4</f>
        <v>15</v>
      </c>
      <c r="F14" s="1110">
        <v>1</v>
      </c>
      <c r="G14" s="1110">
        <f t="shared" si="1"/>
        <v>15</v>
      </c>
      <c r="H14" s="1115">
        <f>54700*1.19</f>
        <v>65093</v>
      </c>
      <c r="I14" s="1115">
        <f t="shared" ref="I14:I31" si="2">+G14*H14</f>
        <v>976395</v>
      </c>
      <c r="J14" s="1835"/>
      <c r="K14" s="1113" t="s">
        <v>613</v>
      </c>
    </row>
    <row r="15" spans="1:11" ht="28.5" customHeight="1">
      <c r="A15" s="1825"/>
      <c r="B15" s="1828"/>
      <c r="C15" s="1114" t="s">
        <v>603</v>
      </c>
      <c r="D15" s="1110" t="s">
        <v>604</v>
      </c>
      <c r="E15" s="1110">
        <f>30*$C$4</f>
        <v>15</v>
      </c>
      <c r="F15" s="1110">
        <v>1</v>
      </c>
      <c r="G15" s="1110">
        <f t="shared" si="1"/>
        <v>15</v>
      </c>
      <c r="H15" s="1115">
        <f>50000*1.19</f>
        <v>59500</v>
      </c>
      <c r="I15" s="1115">
        <f t="shared" si="2"/>
        <v>892500</v>
      </c>
      <c r="J15" s="1835"/>
      <c r="K15" s="1113" t="s">
        <v>613</v>
      </c>
    </row>
    <row r="16" spans="1:11" ht="27.6">
      <c r="A16" s="1825"/>
      <c r="B16" s="1828"/>
      <c r="C16" s="1118" t="s">
        <v>632</v>
      </c>
      <c r="D16" s="1110" t="s">
        <v>633</v>
      </c>
      <c r="E16" s="1110">
        <f>1*$C$4</f>
        <v>0.5</v>
      </c>
      <c r="F16" s="1110">
        <v>1</v>
      </c>
      <c r="G16" s="1110">
        <f>+E16*F16</f>
        <v>0.5</v>
      </c>
      <c r="H16" s="1115">
        <f>280000*1.19</f>
        <v>333200</v>
      </c>
      <c r="I16" s="1115">
        <f>+G16*H16</f>
        <v>166600</v>
      </c>
      <c r="J16" s="1835"/>
      <c r="K16" s="1113" t="s">
        <v>768</v>
      </c>
    </row>
    <row r="17" spans="1:11" ht="28.5" customHeight="1">
      <c r="A17" s="1825"/>
      <c r="B17" s="1828"/>
      <c r="C17" s="1114" t="s">
        <v>766</v>
      </c>
      <c r="D17" s="1110" t="s">
        <v>767</v>
      </c>
      <c r="E17" s="1110">
        <f>1*$C$4</f>
        <v>0.5</v>
      </c>
      <c r="F17" s="1110">
        <v>1</v>
      </c>
      <c r="G17" s="1110">
        <f t="shared" si="1"/>
        <v>0.5</v>
      </c>
      <c r="H17" s="1115">
        <f>38124.22*1.19</f>
        <v>45367.821799999998</v>
      </c>
      <c r="I17" s="1115">
        <f t="shared" si="2"/>
        <v>22683.910899999999</v>
      </c>
      <c r="J17" s="1835"/>
      <c r="K17" s="1113" t="s">
        <v>768</v>
      </c>
    </row>
    <row r="18" spans="1:11" ht="27" customHeight="1">
      <c r="A18" s="1825"/>
      <c r="B18" s="1828"/>
      <c r="C18" s="1114" t="s">
        <v>617</v>
      </c>
      <c r="D18" s="1110" t="s">
        <v>618</v>
      </c>
      <c r="E18" s="1116">
        <f>4*$C$4</f>
        <v>2</v>
      </c>
      <c r="F18" s="1110">
        <v>1</v>
      </c>
      <c r="G18" s="1116">
        <f>+E18*F18</f>
        <v>2</v>
      </c>
      <c r="H18" s="1115">
        <f>115000*1.19</f>
        <v>136850</v>
      </c>
      <c r="I18" s="1115">
        <f t="shared" si="2"/>
        <v>273700</v>
      </c>
      <c r="J18" s="1835"/>
      <c r="K18" s="1113" t="s">
        <v>616</v>
      </c>
    </row>
    <row r="19" spans="1:11" ht="13.8">
      <c r="A19" s="1825"/>
      <c r="B19" s="1827"/>
      <c r="C19" s="1117" t="s">
        <v>769</v>
      </c>
      <c r="D19" s="1110" t="s">
        <v>612</v>
      </c>
      <c r="E19" s="1116">
        <f>4*$C$4</f>
        <v>2</v>
      </c>
      <c r="F19" s="1110">
        <v>1</v>
      </c>
      <c r="G19" s="1116">
        <f t="shared" si="1"/>
        <v>2</v>
      </c>
      <c r="H19" s="1115">
        <f>60000*1.19</f>
        <v>71400</v>
      </c>
      <c r="I19" s="1115">
        <f t="shared" si="2"/>
        <v>142800</v>
      </c>
      <c r="J19" s="1835"/>
      <c r="K19" s="1113" t="s">
        <v>616</v>
      </c>
    </row>
    <row r="20" spans="1:11" ht="27.6">
      <c r="A20" s="1825" t="str">
        <f>+PRESUPUESTO!B18</f>
        <v>2,2</v>
      </c>
      <c r="B20" s="1826" t="s">
        <v>619</v>
      </c>
      <c r="C20" s="1118" t="s">
        <v>620</v>
      </c>
      <c r="D20" s="1110" t="s">
        <v>621</v>
      </c>
      <c r="E20" s="1110">
        <v>4</v>
      </c>
      <c r="F20" s="1110">
        <v>3</v>
      </c>
      <c r="G20" s="1110">
        <f t="shared" si="1"/>
        <v>12</v>
      </c>
      <c r="H20" s="1115">
        <f>198400*1.19</f>
        <v>236096</v>
      </c>
      <c r="I20" s="1115">
        <f t="shared" si="2"/>
        <v>2833152</v>
      </c>
      <c r="J20" s="1834" t="s">
        <v>622</v>
      </c>
      <c r="K20" s="1834" t="s">
        <v>623</v>
      </c>
    </row>
    <row r="21" spans="1:11" ht="27.6">
      <c r="A21" s="1825"/>
      <c r="B21" s="1828"/>
      <c r="C21" s="1118" t="s">
        <v>624</v>
      </c>
      <c r="D21" s="1110" t="s">
        <v>625</v>
      </c>
      <c r="E21" s="1110">
        <v>4</v>
      </c>
      <c r="F21" s="1110">
        <v>3</v>
      </c>
      <c r="G21" s="1110">
        <f t="shared" si="1"/>
        <v>12</v>
      </c>
      <c r="H21" s="1115">
        <f>373000*1.19</f>
        <v>443870</v>
      </c>
      <c r="I21" s="1115">
        <f t="shared" si="2"/>
        <v>5326440</v>
      </c>
      <c r="J21" s="1835"/>
      <c r="K21" s="1835"/>
    </row>
    <row r="22" spans="1:11" ht="27.6">
      <c r="A22" s="1825"/>
      <c r="B22" s="1828"/>
      <c r="C22" s="1118" t="s">
        <v>626</v>
      </c>
      <c r="D22" s="1110" t="s">
        <v>627</v>
      </c>
      <c r="E22" s="1110">
        <v>4</v>
      </c>
      <c r="F22" s="1110">
        <v>3</v>
      </c>
      <c r="G22" s="1110">
        <f t="shared" si="1"/>
        <v>12</v>
      </c>
      <c r="H22" s="1115">
        <f>355800*1.19</f>
        <v>423402</v>
      </c>
      <c r="I22" s="1115">
        <f t="shared" si="2"/>
        <v>5080824</v>
      </c>
      <c r="J22" s="1835"/>
      <c r="K22" s="1835"/>
    </row>
    <row r="23" spans="1:11" ht="26.25" customHeight="1">
      <c r="A23" s="1825"/>
      <c r="B23" s="1828"/>
      <c r="C23" s="1114" t="s">
        <v>603</v>
      </c>
      <c r="D23" s="1110" t="s">
        <v>604</v>
      </c>
      <c r="E23" s="1110">
        <v>4</v>
      </c>
      <c r="F23" s="1110">
        <v>3</v>
      </c>
      <c r="G23" s="1110">
        <f t="shared" si="1"/>
        <v>12</v>
      </c>
      <c r="H23" s="1115">
        <f>50000*1.19</f>
        <v>59500</v>
      </c>
      <c r="I23" s="1115">
        <f t="shared" si="2"/>
        <v>714000</v>
      </c>
      <c r="J23" s="1835"/>
      <c r="K23" s="1835"/>
    </row>
    <row r="24" spans="1:11" ht="26.25" customHeight="1">
      <c r="A24" s="1825"/>
      <c r="B24" s="1828"/>
      <c r="C24" s="1114" t="s">
        <v>605</v>
      </c>
      <c r="D24" s="1110" t="s">
        <v>606</v>
      </c>
      <c r="E24" s="1110">
        <v>4</v>
      </c>
      <c r="F24" s="1110">
        <v>3</v>
      </c>
      <c r="G24" s="1110">
        <f t="shared" si="1"/>
        <v>12</v>
      </c>
      <c r="H24" s="1115">
        <f>54700*1.19</f>
        <v>65093</v>
      </c>
      <c r="I24" s="1115">
        <f t="shared" si="2"/>
        <v>781116</v>
      </c>
      <c r="J24" s="1835"/>
      <c r="K24" s="1835"/>
    </row>
    <row r="25" spans="1:11" ht="28.5" customHeight="1">
      <c r="A25" s="1825"/>
      <c r="B25" s="1828"/>
      <c r="C25" s="1119" t="s">
        <v>628</v>
      </c>
      <c r="D25" s="1110" t="s">
        <v>629</v>
      </c>
      <c r="E25" s="1110">
        <v>4</v>
      </c>
      <c r="F25" s="1110">
        <v>3</v>
      </c>
      <c r="G25" s="1110">
        <f t="shared" si="1"/>
        <v>12</v>
      </c>
      <c r="H25" s="1115">
        <f>97000*1.19</f>
        <v>115430</v>
      </c>
      <c r="I25" s="1115">
        <f t="shared" si="2"/>
        <v>1385160</v>
      </c>
      <c r="J25" s="1835"/>
      <c r="K25" s="1835"/>
    </row>
    <row r="26" spans="1:11" ht="27.6">
      <c r="A26" s="1825"/>
      <c r="B26" s="1828"/>
      <c r="C26" s="1118" t="s">
        <v>630</v>
      </c>
      <c r="D26" s="1110" t="s">
        <v>631</v>
      </c>
      <c r="E26" s="1110">
        <v>4</v>
      </c>
      <c r="F26" s="1110">
        <v>3</v>
      </c>
      <c r="G26" s="1110">
        <f t="shared" si="1"/>
        <v>12</v>
      </c>
      <c r="H26" s="1115">
        <f>59200*1.19</f>
        <v>70448</v>
      </c>
      <c r="I26" s="1115">
        <f t="shared" si="2"/>
        <v>845376</v>
      </c>
      <c r="J26" s="1835"/>
      <c r="K26" s="1835"/>
    </row>
    <row r="27" spans="1:11" ht="27.6">
      <c r="A27" s="1825"/>
      <c r="B27" s="1828"/>
      <c r="C27" s="1118" t="s">
        <v>632</v>
      </c>
      <c r="D27" s="1110" t="s">
        <v>633</v>
      </c>
      <c r="E27" s="1110">
        <v>4</v>
      </c>
      <c r="F27" s="1110">
        <v>3</v>
      </c>
      <c r="G27" s="1110">
        <f t="shared" si="1"/>
        <v>12</v>
      </c>
      <c r="H27" s="1115">
        <f>310000*1.19</f>
        <v>368900</v>
      </c>
      <c r="I27" s="1115">
        <f t="shared" si="2"/>
        <v>4426800</v>
      </c>
      <c r="J27" s="1835"/>
      <c r="K27" s="1836"/>
    </row>
    <row r="28" spans="1:11" ht="13.8">
      <c r="A28" s="1825"/>
      <c r="B28" s="1828"/>
      <c r="C28" s="1114" t="s">
        <v>601</v>
      </c>
      <c r="D28" s="1110" t="s">
        <v>602</v>
      </c>
      <c r="E28" s="1110">
        <f>30*$C$4</f>
        <v>15</v>
      </c>
      <c r="F28" s="1110">
        <v>1</v>
      </c>
      <c r="G28" s="1110">
        <f t="shared" si="1"/>
        <v>15</v>
      </c>
      <c r="H28" s="1115">
        <f>42500*1.19</f>
        <v>50575</v>
      </c>
      <c r="I28" s="1115">
        <f t="shared" si="2"/>
        <v>758625</v>
      </c>
      <c r="J28" s="1835"/>
      <c r="K28" s="1113" t="s">
        <v>613</v>
      </c>
    </row>
    <row r="29" spans="1:11" ht="13.8">
      <c r="A29" s="1825"/>
      <c r="B29" s="1828"/>
      <c r="C29" s="1114" t="s">
        <v>603</v>
      </c>
      <c r="D29" s="1110" t="s">
        <v>604</v>
      </c>
      <c r="E29" s="1110">
        <f t="shared" ref="E29:E30" si="3">30*$C$4</f>
        <v>15</v>
      </c>
      <c r="F29" s="1110">
        <v>1</v>
      </c>
      <c r="G29" s="1110">
        <f t="shared" si="1"/>
        <v>15</v>
      </c>
      <c r="H29" s="1115">
        <f>50000*1.19</f>
        <v>59500</v>
      </c>
      <c r="I29" s="1115">
        <f t="shared" si="2"/>
        <v>892500</v>
      </c>
      <c r="J29" s="1835"/>
      <c r="K29" s="1113" t="s">
        <v>613</v>
      </c>
    </row>
    <row r="30" spans="1:11" ht="28.5" customHeight="1">
      <c r="A30" s="1825"/>
      <c r="B30" s="1828"/>
      <c r="C30" s="1114" t="s">
        <v>605</v>
      </c>
      <c r="D30" s="1110" t="s">
        <v>606</v>
      </c>
      <c r="E30" s="1110">
        <f t="shared" si="3"/>
        <v>15</v>
      </c>
      <c r="F30" s="1110">
        <v>1</v>
      </c>
      <c r="G30" s="1110">
        <f t="shared" si="1"/>
        <v>15</v>
      </c>
      <c r="H30" s="1115">
        <f>54700*1.19</f>
        <v>65093</v>
      </c>
      <c r="I30" s="1115">
        <f t="shared" si="2"/>
        <v>976395</v>
      </c>
      <c r="J30" s="1835"/>
      <c r="K30" s="1113" t="s">
        <v>613</v>
      </c>
    </row>
    <row r="31" spans="1:11" ht="28.5" customHeight="1">
      <c r="A31" s="1825"/>
      <c r="B31" s="1828"/>
      <c r="C31" s="1114" t="s">
        <v>614</v>
      </c>
      <c r="D31" s="1110" t="s">
        <v>615</v>
      </c>
      <c r="E31" s="1110">
        <f>4*$C$4</f>
        <v>2</v>
      </c>
      <c r="F31" s="1110">
        <v>1</v>
      </c>
      <c r="G31" s="1110">
        <f t="shared" si="1"/>
        <v>2</v>
      </c>
      <c r="H31" s="1115">
        <f>97000*1.19</f>
        <v>115430</v>
      </c>
      <c r="I31" s="1115">
        <f t="shared" si="2"/>
        <v>230860</v>
      </c>
      <c r="J31" s="1835"/>
      <c r="K31" s="1113" t="s">
        <v>616</v>
      </c>
    </row>
    <row r="32" spans="1:11" ht="27.6">
      <c r="A32" s="1825"/>
      <c r="B32" s="1827"/>
      <c r="C32" s="1114" t="s">
        <v>617</v>
      </c>
      <c r="D32" s="1110" t="s">
        <v>618</v>
      </c>
      <c r="E32" s="1110">
        <f>4*$C$4</f>
        <v>2</v>
      </c>
      <c r="F32" s="1110">
        <v>1</v>
      </c>
      <c r="G32" s="1110">
        <f t="shared" si="1"/>
        <v>2</v>
      </c>
      <c r="H32" s="1115">
        <f>115000*1.19</f>
        <v>136850</v>
      </c>
      <c r="I32" s="1115">
        <f>+G32*H32</f>
        <v>273700</v>
      </c>
      <c r="J32" s="1836"/>
      <c r="K32" s="1113" t="s">
        <v>616</v>
      </c>
    </row>
    <row r="33" spans="1:11" ht="27.6">
      <c r="A33" s="1825" t="str">
        <f>+PRESUPUESTO!B19</f>
        <v>2,3</v>
      </c>
      <c r="B33" s="1826" t="s">
        <v>634</v>
      </c>
      <c r="C33" s="1118" t="s">
        <v>626</v>
      </c>
      <c r="D33" s="1110" t="s">
        <v>627</v>
      </c>
      <c r="E33" s="1110">
        <v>4</v>
      </c>
      <c r="F33" s="1110">
        <v>3</v>
      </c>
      <c r="G33" s="1110">
        <f t="shared" si="1"/>
        <v>12</v>
      </c>
      <c r="H33" s="1115">
        <f>370000*1.19</f>
        <v>440300</v>
      </c>
      <c r="I33" s="1115">
        <f t="shared" ref="I33:I53" si="4">+G33*H33</f>
        <v>5283600</v>
      </c>
      <c r="J33" s="1837" t="s">
        <v>635</v>
      </c>
      <c r="K33" s="1834" t="s">
        <v>636</v>
      </c>
    </row>
    <row r="34" spans="1:11" ht="28.5" customHeight="1">
      <c r="A34" s="1825"/>
      <c r="B34" s="1828"/>
      <c r="C34" s="1114" t="s">
        <v>603</v>
      </c>
      <c r="D34" s="1110" t="s">
        <v>604</v>
      </c>
      <c r="E34" s="1110">
        <v>4</v>
      </c>
      <c r="F34" s="1110">
        <v>3</v>
      </c>
      <c r="G34" s="1110">
        <f t="shared" si="1"/>
        <v>12</v>
      </c>
      <c r="H34" s="1115">
        <f>50000*1.19</f>
        <v>59500</v>
      </c>
      <c r="I34" s="1115">
        <f t="shared" si="4"/>
        <v>714000</v>
      </c>
      <c r="J34" s="1838"/>
      <c r="K34" s="1835"/>
    </row>
    <row r="35" spans="1:11" ht="28.5" customHeight="1">
      <c r="A35" s="1825"/>
      <c r="B35" s="1828"/>
      <c r="C35" s="1114" t="s">
        <v>605</v>
      </c>
      <c r="D35" s="1110" t="s">
        <v>606</v>
      </c>
      <c r="E35" s="1110">
        <v>4</v>
      </c>
      <c r="F35" s="1110">
        <v>3</v>
      </c>
      <c r="G35" s="1110">
        <f t="shared" si="1"/>
        <v>12</v>
      </c>
      <c r="H35" s="1115">
        <f>54700*1.19</f>
        <v>65093</v>
      </c>
      <c r="I35" s="1115">
        <f t="shared" si="4"/>
        <v>781116</v>
      </c>
      <c r="J35" s="1838"/>
      <c r="K35" s="1835"/>
    </row>
    <row r="36" spans="1:11" ht="28.5" customHeight="1">
      <c r="A36" s="1825"/>
      <c r="B36" s="1828"/>
      <c r="C36" s="1119" t="s">
        <v>628</v>
      </c>
      <c r="D36" s="1110" t="s">
        <v>629</v>
      </c>
      <c r="E36" s="1110">
        <v>4</v>
      </c>
      <c r="F36" s="1110">
        <v>3</v>
      </c>
      <c r="G36" s="1110">
        <f t="shared" si="1"/>
        <v>12</v>
      </c>
      <c r="H36" s="1115">
        <f>97000*1.19</f>
        <v>115430</v>
      </c>
      <c r="I36" s="1115">
        <f t="shared" si="4"/>
        <v>1385160</v>
      </c>
      <c r="J36" s="1838"/>
      <c r="K36" s="1835"/>
    </row>
    <row r="37" spans="1:11" ht="27.6">
      <c r="A37" s="1825"/>
      <c r="B37" s="1828"/>
      <c r="C37" s="1118" t="s">
        <v>630</v>
      </c>
      <c r="D37" s="1110" t="s">
        <v>631</v>
      </c>
      <c r="E37" s="1110">
        <v>4</v>
      </c>
      <c r="F37" s="1110">
        <v>3</v>
      </c>
      <c r="G37" s="1110">
        <f t="shared" si="1"/>
        <v>12</v>
      </c>
      <c r="H37" s="1115">
        <f>135000*1.19</f>
        <v>160650</v>
      </c>
      <c r="I37" s="1115">
        <f t="shared" si="4"/>
        <v>1927800</v>
      </c>
      <c r="J37" s="1838"/>
      <c r="K37" s="1835"/>
    </row>
    <row r="38" spans="1:11" ht="28.5" customHeight="1">
      <c r="A38" s="1825"/>
      <c r="B38" s="1828"/>
      <c r="C38" s="1118" t="s">
        <v>637</v>
      </c>
      <c r="D38" s="1110" t="s">
        <v>638</v>
      </c>
      <c r="E38" s="1110">
        <v>4</v>
      </c>
      <c r="F38" s="1110">
        <v>3</v>
      </c>
      <c r="G38" s="1110">
        <f t="shared" si="1"/>
        <v>12</v>
      </c>
      <c r="H38" s="1115">
        <f>298000*1.19</f>
        <v>354620</v>
      </c>
      <c r="I38" s="1115">
        <f t="shared" si="4"/>
        <v>4255440</v>
      </c>
      <c r="J38" s="1838"/>
      <c r="K38" s="1835"/>
    </row>
    <row r="39" spans="1:11" ht="28.5" customHeight="1">
      <c r="A39" s="1825"/>
      <c r="B39" s="1828"/>
      <c r="C39" s="1118" t="s">
        <v>639</v>
      </c>
      <c r="D39" s="1110" t="s">
        <v>640</v>
      </c>
      <c r="E39" s="1110">
        <v>4</v>
      </c>
      <c r="F39" s="1110">
        <v>3</v>
      </c>
      <c r="G39" s="1110">
        <f t="shared" si="1"/>
        <v>12</v>
      </c>
      <c r="H39" s="1115">
        <f>120000*1.19</f>
        <v>142800</v>
      </c>
      <c r="I39" s="1115">
        <f t="shared" si="4"/>
        <v>1713600</v>
      </c>
      <c r="J39" s="1838"/>
      <c r="K39" s="1835"/>
    </row>
    <row r="40" spans="1:11" ht="28.5" customHeight="1">
      <c r="A40" s="1825"/>
      <c r="B40" s="1828"/>
      <c r="C40" s="1118" t="s">
        <v>641</v>
      </c>
      <c r="D40" s="1110" t="s">
        <v>642</v>
      </c>
      <c r="E40" s="1110">
        <v>4</v>
      </c>
      <c r="F40" s="1110">
        <v>3</v>
      </c>
      <c r="G40" s="1110">
        <f t="shared" si="1"/>
        <v>12</v>
      </c>
      <c r="H40" s="1115">
        <f>298200*1.19</f>
        <v>354858</v>
      </c>
      <c r="I40" s="1115">
        <f t="shared" si="4"/>
        <v>4258296</v>
      </c>
      <c r="J40" s="1838"/>
      <c r="K40" s="1835"/>
    </row>
    <row r="41" spans="1:11" ht="28.5" customHeight="1">
      <c r="A41" s="1825"/>
      <c r="B41" s="1828"/>
      <c r="C41" s="1118" t="s">
        <v>609</v>
      </c>
      <c r="D41" s="1110" t="s">
        <v>643</v>
      </c>
      <c r="E41" s="1110">
        <v>4</v>
      </c>
      <c r="F41" s="1110">
        <v>3</v>
      </c>
      <c r="G41" s="1110">
        <f t="shared" si="1"/>
        <v>12</v>
      </c>
      <c r="H41" s="1115">
        <f>365000*1.19</f>
        <v>434350</v>
      </c>
      <c r="I41" s="1115">
        <f t="shared" si="4"/>
        <v>5212200</v>
      </c>
      <c r="J41" s="1838"/>
      <c r="K41" s="1835"/>
    </row>
    <row r="42" spans="1:11" ht="28.5" customHeight="1">
      <c r="A42" s="1825"/>
      <c r="B42" s="1828"/>
      <c r="C42" s="1118" t="s">
        <v>644</v>
      </c>
      <c r="D42" s="1110" t="s">
        <v>645</v>
      </c>
      <c r="E42" s="1110">
        <v>4</v>
      </c>
      <c r="F42" s="1110">
        <v>3</v>
      </c>
      <c r="G42" s="1110">
        <f t="shared" si="1"/>
        <v>12</v>
      </c>
      <c r="H42" s="1115">
        <f>252500*1.19</f>
        <v>300475</v>
      </c>
      <c r="I42" s="1115">
        <f t="shared" si="4"/>
        <v>3605700</v>
      </c>
      <c r="J42" s="1838"/>
      <c r="K42" s="1835"/>
    </row>
    <row r="43" spans="1:11" ht="27.6">
      <c r="A43" s="1825"/>
      <c r="B43" s="1828"/>
      <c r="C43" s="1118" t="s">
        <v>620</v>
      </c>
      <c r="D43" s="1110" t="s">
        <v>621</v>
      </c>
      <c r="E43" s="1110">
        <v>4</v>
      </c>
      <c r="F43" s="1110">
        <v>3</v>
      </c>
      <c r="G43" s="1110">
        <f t="shared" si="1"/>
        <v>12</v>
      </c>
      <c r="H43" s="1115">
        <f>283500*1.19</f>
        <v>337365</v>
      </c>
      <c r="I43" s="1115">
        <f t="shared" si="4"/>
        <v>4048380</v>
      </c>
      <c r="J43" s="1838"/>
      <c r="K43" s="1835"/>
    </row>
    <row r="44" spans="1:11" ht="27.6">
      <c r="A44" s="1825"/>
      <c r="B44" s="1828"/>
      <c r="C44" s="1118" t="s">
        <v>624</v>
      </c>
      <c r="D44" s="1110" t="s">
        <v>625</v>
      </c>
      <c r="E44" s="1110">
        <v>4</v>
      </c>
      <c r="F44" s="1110">
        <v>3</v>
      </c>
      <c r="G44" s="1110">
        <f t="shared" si="1"/>
        <v>12</v>
      </c>
      <c r="H44" s="1115">
        <f>325500*1.19</f>
        <v>387345</v>
      </c>
      <c r="I44" s="1115">
        <f t="shared" si="4"/>
        <v>4648140</v>
      </c>
      <c r="J44" s="1838"/>
      <c r="K44" s="1835"/>
    </row>
    <row r="45" spans="1:11" ht="13.8">
      <c r="A45" s="1825"/>
      <c r="B45" s="1828"/>
      <c r="C45" s="1118" t="s">
        <v>646</v>
      </c>
      <c r="D45" s="1110" t="s">
        <v>647</v>
      </c>
      <c r="E45" s="1110">
        <v>4</v>
      </c>
      <c r="F45" s="1110">
        <v>3</v>
      </c>
      <c r="G45" s="1110">
        <f t="shared" si="1"/>
        <v>12</v>
      </c>
      <c r="H45" s="1115">
        <f>385700*1.19</f>
        <v>458983</v>
      </c>
      <c r="I45" s="1115">
        <f t="shared" si="4"/>
        <v>5507796</v>
      </c>
      <c r="J45" s="1838"/>
      <c r="K45" s="1835"/>
    </row>
    <row r="46" spans="1:11" ht="28.5" customHeight="1">
      <c r="A46" s="1825"/>
      <c r="B46" s="1828"/>
      <c r="C46" s="1118" t="s">
        <v>648</v>
      </c>
      <c r="D46" s="1110" t="s">
        <v>649</v>
      </c>
      <c r="E46" s="1110">
        <v>4</v>
      </c>
      <c r="F46" s="1110">
        <v>3</v>
      </c>
      <c r="G46" s="1110">
        <f t="shared" si="1"/>
        <v>12</v>
      </c>
      <c r="H46" s="1115">
        <f>205000*1.19</f>
        <v>243950</v>
      </c>
      <c r="I46" s="1115">
        <f t="shared" si="4"/>
        <v>2927400</v>
      </c>
      <c r="J46" s="1838"/>
      <c r="K46" s="1835"/>
    </row>
    <row r="47" spans="1:11" ht="28.5" customHeight="1">
      <c r="A47" s="1825"/>
      <c r="B47" s="1828"/>
      <c r="C47" s="1118" t="s">
        <v>650</v>
      </c>
      <c r="D47" s="1110" t="s">
        <v>651</v>
      </c>
      <c r="E47" s="1110">
        <v>4</v>
      </c>
      <c r="F47" s="1110">
        <v>3</v>
      </c>
      <c r="G47" s="1110">
        <f t="shared" si="1"/>
        <v>12</v>
      </c>
      <c r="H47" s="1115">
        <f>195000*1.19</f>
        <v>232050</v>
      </c>
      <c r="I47" s="1115">
        <f t="shared" si="4"/>
        <v>2784600</v>
      </c>
      <c r="J47" s="1838"/>
      <c r="K47" s="1835"/>
    </row>
    <row r="48" spans="1:11" ht="28.5" customHeight="1">
      <c r="A48" s="1825"/>
      <c r="B48" s="1828"/>
      <c r="C48" s="1118" t="s">
        <v>610</v>
      </c>
      <c r="D48" s="1110" t="s">
        <v>611</v>
      </c>
      <c r="E48" s="1110">
        <v>4</v>
      </c>
      <c r="F48" s="1110">
        <v>3</v>
      </c>
      <c r="G48" s="1110">
        <f t="shared" si="1"/>
        <v>12</v>
      </c>
      <c r="H48" s="1115">
        <f>350900*1.19</f>
        <v>417571</v>
      </c>
      <c r="I48" s="1115">
        <f t="shared" si="4"/>
        <v>5010852</v>
      </c>
      <c r="J48" s="1838"/>
      <c r="K48" s="1836"/>
    </row>
    <row r="49" spans="1:11" ht="27.6">
      <c r="A49" s="1825"/>
      <c r="B49" s="1828"/>
      <c r="C49" s="1118" t="s">
        <v>652</v>
      </c>
      <c r="D49" s="1110" t="s">
        <v>653</v>
      </c>
      <c r="E49" s="1116">
        <f>C1*6*0.2/40</f>
        <v>25.59</v>
      </c>
      <c r="F49" s="1110">
        <v>1</v>
      </c>
      <c r="G49" s="1116">
        <f t="shared" si="1"/>
        <v>25.59</v>
      </c>
      <c r="H49" s="1115">
        <f>52200*1.19</f>
        <v>62118</v>
      </c>
      <c r="I49" s="1115">
        <f t="shared" si="4"/>
        <v>1589599.6199999999</v>
      </c>
      <c r="J49" s="1838"/>
      <c r="K49" s="1113" t="s">
        <v>654</v>
      </c>
    </row>
    <row r="50" spans="1:11" ht="27.6">
      <c r="A50" s="1825"/>
      <c r="B50" s="1827"/>
      <c r="C50" s="1118" t="s">
        <v>655</v>
      </c>
      <c r="D50" s="1110" t="s">
        <v>656</v>
      </c>
      <c r="E50" s="1116">
        <f>+C1*6*0.2/40</f>
        <v>25.59</v>
      </c>
      <c r="F50" s="1110">
        <v>4</v>
      </c>
      <c r="G50" s="1116">
        <f t="shared" si="1"/>
        <v>102.36</v>
      </c>
      <c r="H50" s="1115">
        <f>27400*1.19</f>
        <v>32606</v>
      </c>
      <c r="I50" s="1115">
        <f t="shared" si="4"/>
        <v>3337550.16</v>
      </c>
      <c r="J50" s="1839"/>
      <c r="K50" s="1113" t="s">
        <v>657</v>
      </c>
    </row>
    <row r="51" spans="1:11" ht="13.8">
      <c r="A51" s="1120" t="str">
        <f>+PRESUPUESTO!B23</f>
        <v>3,1</v>
      </c>
      <c r="B51" s="1109" t="s">
        <v>658</v>
      </c>
      <c r="C51" s="1829" t="s">
        <v>600</v>
      </c>
      <c r="D51" s="1829"/>
      <c r="E51" s="1829"/>
      <c r="F51" s="1829"/>
      <c r="G51" s="1110">
        <v>0</v>
      </c>
      <c r="H51" s="1111">
        <v>0</v>
      </c>
      <c r="I51" s="1115">
        <f t="shared" si="4"/>
        <v>0</v>
      </c>
      <c r="J51" s="1110" t="s">
        <v>659</v>
      </c>
      <c r="K51" s="1110" t="s">
        <v>600</v>
      </c>
    </row>
    <row r="52" spans="1:11" ht="13.8">
      <c r="A52" s="1120" t="str">
        <f>+PRESUPUESTO!B24</f>
        <v>3,2</v>
      </c>
      <c r="B52" s="1109" t="s">
        <v>524</v>
      </c>
      <c r="C52" s="1829" t="s">
        <v>600</v>
      </c>
      <c r="D52" s="1829"/>
      <c r="E52" s="1829"/>
      <c r="F52" s="1829"/>
      <c r="G52" s="1110">
        <v>0</v>
      </c>
      <c r="H52" s="1111">
        <v>0</v>
      </c>
      <c r="I52" s="1115">
        <f t="shared" si="4"/>
        <v>0</v>
      </c>
      <c r="J52" s="1110" t="s">
        <v>660</v>
      </c>
      <c r="K52" s="1110" t="s">
        <v>600</v>
      </c>
    </row>
    <row r="53" spans="1:11" ht="13.8">
      <c r="A53" s="1120" t="str">
        <f>+PRESUPUESTO!B25</f>
        <v>3,3</v>
      </c>
      <c r="B53" s="1109" t="s">
        <v>534</v>
      </c>
      <c r="C53" s="1829" t="s">
        <v>600</v>
      </c>
      <c r="D53" s="1829"/>
      <c r="E53" s="1829"/>
      <c r="F53" s="1829"/>
      <c r="G53" s="1110">
        <v>0</v>
      </c>
      <c r="H53" s="1111">
        <v>0</v>
      </c>
      <c r="I53" s="1115">
        <f t="shared" si="4"/>
        <v>0</v>
      </c>
      <c r="J53" s="1110" t="s">
        <v>662</v>
      </c>
      <c r="K53" s="1110" t="s">
        <v>600</v>
      </c>
    </row>
    <row r="54" spans="1:11" ht="13.8">
      <c r="A54" s="1120"/>
      <c r="B54" s="1121"/>
      <c r="C54" s="1108"/>
      <c r="D54" s="1108"/>
      <c r="E54" s="1108"/>
      <c r="F54" s="1108"/>
      <c r="G54" s="1108"/>
      <c r="H54" s="1122"/>
      <c r="I54" s="1122"/>
      <c r="J54" s="1108"/>
      <c r="K54" s="1108"/>
    </row>
    <row r="55" spans="1:11" ht="13.8">
      <c r="A55" s="1120"/>
      <c r="B55" s="1840" t="s">
        <v>663</v>
      </c>
      <c r="C55" s="1840"/>
      <c r="D55" s="1840"/>
      <c r="E55" s="1840"/>
      <c r="F55" s="1840"/>
      <c r="G55" s="1840"/>
      <c r="H55" s="1840"/>
      <c r="I55" s="1123">
        <f>SUM(I9:I54)</f>
        <v>86868481.690899998</v>
      </c>
      <c r="J55" s="1108"/>
      <c r="K55" s="1108"/>
    </row>
    <row r="56" spans="1:11" ht="13.8">
      <c r="A56" s="1120"/>
      <c r="B56" s="1121"/>
      <c r="C56" s="1108"/>
      <c r="D56" s="1108"/>
      <c r="E56" s="1108"/>
      <c r="F56" s="1108"/>
      <c r="G56" s="1108"/>
      <c r="H56" s="1122"/>
      <c r="I56" s="1122"/>
      <c r="J56" s="1108"/>
      <c r="K56" s="1108"/>
    </row>
    <row r="58" spans="1:11" ht="13.8" thickBot="1"/>
    <row r="59" spans="1:11" ht="27.75" customHeight="1" thickBot="1">
      <c r="B59" s="1830" t="s">
        <v>664</v>
      </c>
      <c r="C59" s="1831"/>
      <c r="D59" s="1831"/>
      <c r="E59" s="1831"/>
      <c r="F59" s="1831"/>
      <c r="G59" s="1831"/>
      <c r="H59" s="1831"/>
      <c r="I59" s="1831"/>
      <c r="J59" s="1831"/>
      <c r="K59" s="1832"/>
    </row>
    <row r="60" spans="1:11" ht="13.8">
      <c r="B60" s="1841" t="s">
        <v>589</v>
      </c>
      <c r="C60" s="1841"/>
      <c r="D60" s="1841"/>
      <c r="E60" s="1841"/>
      <c r="F60" s="1841"/>
      <c r="G60" s="1841"/>
      <c r="H60" s="1841"/>
      <c r="I60" s="1841"/>
      <c r="J60" s="1841"/>
      <c r="K60" s="1841"/>
    </row>
    <row r="61" spans="1:11" ht="27.6">
      <c r="A61" s="1124" t="s">
        <v>665</v>
      </c>
      <c r="B61" s="1106" t="s">
        <v>590</v>
      </c>
      <c r="C61" s="1106" t="s">
        <v>591</v>
      </c>
      <c r="D61" s="1106" t="s">
        <v>592</v>
      </c>
      <c r="E61" s="1107" t="s">
        <v>593</v>
      </c>
      <c r="F61" s="1107" t="s">
        <v>594</v>
      </c>
      <c r="G61" s="1106" t="s">
        <v>15</v>
      </c>
      <c r="H61" s="1107" t="s">
        <v>596</v>
      </c>
      <c r="I61" s="1106" t="s">
        <v>597</v>
      </c>
      <c r="J61" s="1106" t="s">
        <v>598</v>
      </c>
      <c r="K61" s="1106" t="s">
        <v>599</v>
      </c>
    </row>
    <row r="62" spans="1:11" ht="13.8">
      <c r="A62" s="1120" t="str">
        <f>+A9</f>
        <v>1,1</v>
      </c>
      <c r="B62" s="1110" t="str">
        <f>+B9</f>
        <v>Desmonte y limpieza en zonas no boscosas</v>
      </c>
      <c r="C62" s="1829" t="s">
        <v>600</v>
      </c>
      <c r="D62" s="1829"/>
      <c r="E62" s="1829"/>
      <c r="F62" s="1829"/>
      <c r="G62" s="1110">
        <v>0</v>
      </c>
      <c r="H62" s="1111">
        <v>0</v>
      </c>
      <c r="I62" s="1111">
        <f t="shared" ref="I62:I63" si="5">+G62*H62</f>
        <v>0</v>
      </c>
      <c r="J62" s="1113" t="s">
        <v>704</v>
      </c>
      <c r="K62" s="1113" t="s">
        <v>600</v>
      </c>
    </row>
    <row r="63" spans="1:11" ht="27.6">
      <c r="A63" s="1120" t="str">
        <f t="shared" ref="A63:A64" si="6">+A10</f>
        <v>1,2</v>
      </c>
      <c r="B63" s="1113" t="str">
        <f t="shared" ref="B63:B64" si="7">+B10</f>
        <v>Excavaciones en material común de la explanación y canales</v>
      </c>
      <c r="C63" s="1829" t="s">
        <v>600</v>
      </c>
      <c r="D63" s="1829"/>
      <c r="E63" s="1829"/>
      <c r="F63" s="1829"/>
      <c r="G63" s="1110">
        <v>0</v>
      </c>
      <c r="H63" s="1111">
        <v>0</v>
      </c>
      <c r="I63" s="1111">
        <f t="shared" si="5"/>
        <v>0</v>
      </c>
      <c r="J63" s="1113" t="s">
        <v>763</v>
      </c>
      <c r="K63" s="1113" t="s">
        <v>600</v>
      </c>
    </row>
    <row r="64" spans="1:11" ht="41.4">
      <c r="A64" s="1120" t="str">
        <f t="shared" si="6"/>
        <v>1,3</v>
      </c>
      <c r="B64" s="1113" t="str">
        <f t="shared" si="7"/>
        <v>Transporte de materiales provenientes de la excavación de la explanación, canales y préstamos para distancias mayores de mil metros (1000 m)</v>
      </c>
      <c r="C64" s="1829" t="s">
        <v>600</v>
      </c>
      <c r="D64" s="1829"/>
      <c r="E64" s="1829"/>
      <c r="F64" s="1829"/>
      <c r="G64" s="1110">
        <f>0</f>
        <v>0</v>
      </c>
      <c r="H64" s="1111">
        <v>0</v>
      </c>
      <c r="I64" s="1111">
        <f t="shared" ref="I64" si="8">+G64*H64</f>
        <v>0</v>
      </c>
      <c r="J64" s="1110" t="s">
        <v>666</v>
      </c>
      <c r="K64" s="1110" t="s">
        <v>600</v>
      </c>
    </row>
    <row r="65" spans="1:11" ht="28.5" customHeight="1">
      <c r="A65" s="1825" t="str">
        <f>+A12</f>
        <v>2,1</v>
      </c>
      <c r="B65" s="1826" t="str">
        <f>+B12</f>
        <v>Terraplenes</v>
      </c>
      <c r="C65" s="1114" t="s">
        <v>601</v>
      </c>
      <c r="D65" s="1110" t="s">
        <v>602</v>
      </c>
      <c r="E65" s="1110">
        <f>30*$C$4</f>
        <v>15</v>
      </c>
      <c r="F65" s="1110">
        <v>1</v>
      </c>
      <c r="G65" s="1110">
        <f>+E65*F65</f>
        <v>15</v>
      </c>
      <c r="H65" s="1115">
        <f>42500*1.19</f>
        <v>50575</v>
      </c>
      <c r="I65" s="1115">
        <f>+G65*H65</f>
        <v>758625</v>
      </c>
      <c r="J65" s="1834" t="s">
        <v>765</v>
      </c>
      <c r="K65" s="1113" t="s">
        <v>613</v>
      </c>
    </row>
    <row r="66" spans="1:11" ht="14.25" customHeight="1">
      <c r="A66" s="1825"/>
      <c r="B66" s="1828"/>
      <c r="C66" s="1114" t="s">
        <v>607</v>
      </c>
      <c r="D66" s="1110" t="s">
        <v>608</v>
      </c>
      <c r="E66" s="1110">
        <f>4*$C$4</f>
        <v>2</v>
      </c>
      <c r="F66" s="1110">
        <v>1</v>
      </c>
      <c r="G66" s="1110">
        <f t="shared" ref="G66:G68" si="9">+E66*F66</f>
        <v>2</v>
      </c>
      <c r="H66" s="1115">
        <f>50000*1.19</f>
        <v>59500</v>
      </c>
      <c r="I66" s="1115">
        <f>+G66*H66</f>
        <v>119000</v>
      </c>
      <c r="J66" s="1835"/>
      <c r="K66" s="1113" t="s">
        <v>616</v>
      </c>
    </row>
    <row r="67" spans="1:11" ht="14.25" customHeight="1">
      <c r="A67" s="1825"/>
      <c r="B67" s="1828"/>
      <c r="C67" s="1114" t="s">
        <v>717</v>
      </c>
      <c r="D67" s="1110" t="s">
        <v>606</v>
      </c>
      <c r="E67" s="1110">
        <f>30*$C$4</f>
        <v>15</v>
      </c>
      <c r="F67" s="1110">
        <v>1</v>
      </c>
      <c r="G67" s="1110">
        <f t="shared" si="9"/>
        <v>15</v>
      </c>
      <c r="H67" s="1115">
        <f>54700*1.19</f>
        <v>65093</v>
      </c>
      <c r="I67" s="1115">
        <f t="shared" ref="I67:I68" si="10">+G67*H67</f>
        <v>976395</v>
      </c>
      <c r="J67" s="1835"/>
      <c r="K67" s="1113" t="s">
        <v>613</v>
      </c>
    </row>
    <row r="68" spans="1:11" ht="26.25" customHeight="1">
      <c r="A68" s="1825"/>
      <c r="B68" s="1828"/>
      <c r="C68" s="1114" t="s">
        <v>603</v>
      </c>
      <c r="D68" s="1110" t="s">
        <v>604</v>
      </c>
      <c r="E68" s="1110">
        <f>30*$C$4</f>
        <v>15</v>
      </c>
      <c r="F68" s="1110">
        <v>1</v>
      </c>
      <c r="G68" s="1110">
        <f t="shared" si="9"/>
        <v>15</v>
      </c>
      <c r="H68" s="1115">
        <f>50000*1.19</f>
        <v>59500</v>
      </c>
      <c r="I68" s="1115">
        <f t="shared" si="10"/>
        <v>892500</v>
      </c>
      <c r="J68" s="1835"/>
      <c r="K68" s="1113" t="s">
        <v>613</v>
      </c>
    </row>
    <row r="69" spans="1:11" ht="33.75" customHeight="1">
      <c r="A69" s="1825"/>
      <c r="B69" s="1828"/>
      <c r="C69" s="1114" t="s">
        <v>766</v>
      </c>
      <c r="D69" s="1110" t="s">
        <v>767</v>
      </c>
      <c r="E69" s="1110">
        <f>1*$C$4</f>
        <v>0.5</v>
      </c>
      <c r="F69" s="1110">
        <v>1</v>
      </c>
      <c r="G69" s="1110">
        <f t="shared" ref="G69" si="11">+E69*F69</f>
        <v>0.5</v>
      </c>
      <c r="H69" s="1115">
        <f>30500*1.19</f>
        <v>36295</v>
      </c>
      <c r="I69" s="1115">
        <f t="shared" ref="I69:I70" si="12">+G69*H69</f>
        <v>18147.5</v>
      </c>
      <c r="J69" s="1835"/>
      <c r="K69" s="1113" t="s">
        <v>768</v>
      </c>
    </row>
    <row r="70" spans="1:11" ht="33.75" customHeight="1">
      <c r="A70" s="1825"/>
      <c r="B70" s="1828"/>
      <c r="C70" s="1114" t="s">
        <v>617</v>
      </c>
      <c r="D70" s="1110" t="s">
        <v>618</v>
      </c>
      <c r="E70" s="1116">
        <f>4*$C$4</f>
        <v>2</v>
      </c>
      <c r="F70" s="1110">
        <v>1</v>
      </c>
      <c r="G70" s="1116">
        <f>+E70*F70</f>
        <v>2</v>
      </c>
      <c r="H70" s="1115">
        <f>115000*1.19</f>
        <v>136850</v>
      </c>
      <c r="I70" s="1115">
        <f t="shared" si="12"/>
        <v>273700</v>
      </c>
      <c r="J70" s="1835"/>
      <c r="K70" s="1113" t="s">
        <v>616</v>
      </c>
    </row>
    <row r="71" spans="1:11" ht="13.8">
      <c r="A71" s="1825" t="str">
        <f>+A20</f>
        <v>2,2</v>
      </c>
      <c r="B71" s="1826" t="s">
        <v>619</v>
      </c>
      <c r="C71" s="1114" t="s">
        <v>601</v>
      </c>
      <c r="D71" s="1110" t="s">
        <v>602</v>
      </c>
      <c r="E71" s="1110">
        <f>30*$C$4</f>
        <v>15</v>
      </c>
      <c r="F71" s="1110">
        <v>1</v>
      </c>
      <c r="G71" s="1110">
        <f t="shared" ref="G71:G77" si="13">+E71*F71</f>
        <v>15</v>
      </c>
      <c r="H71" s="1115">
        <f>42500*1.19</f>
        <v>50575</v>
      </c>
      <c r="I71" s="1115">
        <f t="shared" ref="I71:I74" si="14">+G71*H71</f>
        <v>758625</v>
      </c>
      <c r="J71" s="1834" t="s">
        <v>622</v>
      </c>
      <c r="K71" s="1113" t="s">
        <v>613</v>
      </c>
    </row>
    <row r="72" spans="1:11" ht="15" customHeight="1">
      <c r="A72" s="1825"/>
      <c r="B72" s="1828"/>
      <c r="C72" s="1114" t="s">
        <v>603</v>
      </c>
      <c r="D72" s="1110" t="s">
        <v>604</v>
      </c>
      <c r="E72" s="1110">
        <f t="shared" ref="E72:E73" si="15">30*$C$4</f>
        <v>15</v>
      </c>
      <c r="F72" s="1110">
        <v>1</v>
      </c>
      <c r="G72" s="1110">
        <f t="shared" si="13"/>
        <v>15</v>
      </c>
      <c r="H72" s="1115">
        <f>50000*1.19</f>
        <v>59500</v>
      </c>
      <c r="I72" s="1115">
        <f t="shared" si="14"/>
        <v>892500</v>
      </c>
      <c r="J72" s="1835"/>
      <c r="K72" s="1113" t="s">
        <v>613</v>
      </c>
    </row>
    <row r="73" spans="1:11" ht="28.5" customHeight="1">
      <c r="A73" s="1825"/>
      <c r="B73" s="1828"/>
      <c r="C73" s="1114" t="s">
        <v>605</v>
      </c>
      <c r="D73" s="1110" t="s">
        <v>606</v>
      </c>
      <c r="E73" s="1110">
        <f t="shared" si="15"/>
        <v>15</v>
      </c>
      <c r="F73" s="1110">
        <v>1</v>
      </c>
      <c r="G73" s="1110">
        <f t="shared" si="13"/>
        <v>15</v>
      </c>
      <c r="H73" s="1115">
        <f>54700*1.19</f>
        <v>65093</v>
      </c>
      <c r="I73" s="1115">
        <f t="shared" si="14"/>
        <v>976395</v>
      </c>
      <c r="J73" s="1835"/>
      <c r="K73" s="1113" t="s">
        <v>613</v>
      </c>
    </row>
    <row r="74" spans="1:11" ht="27.75" customHeight="1">
      <c r="A74" s="1825"/>
      <c r="B74" s="1828"/>
      <c r="C74" s="1114" t="s">
        <v>614</v>
      </c>
      <c r="D74" s="1110" t="s">
        <v>615</v>
      </c>
      <c r="E74" s="1110">
        <f>4*$C$4</f>
        <v>2</v>
      </c>
      <c r="F74" s="1110">
        <v>1</v>
      </c>
      <c r="G74" s="1110">
        <f t="shared" si="13"/>
        <v>2</v>
      </c>
      <c r="H74" s="1115">
        <f>97000*1.19</f>
        <v>115430</v>
      </c>
      <c r="I74" s="1115">
        <f t="shared" si="14"/>
        <v>230860</v>
      </c>
      <c r="J74" s="1835"/>
      <c r="K74" s="1113" t="s">
        <v>616</v>
      </c>
    </row>
    <row r="75" spans="1:11" ht="27.6">
      <c r="A75" s="1825"/>
      <c r="B75" s="1827"/>
      <c r="C75" s="1114" t="s">
        <v>617</v>
      </c>
      <c r="D75" s="1110" t="s">
        <v>618</v>
      </c>
      <c r="E75" s="1110">
        <f>4*$C$4</f>
        <v>2</v>
      </c>
      <c r="F75" s="1110">
        <v>1</v>
      </c>
      <c r="G75" s="1110">
        <f t="shared" si="13"/>
        <v>2</v>
      </c>
      <c r="H75" s="1115">
        <f>115000*1.19</f>
        <v>136850</v>
      </c>
      <c r="I75" s="1115">
        <f>+G75*H75</f>
        <v>273700</v>
      </c>
      <c r="J75" s="1836"/>
      <c r="K75" s="1113" t="s">
        <v>616</v>
      </c>
    </row>
    <row r="76" spans="1:11" ht="27.6">
      <c r="A76" s="1825" t="str">
        <f>+A33</f>
        <v>2,3</v>
      </c>
      <c r="B76" s="1826" t="s">
        <v>634</v>
      </c>
      <c r="C76" s="1118" t="s">
        <v>652</v>
      </c>
      <c r="D76" s="1110" t="s">
        <v>653</v>
      </c>
      <c r="E76" s="1116">
        <f>C1*6*0.2/40</f>
        <v>25.59</v>
      </c>
      <c r="F76" s="1110">
        <v>1</v>
      </c>
      <c r="G76" s="1116">
        <f t="shared" si="13"/>
        <v>25.59</v>
      </c>
      <c r="H76" s="1115">
        <f>42200*1.19</f>
        <v>50218</v>
      </c>
      <c r="I76" s="1115">
        <f t="shared" ref="I76:I80" si="16">+G76*H76</f>
        <v>1285078.6199999999</v>
      </c>
      <c r="J76" s="1837" t="s">
        <v>635</v>
      </c>
      <c r="K76" s="1113" t="s">
        <v>654</v>
      </c>
    </row>
    <row r="77" spans="1:11" ht="27.6">
      <c r="A77" s="1825"/>
      <c r="B77" s="1827"/>
      <c r="C77" s="1118" t="s">
        <v>655</v>
      </c>
      <c r="D77" s="1110" t="s">
        <v>656</v>
      </c>
      <c r="E77" s="1116">
        <f>C1*6*0.2/40</f>
        <v>25.59</v>
      </c>
      <c r="F77" s="1110">
        <v>4</v>
      </c>
      <c r="G77" s="1116">
        <f t="shared" si="13"/>
        <v>102.36</v>
      </c>
      <c r="H77" s="1115">
        <f>27400*1.19</f>
        <v>32606</v>
      </c>
      <c r="I77" s="1115">
        <f t="shared" si="16"/>
        <v>3337550.16</v>
      </c>
      <c r="J77" s="1839"/>
      <c r="K77" s="1113" t="s">
        <v>657</v>
      </c>
    </row>
    <row r="78" spans="1:11" ht="13.8">
      <c r="A78" s="1108" t="str">
        <f>+A51</f>
        <v>3,1</v>
      </c>
      <c r="B78" s="1109" t="s">
        <v>658</v>
      </c>
      <c r="C78" s="1829" t="s">
        <v>600</v>
      </c>
      <c r="D78" s="1829"/>
      <c r="E78" s="1829"/>
      <c r="F78" s="1829"/>
      <c r="G78" s="1110">
        <v>0</v>
      </c>
      <c r="H78" s="1111">
        <v>0</v>
      </c>
      <c r="I78" s="1111">
        <f>+G78*H78</f>
        <v>0</v>
      </c>
      <c r="J78" s="1110" t="s">
        <v>659</v>
      </c>
      <c r="K78" s="1110" t="s">
        <v>600</v>
      </c>
    </row>
    <row r="79" spans="1:11" ht="13.8">
      <c r="A79" s="1108" t="str">
        <f>+A52</f>
        <v>3,2</v>
      </c>
      <c r="B79" s="1109" t="s">
        <v>524</v>
      </c>
      <c r="C79" s="1829" t="s">
        <v>600</v>
      </c>
      <c r="D79" s="1829"/>
      <c r="E79" s="1829"/>
      <c r="F79" s="1829"/>
      <c r="G79" s="1110">
        <v>0</v>
      </c>
      <c r="H79" s="1111">
        <v>0</v>
      </c>
      <c r="I79" s="1111">
        <f t="shared" si="16"/>
        <v>0</v>
      </c>
      <c r="J79" s="1110" t="s">
        <v>660</v>
      </c>
      <c r="K79" s="1110" t="s">
        <v>600</v>
      </c>
    </row>
    <row r="80" spans="1:11" ht="13.8">
      <c r="A80" s="1108" t="str">
        <f>+A53</f>
        <v>3,3</v>
      </c>
      <c r="B80" s="1109" t="s">
        <v>661</v>
      </c>
      <c r="C80" s="1829" t="s">
        <v>600</v>
      </c>
      <c r="D80" s="1829"/>
      <c r="E80" s="1829"/>
      <c r="F80" s="1829"/>
      <c r="G80" s="1110">
        <v>0</v>
      </c>
      <c r="H80" s="1111">
        <v>0</v>
      </c>
      <c r="I80" s="1111">
        <f t="shared" si="16"/>
        <v>0</v>
      </c>
      <c r="J80" s="1110" t="s">
        <v>662</v>
      </c>
      <c r="K80" s="1110" t="s">
        <v>600</v>
      </c>
    </row>
    <row r="81" spans="1:9" ht="13.8">
      <c r="A81" s="1120"/>
    </row>
    <row r="82" spans="1:9" ht="13.8">
      <c r="A82" s="1120"/>
      <c r="B82" s="1840" t="s">
        <v>663</v>
      </c>
      <c r="C82" s="1840"/>
      <c r="D82" s="1840"/>
      <c r="E82" s="1840"/>
      <c r="F82" s="1840"/>
      <c r="G82" s="1840"/>
      <c r="H82" s="1840"/>
      <c r="I82" s="1123">
        <f>SUM(I62:I81)</f>
        <v>10793076.280000001</v>
      </c>
    </row>
    <row r="83" spans="1:9" ht="13.8">
      <c r="A83" s="1120"/>
    </row>
    <row r="88" spans="1:9">
      <c r="B88" s="1126"/>
    </row>
    <row r="89" spans="1:9" ht="13.8">
      <c r="B89" s="1125" t="str">
        <f>+INTERVENTORIA!B61</f>
        <v>JESUS EDUARDO ROBLES SMITH</v>
      </c>
    </row>
    <row r="90" spans="1:9" ht="13.8">
      <c r="B90" s="1103" t="str">
        <f>+INTERVENTORIA!B62</f>
        <v>INGENIERO CIVIL</v>
      </c>
    </row>
    <row r="91" spans="1:9" ht="13.8">
      <c r="B91" s="1103" t="str">
        <f>+INTERVENTORIA!B63</f>
        <v>M.P. 25202-316144 CND</v>
      </c>
    </row>
  </sheetData>
  <mergeCells count="38">
    <mergeCell ref="B60:K60"/>
    <mergeCell ref="C80:F80"/>
    <mergeCell ref="B82:H82"/>
    <mergeCell ref="C78:F78"/>
    <mergeCell ref="J71:J75"/>
    <mergeCell ref="J76:J77"/>
    <mergeCell ref="K20:K27"/>
    <mergeCell ref="B12:B19"/>
    <mergeCell ref="C79:F79"/>
    <mergeCell ref="K33:K48"/>
    <mergeCell ref="A33:A50"/>
    <mergeCell ref="B33:B50"/>
    <mergeCell ref="J33:J50"/>
    <mergeCell ref="A71:A75"/>
    <mergeCell ref="B71:B75"/>
    <mergeCell ref="C51:F51"/>
    <mergeCell ref="C52:F52"/>
    <mergeCell ref="C53:F53"/>
    <mergeCell ref="B55:H55"/>
    <mergeCell ref="J65:J70"/>
    <mergeCell ref="C64:F64"/>
    <mergeCell ref="B59:K59"/>
    <mergeCell ref="A12:A19"/>
    <mergeCell ref="J12:J19"/>
    <mergeCell ref="A20:A32"/>
    <mergeCell ref="B20:B32"/>
    <mergeCell ref="J20:J32"/>
    <mergeCell ref="B6:K6"/>
    <mergeCell ref="B7:K7"/>
    <mergeCell ref="C10:F10"/>
    <mergeCell ref="C9:F9"/>
    <mergeCell ref="C11:F11"/>
    <mergeCell ref="A65:A70"/>
    <mergeCell ref="A76:A77"/>
    <mergeCell ref="B76:B77"/>
    <mergeCell ref="B65:B70"/>
    <mergeCell ref="C62:F62"/>
    <mergeCell ref="C63:F63"/>
  </mergeCells>
  <phoneticPr fontId="76" type="noConversion"/>
  <pageMargins left="0.7" right="0.7" top="0.75" bottom="0.75" header="0.3" footer="0.3"/>
  <pageSetup scale="22" orientation="portrait" r:id="rId1"/>
  <ignoredErrors>
    <ignoredError sqref="E13 H12:H13 E66 H28:H30 H17:H18 H25:H27 H31:H32 H36:H37 H24 H35 H65:H71 H19:H23 H33:H34 H72:H75 H76:H77 H39:H40 H42:H50 H14:H16"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5"/>
  <dimension ref="B1:D56"/>
  <sheetViews>
    <sheetView view="pageBreakPreview" topLeftCell="A34" zoomScale="85" zoomScaleNormal="100" zoomScaleSheetLayoutView="85" workbookViewId="0">
      <selection activeCell="D12" sqref="D12"/>
    </sheetView>
  </sheetViews>
  <sheetFormatPr baseColWidth="10" defaultColWidth="11.44140625" defaultRowHeight="17.399999999999999" customHeight="1"/>
  <cols>
    <col min="1" max="1" width="4.88671875" style="105" customWidth="1"/>
    <col min="2" max="2" width="65.5546875" style="6" customWidth="1"/>
    <col min="3" max="3" width="15.5546875" style="6" customWidth="1"/>
    <col min="4" max="4" width="25.5546875" style="6" customWidth="1"/>
    <col min="5" max="5" width="4.5546875" style="105" customWidth="1"/>
    <col min="6" max="16384" width="11.44140625" style="105"/>
  </cols>
  <sheetData>
    <row r="1" spans="2:4" ht="17.399999999999999" customHeight="1" thickBot="1"/>
    <row r="2" spans="2:4" ht="24" customHeight="1">
      <c r="B2" s="1842" t="str">
        <f>+PRESUPUESTO!D2</f>
        <v>"MEJORAMIENTO VIAL MEDIANTE LA CONSTRUCCIÓN DE PAVIMENTO RÍGIDO DE LA PRIMERA ETAPA DE LA VÍA QUE COMUNICA A LA VEREDA PONDORES EN EL CORREGIMIENTO DE CONEJO, MUNICIPIO DE FONSECA - DEPARTAMENTO DE LA GUAJIRA."</v>
      </c>
      <c r="C2" s="1843"/>
      <c r="D2" s="1844"/>
    </row>
    <row r="3" spans="2:4" ht="51" customHeight="1" thickBot="1">
      <c r="B3" s="1845"/>
      <c r="C3" s="1846"/>
      <c r="D3" s="1847"/>
    </row>
    <row r="4" spans="2:4" ht="17.399999999999999" customHeight="1" thickBot="1">
      <c r="B4" s="105"/>
      <c r="C4" s="105"/>
      <c r="D4" s="105"/>
    </row>
    <row r="5" spans="2:4" ht="17.399999999999999" customHeight="1">
      <c r="B5" s="1849" t="s">
        <v>79</v>
      </c>
      <c r="C5" s="1850"/>
      <c r="D5" s="1851"/>
    </row>
    <row r="6" spans="2:4" ht="17.399999999999999" customHeight="1" thickBot="1">
      <c r="B6" s="1852"/>
      <c r="C6" s="1853"/>
      <c r="D6" s="1854"/>
    </row>
    <row r="7" spans="2:4" ht="17.399999999999999" customHeight="1" thickBot="1">
      <c r="B7" s="105"/>
      <c r="C7" s="105"/>
      <c r="D7" s="105"/>
    </row>
    <row r="8" spans="2:4" ht="17.399999999999999" customHeight="1">
      <c r="B8" s="1857" t="s">
        <v>12</v>
      </c>
      <c r="C8" s="1855" t="s">
        <v>44</v>
      </c>
      <c r="D8" s="1859" t="s">
        <v>63</v>
      </c>
    </row>
    <row r="9" spans="2:4" ht="17.399999999999999" customHeight="1" thickBot="1">
      <c r="B9" s="1858"/>
      <c r="C9" s="1856"/>
      <c r="D9" s="1860"/>
    </row>
    <row r="10" spans="2:4" ht="17.399999999999999" customHeight="1" thickTop="1">
      <c r="B10" s="370"/>
      <c r="C10" s="196"/>
      <c r="D10" s="371"/>
    </row>
    <row r="11" spans="2:4" ht="17.399999999999999" customHeight="1">
      <c r="B11" s="1151" t="s">
        <v>570</v>
      </c>
      <c r="C11" s="932" t="s">
        <v>80</v>
      </c>
      <c r="D11" s="1079">
        <v>180000</v>
      </c>
    </row>
    <row r="12" spans="2:4" ht="17.399999999999999" customHeight="1">
      <c r="B12" s="1151" t="s">
        <v>549</v>
      </c>
      <c r="C12" s="932" t="s">
        <v>80</v>
      </c>
      <c r="D12" s="1079">
        <v>250000</v>
      </c>
    </row>
    <row r="13" spans="2:4" ht="17.399999999999999" customHeight="1">
      <c r="B13" s="1151" t="s">
        <v>462</v>
      </c>
      <c r="C13" s="932" t="s">
        <v>80</v>
      </c>
      <c r="D13" s="1079">
        <v>180000</v>
      </c>
    </row>
    <row r="14" spans="2:4" ht="17.399999999999999" customHeight="1">
      <c r="B14" s="1151" t="s">
        <v>548</v>
      </c>
      <c r="C14" s="932" t="s">
        <v>80</v>
      </c>
      <c r="D14" s="1345">
        <v>240000</v>
      </c>
    </row>
    <row r="15" spans="2:4" ht="17.399999999999999" customHeight="1">
      <c r="B15" s="1151" t="s">
        <v>454</v>
      </c>
      <c r="C15" s="932" t="s">
        <v>80</v>
      </c>
      <c r="D15" s="1079">
        <v>5428.01</v>
      </c>
    </row>
    <row r="16" spans="2:4" ht="17.399999999999999" customHeight="1">
      <c r="B16" s="1151" t="s">
        <v>461</v>
      </c>
      <c r="C16" s="932" t="s">
        <v>80</v>
      </c>
      <c r="D16" s="1079">
        <v>24411.8</v>
      </c>
    </row>
    <row r="17" spans="2:4" ht="17.399999999999999" customHeight="1">
      <c r="B17" s="1151" t="s">
        <v>705</v>
      </c>
      <c r="C17" s="932" t="s">
        <v>80</v>
      </c>
      <c r="D17" s="1079">
        <v>8756.9500000000007</v>
      </c>
    </row>
    <row r="18" spans="2:4" ht="17.399999999999999" customHeight="1">
      <c r="B18" s="1151" t="s">
        <v>706</v>
      </c>
      <c r="C18" s="932" t="s">
        <v>80</v>
      </c>
      <c r="D18" s="1079">
        <v>10226.98</v>
      </c>
    </row>
    <row r="19" spans="2:4" ht="17.399999999999999" customHeight="1">
      <c r="B19" s="1151" t="s">
        <v>108</v>
      </c>
      <c r="C19" s="932" t="s">
        <v>80</v>
      </c>
      <c r="D19" s="1079">
        <v>15709.48</v>
      </c>
    </row>
    <row r="20" spans="2:4" ht="17.399999999999999" customHeight="1">
      <c r="B20" s="1151" t="s">
        <v>148</v>
      </c>
      <c r="C20" s="932" t="s">
        <v>80</v>
      </c>
      <c r="D20" s="1079">
        <v>67974.375527629003</v>
      </c>
    </row>
    <row r="21" spans="2:4" ht="17.399999999999999" customHeight="1">
      <c r="B21" s="1151" t="s">
        <v>50</v>
      </c>
      <c r="C21" s="932" t="s">
        <v>80</v>
      </c>
      <c r="D21" s="1345">
        <v>15000</v>
      </c>
    </row>
    <row r="22" spans="2:4" ht="17.399999999999999" customHeight="1">
      <c r="B22" s="1151" t="s">
        <v>553</v>
      </c>
      <c r="C22" s="932" t="s">
        <v>80</v>
      </c>
      <c r="D22" s="1079">
        <v>7500</v>
      </c>
    </row>
    <row r="23" spans="2:4" ht="17.399999999999999" customHeight="1">
      <c r="B23" s="1151" t="s">
        <v>123</v>
      </c>
      <c r="C23" s="932" t="s">
        <v>80</v>
      </c>
      <c r="D23" s="1079">
        <v>60000</v>
      </c>
    </row>
    <row r="24" spans="2:4" ht="17.399999999999999" customHeight="1">
      <c r="B24" s="1151" t="s">
        <v>551</v>
      </c>
      <c r="C24" s="932" t="s">
        <v>80</v>
      </c>
      <c r="D24" s="1079">
        <v>110000</v>
      </c>
    </row>
    <row r="25" spans="2:4" ht="17.399999999999999" customHeight="1">
      <c r="B25" s="1151" t="s">
        <v>530</v>
      </c>
      <c r="C25" s="932" t="s">
        <v>80</v>
      </c>
      <c r="D25" s="903">
        <v>100000</v>
      </c>
    </row>
    <row r="26" spans="2:4" ht="17.399999999999999" customHeight="1">
      <c r="B26" s="1151" t="s">
        <v>414</v>
      </c>
      <c r="C26" s="932" t="s">
        <v>80</v>
      </c>
      <c r="D26" s="903">
        <v>55500</v>
      </c>
    </row>
    <row r="27" spans="2:4" ht="17.399999999999999" customHeight="1">
      <c r="B27" s="1151" t="s">
        <v>472</v>
      </c>
      <c r="C27" s="932" t="s">
        <v>80</v>
      </c>
      <c r="D27" s="903">
        <v>65255.395053525201</v>
      </c>
    </row>
    <row r="28" spans="2:4" ht="17.399999999999999" customHeight="1">
      <c r="B28" s="1152" t="s">
        <v>552</v>
      </c>
      <c r="C28" s="932" t="s">
        <v>80</v>
      </c>
      <c r="D28" s="903">
        <v>201471.74</v>
      </c>
    </row>
    <row r="29" spans="2:4" ht="17.399999999999999" customHeight="1">
      <c r="B29" s="1153" t="s">
        <v>430</v>
      </c>
      <c r="C29" s="1078" t="s">
        <v>80</v>
      </c>
      <c r="D29" s="1080">
        <v>105500</v>
      </c>
    </row>
    <row r="30" spans="2:4" ht="17.399999999999999" customHeight="1">
      <c r="B30" s="1153" t="s">
        <v>456</v>
      </c>
      <c r="C30" s="1078" t="s">
        <v>80</v>
      </c>
      <c r="D30" s="1080">
        <v>1545.5390835865501</v>
      </c>
    </row>
    <row r="31" spans="2:4" ht="17.399999999999999" customHeight="1">
      <c r="B31" s="1152" t="s">
        <v>443</v>
      </c>
      <c r="C31" s="932" t="s">
        <v>80</v>
      </c>
      <c r="D31" s="903">
        <v>380</v>
      </c>
    </row>
    <row r="32" spans="2:4" ht="17.399999999999999" customHeight="1">
      <c r="B32" s="1152" t="s">
        <v>444</v>
      </c>
      <c r="C32" s="932" t="s">
        <v>80</v>
      </c>
      <c r="D32" s="903">
        <v>9700</v>
      </c>
    </row>
    <row r="33" spans="2:4" ht="17.399999999999999" customHeight="1">
      <c r="B33" s="1152" t="s">
        <v>445</v>
      </c>
      <c r="C33" s="932" t="s">
        <v>80</v>
      </c>
      <c r="D33" s="903">
        <v>90000</v>
      </c>
    </row>
    <row r="34" spans="2:4" ht="17.399999999999999" customHeight="1">
      <c r="B34" s="1152" t="s">
        <v>467</v>
      </c>
      <c r="C34" s="932" t="s">
        <v>80</v>
      </c>
      <c r="D34" s="903">
        <v>12443.4637030087</v>
      </c>
    </row>
    <row r="35" spans="2:4" ht="17.399999999999999" customHeight="1">
      <c r="B35" s="1152" t="s">
        <v>446</v>
      </c>
      <c r="C35" s="932" t="s">
        <v>80</v>
      </c>
      <c r="D35" s="903">
        <v>25500</v>
      </c>
    </row>
    <row r="36" spans="2:4" ht="17.399999999999999" customHeight="1">
      <c r="B36" s="1152" t="s">
        <v>431</v>
      </c>
      <c r="C36" s="1014" t="s">
        <v>80</v>
      </c>
      <c r="D36" s="1080">
        <v>14411.8</v>
      </c>
    </row>
    <row r="37" spans="2:4" ht="17.399999999999999" customHeight="1">
      <c r="B37" s="1148" t="s">
        <v>580</v>
      </c>
      <c r="C37" s="1149" t="s">
        <v>80</v>
      </c>
      <c r="D37" s="1150">
        <v>16313.851385015299</v>
      </c>
    </row>
    <row r="38" spans="2:4" ht="17.399999999999999" customHeight="1">
      <c r="B38" s="1152" t="s">
        <v>680</v>
      </c>
      <c r="C38" s="1014" t="s">
        <v>80</v>
      </c>
      <c r="D38" s="1080">
        <v>19000</v>
      </c>
    </row>
    <row r="39" spans="2:4" ht="17.399999999999999" customHeight="1" thickBot="1">
      <c r="B39" s="1076" t="s">
        <v>529</v>
      </c>
      <c r="C39" s="1077" t="s">
        <v>80</v>
      </c>
      <c r="D39" s="1154">
        <v>9321.3637594601296</v>
      </c>
    </row>
    <row r="40" spans="2:4" ht="17.399999999999999" customHeight="1">
      <c r="B40" s="105"/>
      <c r="C40" s="105"/>
      <c r="D40" s="111"/>
    </row>
    <row r="41" spans="2:4" ht="17.399999999999999" customHeight="1">
      <c r="B41" s="105"/>
      <c r="C41" s="105"/>
      <c r="D41" s="111"/>
    </row>
    <row r="42" spans="2:4" ht="17.399999999999999" customHeight="1">
      <c r="B42" s="105"/>
      <c r="C42" s="105"/>
      <c r="D42" s="111"/>
    </row>
    <row r="43" spans="2:4" ht="17.399999999999999" customHeight="1">
      <c r="B43" s="105"/>
      <c r="C43" s="105"/>
      <c r="D43" s="111"/>
    </row>
    <row r="44" spans="2:4" ht="17.399999999999999" customHeight="1">
      <c r="B44" s="105"/>
      <c r="C44" s="105"/>
      <c r="D44" s="111"/>
    </row>
    <row r="45" spans="2:4" ht="17.399999999999999" customHeight="1">
      <c r="B45" s="127"/>
      <c r="C45" s="105"/>
      <c r="D45" s="111"/>
    </row>
    <row r="46" spans="2:4" ht="17.399999999999999" customHeight="1">
      <c r="B46" s="552" t="str">
        <f>+PRESUPUESTO!B52</f>
        <v>JESUS EDUARDO ROBLES SMITH</v>
      </c>
      <c r="C46" s="120"/>
      <c r="D46" s="105"/>
    </row>
    <row r="47" spans="2:4" ht="17.399999999999999" customHeight="1">
      <c r="B47" s="551" t="str">
        <f>+PRESUPUESTO!B53</f>
        <v>INGENIERO CIVIL</v>
      </c>
      <c r="C47" s="120"/>
      <c r="D47" s="105"/>
    </row>
    <row r="48" spans="2:4" ht="17.399999999999999" customHeight="1">
      <c r="B48" s="551" t="str">
        <f>+PRESUPUESTO!B54</f>
        <v>M.P. 25202-316144 CND</v>
      </c>
      <c r="C48" s="120"/>
      <c r="D48" s="105"/>
    </row>
    <row r="49" spans="2:4" ht="17.399999999999999" customHeight="1">
      <c r="B49" s="1848"/>
      <c r="C49" s="1848"/>
      <c r="D49" s="1848"/>
    </row>
    <row r="50" spans="2:4" ht="17.399999999999999" customHeight="1">
      <c r="B50" s="225"/>
      <c r="C50" s="338"/>
      <c r="D50" s="335"/>
    </row>
    <row r="51" spans="2:4" ht="17.399999999999999" customHeight="1">
      <c r="B51" s="225"/>
      <c r="C51" s="335"/>
      <c r="D51" s="335"/>
    </row>
    <row r="52" spans="2:4" ht="17.399999999999999" customHeight="1">
      <c r="B52" s="120"/>
      <c r="C52" s="120"/>
      <c r="D52" s="105"/>
    </row>
    <row r="53" spans="2:4" ht="17.399999999999999" customHeight="1">
      <c r="B53" s="105"/>
      <c r="C53" s="105"/>
      <c r="D53" s="105"/>
    </row>
    <row r="54" spans="2:4" ht="17.399999999999999" customHeight="1">
      <c r="B54" s="105"/>
      <c r="C54" s="105"/>
      <c r="D54" s="105"/>
    </row>
    <row r="55" spans="2:4" ht="17.399999999999999" customHeight="1">
      <c r="B55" s="105"/>
      <c r="C55" s="105"/>
      <c r="D55" s="105"/>
    </row>
    <row r="56" spans="2:4" ht="17.399999999999999" customHeight="1">
      <c r="B56" s="105"/>
      <c r="C56" s="105"/>
      <c r="D56" s="105"/>
    </row>
  </sheetData>
  <mergeCells count="6">
    <mergeCell ref="B2:D3"/>
    <mergeCell ref="B49:D49"/>
    <mergeCell ref="B5:D6"/>
    <mergeCell ref="C8:C9"/>
    <mergeCell ref="B8:B9"/>
    <mergeCell ref="D8:D9"/>
  </mergeCells>
  <printOptions horizontalCentered="1"/>
  <pageMargins left="0.59055118110236227" right="0.59055118110236227" top="0.98425196850393704" bottom="0.98425196850393704" header="0.59055118110236227" footer="0.59055118110236227"/>
  <pageSetup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3"/>
  <sheetViews>
    <sheetView view="pageBreakPreview" topLeftCell="A33" zoomScale="82" zoomScaleNormal="100" zoomScaleSheetLayoutView="82" workbookViewId="0">
      <selection activeCell="B40" sqref="B40"/>
    </sheetView>
  </sheetViews>
  <sheetFormatPr baseColWidth="10" defaultColWidth="8.88671875" defaultRowHeight="13.2"/>
  <cols>
    <col min="1" max="1" width="20.6640625" style="945" customWidth="1"/>
    <col min="2" max="6" width="12.6640625" style="945" customWidth="1"/>
    <col min="7" max="7" width="15.6640625" style="945" customWidth="1"/>
    <col min="8" max="16384" width="8.88671875" style="945"/>
  </cols>
  <sheetData>
    <row r="1" spans="1:7">
      <c r="A1" s="1864"/>
      <c r="B1" s="1865"/>
      <c r="C1" s="1866"/>
      <c r="D1" s="1873" t="s">
        <v>51</v>
      </c>
      <c r="E1" s="1874"/>
      <c r="F1" s="1874"/>
      <c r="G1" s="1875"/>
    </row>
    <row r="2" spans="1:7">
      <c r="A2" s="1867"/>
      <c r="B2" s="1868"/>
      <c r="C2" s="1869"/>
      <c r="D2" s="1876"/>
      <c r="E2" s="1877"/>
      <c r="F2" s="1877"/>
      <c r="G2" s="1878"/>
    </row>
    <row r="3" spans="1:7">
      <c r="A3" s="1867"/>
      <c r="B3" s="1868"/>
      <c r="C3" s="1869"/>
      <c r="D3" s="1876"/>
      <c r="E3" s="1877"/>
      <c r="F3" s="1877"/>
      <c r="G3" s="1878"/>
    </row>
    <row r="4" spans="1:7">
      <c r="A4" s="1867"/>
      <c r="B4" s="1868"/>
      <c r="C4" s="1869"/>
      <c r="D4" s="1876"/>
      <c r="E4" s="1877"/>
      <c r="F4" s="1877"/>
      <c r="G4" s="1878"/>
    </row>
    <row r="5" spans="1:7" ht="13.8" thickBot="1">
      <c r="A5" s="1870"/>
      <c r="B5" s="1871"/>
      <c r="C5" s="1872"/>
      <c r="D5" s="1879"/>
      <c r="E5" s="1880"/>
      <c r="F5" s="1880"/>
      <c r="G5" s="1881"/>
    </row>
    <row r="6" spans="1:7">
      <c r="A6" s="952"/>
      <c r="B6" s="952"/>
      <c r="C6" s="952"/>
      <c r="D6" s="952"/>
      <c r="E6" s="952"/>
      <c r="F6" s="952"/>
      <c r="G6" s="952"/>
    </row>
    <row r="7" spans="1:7">
      <c r="A7" s="1882" t="str">
        <f>+PRESUPUESTO!D2</f>
        <v>"MEJORAMIENTO VIAL MEDIANTE LA CONSTRUCCIÓN DE PAVIMENTO RÍGIDO DE LA PRIMERA ETAPA DE LA VÍA QUE COMUNICA A LA VEREDA PONDORES EN EL CORREGIMIENTO DE CONEJO, MUNICIPIO DE FONSECA - DEPARTAMENTO DE LA GUAJIRA."</v>
      </c>
      <c r="B7" s="1882"/>
      <c r="C7" s="1882"/>
      <c r="D7" s="1882"/>
      <c r="E7" s="1882"/>
      <c r="F7" s="1173" t="s">
        <v>569</v>
      </c>
      <c r="G7" s="1173">
        <f>+PRESUPUESTO!C11</f>
        <v>200.2</v>
      </c>
    </row>
    <row r="8" spans="1:7">
      <c r="A8" s="1882"/>
      <c r="B8" s="1882"/>
      <c r="C8" s="1882"/>
      <c r="D8" s="1882"/>
      <c r="E8" s="1882"/>
      <c r="F8" s="953"/>
      <c r="G8" s="947"/>
    </row>
    <row r="9" spans="1:7">
      <c r="A9" s="947"/>
      <c r="B9" s="947"/>
      <c r="C9" s="947"/>
      <c r="D9" s="947"/>
      <c r="E9" s="947"/>
      <c r="F9" s="953"/>
      <c r="G9" s="947"/>
    </row>
    <row r="10" spans="1:7">
      <c r="A10" s="947" t="s">
        <v>344</v>
      </c>
      <c r="B10" s="947" t="str">
        <f>+PRESUPUESTO!D11</f>
        <v>Desmonte y limpieza en zonas no boscosas</v>
      </c>
      <c r="C10" s="947"/>
      <c r="D10" s="947"/>
      <c r="E10" s="947"/>
      <c r="F10" s="1174" t="s">
        <v>28</v>
      </c>
      <c r="G10" s="1174" t="str">
        <f>+PRESUPUESTO!E11</f>
        <v>HA</v>
      </c>
    </row>
    <row r="11" spans="1:7">
      <c r="A11" s="947"/>
      <c r="B11" s="947"/>
      <c r="C11" s="947"/>
      <c r="D11" s="947"/>
      <c r="E11" s="947"/>
      <c r="F11" s="947"/>
      <c r="G11" s="947"/>
    </row>
    <row r="12" spans="1:7" ht="13.8" thickBot="1">
      <c r="A12" s="947" t="s">
        <v>16</v>
      </c>
      <c r="B12" s="952"/>
      <c r="C12" s="952"/>
      <c r="D12" s="952"/>
      <c r="E12" s="952"/>
      <c r="F12" s="952"/>
      <c r="G12" s="444"/>
    </row>
    <row r="13" spans="1:7">
      <c r="A13" s="1864" t="s">
        <v>21</v>
      </c>
      <c r="B13" s="1865"/>
      <c r="C13" s="1883"/>
      <c r="D13" s="955" t="s">
        <v>1</v>
      </c>
      <c r="E13" s="956" t="s">
        <v>8</v>
      </c>
      <c r="F13" s="955" t="s">
        <v>2</v>
      </c>
      <c r="G13" s="1861"/>
    </row>
    <row r="14" spans="1:7">
      <c r="A14" s="957" t="str">
        <f>+Equ!B17</f>
        <v>Guadaña, Cilindraje 41.5 cm3, Longitud del mango 1450 mm, Peso 7.4 kg</v>
      </c>
      <c r="B14" s="961"/>
      <c r="C14" s="959"/>
      <c r="D14" s="960">
        <f>+Equ!D17</f>
        <v>8756.9500000000007</v>
      </c>
      <c r="E14" s="1175">
        <v>0.36</v>
      </c>
      <c r="F14" s="960">
        <f>+ROUND(D14/E14,0)</f>
        <v>24325</v>
      </c>
      <c r="G14" s="1862"/>
    </row>
    <row r="15" spans="1:7">
      <c r="A15" s="957" t="str">
        <f>+Equ!B18</f>
        <v>Motosierra, 93.6 cm3 - 7.1 HP, 45-90 cm - 7.9 kg</v>
      </c>
      <c r="B15" s="961"/>
      <c r="C15" s="959"/>
      <c r="D15" s="960">
        <f>+Equ!D18</f>
        <v>10226.98</v>
      </c>
      <c r="E15" s="1175">
        <f>0.103</f>
        <v>0.10299999999999999</v>
      </c>
      <c r="F15" s="960">
        <f>+ROUND(D15/E15,0)</f>
        <v>99291</v>
      </c>
      <c r="G15" s="1862"/>
    </row>
    <row r="16" spans="1:7">
      <c r="A16" s="957" t="s">
        <v>93</v>
      </c>
      <c r="B16" s="961">
        <v>0.05</v>
      </c>
      <c r="C16" s="959"/>
      <c r="D16" s="960"/>
      <c r="E16" s="960"/>
      <c r="F16" s="960">
        <f>+ROUND(B16*G44,0)</f>
        <v>3281</v>
      </c>
      <c r="G16" s="1862"/>
    </row>
    <row r="17" spans="1:7">
      <c r="A17" s="957"/>
      <c r="B17" s="958"/>
      <c r="C17" s="959"/>
      <c r="D17" s="960"/>
      <c r="E17" s="960"/>
      <c r="F17" s="960"/>
      <c r="G17" s="1862"/>
    </row>
    <row r="18" spans="1:7">
      <c r="A18" s="957"/>
      <c r="B18" s="958"/>
      <c r="C18" s="959"/>
      <c r="D18" s="960"/>
      <c r="E18" s="960"/>
      <c r="F18" s="960"/>
      <c r="G18" s="1862"/>
    </row>
    <row r="19" spans="1:7" ht="13.8" thickBot="1">
      <c r="A19" s="962"/>
      <c r="B19" s="963"/>
      <c r="C19" s="964"/>
      <c r="D19" s="1176"/>
      <c r="E19" s="1176"/>
      <c r="F19" s="1176"/>
      <c r="G19" s="1863"/>
    </row>
    <row r="20" spans="1:7" ht="13.8" thickBot="1">
      <c r="A20" s="952"/>
      <c r="B20" s="952"/>
      <c r="C20" s="952"/>
      <c r="D20" s="952"/>
      <c r="E20" s="952"/>
      <c r="F20" s="952" t="s">
        <v>3</v>
      </c>
      <c r="G20" s="966">
        <f>SUM(F14:F19)</f>
        <v>126897</v>
      </c>
    </row>
    <row r="21" spans="1:7" ht="13.8" thickBot="1">
      <c r="A21" s="947" t="s">
        <v>17</v>
      </c>
      <c r="B21" s="952"/>
      <c r="C21" s="952"/>
      <c r="D21" s="952"/>
      <c r="E21" s="952"/>
      <c r="F21" s="952"/>
      <c r="G21" s="967"/>
    </row>
    <row r="22" spans="1:7">
      <c r="A22" s="1864" t="s">
        <v>21</v>
      </c>
      <c r="B22" s="1883"/>
      <c r="C22" s="955" t="s">
        <v>4</v>
      </c>
      <c r="D22" s="969" t="s">
        <v>5</v>
      </c>
      <c r="E22" s="955" t="s">
        <v>6</v>
      </c>
      <c r="F22" s="955" t="s">
        <v>2</v>
      </c>
      <c r="G22" s="1861"/>
    </row>
    <row r="23" spans="1:7">
      <c r="A23" s="957"/>
      <c r="B23" s="959"/>
      <c r="C23" s="971"/>
      <c r="D23" s="960"/>
      <c r="E23" s="960"/>
      <c r="F23" s="960"/>
      <c r="G23" s="1862"/>
    </row>
    <row r="24" spans="1:7">
      <c r="A24" s="957"/>
      <c r="B24" s="959"/>
      <c r="C24" s="971"/>
      <c r="D24" s="960"/>
      <c r="E24" s="960"/>
      <c r="F24" s="960"/>
      <c r="G24" s="1862"/>
    </row>
    <row r="25" spans="1:7">
      <c r="A25" s="957"/>
      <c r="B25" s="959"/>
      <c r="C25" s="971"/>
      <c r="D25" s="960"/>
      <c r="E25" s="960"/>
      <c r="F25" s="960"/>
      <c r="G25" s="1862"/>
    </row>
    <row r="26" spans="1:7">
      <c r="A26" s="973"/>
      <c r="B26" s="1015"/>
      <c r="C26" s="974"/>
      <c r="D26" s="975"/>
      <c r="E26" s="975"/>
      <c r="F26" s="960"/>
      <c r="G26" s="1862"/>
    </row>
    <row r="27" spans="1:7" ht="13.8" thickBot="1">
      <c r="A27" s="962"/>
      <c r="B27" s="964"/>
      <c r="C27" s="1177"/>
      <c r="D27" s="1176"/>
      <c r="E27" s="1176"/>
      <c r="F27" s="1176"/>
      <c r="G27" s="1863"/>
    </row>
    <row r="28" spans="1:7" ht="13.8" thickBot="1">
      <c r="A28" s="952"/>
      <c r="B28" s="952"/>
      <c r="C28" s="952"/>
      <c r="D28" s="952"/>
      <c r="E28" s="952"/>
      <c r="F28" s="952" t="s">
        <v>3</v>
      </c>
      <c r="G28" s="966">
        <f>SUM(F23:F27)</f>
        <v>0</v>
      </c>
    </row>
    <row r="29" spans="1:7" ht="13.8" thickBot="1">
      <c r="A29" s="947" t="s">
        <v>18</v>
      </c>
      <c r="B29" s="952"/>
      <c r="C29" s="952"/>
      <c r="D29" s="952"/>
      <c r="E29" s="952"/>
      <c r="F29" s="952"/>
      <c r="G29" s="967"/>
    </row>
    <row r="30" spans="1:7">
      <c r="A30" s="1023" t="s">
        <v>23</v>
      </c>
      <c r="B30" s="955" t="s">
        <v>46</v>
      </c>
      <c r="C30" s="955" t="s">
        <v>36</v>
      </c>
      <c r="D30" s="969" t="s">
        <v>26</v>
      </c>
      <c r="E30" s="955" t="s">
        <v>25</v>
      </c>
      <c r="F30" s="955" t="s">
        <v>2</v>
      </c>
      <c r="G30" s="1861"/>
    </row>
    <row r="31" spans="1:7">
      <c r="A31" s="1178" t="s">
        <v>703</v>
      </c>
      <c r="B31" s="971">
        <v>50</v>
      </c>
      <c r="C31" s="1022">
        <f>+Transporte!D11</f>
        <v>13</v>
      </c>
      <c r="D31" s="1017">
        <f>+B31*C31</f>
        <v>650</v>
      </c>
      <c r="E31" s="960">
        <f>+Transporte!D21</f>
        <v>1400</v>
      </c>
      <c r="F31" s="960">
        <f>+D31*E31</f>
        <v>910000</v>
      </c>
      <c r="G31" s="1862"/>
    </row>
    <row r="32" spans="1:7">
      <c r="A32" s="1178"/>
      <c r="B32" s="971"/>
      <c r="C32" s="971"/>
      <c r="D32" s="1017"/>
      <c r="E32" s="960"/>
      <c r="F32" s="960"/>
      <c r="G32" s="1862"/>
    </row>
    <row r="33" spans="1:7">
      <c r="A33" s="1178"/>
      <c r="B33" s="971"/>
      <c r="C33" s="971"/>
      <c r="D33" s="1017"/>
      <c r="E33" s="960"/>
      <c r="F33" s="960"/>
      <c r="G33" s="1862"/>
    </row>
    <row r="34" spans="1:7">
      <c r="A34" s="1178"/>
      <c r="B34" s="987"/>
      <c r="C34" s="987"/>
      <c r="D34" s="960"/>
      <c r="E34" s="960"/>
      <c r="F34" s="960"/>
      <c r="G34" s="1862"/>
    </row>
    <row r="35" spans="1:7" ht="13.8" thickBot="1">
      <c r="A35" s="949"/>
      <c r="B35" s="1024"/>
      <c r="C35" s="1024"/>
      <c r="D35" s="1179"/>
      <c r="E35" s="1025"/>
      <c r="F35" s="1179"/>
      <c r="G35" s="1863"/>
    </row>
    <row r="36" spans="1:7" ht="13.8" thickBot="1">
      <c r="A36" s="952"/>
      <c r="B36" s="952"/>
      <c r="C36" s="952"/>
      <c r="D36" s="952"/>
      <c r="E36" s="952"/>
      <c r="F36" s="952" t="s">
        <v>3</v>
      </c>
      <c r="G36" s="966">
        <f>SUM(F31:F35)</f>
        <v>910000</v>
      </c>
    </row>
    <row r="37" spans="1:7" ht="13.8" thickBot="1">
      <c r="A37" s="947" t="s">
        <v>19</v>
      </c>
      <c r="B37" s="952"/>
      <c r="C37" s="952"/>
      <c r="D37" s="952"/>
      <c r="E37" s="952"/>
      <c r="F37" s="952"/>
      <c r="G37" s="967"/>
    </row>
    <row r="38" spans="1:7">
      <c r="A38" s="984" t="s">
        <v>24</v>
      </c>
      <c r="B38" s="955" t="s">
        <v>7</v>
      </c>
      <c r="C38" s="955" t="s">
        <v>42</v>
      </c>
      <c r="D38" s="985" t="s">
        <v>27</v>
      </c>
      <c r="E38" s="955" t="s">
        <v>8</v>
      </c>
      <c r="F38" s="955" t="s">
        <v>2</v>
      </c>
      <c r="G38" s="1861"/>
    </row>
    <row r="39" spans="1:7">
      <c r="A39" s="957"/>
      <c r="B39" s="960"/>
      <c r="C39" s="972"/>
      <c r="D39" s="986"/>
      <c r="E39" s="986"/>
      <c r="F39" s="986"/>
      <c r="G39" s="1862"/>
    </row>
    <row r="40" spans="1:7">
      <c r="A40" s="957" t="s">
        <v>418</v>
      </c>
      <c r="B40" s="960">
        <f>+FP!U51*2</f>
        <v>103389.73913333334</v>
      </c>
      <c r="C40" s="1307">
        <f>+FP!V47</f>
        <v>1.8281000000000001</v>
      </c>
      <c r="D40" s="986">
        <f>ROUND(C40*B40,0)</f>
        <v>189007</v>
      </c>
      <c r="E40" s="986">
        <v>2.88</v>
      </c>
      <c r="F40" s="986">
        <f>ROUND(D40/E40,0)</f>
        <v>65627</v>
      </c>
      <c r="G40" s="1862"/>
    </row>
    <row r="41" spans="1:7">
      <c r="A41" s="957"/>
      <c r="B41" s="960"/>
      <c r="C41" s="1018"/>
      <c r="D41" s="986"/>
      <c r="E41" s="986"/>
      <c r="F41" s="986"/>
      <c r="G41" s="1862"/>
    </row>
    <row r="42" spans="1:7">
      <c r="A42" s="973"/>
      <c r="B42" s="975"/>
      <c r="C42" s="1019"/>
      <c r="D42" s="1020"/>
      <c r="E42" s="1020"/>
      <c r="F42" s="1020"/>
      <c r="G42" s="1862"/>
    </row>
    <row r="43" spans="1:7" ht="13.8" thickBot="1">
      <c r="A43" s="962"/>
      <c r="B43" s="1180"/>
      <c r="C43" s="1176"/>
      <c r="D43" s="1181"/>
      <c r="E43" s="1181"/>
      <c r="F43" s="1181"/>
      <c r="G43" s="1863"/>
    </row>
    <row r="44" spans="1:7" ht="13.8" thickBot="1">
      <c r="A44" s="952"/>
      <c r="B44" s="952"/>
      <c r="C44" s="952"/>
      <c r="D44" s="157"/>
      <c r="E44" s="157"/>
      <c r="F44" s="952" t="s">
        <v>3</v>
      </c>
      <c r="G44" s="169">
        <f>SUM(F39:F43)</f>
        <v>65627</v>
      </c>
    </row>
    <row r="45" spans="1:7" ht="13.8" thickBot="1">
      <c r="A45" s="952"/>
      <c r="B45" s="952"/>
      <c r="C45" s="952"/>
      <c r="D45" s="952"/>
      <c r="E45" s="952"/>
      <c r="F45" s="952"/>
      <c r="G45" s="967"/>
    </row>
    <row r="46" spans="1:7" ht="13.8" thickBot="1">
      <c r="A46" s="952"/>
      <c r="B46" s="952"/>
      <c r="C46" s="952"/>
      <c r="D46" s="947" t="s">
        <v>10</v>
      </c>
      <c r="E46" s="952"/>
      <c r="F46" s="952"/>
      <c r="G46" s="170">
        <f>ROUND(G20+G28+G36+G44,0)</f>
        <v>1102524</v>
      </c>
    </row>
    <row r="47" spans="1:7">
      <c r="A47" s="952"/>
      <c r="B47" s="952"/>
      <c r="C47" s="952"/>
      <c r="D47" s="952"/>
      <c r="E47" s="952"/>
      <c r="F47" s="952"/>
      <c r="G47" s="967"/>
    </row>
    <row r="48" spans="1:7">
      <c r="A48" s="952"/>
      <c r="B48" s="952"/>
      <c r="C48" s="952"/>
      <c r="D48" s="952"/>
      <c r="E48" s="952"/>
      <c r="F48" s="952"/>
      <c r="G48" s="967"/>
    </row>
    <row r="49" spans="1:7">
      <c r="A49" s="947"/>
      <c r="B49" s="952"/>
      <c r="C49" s="952"/>
      <c r="D49" s="947"/>
      <c r="E49" s="952"/>
      <c r="F49" s="952"/>
      <c r="G49" s="1021"/>
    </row>
    <row r="50" spans="1:7">
      <c r="A50" s="1073"/>
      <c r="B50" s="1073"/>
      <c r="C50" s="952"/>
      <c r="D50" s="952"/>
      <c r="E50" s="952"/>
      <c r="F50" s="952"/>
      <c r="G50" s="952"/>
    </row>
    <row r="51" spans="1:7">
      <c r="A51" s="1182" t="str">
        <f>+PRESUPUESTO!B52</f>
        <v>JESUS EDUARDO ROBLES SMITH</v>
      </c>
      <c r="B51" s="952"/>
      <c r="C51" s="952"/>
      <c r="D51" s="952"/>
      <c r="E51" s="952"/>
      <c r="F51" s="952"/>
      <c r="G51" s="952"/>
    </row>
    <row r="52" spans="1:7">
      <c r="A52" s="1183" t="str">
        <f>+PRESUPUESTO!B53</f>
        <v>INGENIERO CIVIL</v>
      </c>
      <c r="B52" s="952"/>
      <c r="C52" s="952"/>
      <c r="D52" s="952"/>
      <c r="E52" s="952"/>
      <c r="F52" s="952"/>
      <c r="G52" s="952"/>
    </row>
    <row r="53" spans="1:7">
      <c r="A53" s="1183" t="str">
        <f>+PRESUPUESTO!B54</f>
        <v>M.P. 25202-316144 CND</v>
      </c>
      <c r="B53" s="952"/>
      <c r="C53" s="952"/>
      <c r="D53" s="952"/>
      <c r="E53" s="952"/>
      <c r="F53" s="952"/>
      <c r="G53" s="952"/>
    </row>
  </sheetData>
  <mergeCells count="9">
    <mergeCell ref="G30:G35"/>
    <mergeCell ref="G38:G43"/>
    <mergeCell ref="A1:C5"/>
    <mergeCell ref="D1:G5"/>
    <mergeCell ref="A7:E8"/>
    <mergeCell ref="A13:C13"/>
    <mergeCell ref="G13:G19"/>
    <mergeCell ref="A22:B22"/>
    <mergeCell ref="G22:G27"/>
  </mergeCells>
  <pageMargins left="0.7" right="0.7" top="0.75" bottom="0.75" header="0.3" footer="0.3"/>
  <pageSetup scale="84" orientation="portrait" r:id="rId1"/>
  <ignoredErrors>
    <ignoredError sqref="E31" formula="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20"/>
  <dimension ref="A1:I55"/>
  <sheetViews>
    <sheetView view="pageBreakPreview" topLeftCell="A25" zoomScale="85" zoomScaleNormal="100" zoomScaleSheetLayoutView="85" workbookViewId="0">
      <selection activeCell="B39" sqref="B39"/>
    </sheetView>
  </sheetViews>
  <sheetFormatPr baseColWidth="10" defaultColWidth="11.44140625" defaultRowHeight="14.1" customHeight="1"/>
  <cols>
    <col min="1" max="1" width="20.5546875" style="105" customWidth="1"/>
    <col min="2" max="6" width="12.5546875" style="105" customWidth="1"/>
    <col min="7" max="7" width="18.109375" style="105" customWidth="1"/>
    <col min="8" max="16384" width="11.44140625" style="105"/>
  </cols>
  <sheetData>
    <row r="1" spans="1:8" ht="14.1" customHeight="1">
      <c r="A1" s="1632"/>
      <c r="B1" s="1633"/>
      <c r="C1" s="1890"/>
      <c r="D1" s="1884" t="s">
        <v>51</v>
      </c>
      <c r="E1" s="1885"/>
      <c r="F1" s="1885"/>
      <c r="G1" s="1886"/>
    </row>
    <row r="2" spans="1:8" ht="14.1" customHeight="1">
      <c r="A2" s="1595"/>
      <c r="B2" s="1596"/>
      <c r="C2" s="1891"/>
      <c r="D2" s="1801"/>
      <c r="E2" s="1802"/>
      <c r="F2" s="1802"/>
      <c r="G2" s="1803"/>
    </row>
    <row r="3" spans="1:8" ht="14.1" customHeight="1">
      <c r="A3" s="1595"/>
      <c r="B3" s="1596"/>
      <c r="C3" s="1891"/>
      <c r="D3" s="1801"/>
      <c r="E3" s="1802"/>
      <c r="F3" s="1802"/>
      <c r="G3" s="1803"/>
    </row>
    <row r="4" spans="1:8" ht="14.1" customHeight="1">
      <c r="A4" s="1595"/>
      <c r="B4" s="1596"/>
      <c r="C4" s="1891"/>
      <c r="D4" s="1801"/>
      <c r="E4" s="1802"/>
      <c r="F4" s="1802"/>
      <c r="G4" s="1803"/>
    </row>
    <row r="5" spans="1:8" ht="14.1" customHeight="1" thickBot="1">
      <c r="A5" s="1892"/>
      <c r="B5" s="1599"/>
      <c r="C5" s="1893"/>
      <c r="D5" s="1887"/>
      <c r="E5" s="1888"/>
      <c r="F5" s="1888"/>
      <c r="G5" s="1889"/>
    </row>
    <row r="7" spans="1:8" ht="20.100000000000001" customHeight="1">
      <c r="A7" s="1804" t="str">
        <f>+PRESUPUESTO!D2</f>
        <v>"MEJORAMIENTO VIAL MEDIANTE LA CONSTRUCCIÓN DE PAVIMENTO RÍGIDO DE LA PRIMERA ETAPA DE LA VÍA QUE COMUNICA A LA VEREDA PONDORES EN EL CORREGIMIENTO DE CONEJO, MUNICIPIO DE FONSECA - DEPARTAMENTO DE LA GUAJIRA."</v>
      </c>
      <c r="B7" s="1804"/>
      <c r="C7" s="1804"/>
      <c r="D7" s="1804"/>
      <c r="E7" s="1804"/>
      <c r="F7" s="907" t="s">
        <v>522</v>
      </c>
      <c r="G7" s="907" t="str">
        <f>+PRESUPUESTO!C12</f>
        <v>210.2.2</v>
      </c>
    </row>
    <row r="8" spans="1:8" ht="32.25" customHeight="1">
      <c r="A8" s="1804"/>
      <c r="B8" s="1804"/>
      <c r="C8" s="1804"/>
      <c r="D8" s="1804"/>
      <c r="E8" s="1804"/>
      <c r="F8" s="139"/>
      <c r="G8" s="134"/>
    </row>
    <row r="9" spans="1:8" ht="14.1" customHeight="1">
      <c r="A9" s="134"/>
      <c r="B9" s="134"/>
      <c r="C9" s="134"/>
      <c r="D9" s="134"/>
      <c r="E9" s="134"/>
      <c r="F9" s="139"/>
      <c r="G9" s="134"/>
    </row>
    <row r="10" spans="1:8" ht="14.1" customHeight="1">
      <c r="A10" s="134" t="s">
        <v>344</v>
      </c>
      <c r="B10" s="134" t="str">
        <f>+PRESUPUESTO!D12</f>
        <v>Excavaciones en material común de la explanación y canales</v>
      </c>
      <c r="C10" s="134"/>
      <c r="D10" s="134"/>
      <c r="E10" s="134"/>
      <c r="F10" s="1188" t="s">
        <v>28</v>
      </c>
      <c r="G10" s="1188" t="str">
        <f>+PRESUPUESTO!E12</f>
        <v>M3</v>
      </c>
    </row>
    <row r="11" spans="1:8" ht="14.1" customHeight="1">
      <c r="A11" s="134"/>
      <c r="B11" s="134"/>
      <c r="C11" s="134"/>
      <c r="D11" s="134"/>
      <c r="E11" s="134"/>
      <c r="F11" s="134"/>
      <c r="G11" s="134"/>
    </row>
    <row r="12" spans="1:8" ht="14.1" customHeight="1" thickBot="1">
      <c r="A12" s="134" t="s">
        <v>16</v>
      </c>
      <c r="G12" s="444" t="s">
        <v>378</v>
      </c>
    </row>
    <row r="13" spans="1:8" ht="14.1" customHeight="1">
      <c r="A13" s="1632" t="s">
        <v>21</v>
      </c>
      <c r="B13" s="1633"/>
      <c r="C13" s="1824"/>
      <c r="D13" s="140" t="s">
        <v>1</v>
      </c>
      <c r="E13" s="141" t="s">
        <v>8</v>
      </c>
      <c r="F13" s="140" t="s">
        <v>2</v>
      </c>
      <c r="G13" s="1792"/>
    </row>
    <row r="14" spans="1:8" ht="14.1" customHeight="1">
      <c r="A14" s="142" t="str">
        <f>+Equ!B12</f>
        <v>Retroexcavadora  sobre oruga, potencia 138 HP, base de 1.5 m3</v>
      </c>
      <c r="B14" s="143"/>
      <c r="C14" s="144"/>
      <c r="D14" s="110">
        <f>+Equ!$D$12</f>
        <v>250000</v>
      </c>
      <c r="E14" s="110">
        <f>66</f>
        <v>66</v>
      </c>
      <c r="F14" s="110">
        <f>+ROUND(D14/E14,0)</f>
        <v>3788</v>
      </c>
      <c r="G14" s="1793"/>
    </row>
    <row r="15" spans="1:8" ht="14.1" customHeight="1">
      <c r="A15" s="142" t="str">
        <f>+Equ!B14</f>
        <v>Buldozer, Potencia al bvolante de 140 HP, motor 2200 RPM, longitud de hoja de 4.80 m.</v>
      </c>
      <c r="B15" s="143"/>
      <c r="C15" s="144"/>
      <c r="D15" s="110">
        <f>Equ!$D$14</f>
        <v>240000</v>
      </c>
      <c r="E15" s="110">
        <v>100</v>
      </c>
      <c r="F15" s="110">
        <f>+ROUND(D15/E15,0)</f>
        <v>2400</v>
      </c>
      <c r="G15" s="1793"/>
      <c r="H15" s="111"/>
    </row>
    <row r="16" spans="1:8" ht="14.1" customHeight="1">
      <c r="A16" s="142" t="s">
        <v>93</v>
      </c>
      <c r="B16" s="143">
        <v>0.01</v>
      </c>
      <c r="C16" s="144"/>
      <c r="D16" s="110"/>
      <c r="E16" s="110"/>
      <c r="F16" s="110">
        <f>+ROUND(B16*G43,0)</f>
        <v>18</v>
      </c>
      <c r="G16" s="1793"/>
    </row>
    <row r="17" spans="1:7" ht="14.1" customHeight="1">
      <c r="A17" s="142"/>
      <c r="B17" s="177"/>
      <c r="C17" s="144"/>
      <c r="D17" s="110"/>
      <c r="E17" s="110"/>
      <c r="F17" s="110"/>
      <c r="G17" s="1793"/>
    </row>
    <row r="18" spans="1:7" ht="14.1" customHeight="1" thickBot="1">
      <c r="A18" s="147"/>
      <c r="B18" s="148"/>
      <c r="C18" s="149"/>
      <c r="D18" s="150"/>
      <c r="E18" s="150"/>
      <c r="F18" s="150"/>
      <c r="G18" s="1794"/>
    </row>
    <row r="19" spans="1:7" ht="14.1" customHeight="1" thickBot="1">
      <c r="F19" s="105" t="s">
        <v>3</v>
      </c>
      <c r="G19" s="151">
        <f>SUM(F14:F18)</f>
        <v>6206</v>
      </c>
    </row>
    <row r="20" spans="1:7" ht="14.1" customHeight="1" thickBot="1">
      <c r="A20" s="134" t="s">
        <v>17</v>
      </c>
      <c r="G20" s="111"/>
    </row>
    <row r="21" spans="1:7" ht="14.1" customHeight="1">
      <c r="A21" s="1632" t="s">
        <v>21</v>
      </c>
      <c r="B21" s="1824"/>
      <c r="C21" s="140" t="s">
        <v>4</v>
      </c>
      <c r="D21" s="152" t="s">
        <v>5</v>
      </c>
      <c r="E21" s="140" t="s">
        <v>6</v>
      </c>
      <c r="F21" s="140" t="s">
        <v>2</v>
      </c>
      <c r="G21" s="1792"/>
    </row>
    <row r="22" spans="1:7" ht="14.1" customHeight="1">
      <c r="A22" s="142" t="s">
        <v>450</v>
      </c>
      <c r="B22" s="144"/>
      <c r="C22" s="109" t="s">
        <v>0</v>
      </c>
      <c r="D22" s="110">
        <f>+Sum!D51</f>
        <v>7544.79</v>
      </c>
      <c r="E22" s="110">
        <v>1.3</v>
      </c>
      <c r="F22" s="110">
        <f>D22*E22</f>
        <v>9808.2270000000008</v>
      </c>
      <c r="G22" s="1793"/>
    </row>
    <row r="23" spans="1:7" ht="14.1" customHeight="1">
      <c r="A23" s="142"/>
      <c r="B23" s="144"/>
      <c r="C23" s="109"/>
      <c r="D23" s="110"/>
      <c r="E23" s="110"/>
      <c r="F23" s="110"/>
      <c r="G23" s="1793"/>
    </row>
    <row r="24" spans="1:7" ht="14.1" customHeight="1">
      <c r="A24" s="142"/>
      <c r="B24" s="144"/>
      <c r="C24" s="109"/>
      <c r="D24" s="110"/>
      <c r="E24" s="110"/>
      <c r="F24" s="110"/>
      <c r="G24" s="1793"/>
    </row>
    <row r="25" spans="1:7" ht="14.1" customHeight="1">
      <c r="A25" s="153"/>
      <c r="B25" s="115"/>
      <c r="C25" s="176"/>
      <c r="D25" s="146"/>
      <c r="E25" s="146"/>
      <c r="F25" s="110"/>
      <c r="G25" s="1793"/>
    </row>
    <row r="26" spans="1:7" ht="14.1" customHeight="1" thickBot="1">
      <c r="A26" s="147"/>
      <c r="B26" s="149"/>
      <c r="C26" s="154"/>
      <c r="D26" s="150"/>
      <c r="E26" s="150"/>
      <c r="F26" s="150"/>
      <c r="G26" s="1794"/>
    </row>
    <row r="27" spans="1:7" ht="14.1" customHeight="1" thickBot="1">
      <c r="F27" s="105" t="s">
        <v>3</v>
      </c>
      <c r="G27" s="151">
        <f>SUM(F22:F26)</f>
        <v>9808.2270000000008</v>
      </c>
    </row>
    <row r="28" spans="1:7" ht="14.1" customHeight="1" thickBot="1">
      <c r="A28" s="134" t="s">
        <v>18</v>
      </c>
      <c r="G28" s="111"/>
    </row>
    <row r="29" spans="1:7" ht="14.1" customHeight="1">
      <c r="A29" s="155" t="s">
        <v>23</v>
      </c>
      <c r="B29" s="140" t="s">
        <v>46</v>
      </c>
      <c r="C29" s="140" t="s">
        <v>36</v>
      </c>
      <c r="D29" s="152" t="s">
        <v>26</v>
      </c>
      <c r="E29" s="140" t="s">
        <v>25</v>
      </c>
      <c r="F29" s="140" t="s">
        <v>2</v>
      </c>
      <c r="G29" s="1792"/>
    </row>
    <row r="30" spans="1:7" ht="14.1" customHeight="1">
      <c r="A30" s="156"/>
      <c r="B30" s="109"/>
      <c r="C30" s="112"/>
      <c r="D30" s="178"/>
      <c r="E30" s="110"/>
      <c r="F30" s="110"/>
      <c r="G30" s="1793"/>
    </row>
    <row r="31" spans="1:7" ht="14.1" customHeight="1">
      <c r="A31" s="156"/>
      <c r="B31" s="109"/>
      <c r="C31" s="109"/>
      <c r="D31" s="178"/>
      <c r="E31" s="110"/>
      <c r="F31" s="110"/>
      <c r="G31" s="1793"/>
    </row>
    <row r="32" spans="1:7" ht="14.1" customHeight="1">
      <c r="A32" s="156"/>
      <c r="B32" s="109"/>
      <c r="C32" s="109"/>
      <c r="D32" s="178"/>
      <c r="E32" s="110"/>
      <c r="F32" s="110"/>
      <c r="G32" s="1793"/>
    </row>
    <row r="33" spans="1:9" ht="14.1" customHeight="1">
      <c r="A33" s="156"/>
      <c r="B33" s="179"/>
      <c r="C33" s="179"/>
      <c r="D33" s="110"/>
      <c r="E33" s="110"/>
      <c r="F33" s="110"/>
      <c r="G33" s="1793"/>
    </row>
    <row r="34" spans="1:9" ht="14.1" customHeight="1" thickBot="1">
      <c r="A34" s="136"/>
      <c r="B34" s="158"/>
      <c r="C34" s="158"/>
      <c r="D34" s="159"/>
      <c r="E34" s="160"/>
      <c r="F34" s="159"/>
      <c r="G34" s="1794"/>
    </row>
    <row r="35" spans="1:9" ht="14.1" customHeight="1" thickBot="1">
      <c r="F35" s="105" t="s">
        <v>3</v>
      </c>
      <c r="G35" s="151">
        <f>SUM(F30:F34)</f>
        <v>0</v>
      </c>
    </row>
    <row r="36" spans="1:9" ht="14.1" customHeight="1" thickBot="1">
      <c r="A36" s="134" t="s">
        <v>19</v>
      </c>
      <c r="G36" s="111"/>
    </row>
    <row r="37" spans="1:9" ht="14.1" customHeight="1">
      <c r="A37" s="161" t="s">
        <v>24</v>
      </c>
      <c r="B37" s="140" t="s">
        <v>7</v>
      </c>
      <c r="C37" s="140" t="s">
        <v>42</v>
      </c>
      <c r="D37" s="162" t="s">
        <v>27</v>
      </c>
      <c r="E37" s="140" t="s">
        <v>8</v>
      </c>
      <c r="F37" s="140" t="s">
        <v>2</v>
      </c>
      <c r="G37" s="1792"/>
    </row>
    <row r="38" spans="1:9" ht="14.1" customHeight="1">
      <c r="A38" s="142" t="s">
        <v>100</v>
      </c>
      <c r="B38" s="110">
        <f>FP!S51</f>
        <v>189065.66766666668</v>
      </c>
      <c r="C38" s="1308">
        <f>+FP!T47</f>
        <v>1.6529</v>
      </c>
      <c r="D38" s="164">
        <f>ROUND(C38*B38,0)</f>
        <v>312507</v>
      </c>
      <c r="E38" s="164">
        <v>280</v>
      </c>
      <c r="F38" s="164">
        <f>ROUND(D38/E38,0)</f>
        <v>1116</v>
      </c>
      <c r="G38" s="1793"/>
      <c r="I38" s="111"/>
    </row>
    <row r="39" spans="1:9" ht="14.1" customHeight="1">
      <c r="A39" s="142" t="s">
        <v>418</v>
      </c>
      <c r="B39" s="110">
        <f>FP!U51*2</f>
        <v>103389.73913333334</v>
      </c>
      <c r="C39" s="1308">
        <f>+FP!V47</f>
        <v>1.8281000000000001</v>
      </c>
      <c r="D39" s="164">
        <f>ROUND(C39*B39,0)</f>
        <v>189007</v>
      </c>
      <c r="E39" s="164">
        <v>280</v>
      </c>
      <c r="F39" s="164">
        <f>ROUND(D39/E39,0)</f>
        <v>675</v>
      </c>
      <c r="G39" s="1793"/>
    </row>
    <row r="40" spans="1:9" ht="14.1" customHeight="1">
      <c r="A40" s="142"/>
      <c r="B40" s="110"/>
      <c r="C40" s="180"/>
      <c r="D40" s="164"/>
      <c r="E40" s="164"/>
      <c r="F40" s="164"/>
      <c r="G40" s="1793"/>
    </row>
    <row r="41" spans="1:9" ht="14.1" customHeight="1">
      <c r="A41" s="153"/>
      <c r="B41" s="146"/>
      <c r="C41" s="181"/>
      <c r="D41" s="166"/>
      <c r="E41" s="166"/>
      <c r="F41" s="166"/>
      <c r="G41" s="1793"/>
    </row>
    <row r="42" spans="1:9" ht="14.1" customHeight="1" thickBot="1">
      <c r="A42" s="147"/>
      <c r="B42" s="167"/>
      <c r="C42" s="150"/>
      <c r="D42" s="168"/>
      <c r="E42" s="168"/>
      <c r="F42" s="168"/>
      <c r="G42" s="1794"/>
    </row>
    <row r="43" spans="1:9" ht="14.1" customHeight="1" thickBot="1">
      <c r="D43" s="157"/>
      <c r="E43" s="157"/>
      <c r="F43" s="105" t="s">
        <v>3</v>
      </c>
      <c r="G43" s="169">
        <f>SUM(F38:F42)</f>
        <v>1791</v>
      </c>
    </row>
    <row r="44" spans="1:9" ht="14.1" customHeight="1" thickBot="1">
      <c r="G44" s="111"/>
    </row>
    <row r="45" spans="1:9" ht="14.1" customHeight="1" thickBot="1">
      <c r="D45" s="134" t="s">
        <v>10</v>
      </c>
      <c r="G45" s="170">
        <f>ROUND(G19+G27+G35+G43,0)</f>
        <v>17805</v>
      </c>
    </row>
    <row r="46" spans="1:9" ht="14.1" customHeight="1">
      <c r="G46" s="111"/>
    </row>
    <row r="47" spans="1:9" ht="14.1" customHeight="1">
      <c r="G47" s="111"/>
    </row>
    <row r="48" spans="1:9" ht="14.1" customHeight="1">
      <c r="A48" s="134"/>
      <c r="D48" s="134"/>
      <c r="G48" s="175"/>
    </row>
    <row r="49" spans="1:3" ht="14.1" customHeight="1">
      <c r="A49" s="127"/>
      <c r="B49" s="127"/>
      <c r="C49" s="127"/>
    </row>
    <row r="50" spans="1:3" ht="14.1" customHeight="1">
      <c r="A50" s="552" t="str">
        <f>+INTERVENTORIA!B61</f>
        <v>JESUS EDUARDO ROBLES SMITH</v>
      </c>
    </row>
    <row r="51" spans="1:3" ht="14.1" customHeight="1">
      <c r="A51" s="551" t="str">
        <f>+'1,1'!A52</f>
        <v>INGENIERO CIVIL</v>
      </c>
    </row>
    <row r="52" spans="1:3" ht="14.1" customHeight="1">
      <c r="A52" s="551" t="str">
        <f>+'1,1'!A53</f>
        <v>M.P. 25202-316144 CND</v>
      </c>
    </row>
    <row r="53" spans="1:3" ht="14.1" customHeight="1">
      <c r="A53" s="1848"/>
      <c r="B53" s="1848"/>
      <c r="C53" s="1848"/>
    </row>
    <row r="54" spans="1:3" ht="14.1" customHeight="1">
      <c r="A54" s="225"/>
      <c r="B54" s="338"/>
      <c r="C54" s="335"/>
    </row>
    <row r="55" spans="1:3" ht="14.1" customHeight="1">
      <c r="A55" s="225"/>
      <c r="B55" s="335"/>
      <c r="C55" s="335"/>
    </row>
  </sheetData>
  <sheetProtection formatCells="0" formatColumns="0" formatRows="0" insertColumns="0" insertRows="0" insertHyperlinks="0" deleteColumns="0" deleteRows="0" sort="0" autoFilter="0" pivotTables="0"/>
  <mergeCells count="10">
    <mergeCell ref="A53:C53"/>
    <mergeCell ref="A21:B21"/>
    <mergeCell ref="G21:G26"/>
    <mergeCell ref="G29:G34"/>
    <mergeCell ref="G37:G42"/>
    <mergeCell ref="A13:C13"/>
    <mergeCell ref="G13:G18"/>
    <mergeCell ref="A7:E8"/>
    <mergeCell ref="D1:G5"/>
    <mergeCell ref="A1:C5"/>
  </mergeCells>
  <hyperlinks>
    <hyperlink ref="G12" location="PRESUPUESTO!Títulos_a_imprimir" display="PRESUPUESTO!Títulos_a_imprimir" xr:uid="{00000000-0004-0000-0F00-000000000000}"/>
  </hyperlinks>
  <printOptions horizontalCentered="1" verticalCentered="1"/>
  <pageMargins left="0.59055118110236227" right="0.59055118110236227" top="0.78740157480314965" bottom="0.78740157480314965" header="0.59055118110236227" footer="0.59055118110236227"/>
  <pageSetup scale="8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52"/>
  <sheetViews>
    <sheetView view="pageBreakPreview" topLeftCell="A30" zoomScale="85" zoomScaleNormal="100" zoomScaleSheetLayoutView="85" workbookViewId="0">
      <selection activeCell="E40" sqref="E40"/>
    </sheetView>
  </sheetViews>
  <sheetFormatPr baseColWidth="10" defaultColWidth="8.88671875" defaultRowHeight="13.2"/>
  <cols>
    <col min="1" max="1" width="20.5546875" style="945" customWidth="1"/>
    <col min="2" max="4" width="12.5546875" style="945" customWidth="1"/>
    <col min="5" max="5" width="15.33203125" style="945" customWidth="1"/>
    <col min="6" max="6" width="12.5546875" style="945" customWidth="1"/>
    <col min="7" max="7" width="15.5546875" style="945" customWidth="1"/>
    <col min="8" max="16384" width="8.88671875" style="945"/>
  </cols>
  <sheetData>
    <row r="1" spans="1:7">
      <c r="A1" s="1864"/>
      <c r="B1" s="1865"/>
      <c r="C1" s="1866"/>
      <c r="D1" s="1873" t="s">
        <v>51</v>
      </c>
      <c r="E1" s="1874"/>
      <c r="F1" s="1874"/>
      <c r="G1" s="1875"/>
    </row>
    <row r="2" spans="1:7">
      <c r="A2" s="1867"/>
      <c r="B2" s="1868"/>
      <c r="C2" s="1869"/>
      <c r="D2" s="1876"/>
      <c r="E2" s="1877"/>
      <c r="F2" s="1877"/>
      <c r="G2" s="1878"/>
    </row>
    <row r="3" spans="1:7">
      <c r="A3" s="1867"/>
      <c r="B3" s="1868"/>
      <c r="C3" s="1869"/>
      <c r="D3" s="1876"/>
      <c r="E3" s="1877"/>
      <c r="F3" s="1877"/>
      <c r="G3" s="1878"/>
    </row>
    <row r="4" spans="1:7">
      <c r="A4" s="1867"/>
      <c r="B4" s="1868"/>
      <c r="C4" s="1869"/>
      <c r="D4" s="1876"/>
      <c r="E4" s="1877"/>
      <c r="F4" s="1877"/>
      <c r="G4" s="1878"/>
    </row>
    <row r="5" spans="1:7" ht="13.8" thickBot="1">
      <c r="A5" s="1870"/>
      <c r="B5" s="1895"/>
      <c r="C5" s="1872"/>
      <c r="D5" s="1879"/>
      <c r="E5" s="1896"/>
      <c r="F5" s="1896"/>
      <c r="G5" s="1881"/>
    </row>
    <row r="6" spans="1:7">
      <c r="A6" s="952"/>
      <c r="B6" s="952"/>
      <c r="C6" s="952"/>
      <c r="D6" s="952"/>
      <c r="E6" s="952"/>
      <c r="F6" s="952"/>
      <c r="G6" s="952"/>
    </row>
    <row r="7" spans="1:7">
      <c r="A7" s="1882" t="str">
        <f>+PRESUPUESTO!D2</f>
        <v>"MEJORAMIENTO VIAL MEDIANTE LA CONSTRUCCIÓN DE PAVIMENTO RÍGIDO DE LA PRIMERA ETAPA DE LA VÍA QUE COMUNICA A LA VEREDA PONDORES EN EL CORREGIMIENTO DE CONEJO, MUNICIPIO DE FONSECA - DEPARTAMENTO DE LA GUAJIRA."</v>
      </c>
      <c r="B7" s="1882"/>
      <c r="C7" s="1882"/>
      <c r="D7" s="1882"/>
      <c r="E7" s="1882"/>
      <c r="F7" s="907" t="s">
        <v>569</v>
      </c>
      <c r="G7" s="907">
        <f>+PRESUPUESTO!C13</f>
        <v>900.2</v>
      </c>
    </row>
    <row r="8" spans="1:7">
      <c r="A8" s="1882"/>
      <c r="B8" s="1882"/>
      <c r="C8" s="1882"/>
      <c r="D8" s="1882"/>
      <c r="E8" s="1882"/>
      <c r="F8" s="953"/>
      <c r="G8" s="947"/>
    </row>
    <row r="9" spans="1:7">
      <c r="A9" s="947"/>
      <c r="B9" s="947"/>
      <c r="C9" s="947"/>
      <c r="D9" s="947"/>
      <c r="E9" s="947"/>
      <c r="F9" s="953"/>
      <c r="G9" s="947"/>
    </row>
    <row r="10" spans="1:7">
      <c r="A10" s="947" t="s">
        <v>344</v>
      </c>
      <c r="B10" s="947" t="str">
        <f>+PRESUPUESTO!D13</f>
        <v>Transporte de materiales provenientes de la excavación de la explanación, canales y préstamos para distancias mayores de mil metros (1000 m)</v>
      </c>
      <c r="C10" s="947"/>
      <c r="D10" s="947"/>
      <c r="E10" s="947"/>
      <c r="F10" s="1174" t="s">
        <v>28</v>
      </c>
      <c r="G10" s="1174" t="str">
        <f>+PRESUPUESTO!E13</f>
        <v>M3</v>
      </c>
    </row>
    <row r="11" spans="1:7">
      <c r="A11" s="947"/>
      <c r="B11" s="947"/>
      <c r="C11" s="947"/>
      <c r="D11" s="947"/>
      <c r="E11" s="947"/>
      <c r="F11" s="947"/>
      <c r="G11" s="947"/>
    </row>
    <row r="12" spans="1:7" ht="40.200000000000003" thickBot="1">
      <c r="A12" s="947" t="s">
        <v>16</v>
      </c>
      <c r="B12" s="952"/>
      <c r="C12" s="952"/>
      <c r="D12" s="952"/>
      <c r="E12" s="952"/>
      <c r="F12" s="952"/>
      <c r="G12" s="444" t="s">
        <v>378</v>
      </c>
    </row>
    <row r="13" spans="1:7">
      <c r="A13" s="1864" t="s">
        <v>21</v>
      </c>
      <c r="B13" s="1865"/>
      <c r="C13" s="1883"/>
      <c r="D13" s="955" t="s">
        <v>1</v>
      </c>
      <c r="E13" s="956" t="s">
        <v>8</v>
      </c>
      <c r="F13" s="955" t="s">
        <v>2</v>
      </c>
      <c r="G13" s="1861"/>
    </row>
    <row r="14" spans="1:7">
      <c r="A14" s="957"/>
      <c r="B14" s="961"/>
      <c r="C14" s="959"/>
      <c r="D14" s="960"/>
      <c r="E14" s="960"/>
      <c r="F14" s="960"/>
      <c r="G14" s="1862"/>
    </row>
    <row r="15" spans="1:7">
      <c r="A15" s="957"/>
      <c r="B15" s="961"/>
      <c r="C15" s="959"/>
      <c r="D15" s="960"/>
      <c r="E15" s="960"/>
      <c r="F15" s="960"/>
      <c r="G15" s="1862"/>
    </row>
    <row r="16" spans="1:7">
      <c r="A16" s="957"/>
      <c r="B16" s="958"/>
      <c r="C16" s="959"/>
      <c r="D16" s="960"/>
      <c r="E16" s="960"/>
      <c r="F16" s="960"/>
      <c r="G16" s="1862"/>
    </row>
    <row r="17" spans="1:7">
      <c r="A17" s="957"/>
      <c r="B17" s="958"/>
      <c r="C17" s="959"/>
      <c r="D17" s="960"/>
      <c r="E17" s="960"/>
      <c r="F17" s="960"/>
      <c r="G17" s="1862"/>
    </row>
    <row r="18" spans="1:7" ht="13.8" thickBot="1">
      <c r="A18" s="962"/>
      <c r="B18" s="963"/>
      <c r="C18" s="964"/>
      <c r="D18" s="965"/>
      <c r="E18" s="965"/>
      <c r="F18" s="965"/>
      <c r="G18" s="1894"/>
    </row>
    <row r="19" spans="1:7" ht="13.8" thickBot="1">
      <c r="A19" s="952"/>
      <c r="B19" s="952"/>
      <c r="C19" s="952"/>
      <c r="D19" s="952"/>
      <c r="E19" s="952"/>
      <c r="F19" s="952" t="s">
        <v>3</v>
      </c>
      <c r="G19" s="966">
        <f>SUM(F14:F18)</f>
        <v>0</v>
      </c>
    </row>
    <row r="20" spans="1:7" ht="13.8" thickBot="1">
      <c r="A20" s="947" t="s">
        <v>17</v>
      </c>
      <c r="B20" s="952"/>
      <c r="C20" s="952"/>
      <c r="D20" s="952"/>
      <c r="E20" s="952"/>
      <c r="F20" s="952"/>
      <c r="G20" s="967"/>
    </row>
    <row r="21" spans="1:7">
      <c r="A21" s="1864" t="s">
        <v>21</v>
      </c>
      <c r="B21" s="1883"/>
      <c r="C21" s="955" t="s">
        <v>4</v>
      </c>
      <c r="D21" s="969" t="s">
        <v>5</v>
      </c>
      <c r="E21" s="955" t="s">
        <v>6</v>
      </c>
      <c r="F21" s="955" t="s">
        <v>2</v>
      </c>
      <c r="G21" s="1861"/>
    </row>
    <row r="22" spans="1:7">
      <c r="A22" s="957"/>
      <c r="B22" s="959"/>
      <c r="C22" s="971"/>
      <c r="D22" s="960"/>
      <c r="E22" s="960"/>
      <c r="F22" s="960"/>
      <c r="G22" s="1862"/>
    </row>
    <row r="23" spans="1:7">
      <c r="A23" s="957"/>
      <c r="B23" s="959"/>
      <c r="C23" s="971"/>
      <c r="D23" s="960"/>
      <c r="E23" s="960"/>
      <c r="F23" s="960"/>
      <c r="G23" s="1862"/>
    </row>
    <row r="24" spans="1:7">
      <c r="A24" s="957"/>
      <c r="B24" s="959"/>
      <c r="C24" s="971"/>
      <c r="D24" s="960"/>
      <c r="E24" s="960"/>
      <c r="F24" s="960"/>
      <c r="G24" s="1862"/>
    </row>
    <row r="25" spans="1:7">
      <c r="A25" s="973"/>
      <c r="B25" s="1015"/>
      <c r="C25" s="974"/>
      <c r="D25" s="975"/>
      <c r="E25" s="975"/>
      <c r="F25" s="960"/>
      <c r="G25" s="1862"/>
    </row>
    <row r="26" spans="1:7" ht="13.8" thickBot="1">
      <c r="A26" s="962"/>
      <c r="B26" s="964"/>
      <c r="C26" s="977"/>
      <c r="D26" s="965"/>
      <c r="E26" s="965"/>
      <c r="F26" s="965"/>
      <c r="G26" s="1894"/>
    </row>
    <row r="27" spans="1:7" ht="13.8" thickBot="1">
      <c r="A27" s="952"/>
      <c r="B27" s="952"/>
      <c r="C27" s="952"/>
      <c r="D27" s="952"/>
      <c r="E27" s="952"/>
      <c r="F27" s="952" t="s">
        <v>3</v>
      </c>
      <c r="G27" s="966">
        <f>SUM(F22:F26)</f>
        <v>0</v>
      </c>
    </row>
    <row r="28" spans="1:7" ht="13.8" thickBot="1">
      <c r="A28" s="947" t="s">
        <v>18</v>
      </c>
      <c r="B28" s="952"/>
      <c r="C28" s="952"/>
      <c r="D28" s="952"/>
      <c r="E28" s="952"/>
      <c r="F28" s="952"/>
      <c r="G28" s="967"/>
    </row>
    <row r="29" spans="1:7">
      <c r="A29" s="1023" t="s">
        <v>23</v>
      </c>
      <c r="B29" s="955" t="s">
        <v>46</v>
      </c>
      <c r="C29" s="955" t="s">
        <v>36</v>
      </c>
      <c r="D29" s="969" t="s">
        <v>26</v>
      </c>
      <c r="E29" s="955" t="s">
        <v>25</v>
      </c>
      <c r="F29" s="955" t="s">
        <v>2</v>
      </c>
      <c r="G29" s="1861"/>
    </row>
    <row r="30" spans="1:7" ht="26.4">
      <c r="A30" s="1342" t="s">
        <v>571</v>
      </c>
      <c r="B30" s="971">
        <v>1.3</v>
      </c>
      <c r="C30" s="1022">
        <f>+Transporte!D11</f>
        <v>13</v>
      </c>
      <c r="D30" s="1017">
        <f>+B30*C30</f>
        <v>16.900000000000002</v>
      </c>
      <c r="E30" s="960">
        <f>+Transporte!D25</f>
        <v>1400</v>
      </c>
      <c r="F30" s="960">
        <f>+D30*E30</f>
        <v>23660.000000000004</v>
      </c>
      <c r="G30" s="1862"/>
    </row>
    <row r="31" spans="1:7">
      <c r="A31" s="1016"/>
      <c r="B31" s="971"/>
      <c r="C31" s="971"/>
      <c r="D31" s="1017"/>
      <c r="E31" s="960"/>
      <c r="F31" s="960"/>
      <c r="G31" s="1862"/>
    </row>
    <row r="32" spans="1:7">
      <c r="A32" s="1016"/>
      <c r="B32" s="971"/>
      <c r="C32" s="971"/>
      <c r="D32" s="1017"/>
      <c r="E32" s="960"/>
      <c r="F32" s="960"/>
      <c r="G32" s="1862"/>
    </row>
    <row r="33" spans="1:7">
      <c r="A33" s="1016"/>
      <c r="B33" s="987"/>
      <c r="C33" s="987"/>
      <c r="D33" s="960"/>
      <c r="E33" s="960"/>
      <c r="F33" s="960"/>
      <c r="G33" s="1862"/>
    </row>
    <row r="34" spans="1:7" ht="13.8" thickBot="1">
      <c r="A34" s="949"/>
      <c r="B34" s="1024"/>
      <c r="C34" s="1024"/>
      <c r="D34" s="1058"/>
      <c r="E34" s="1025"/>
      <c r="F34" s="1058"/>
      <c r="G34" s="1894"/>
    </row>
    <row r="35" spans="1:7" ht="13.8" thickBot="1">
      <c r="A35" s="952"/>
      <c r="B35" s="952"/>
      <c r="C35" s="952"/>
      <c r="D35" s="952"/>
      <c r="E35" s="952"/>
      <c r="F35" s="952" t="s">
        <v>3</v>
      </c>
      <c r="G35" s="966">
        <f>SUM(F30:F34)</f>
        <v>23660.000000000004</v>
      </c>
    </row>
    <row r="36" spans="1:7" ht="13.8" thickBot="1">
      <c r="A36" s="947" t="s">
        <v>19</v>
      </c>
      <c r="B36" s="952"/>
      <c r="C36" s="952"/>
      <c r="D36" s="952"/>
      <c r="E36" s="952"/>
      <c r="F36" s="952"/>
      <c r="G36" s="967"/>
    </row>
    <row r="37" spans="1:7">
      <c r="A37" s="984" t="s">
        <v>24</v>
      </c>
      <c r="B37" s="955" t="s">
        <v>7</v>
      </c>
      <c r="C37" s="955" t="s">
        <v>42</v>
      </c>
      <c r="D37" s="985" t="s">
        <v>27</v>
      </c>
      <c r="E37" s="955" t="s">
        <v>8</v>
      </c>
      <c r="F37" s="955" t="s">
        <v>2</v>
      </c>
      <c r="G37" s="1861"/>
    </row>
    <row r="38" spans="1:7">
      <c r="A38" s="957"/>
      <c r="B38" s="960"/>
      <c r="C38" s="972"/>
      <c r="D38" s="986"/>
      <c r="E38" s="986"/>
      <c r="F38" s="986"/>
      <c r="G38" s="1862"/>
    </row>
    <row r="39" spans="1:7">
      <c r="A39" s="957"/>
      <c r="B39" s="960"/>
      <c r="C39" s="972"/>
      <c r="D39" s="986"/>
      <c r="E39" s="986"/>
      <c r="F39" s="986"/>
      <c r="G39" s="1862"/>
    </row>
    <row r="40" spans="1:7">
      <c r="A40" s="957"/>
      <c r="B40" s="960"/>
      <c r="C40" s="1018"/>
      <c r="D40" s="986"/>
      <c r="E40" s="986"/>
      <c r="F40" s="986"/>
      <c r="G40" s="1862"/>
    </row>
    <row r="41" spans="1:7">
      <c r="A41" s="973"/>
      <c r="B41" s="975"/>
      <c r="C41" s="1019"/>
      <c r="D41" s="1020"/>
      <c r="E41" s="1020"/>
      <c r="F41" s="1020"/>
      <c r="G41" s="1862"/>
    </row>
    <row r="42" spans="1:7" ht="13.8" thickBot="1">
      <c r="A42" s="962"/>
      <c r="B42" s="982"/>
      <c r="C42" s="965"/>
      <c r="D42" s="989"/>
      <c r="E42" s="989"/>
      <c r="F42" s="989"/>
      <c r="G42" s="1894"/>
    </row>
    <row r="43" spans="1:7" ht="13.8" thickBot="1">
      <c r="A43" s="952"/>
      <c r="B43" s="952"/>
      <c r="C43" s="952"/>
      <c r="D43" s="157"/>
      <c r="E43" s="157"/>
      <c r="F43" s="952" t="s">
        <v>3</v>
      </c>
      <c r="G43" s="169">
        <f>SUM(F38:F42)</f>
        <v>0</v>
      </c>
    </row>
    <row r="44" spans="1:7" ht="13.8" thickBot="1">
      <c r="A44" s="952"/>
      <c r="B44" s="952"/>
      <c r="C44" s="952"/>
      <c r="D44" s="952"/>
      <c r="E44" s="952"/>
      <c r="F44" s="952"/>
      <c r="G44" s="967"/>
    </row>
    <row r="45" spans="1:7" ht="13.8" thickBot="1">
      <c r="A45" s="952"/>
      <c r="B45" s="952"/>
      <c r="C45" s="952"/>
      <c r="D45" s="947" t="s">
        <v>10</v>
      </c>
      <c r="E45" s="952"/>
      <c r="F45" s="952"/>
      <c r="G45" s="170">
        <f>ROUND(G19+G27+G35+G43,0)</f>
        <v>23660</v>
      </c>
    </row>
    <row r="46" spans="1:7">
      <c r="A46" s="952"/>
      <c r="B46" s="952"/>
      <c r="C46" s="952"/>
      <c r="D46" s="952"/>
      <c r="E46" s="952"/>
      <c r="F46" s="952"/>
      <c r="G46" s="967"/>
    </row>
    <row r="47" spans="1:7">
      <c r="A47" s="952"/>
      <c r="B47" s="952"/>
      <c r="C47" s="952"/>
      <c r="D47" s="952"/>
      <c r="E47" s="952"/>
      <c r="F47" s="952"/>
      <c r="G47" s="967"/>
    </row>
    <row r="48" spans="1:7">
      <c r="A48" s="947"/>
      <c r="B48" s="952"/>
      <c r="C48" s="952"/>
      <c r="D48" s="947"/>
      <c r="E48" s="952"/>
      <c r="F48" s="952"/>
      <c r="G48" s="1021"/>
    </row>
    <row r="49" spans="1:7">
      <c r="A49" s="1073"/>
      <c r="B49" s="1073"/>
      <c r="C49" s="952"/>
      <c r="D49" s="952"/>
      <c r="E49" s="952"/>
      <c r="F49" s="952"/>
      <c r="G49" s="952"/>
    </row>
    <row r="50" spans="1:7">
      <c r="A50" s="1059" t="str">
        <f>+'1,2'!A50</f>
        <v>JESUS EDUARDO ROBLES SMITH</v>
      </c>
      <c r="B50" s="952"/>
      <c r="C50" s="952"/>
      <c r="D50" s="952"/>
      <c r="E50" s="952"/>
      <c r="F50" s="952"/>
      <c r="G50" s="952"/>
    </row>
    <row r="51" spans="1:7">
      <c r="A51" s="1060" t="str">
        <f>+'1,2'!A51</f>
        <v>INGENIERO CIVIL</v>
      </c>
      <c r="B51" s="952"/>
      <c r="C51" s="952"/>
      <c r="D51" s="952"/>
      <c r="E51" s="952"/>
      <c r="F51" s="952"/>
      <c r="G51" s="952"/>
    </row>
    <row r="52" spans="1:7">
      <c r="A52" s="1060" t="str">
        <f>+'1,2'!A52</f>
        <v>M.P. 25202-316144 CND</v>
      </c>
      <c r="B52" s="952"/>
      <c r="C52" s="952"/>
      <c r="D52" s="952"/>
      <c r="E52" s="952"/>
      <c r="F52" s="952"/>
      <c r="G52" s="952"/>
    </row>
  </sheetData>
  <mergeCells count="9">
    <mergeCell ref="G29:G34"/>
    <mergeCell ref="G37:G42"/>
    <mergeCell ref="A1:C5"/>
    <mergeCell ref="D1:G5"/>
    <mergeCell ref="A7:E8"/>
    <mergeCell ref="A13:C13"/>
    <mergeCell ref="G13:G18"/>
    <mergeCell ref="A21:B21"/>
    <mergeCell ref="G21:G26"/>
  </mergeCells>
  <hyperlinks>
    <hyperlink ref="G12" location="PRESUPUESTO!Títulos_a_imprimir" display="PRESUPUESTO!Títulos_a_imprimir" xr:uid="{00000000-0004-0000-1000-000000000000}"/>
  </hyperlinks>
  <pageMargins left="0.7" right="0.7" top="0.75" bottom="0.75" header="0.3" footer="0.3"/>
  <pageSetup scale="89" orientation="portrait" r:id="rId1"/>
  <ignoredErrors>
    <ignoredError sqref="E30" 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53"/>
  <sheetViews>
    <sheetView view="pageBreakPreview" topLeftCell="A21" zoomScale="84" zoomScaleNormal="100" zoomScaleSheetLayoutView="84" workbookViewId="0">
      <selection activeCell="B41" sqref="B41"/>
    </sheetView>
  </sheetViews>
  <sheetFormatPr baseColWidth="10" defaultColWidth="11.44140625" defaultRowHeight="13.2"/>
  <cols>
    <col min="1" max="1" width="20.5546875" customWidth="1"/>
    <col min="2" max="6" width="12.5546875" customWidth="1"/>
    <col min="7" max="7" width="20.44140625" customWidth="1"/>
  </cols>
  <sheetData>
    <row r="1" spans="1:7">
      <c r="A1" s="1632"/>
      <c r="B1" s="1633"/>
      <c r="C1" s="1890"/>
      <c r="D1" s="1884" t="s">
        <v>51</v>
      </c>
      <c r="E1" s="1885"/>
      <c r="F1" s="1885"/>
      <c r="G1" s="1886"/>
    </row>
    <row r="2" spans="1:7">
      <c r="A2" s="1595"/>
      <c r="B2" s="1596"/>
      <c r="C2" s="1891"/>
      <c r="D2" s="1801"/>
      <c r="E2" s="1802"/>
      <c r="F2" s="1802"/>
      <c r="G2" s="1803"/>
    </row>
    <row r="3" spans="1:7">
      <c r="A3" s="1595"/>
      <c r="B3" s="1596"/>
      <c r="C3" s="1891"/>
      <c r="D3" s="1801"/>
      <c r="E3" s="1802"/>
      <c r="F3" s="1802"/>
      <c r="G3" s="1803"/>
    </row>
    <row r="4" spans="1:7">
      <c r="A4" s="1595"/>
      <c r="B4" s="1596"/>
      <c r="C4" s="1891"/>
      <c r="D4" s="1801"/>
      <c r="E4" s="1802"/>
      <c r="F4" s="1802"/>
      <c r="G4" s="1803"/>
    </row>
    <row r="5" spans="1:7" ht="13.8" thickBot="1">
      <c r="A5" s="1892"/>
      <c r="B5" s="1599"/>
      <c r="C5" s="1893"/>
      <c r="D5" s="1887"/>
      <c r="E5" s="1888"/>
      <c r="F5" s="1802"/>
      <c r="G5" s="1803"/>
    </row>
    <row r="6" spans="1:7">
      <c r="A6" s="105"/>
      <c r="B6" s="105"/>
      <c r="C6" s="105"/>
      <c r="D6" s="105"/>
      <c r="E6" s="105"/>
      <c r="F6" s="901"/>
      <c r="G6" s="901"/>
    </row>
    <row r="7" spans="1:7">
      <c r="A7" s="1804" t="str">
        <f>+PRESUPUESTO!D2</f>
        <v>"MEJORAMIENTO VIAL MEDIANTE LA CONSTRUCCIÓN DE PAVIMENTO RÍGIDO DE LA PRIMERA ETAPA DE LA VÍA QUE COMUNICA A LA VEREDA PONDORES EN EL CORREGIMIENTO DE CONEJO, MUNICIPIO DE FONSECA - DEPARTAMENTO DE LA GUAJIRA."</v>
      </c>
      <c r="B7" s="1804"/>
      <c r="C7" s="1804"/>
      <c r="D7" s="1804"/>
      <c r="E7" s="1804"/>
      <c r="F7" s="907" t="s">
        <v>522</v>
      </c>
      <c r="G7" s="907">
        <f>+PRESUPUESTO!C17</f>
        <v>220.1</v>
      </c>
    </row>
    <row r="8" spans="1:7">
      <c r="A8" s="1804"/>
      <c r="B8" s="1804"/>
      <c r="C8" s="1804"/>
      <c r="D8" s="1804"/>
      <c r="E8" s="1804"/>
      <c r="F8" s="139"/>
      <c r="G8" s="134"/>
    </row>
    <row r="9" spans="1:7">
      <c r="A9" s="134"/>
      <c r="B9" s="134"/>
      <c r="C9" s="134"/>
      <c r="D9" s="134"/>
      <c r="E9" s="134"/>
      <c r="F9" s="139"/>
      <c r="G9" s="134"/>
    </row>
    <row r="10" spans="1:7">
      <c r="A10" s="134" t="s">
        <v>343</v>
      </c>
      <c r="B10" s="134" t="str">
        <f>+PRESUPUESTO!D17</f>
        <v>Terraplenes</v>
      </c>
      <c r="C10" s="134"/>
      <c r="D10" s="134"/>
      <c r="E10" s="134"/>
      <c r="F10" s="1188" t="s">
        <v>28</v>
      </c>
      <c r="G10" s="1188" t="str">
        <f>+PRESUPUESTO!E17</f>
        <v>M3</v>
      </c>
    </row>
    <row r="11" spans="1:7">
      <c r="A11" s="134"/>
      <c r="B11" s="134"/>
      <c r="C11" s="134"/>
      <c r="D11" s="134"/>
      <c r="E11" s="134"/>
      <c r="F11" s="134"/>
      <c r="G11" s="134"/>
    </row>
    <row r="12" spans="1:7" ht="27" thickBot="1">
      <c r="A12" s="134" t="s">
        <v>16</v>
      </c>
      <c r="B12" s="105"/>
      <c r="C12" s="105"/>
      <c r="D12" s="105"/>
      <c r="E12" s="105"/>
      <c r="F12" s="105"/>
      <c r="G12" s="444" t="s">
        <v>378</v>
      </c>
    </row>
    <row r="13" spans="1:7">
      <c r="A13" s="1632" t="s">
        <v>21</v>
      </c>
      <c r="B13" s="1633"/>
      <c r="C13" s="1824"/>
      <c r="D13" s="140" t="s">
        <v>1</v>
      </c>
      <c r="E13" s="141" t="s">
        <v>8</v>
      </c>
      <c r="F13" s="140" t="s">
        <v>2</v>
      </c>
      <c r="G13" s="1792"/>
    </row>
    <row r="14" spans="1:7">
      <c r="A14" s="142" t="str">
        <f>+Equ!B23</f>
        <v>Carrotanque de agua (1000 Galones)</v>
      </c>
      <c r="B14" s="177"/>
      <c r="C14" s="372"/>
      <c r="D14" s="373">
        <f>+Equ!D23</f>
        <v>60000</v>
      </c>
      <c r="E14" s="110">
        <v>50</v>
      </c>
      <c r="F14" s="110">
        <f>+ROUND(D14/E14,0)</f>
        <v>1200</v>
      </c>
      <c r="G14" s="1793"/>
    </row>
    <row r="15" spans="1:7">
      <c r="A15" s="142" t="str">
        <f>+Equ!B24</f>
        <v>Vibrocompactador 153 HP, peso 10 Ton</v>
      </c>
      <c r="B15" s="177"/>
      <c r="C15" s="372"/>
      <c r="D15" s="373">
        <f>+Equ!D24</f>
        <v>110000</v>
      </c>
      <c r="E15" s="110">
        <v>50</v>
      </c>
      <c r="F15" s="110">
        <f>+ROUND(D15/E15,0)</f>
        <v>2200</v>
      </c>
      <c r="G15" s="1793"/>
    </row>
    <row r="16" spans="1:7">
      <c r="A16" s="145" t="str">
        <f>+Equ!B28</f>
        <v>Motoniveladora 215 HP, ancho de cuchilla a 4.27 m, peso 18 Ton.</v>
      </c>
      <c r="B16" s="127"/>
      <c r="C16" s="554"/>
      <c r="D16" s="555">
        <f>+Equ!D28</f>
        <v>201471.74</v>
      </c>
      <c r="E16" s="556">
        <f>+E15</f>
        <v>50</v>
      </c>
      <c r="F16" s="110">
        <f>+ROUND(D16/E16,0)</f>
        <v>4029</v>
      </c>
      <c r="G16" s="1793"/>
    </row>
    <row r="17" spans="1:7">
      <c r="A17" s="1899" t="str">
        <f>+Equ!B14</f>
        <v>Buldozer, Potencia al bvolante de 140 HP, motor 2200 RPM, longitud de hoja de 4.80 m.</v>
      </c>
      <c r="B17" s="1900"/>
      <c r="C17" s="1901"/>
      <c r="D17" s="1305">
        <f>+Equ!D14</f>
        <v>240000</v>
      </c>
      <c r="E17" s="1306">
        <v>50</v>
      </c>
      <c r="F17" s="110">
        <f>+ROUND(D17/E17,0)</f>
        <v>4800</v>
      </c>
      <c r="G17" s="1793"/>
    </row>
    <row r="18" spans="1:7">
      <c r="A18" s="145"/>
      <c r="B18" s="374"/>
      <c r="C18" s="128"/>
      <c r="D18" s="180"/>
      <c r="E18" s="110"/>
      <c r="F18" s="110"/>
      <c r="G18" s="1793"/>
    </row>
    <row r="19" spans="1:7">
      <c r="A19" s="375"/>
      <c r="B19" s="376"/>
      <c r="C19" s="121"/>
      <c r="D19" s="146"/>
      <c r="E19" s="146"/>
      <c r="F19" s="110"/>
      <c r="G19" s="1793"/>
    </row>
    <row r="20" spans="1:7" ht="13.8" thickBot="1">
      <c r="A20" s="147"/>
      <c r="B20" s="148"/>
      <c r="C20" s="149"/>
      <c r="D20" s="150"/>
      <c r="E20" s="150"/>
      <c r="F20" s="150"/>
      <c r="G20" s="1794"/>
    </row>
    <row r="21" spans="1:7" ht="13.8" thickBot="1">
      <c r="A21" s="105"/>
      <c r="B21" s="105"/>
      <c r="C21" s="105"/>
      <c r="D21" s="105"/>
      <c r="E21" s="105"/>
      <c r="F21" s="105" t="s">
        <v>3</v>
      </c>
      <c r="G21" s="151">
        <f>SUM(F14:F20)</f>
        <v>12229</v>
      </c>
    </row>
    <row r="22" spans="1:7" ht="13.8" thickBot="1">
      <c r="A22" s="134" t="s">
        <v>17</v>
      </c>
      <c r="B22" s="105"/>
      <c r="C22" s="105"/>
      <c r="D22" s="105"/>
      <c r="E22" s="105"/>
      <c r="F22" s="105"/>
      <c r="G22" s="111"/>
    </row>
    <row r="23" spans="1:7">
      <c r="A23" s="1632" t="s">
        <v>21</v>
      </c>
      <c r="B23" s="1824"/>
      <c r="C23" s="140" t="s">
        <v>4</v>
      </c>
      <c r="D23" s="152" t="s">
        <v>5</v>
      </c>
      <c r="E23" s="140" t="s">
        <v>6</v>
      </c>
      <c r="F23" s="140" t="s">
        <v>2</v>
      </c>
      <c r="G23" s="1792"/>
    </row>
    <row r="24" spans="1:7">
      <c r="A24" s="1897" t="str">
        <f>+Sum!B20</f>
        <v>Material de afirmado</v>
      </c>
      <c r="B24" s="1898"/>
      <c r="C24" s="109" t="str">
        <f>+Sum!C20</f>
        <v>m3</v>
      </c>
      <c r="D24" s="110">
        <f>+Sum!D20</f>
        <v>31292.725640417098</v>
      </c>
      <c r="E24" s="110">
        <v>1.3</v>
      </c>
      <c r="F24" s="110">
        <f>ROUND(D24*E24,0)</f>
        <v>40681</v>
      </c>
      <c r="G24" s="1793"/>
    </row>
    <row r="25" spans="1:7">
      <c r="A25" s="1897"/>
      <c r="B25" s="1898"/>
      <c r="C25" s="109"/>
      <c r="D25" s="110"/>
      <c r="E25" s="110"/>
      <c r="F25" s="110"/>
      <c r="G25" s="1793"/>
    </row>
    <row r="26" spans="1:7">
      <c r="A26" s="142"/>
      <c r="B26" s="144"/>
      <c r="C26" s="109"/>
      <c r="D26" s="110"/>
      <c r="E26" s="110"/>
      <c r="F26" s="110"/>
      <c r="G26" s="1793"/>
    </row>
    <row r="27" spans="1:7">
      <c r="A27" s="153"/>
      <c r="B27" s="115"/>
      <c r="C27" s="176"/>
      <c r="D27" s="146"/>
      <c r="E27" s="146"/>
      <c r="F27" s="110"/>
      <c r="G27" s="1793"/>
    </row>
    <row r="28" spans="1:7" ht="13.8" thickBot="1">
      <c r="A28" s="147"/>
      <c r="B28" s="149"/>
      <c r="C28" s="154"/>
      <c r="D28" s="150"/>
      <c r="E28" s="150"/>
      <c r="F28" s="150"/>
      <c r="G28" s="1794"/>
    </row>
    <row r="29" spans="1:7" ht="13.8" thickBot="1">
      <c r="A29" s="105"/>
      <c r="B29" s="105"/>
      <c r="C29" s="105"/>
      <c r="D29" s="105"/>
      <c r="E29" s="105"/>
      <c r="F29" s="105" t="s">
        <v>3</v>
      </c>
      <c r="G29" s="151">
        <f>SUM(F24:F28)</f>
        <v>40681</v>
      </c>
    </row>
    <row r="30" spans="1:7" ht="13.8" thickBot="1">
      <c r="A30" s="134" t="s">
        <v>18</v>
      </c>
      <c r="B30" s="105"/>
      <c r="C30" s="105"/>
      <c r="D30" s="105"/>
      <c r="E30" s="105"/>
      <c r="F30" s="105"/>
      <c r="G30" s="111"/>
    </row>
    <row r="31" spans="1:7">
      <c r="A31" s="155" t="s">
        <v>23</v>
      </c>
      <c r="B31" s="140" t="s">
        <v>46</v>
      </c>
      <c r="C31" s="140" t="s">
        <v>36</v>
      </c>
      <c r="D31" s="152" t="s">
        <v>26</v>
      </c>
      <c r="E31" s="140" t="s">
        <v>25</v>
      </c>
      <c r="F31" s="140" t="s">
        <v>2</v>
      </c>
      <c r="G31" s="1792"/>
    </row>
    <row r="32" spans="1:7" ht="26.4">
      <c r="A32" s="1317" t="s">
        <v>757</v>
      </c>
      <c r="B32" s="377">
        <v>1.3</v>
      </c>
      <c r="C32" s="112">
        <f>+Transporte!D17</f>
        <v>89.7</v>
      </c>
      <c r="D32" s="112">
        <f>+B32*C32</f>
        <v>116.61000000000001</v>
      </c>
      <c r="E32" s="110">
        <f>+Transporte!D26</f>
        <v>1400</v>
      </c>
      <c r="F32" s="110">
        <f>ROUND(D32*E32,0)</f>
        <v>163254</v>
      </c>
      <c r="G32" s="1793"/>
    </row>
    <row r="33" spans="1:7">
      <c r="A33" s="156"/>
      <c r="B33" s="377"/>
      <c r="C33" s="112"/>
      <c r="D33" s="112"/>
      <c r="E33" s="110"/>
      <c r="F33" s="110"/>
      <c r="G33" s="1793"/>
    </row>
    <row r="34" spans="1:7">
      <c r="A34" s="156"/>
      <c r="B34" s="377"/>
      <c r="C34" s="112"/>
      <c r="D34" s="112"/>
      <c r="E34" s="110"/>
      <c r="F34" s="110"/>
      <c r="G34" s="1793"/>
    </row>
    <row r="35" spans="1:7">
      <c r="A35" s="378"/>
      <c r="B35" s="379"/>
      <c r="C35" s="379"/>
      <c r="D35" s="379"/>
      <c r="E35" s="380"/>
      <c r="F35" s="380"/>
      <c r="G35" s="1793"/>
    </row>
    <row r="36" spans="1:7" ht="13.8" thickBot="1">
      <c r="A36" s="136"/>
      <c r="B36" s="158"/>
      <c r="C36" s="158"/>
      <c r="D36" s="159"/>
      <c r="E36" s="160"/>
      <c r="F36" s="159"/>
      <c r="G36" s="1794"/>
    </row>
    <row r="37" spans="1:7" ht="13.8" thickBot="1">
      <c r="A37" s="105"/>
      <c r="B37" s="105"/>
      <c r="C37" s="105"/>
      <c r="D37" s="105"/>
      <c r="E37" s="105"/>
      <c r="F37" s="105" t="s">
        <v>3</v>
      </c>
      <c r="G37" s="151">
        <f>SUM(F32:F36)</f>
        <v>163254</v>
      </c>
    </row>
    <row r="38" spans="1:7" ht="13.8" thickBot="1">
      <c r="A38" s="134" t="s">
        <v>19</v>
      </c>
      <c r="B38" s="105"/>
      <c r="C38" s="105"/>
      <c r="D38" s="105"/>
      <c r="E38" s="105"/>
      <c r="F38" s="105"/>
      <c r="G38" s="111"/>
    </row>
    <row r="39" spans="1:7">
      <c r="A39" s="161" t="s">
        <v>24</v>
      </c>
      <c r="B39" s="140" t="s">
        <v>7</v>
      </c>
      <c r="C39" s="140" t="s">
        <v>42</v>
      </c>
      <c r="D39" s="162" t="s">
        <v>27</v>
      </c>
      <c r="E39" s="140" t="s">
        <v>8</v>
      </c>
      <c r="F39" s="140" t="s">
        <v>2</v>
      </c>
      <c r="G39" s="1792"/>
    </row>
    <row r="40" spans="1:7">
      <c r="A40" s="142" t="s">
        <v>100</v>
      </c>
      <c r="B40" s="110">
        <f>FP!Q51</f>
        <v>77150.561662222215</v>
      </c>
      <c r="C40" s="1308">
        <f>+FP!T47</f>
        <v>1.6529</v>
      </c>
      <c r="D40" s="164">
        <f>ROUND(C40*B40,0)</f>
        <v>127522</v>
      </c>
      <c r="E40" s="164">
        <v>400</v>
      </c>
      <c r="F40" s="164">
        <f>ROUND(D40/E40,0)</f>
        <v>319</v>
      </c>
      <c r="G40" s="1793"/>
    </row>
    <row r="41" spans="1:7">
      <c r="A41" s="142" t="s">
        <v>101</v>
      </c>
      <c r="B41" s="110">
        <f>FP!U51</f>
        <v>51694.869566666668</v>
      </c>
      <c r="C41" s="1308">
        <f>+FP!V47</f>
        <v>1.8281000000000001</v>
      </c>
      <c r="D41" s="164">
        <f>ROUND(C41*B41,0)</f>
        <v>94503</v>
      </c>
      <c r="E41" s="164">
        <f>+E40</f>
        <v>400</v>
      </c>
      <c r="F41" s="164">
        <f>ROUND(D41/E41,0)</f>
        <v>236</v>
      </c>
      <c r="G41" s="1793"/>
    </row>
    <row r="42" spans="1:7">
      <c r="A42" s="153"/>
      <c r="B42" s="146"/>
      <c r="C42" s="165"/>
      <c r="D42" s="166"/>
      <c r="E42" s="166"/>
      <c r="F42" s="166"/>
      <c r="G42" s="1793"/>
    </row>
    <row r="43" spans="1:7">
      <c r="A43" s="153"/>
      <c r="B43" s="146"/>
      <c r="C43" s="165"/>
      <c r="D43" s="166"/>
      <c r="E43" s="166"/>
      <c r="F43" s="166"/>
      <c r="G43" s="1793"/>
    </row>
    <row r="44" spans="1:7" ht="13.8" thickBot="1">
      <c r="A44" s="147"/>
      <c r="B44" s="167"/>
      <c r="C44" s="150"/>
      <c r="D44" s="168"/>
      <c r="E44" s="168"/>
      <c r="F44" s="168"/>
      <c r="G44" s="1794"/>
    </row>
    <row r="45" spans="1:7" ht="13.8" thickBot="1">
      <c r="A45" s="105"/>
      <c r="B45" s="105"/>
      <c r="C45" s="105"/>
      <c r="D45" s="157"/>
      <c r="E45" s="157"/>
      <c r="F45" s="105" t="s">
        <v>3</v>
      </c>
      <c r="G45" s="169">
        <f>SUM(F40:F44)</f>
        <v>555</v>
      </c>
    </row>
    <row r="46" spans="1:7" ht="13.8" thickBot="1">
      <c r="A46" s="105"/>
      <c r="B46" s="105"/>
      <c r="C46" s="105"/>
      <c r="D46" s="105"/>
      <c r="E46" s="105"/>
      <c r="F46" s="105"/>
      <c r="G46" s="111"/>
    </row>
    <row r="47" spans="1:7" ht="13.8" thickBot="1">
      <c r="A47" s="105"/>
      <c r="B47" s="105"/>
      <c r="C47" s="105"/>
      <c r="D47" s="134" t="s">
        <v>10</v>
      </c>
      <c r="E47" s="105"/>
      <c r="F47" s="105"/>
      <c r="G47" s="170">
        <f>G21+G29+G37+G45</f>
        <v>216719</v>
      </c>
    </row>
    <row r="48" spans="1:7">
      <c r="A48" s="105"/>
      <c r="B48" s="105"/>
      <c r="C48" s="105"/>
      <c r="D48" s="105"/>
      <c r="E48" s="105"/>
      <c r="F48" s="105"/>
      <c r="G48" s="111"/>
    </row>
    <row r="49" spans="1:7">
      <c r="A49" s="105"/>
      <c r="B49" s="105"/>
      <c r="C49" s="105"/>
      <c r="D49" s="105"/>
      <c r="E49" s="105"/>
      <c r="F49" s="105"/>
      <c r="G49" s="111"/>
    </row>
    <row r="50" spans="1:7">
      <c r="A50" s="1094"/>
      <c r="B50" s="127"/>
      <c r="C50" s="105"/>
      <c r="D50" s="134"/>
      <c r="E50" s="105"/>
      <c r="F50" s="105"/>
      <c r="G50" s="175"/>
    </row>
    <row r="51" spans="1:7">
      <c r="A51" s="552" t="str">
        <f>+PRESUPUESTO!B52</f>
        <v>JESUS EDUARDO ROBLES SMITH</v>
      </c>
      <c r="B51" s="105"/>
      <c r="C51" s="105"/>
      <c r="D51" s="105"/>
      <c r="E51" s="105"/>
      <c r="F51" s="105"/>
      <c r="G51" s="105"/>
    </row>
    <row r="52" spans="1:7">
      <c r="A52" s="551" t="str">
        <f>+PRESUPUESTO!B53</f>
        <v>INGENIERO CIVIL</v>
      </c>
      <c r="B52" s="105"/>
      <c r="C52" s="105"/>
      <c r="D52" s="105"/>
      <c r="E52" s="105"/>
      <c r="F52" s="105"/>
      <c r="G52" s="105"/>
    </row>
    <row r="53" spans="1:7">
      <c r="A53" s="551" t="str">
        <f>+PRESUPUESTO!B54</f>
        <v>M.P. 25202-316144 CND</v>
      </c>
      <c r="B53" s="105"/>
      <c r="C53" s="105"/>
      <c r="D53" s="105"/>
      <c r="E53" s="105"/>
      <c r="F53" s="105"/>
      <c r="G53" s="105"/>
    </row>
  </sheetData>
  <mergeCells count="12">
    <mergeCell ref="G31:G36"/>
    <mergeCell ref="G39:G44"/>
    <mergeCell ref="A1:C5"/>
    <mergeCell ref="D1:G5"/>
    <mergeCell ref="A7:E8"/>
    <mergeCell ref="A13:C13"/>
    <mergeCell ref="G13:G20"/>
    <mergeCell ref="A23:B23"/>
    <mergeCell ref="G23:G28"/>
    <mergeCell ref="A24:B24"/>
    <mergeCell ref="A25:B25"/>
    <mergeCell ref="A17:C17"/>
  </mergeCells>
  <hyperlinks>
    <hyperlink ref="G12" location="PRESUPUESTO!Títulos_a_imprimir" display="PRESUPUESTO!Títulos_a_imprimir" xr:uid="{00000000-0004-0000-1100-000000000000}"/>
  </hyperlinks>
  <pageMargins left="0.7" right="0.7" top="0.75" bottom="0.75" header="0.3" footer="0.3"/>
  <pageSetup scale="7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52"/>
  <sheetViews>
    <sheetView view="pageBreakPreview" topLeftCell="A33" zoomScale="85" zoomScaleNormal="100" zoomScaleSheetLayoutView="85" workbookViewId="0">
      <selection activeCell="B10" sqref="B10"/>
    </sheetView>
  </sheetViews>
  <sheetFormatPr baseColWidth="10" defaultColWidth="11.44140625" defaultRowHeight="13.2"/>
  <cols>
    <col min="1" max="1" width="20.5546875" customWidth="1"/>
    <col min="2" max="6" width="12.5546875" customWidth="1"/>
    <col min="7" max="7" width="20.44140625" customWidth="1"/>
  </cols>
  <sheetData>
    <row r="1" spans="1:7">
      <c r="A1" s="1632"/>
      <c r="B1" s="1633"/>
      <c r="C1" s="1890"/>
      <c r="D1" s="1884" t="s">
        <v>51</v>
      </c>
      <c r="E1" s="1885"/>
      <c r="F1" s="1885"/>
      <c r="G1" s="1886"/>
    </row>
    <row r="2" spans="1:7">
      <c r="A2" s="1595"/>
      <c r="B2" s="1596"/>
      <c r="C2" s="1891"/>
      <c r="D2" s="1801"/>
      <c r="E2" s="1802"/>
      <c r="F2" s="1802"/>
      <c r="G2" s="1803"/>
    </row>
    <row r="3" spans="1:7">
      <c r="A3" s="1595"/>
      <c r="B3" s="1596"/>
      <c r="C3" s="1891"/>
      <c r="D3" s="1801"/>
      <c r="E3" s="1802"/>
      <c r="F3" s="1802"/>
      <c r="G3" s="1803"/>
    </row>
    <row r="4" spans="1:7">
      <c r="A4" s="1595"/>
      <c r="B4" s="1596"/>
      <c r="C4" s="1891"/>
      <c r="D4" s="1801"/>
      <c r="E4" s="1802"/>
      <c r="F4" s="1802"/>
      <c r="G4" s="1803"/>
    </row>
    <row r="5" spans="1:7" ht="13.8" thickBot="1">
      <c r="A5" s="1892"/>
      <c r="B5" s="1599"/>
      <c r="C5" s="1893"/>
      <c r="D5" s="1887"/>
      <c r="E5" s="1888"/>
      <c r="F5" s="1802"/>
      <c r="G5" s="1803"/>
    </row>
    <row r="6" spans="1:7">
      <c r="A6" s="105"/>
      <c r="B6" s="105"/>
      <c r="C6" s="105"/>
      <c r="D6" s="105"/>
      <c r="E6" s="105"/>
      <c r="F6" s="901"/>
      <c r="G6" s="901"/>
    </row>
    <row r="7" spans="1:7">
      <c r="A7" s="1804" t="str">
        <f>+PRESUPUESTO!D2</f>
        <v>"MEJORAMIENTO VIAL MEDIANTE LA CONSTRUCCIÓN DE PAVIMENTO RÍGIDO DE LA PRIMERA ETAPA DE LA VÍA QUE COMUNICA A LA VEREDA PONDORES EN EL CORREGIMIENTO DE CONEJO, MUNICIPIO DE FONSECA - DEPARTAMENTO DE LA GUAJIRA."</v>
      </c>
      <c r="B7" s="1804"/>
      <c r="C7" s="1804"/>
      <c r="D7" s="1804"/>
      <c r="E7" s="1804"/>
      <c r="F7" s="907" t="s">
        <v>522</v>
      </c>
      <c r="G7" s="907">
        <f>+PRESUPUESTO!C18</f>
        <v>320.3</v>
      </c>
    </row>
    <row r="8" spans="1:7">
      <c r="A8" s="1804"/>
      <c r="B8" s="1804"/>
      <c r="C8" s="1804"/>
      <c r="D8" s="1804"/>
      <c r="E8" s="1804"/>
      <c r="F8" s="139"/>
      <c r="G8" s="134"/>
    </row>
    <row r="9" spans="1:7">
      <c r="A9" s="134"/>
      <c r="B9" s="134"/>
      <c r="C9" s="134"/>
      <c r="D9" s="134"/>
      <c r="E9" s="134"/>
      <c r="F9" s="139"/>
      <c r="G9" s="134"/>
    </row>
    <row r="10" spans="1:7">
      <c r="A10" s="134" t="s">
        <v>343</v>
      </c>
      <c r="B10" s="134" t="str">
        <f>+PRESUPUESTO!D18</f>
        <v>Sub Base Granular tipo C</v>
      </c>
      <c r="C10" s="134"/>
      <c r="D10" s="134"/>
      <c r="E10" s="134"/>
      <c r="F10" s="1188" t="s">
        <v>28</v>
      </c>
      <c r="G10" s="1188" t="str">
        <f>+PRESUPUESTO!E18</f>
        <v>M3</v>
      </c>
    </row>
    <row r="11" spans="1:7">
      <c r="A11" s="134"/>
      <c r="B11" s="134"/>
      <c r="C11" s="134"/>
      <c r="D11" s="134"/>
      <c r="E11" s="134"/>
      <c r="F11" s="134"/>
      <c r="G11" s="134"/>
    </row>
    <row r="12" spans="1:7" ht="27" thickBot="1">
      <c r="A12" s="134" t="s">
        <v>16</v>
      </c>
      <c r="B12" s="105"/>
      <c r="C12" s="105"/>
      <c r="D12" s="105"/>
      <c r="E12" s="105"/>
      <c r="F12" s="105"/>
      <c r="G12" s="444" t="s">
        <v>378</v>
      </c>
    </row>
    <row r="13" spans="1:7">
      <c r="A13" s="1632" t="s">
        <v>21</v>
      </c>
      <c r="B13" s="1633"/>
      <c r="C13" s="1824"/>
      <c r="D13" s="140" t="s">
        <v>1</v>
      </c>
      <c r="E13" s="141" t="s">
        <v>8</v>
      </c>
      <c r="F13" s="140" t="s">
        <v>2</v>
      </c>
      <c r="G13" s="1792"/>
    </row>
    <row r="14" spans="1:7">
      <c r="A14" s="142" t="str">
        <f>+Equ!B23</f>
        <v>Carrotanque de agua (1000 Galones)</v>
      </c>
      <c r="B14" s="177"/>
      <c r="C14" s="372"/>
      <c r="D14" s="373">
        <f>+Equ!D23</f>
        <v>60000</v>
      </c>
      <c r="E14" s="110">
        <v>45</v>
      </c>
      <c r="F14" s="110">
        <f>+ROUND(D14/E14,0)</f>
        <v>1333</v>
      </c>
      <c r="G14" s="1793"/>
    </row>
    <row r="15" spans="1:7">
      <c r="A15" s="142" t="str">
        <f>+Equ!B24</f>
        <v>Vibrocompactador 153 HP, peso 10 Ton</v>
      </c>
      <c r="B15" s="177"/>
      <c r="C15" s="372"/>
      <c r="D15" s="373">
        <f>+Equ!D24</f>
        <v>110000</v>
      </c>
      <c r="E15" s="110">
        <f>+E14</f>
        <v>45</v>
      </c>
      <c r="F15" s="110">
        <f>+ROUND(D15/E15,0)</f>
        <v>2444</v>
      </c>
      <c r="G15" s="1793"/>
    </row>
    <row r="16" spans="1:7">
      <c r="A16" s="145" t="str">
        <f>+Equ!B28</f>
        <v>Motoniveladora 215 HP, ancho de cuchilla a 4.27 m, peso 18 Ton.</v>
      </c>
      <c r="B16" s="127"/>
      <c r="C16" s="554"/>
      <c r="D16" s="555">
        <f>+Equ!D28</f>
        <v>201471.74</v>
      </c>
      <c r="E16" s="556">
        <f>+E15</f>
        <v>45</v>
      </c>
      <c r="F16" s="110">
        <f>+ROUND(D16/E16,0)</f>
        <v>4477</v>
      </c>
      <c r="G16" s="1793"/>
    </row>
    <row r="17" spans="1:7">
      <c r="A17" s="145" t="s">
        <v>93</v>
      </c>
      <c r="B17" s="374"/>
      <c r="C17" s="128"/>
      <c r="D17" s="180">
        <v>0.01</v>
      </c>
      <c r="E17" s="110"/>
      <c r="F17" s="110">
        <f>G44*D17</f>
        <v>8.7900000000000009</v>
      </c>
      <c r="G17" s="1793"/>
    </row>
    <row r="18" spans="1:7">
      <c r="A18" s="375"/>
      <c r="B18" s="376"/>
      <c r="C18" s="121"/>
      <c r="D18" s="146"/>
      <c r="E18" s="146"/>
      <c r="F18" s="146"/>
      <c r="G18" s="1793"/>
    </row>
    <row r="19" spans="1:7" ht="13.8" thickBot="1">
      <c r="A19" s="147"/>
      <c r="B19" s="148"/>
      <c r="C19" s="149"/>
      <c r="D19" s="150"/>
      <c r="E19" s="150"/>
      <c r="F19" s="150"/>
      <c r="G19" s="1794"/>
    </row>
    <row r="20" spans="1:7" ht="13.8" thickBot="1">
      <c r="A20" s="105"/>
      <c r="B20" s="105"/>
      <c r="C20" s="105"/>
      <c r="D20" s="105"/>
      <c r="E20" s="105"/>
      <c r="F20" s="105" t="s">
        <v>3</v>
      </c>
      <c r="G20" s="151">
        <f>SUM(F14:F19)</f>
        <v>8262.7900000000009</v>
      </c>
    </row>
    <row r="21" spans="1:7" ht="13.8" thickBot="1">
      <c r="A21" s="134" t="s">
        <v>17</v>
      </c>
      <c r="B21" s="105"/>
      <c r="C21" s="105"/>
      <c r="D21" s="105"/>
      <c r="E21" s="105"/>
      <c r="F21" s="105"/>
      <c r="G21" s="111"/>
    </row>
    <row r="22" spans="1:7">
      <c r="A22" s="1632" t="s">
        <v>21</v>
      </c>
      <c r="B22" s="1824"/>
      <c r="C22" s="140" t="s">
        <v>4</v>
      </c>
      <c r="D22" s="152" t="s">
        <v>5</v>
      </c>
      <c r="E22" s="140" t="s">
        <v>6</v>
      </c>
      <c r="F22" s="140" t="s">
        <v>2</v>
      </c>
      <c r="G22" s="1792"/>
    </row>
    <row r="23" spans="1:7">
      <c r="A23" s="1897" t="s">
        <v>546</v>
      </c>
      <c r="B23" s="1898"/>
      <c r="C23" s="109" t="str">
        <f>+Sum!C16</f>
        <v>M3</v>
      </c>
      <c r="D23" s="110">
        <f>+Sum!D16</f>
        <v>75000</v>
      </c>
      <c r="E23" s="110">
        <v>1.3</v>
      </c>
      <c r="F23" s="110">
        <f>+ROUND(D23*E23,0)</f>
        <v>97500</v>
      </c>
      <c r="G23" s="1793"/>
    </row>
    <row r="24" spans="1:7">
      <c r="A24" s="142" t="s">
        <v>78</v>
      </c>
      <c r="B24" s="144"/>
      <c r="C24" s="109" t="s">
        <v>109</v>
      </c>
      <c r="D24" s="110">
        <f>+Sum!D17</f>
        <v>192.9</v>
      </c>
      <c r="E24" s="110">
        <v>24</v>
      </c>
      <c r="F24" s="110">
        <f>+ROUND(D24*E24,0)</f>
        <v>4630</v>
      </c>
      <c r="G24" s="1793"/>
    </row>
    <row r="25" spans="1:7">
      <c r="A25" s="142"/>
      <c r="B25" s="144"/>
      <c r="C25" s="109"/>
      <c r="D25" s="110"/>
      <c r="E25" s="110"/>
      <c r="F25" s="110"/>
      <c r="G25" s="1793"/>
    </row>
    <row r="26" spans="1:7">
      <c r="A26" s="153"/>
      <c r="B26" s="115"/>
      <c r="C26" s="176"/>
      <c r="D26" s="146"/>
      <c r="E26" s="146"/>
      <c r="F26" s="110"/>
      <c r="G26" s="1793"/>
    </row>
    <row r="27" spans="1:7" ht="13.8" thickBot="1">
      <c r="A27" s="147"/>
      <c r="B27" s="149"/>
      <c r="C27" s="154"/>
      <c r="D27" s="150"/>
      <c r="E27" s="150"/>
      <c r="F27" s="150"/>
      <c r="G27" s="1794"/>
    </row>
    <row r="28" spans="1:7" ht="13.8" thickBot="1">
      <c r="A28" s="105"/>
      <c r="B28" s="105"/>
      <c r="C28" s="105"/>
      <c r="D28" s="105"/>
      <c r="E28" s="105"/>
      <c r="F28" s="105" t="s">
        <v>3</v>
      </c>
      <c r="G28" s="151">
        <f>SUM(F23:F27)</f>
        <v>102130</v>
      </c>
    </row>
    <row r="29" spans="1:7" ht="13.8" thickBot="1">
      <c r="A29" s="134" t="s">
        <v>18</v>
      </c>
      <c r="B29" s="105"/>
      <c r="C29" s="105"/>
      <c r="D29" s="105"/>
      <c r="E29" s="105"/>
      <c r="F29" s="105"/>
      <c r="G29" s="111"/>
    </row>
    <row r="30" spans="1:7">
      <c r="A30" s="155" t="s">
        <v>23</v>
      </c>
      <c r="B30" s="140" t="s">
        <v>46</v>
      </c>
      <c r="C30" s="140" t="s">
        <v>36</v>
      </c>
      <c r="D30" s="152" t="s">
        <v>26</v>
      </c>
      <c r="E30" s="140" t="s">
        <v>25</v>
      </c>
      <c r="F30" s="140" t="s">
        <v>2</v>
      </c>
      <c r="G30" s="1792"/>
    </row>
    <row r="31" spans="1:7" ht="26.4">
      <c r="A31" s="1317" t="s">
        <v>578</v>
      </c>
      <c r="B31" s="377">
        <f>+E23</f>
        <v>1.3</v>
      </c>
      <c r="C31" s="112">
        <f>+Transporte!D17</f>
        <v>89.7</v>
      </c>
      <c r="D31" s="112">
        <f>+B31*C31</f>
        <v>116.61000000000001</v>
      </c>
      <c r="E31" s="110">
        <f>+Transporte!D24</f>
        <v>1200</v>
      </c>
      <c r="F31" s="110">
        <f>+ROUND(D31*E31,0)</f>
        <v>139932</v>
      </c>
      <c r="G31" s="1793"/>
    </row>
    <row r="32" spans="1:7">
      <c r="A32" s="156"/>
      <c r="B32" s="377"/>
      <c r="C32" s="112"/>
      <c r="D32" s="112"/>
      <c r="E32" s="110"/>
      <c r="F32" s="110"/>
      <c r="G32" s="1793"/>
    </row>
    <row r="33" spans="1:7">
      <c r="A33" s="156"/>
      <c r="B33" s="377"/>
      <c r="C33" s="112"/>
      <c r="D33" s="112"/>
      <c r="E33" s="110"/>
      <c r="F33" s="110"/>
      <c r="G33" s="1793"/>
    </row>
    <row r="34" spans="1:7">
      <c r="A34" s="378"/>
      <c r="B34" s="379"/>
      <c r="C34" s="379"/>
      <c r="D34" s="379"/>
      <c r="E34" s="380"/>
      <c r="F34" s="380"/>
      <c r="G34" s="1793"/>
    </row>
    <row r="35" spans="1:7" ht="13.8" thickBot="1">
      <c r="A35" s="136"/>
      <c r="B35" s="158"/>
      <c r="C35" s="158"/>
      <c r="D35" s="159"/>
      <c r="E35" s="160"/>
      <c r="F35" s="159"/>
      <c r="G35" s="1794"/>
    </row>
    <row r="36" spans="1:7" ht="13.8" thickBot="1">
      <c r="A36" s="105"/>
      <c r="B36" s="105"/>
      <c r="C36" s="105"/>
      <c r="D36" s="105"/>
      <c r="E36" s="105"/>
      <c r="F36" s="105" t="s">
        <v>3</v>
      </c>
      <c r="G36" s="151">
        <f>SUM(F31:F35)</f>
        <v>139932</v>
      </c>
    </row>
    <row r="37" spans="1:7" ht="13.8" thickBot="1">
      <c r="A37" s="134" t="s">
        <v>19</v>
      </c>
      <c r="B37" s="105"/>
      <c r="C37" s="105"/>
      <c r="D37" s="105"/>
      <c r="E37" s="105"/>
      <c r="F37" s="105"/>
      <c r="G37" s="111"/>
    </row>
    <row r="38" spans="1:7">
      <c r="A38" s="161" t="s">
        <v>24</v>
      </c>
      <c r="B38" s="140" t="s">
        <v>7</v>
      </c>
      <c r="C38" s="140" t="s">
        <v>42</v>
      </c>
      <c r="D38" s="162" t="s">
        <v>27</v>
      </c>
      <c r="E38" s="140" t="s">
        <v>8</v>
      </c>
      <c r="F38" s="140" t="s">
        <v>2</v>
      </c>
      <c r="G38" s="1792"/>
    </row>
    <row r="39" spans="1:7">
      <c r="A39" s="142" t="s">
        <v>100</v>
      </c>
      <c r="B39" s="110">
        <f>FP!Q51</f>
        <v>77150.561662222215</v>
      </c>
      <c r="C39" s="1308">
        <f>+FP!T47</f>
        <v>1.6529</v>
      </c>
      <c r="D39" s="164">
        <f>ROUND(C39*B39,0)</f>
        <v>127522</v>
      </c>
      <c r="E39" s="164">
        <v>360</v>
      </c>
      <c r="F39" s="164">
        <f>ROUND(D39/E39,0)</f>
        <v>354</v>
      </c>
      <c r="G39" s="1793"/>
    </row>
    <row r="40" spans="1:7">
      <c r="A40" s="142" t="s">
        <v>408</v>
      </c>
      <c r="B40" s="110">
        <f>FP!U51*2</f>
        <v>103389.73913333334</v>
      </c>
      <c r="C40" s="1308">
        <f>+FP!V47</f>
        <v>1.8281000000000001</v>
      </c>
      <c r="D40" s="164">
        <f>ROUND(C40*B40,0)</f>
        <v>189007</v>
      </c>
      <c r="E40" s="164">
        <f>+E39</f>
        <v>360</v>
      </c>
      <c r="F40" s="164">
        <f>ROUND(D40/E40,0)</f>
        <v>525</v>
      </c>
      <c r="G40" s="1793"/>
    </row>
    <row r="41" spans="1:7">
      <c r="A41" s="153"/>
      <c r="B41" s="146"/>
      <c r="C41" s="165"/>
      <c r="D41" s="166"/>
      <c r="E41" s="166"/>
      <c r="F41" s="166"/>
      <c r="G41" s="1793"/>
    </row>
    <row r="42" spans="1:7">
      <c r="A42" s="153"/>
      <c r="B42" s="146"/>
      <c r="C42" s="165"/>
      <c r="D42" s="166"/>
      <c r="E42" s="166"/>
      <c r="F42" s="166"/>
      <c r="G42" s="1793"/>
    </row>
    <row r="43" spans="1:7" ht="13.8" thickBot="1">
      <c r="A43" s="147"/>
      <c r="B43" s="167"/>
      <c r="C43" s="150"/>
      <c r="D43" s="168"/>
      <c r="E43" s="168"/>
      <c r="F43" s="168"/>
      <c r="G43" s="1794"/>
    </row>
    <row r="44" spans="1:7" ht="13.8" thickBot="1">
      <c r="A44" s="105"/>
      <c r="B44" s="105"/>
      <c r="C44" s="105"/>
      <c r="D44" s="157"/>
      <c r="E44" s="157"/>
      <c r="F44" s="105" t="s">
        <v>3</v>
      </c>
      <c r="G44" s="169">
        <f>SUM(F39:F43)</f>
        <v>879</v>
      </c>
    </row>
    <row r="45" spans="1:7" ht="13.8" thickBot="1">
      <c r="A45" s="105"/>
      <c r="B45" s="105"/>
      <c r="C45" s="105"/>
      <c r="D45" s="105"/>
      <c r="E45" s="105"/>
      <c r="F45" s="105"/>
      <c r="G45" s="111"/>
    </row>
    <row r="46" spans="1:7" ht="13.8" thickBot="1">
      <c r="A46" s="105"/>
      <c r="B46" s="105"/>
      <c r="C46" s="105"/>
      <c r="D46" s="134" t="s">
        <v>10</v>
      </c>
      <c r="E46" s="105"/>
      <c r="F46" s="105"/>
      <c r="G46" s="170">
        <f>G20+G28+G36+G44</f>
        <v>251203.79</v>
      </c>
    </row>
    <row r="47" spans="1:7">
      <c r="A47" s="105"/>
      <c r="B47" s="105"/>
      <c r="C47" s="105"/>
      <c r="D47" s="105"/>
      <c r="E47" s="105"/>
      <c r="F47" s="105"/>
      <c r="G47" s="111"/>
    </row>
    <row r="48" spans="1:7">
      <c r="A48" s="105"/>
      <c r="B48" s="105"/>
      <c r="C48" s="105"/>
      <c r="D48" s="105"/>
      <c r="E48" s="105"/>
      <c r="F48" s="105"/>
      <c r="G48" s="111"/>
    </row>
    <row r="49" spans="1:7">
      <c r="A49" s="1094"/>
      <c r="B49" s="127"/>
      <c r="C49" s="105"/>
      <c r="D49" s="134"/>
      <c r="E49" s="105"/>
      <c r="F49" s="105"/>
      <c r="G49" s="175"/>
    </row>
    <row r="50" spans="1:7">
      <c r="A50" s="552" t="str">
        <f>+PRESUPUESTO!B52</f>
        <v>JESUS EDUARDO ROBLES SMITH</v>
      </c>
      <c r="B50" s="105"/>
      <c r="C50" s="105"/>
      <c r="D50" s="105"/>
      <c r="E50" s="105"/>
      <c r="F50" s="105"/>
      <c r="G50" s="105"/>
    </row>
    <row r="51" spans="1:7">
      <c r="A51" s="551" t="str">
        <f>+PRESUPUESTO!B53</f>
        <v>INGENIERO CIVIL</v>
      </c>
      <c r="B51" s="105"/>
      <c r="C51" s="105"/>
      <c r="D51" s="105"/>
      <c r="E51" s="105"/>
      <c r="F51" s="105"/>
      <c r="G51" s="105"/>
    </row>
    <row r="52" spans="1:7">
      <c r="A52" s="551" t="str">
        <f>+PRESUPUESTO!B54</f>
        <v>M.P. 25202-316144 CND</v>
      </c>
      <c r="B52" s="105"/>
      <c r="C52" s="105"/>
      <c r="D52" s="105"/>
      <c r="E52" s="105"/>
      <c r="F52" s="105"/>
      <c r="G52" s="105"/>
    </row>
  </sheetData>
  <mergeCells count="10">
    <mergeCell ref="G30:G35"/>
    <mergeCell ref="G38:G43"/>
    <mergeCell ref="A1:C5"/>
    <mergeCell ref="D1:G5"/>
    <mergeCell ref="A7:E8"/>
    <mergeCell ref="A13:C13"/>
    <mergeCell ref="G13:G19"/>
    <mergeCell ref="A22:B22"/>
    <mergeCell ref="G22:G27"/>
    <mergeCell ref="A23:B23"/>
  </mergeCells>
  <hyperlinks>
    <hyperlink ref="G12" location="PRESUPUESTO!Títulos_a_imprimir" display="PRESUPUESTO!Títulos_a_imprimir" xr:uid="{00000000-0004-0000-1200-000000000000}"/>
  </hyperlinks>
  <pageMargins left="0.7" right="0.7" top="0.75" bottom="0.75" header="0.3" footer="0.3"/>
  <pageSetup scale="8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5"/>
  <dimension ref="A1:R63"/>
  <sheetViews>
    <sheetView view="pageBreakPreview" topLeftCell="A44" zoomScaleNormal="100" zoomScaleSheetLayoutView="100" workbookViewId="0">
      <selection activeCell="D34" sqref="D34"/>
    </sheetView>
  </sheetViews>
  <sheetFormatPr baseColWidth="10" defaultColWidth="11.44140625" defaultRowHeight="14.1" customHeight="1"/>
  <cols>
    <col min="1" max="1" width="29" style="105" customWidth="1"/>
    <col min="2" max="3" width="12.5546875" style="105" customWidth="1"/>
    <col min="4" max="4" width="18.5546875" style="105" customWidth="1"/>
    <col min="5" max="6" width="12.5546875" style="105" customWidth="1"/>
    <col min="7" max="7" width="19.44140625" style="105" customWidth="1"/>
    <col min="8" max="16384" width="11.44140625" style="105"/>
  </cols>
  <sheetData>
    <row r="1" spans="1:7" ht="14.1" customHeight="1">
      <c r="A1" s="1632"/>
      <c r="B1" s="1633"/>
      <c r="C1" s="1890"/>
      <c r="D1" s="1884" t="s">
        <v>51</v>
      </c>
      <c r="E1" s="1885"/>
      <c r="F1" s="1885"/>
      <c r="G1" s="1886"/>
    </row>
    <row r="2" spans="1:7" ht="14.1" customHeight="1">
      <c r="A2" s="1595"/>
      <c r="B2" s="1596"/>
      <c r="C2" s="1891"/>
      <c r="D2" s="1801"/>
      <c r="E2" s="1802"/>
      <c r="F2" s="1802"/>
      <c r="G2" s="1803"/>
    </row>
    <row r="3" spans="1:7" ht="14.1" customHeight="1">
      <c r="A3" s="1595"/>
      <c r="B3" s="1596"/>
      <c r="C3" s="1891"/>
      <c r="D3" s="1801"/>
      <c r="E3" s="1802"/>
      <c r="F3" s="1802"/>
      <c r="G3" s="1803"/>
    </row>
    <row r="4" spans="1:7" ht="14.1" customHeight="1">
      <c r="A4" s="1595"/>
      <c r="B4" s="1596"/>
      <c r="C4" s="1891"/>
      <c r="D4" s="1801"/>
      <c r="E4" s="1802"/>
      <c r="F4" s="1802"/>
      <c r="G4" s="1803"/>
    </row>
    <row r="5" spans="1:7" ht="14.1" customHeight="1" thickBot="1">
      <c r="A5" s="1892"/>
      <c r="B5" s="1599"/>
      <c r="C5" s="1893"/>
      <c r="D5" s="1887"/>
      <c r="E5" s="1888"/>
      <c r="F5" s="1888"/>
      <c r="G5" s="1889"/>
    </row>
    <row r="7" spans="1:7" ht="20.100000000000001" customHeight="1">
      <c r="A7" s="1804" t="str">
        <f>+PRESUPUESTO!D2</f>
        <v>"MEJORAMIENTO VIAL MEDIANTE LA CONSTRUCCIÓN DE PAVIMENTO RÍGIDO DE LA PRIMERA ETAPA DE LA VÍA QUE COMUNICA A LA VEREDA PONDORES EN EL CORREGIMIENTO DE CONEJO, MUNICIPIO DE FONSECA - DEPARTAMENTO DE LA GUAJIRA."</v>
      </c>
      <c r="B7" s="1804"/>
      <c r="C7" s="1804"/>
      <c r="D7" s="1804"/>
      <c r="E7" s="1804"/>
      <c r="F7" s="907" t="s">
        <v>522</v>
      </c>
      <c r="G7" s="907">
        <f>+PRESUPUESTO!C19</f>
        <v>630.29999999999995</v>
      </c>
    </row>
    <row r="8" spans="1:7" ht="43.5" customHeight="1">
      <c r="A8" s="1804"/>
      <c r="B8" s="1804"/>
      <c r="C8" s="1804"/>
      <c r="D8" s="1804"/>
      <c r="E8" s="1804"/>
      <c r="F8" s="139"/>
      <c r="G8" s="134"/>
    </row>
    <row r="9" spans="1:7" ht="14.1" customHeight="1">
      <c r="A9" s="134"/>
      <c r="B9" s="134"/>
      <c r="C9" s="134"/>
      <c r="D9" s="134"/>
      <c r="E9" s="134"/>
      <c r="F9" s="139"/>
      <c r="G9" s="134"/>
    </row>
    <row r="10" spans="1:7" ht="14.1" customHeight="1">
      <c r="A10" s="134" t="s">
        <v>344</v>
      </c>
      <c r="B10" s="1908" t="str">
        <f>+PRESUPUESTO!D19</f>
        <v>Placa de pavimento en concreto hidráulico MR2=4,0 Mpa (40Kg/cm2)</v>
      </c>
      <c r="C10" s="1908"/>
      <c r="D10" s="1908"/>
      <c r="E10" s="1908"/>
      <c r="F10" s="1188" t="s">
        <v>28</v>
      </c>
      <c r="G10" s="1188" t="str">
        <f>+PRESUPUESTO!E19</f>
        <v>M3</v>
      </c>
    </row>
    <row r="11" spans="1:7" ht="14.1" customHeight="1">
      <c r="A11" s="134"/>
      <c r="B11" s="1908"/>
      <c r="C11" s="1908"/>
      <c r="D11" s="1908"/>
      <c r="E11" s="1908"/>
      <c r="F11" s="134"/>
      <c r="G11" s="134"/>
    </row>
    <row r="12" spans="1:7" ht="14.1" customHeight="1" thickBot="1">
      <c r="A12" s="134" t="s">
        <v>16</v>
      </c>
      <c r="G12" s="444" t="s">
        <v>378</v>
      </c>
    </row>
    <row r="13" spans="1:7" ht="14.1" customHeight="1">
      <c r="A13" s="1632" t="s">
        <v>21</v>
      </c>
      <c r="B13" s="1633"/>
      <c r="C13" s="1824"/>
      <c r="D13" s="140" t="s">
        <v>1</v>
      </c>
      <c r="E13" s="141" t="s">
        <v>8</v>
      </c>
      <c r="F13" s="140" t="s">
        <v>2</v>
      </c>
      <c r="G13" s="1792"/>
    </row>
    <row r="14" spans="1:7" ht="14.1" customHeight="1">
      <c r="A14" s="142" t="str">
        <f>+Equ!B15</f>
        <v>Aspersor manual</v>
      </c>
      <c r="B14" s="177"/>
      <c r="C14" s="144"/>
      <c r="D14" s="110">
        <f>Equ!D15</f>
        <v>5428.01</v>
      </c>
      <c r="E14" s="110">
        <v>2</v>
      </c>
      <c r="F14" s="110">
        <f>D14/E14</f>
        <v>2714.0050000000001</v>
      </c>
      <c r="G14" s="1793"/>
    </row>
    <row r="15" spans="1:7" ht="14.1" customHeight="1">
      <c r="A15" s="1902" t="str">
        <f>+Equ!B31</f>
        <v>Rieles para pavimento</v>
      </c>
      <c r="B15" s="1903"/>
      <c r="C15" s="1904"/>
      <c r="D15" s="110">
        <f>+Equ!D31</f>
        <v>380</v>
      </c>
      <c r="E15" s="648">
        <f>+E14</f>
        <v>2</v>
      </c>
      <c r="F15" s="110">
        <f t="shared" ref="F15:F16" si="0">D15/E15</f>
        <v>190</v>
      </c>
      <c r="G15" s="1793"/>
    </row>
    <row r="16" spans="1:7" ht="14.1" customHeight="1">
      <c r="A16" s="651" t="str">
        <f>+Equ!B32</f>
        <v>Regla vibratoria</v>
      </c>
      <c r="B16" s="650"/>
      <c r="C16" s="649"/>
      <c r="D16" s="648">
        <f>+Equ!D32</f>
        <v>9700</v>
      </c>
      <c r="E16" s="648">
        <f>+E15</f>
        <v>2</v>
      </c>
      <c r="F16" s="110">
        <f t="shared" si="0"/>
        <v>4850</v>
      </c>
      <c r="G16" s="1793"/>
    </row>
    <row r="17" spans="1:18" ht="14.1" customHeight="1">
      <c r="A17" s="142" t="str">
        <f>+Equ!B30</f>
        <v>Cizalla manual de 90 cm</v>
      </c>
      <c r="B17" s="177"/>
      <c r="C17" s="144"/>
      <c r="D17" s="110">
        <f>+Equ!D30</f>
        <v>1545.5390835865501</v>
      </c>
      <c r="E17" s="110">
        <v>37.5</v>
      </c>
      <c r="F17" s="110">
        <f>D17/E17</f>
        <v>41.214375562308</v>
      </c>
      <c r="G17" s="1793"/>
    </row>
    <row r="18" spans="1:18" ht="14.1" customHeight="1">
      <c r="A18" s="1309" t="str">
        <f>+Equ!B33</f>
        <v>Compresor (barrido y soplado)</v>
      </c>
      <c r="B18" s="1310"/>
      <c r="C18" s="1311"/>
      <c r="D18" s="1306">
        <f>+Equ!D33</f>
        <v>90000</v>
      </c>
      <c r="E18" s="1306">
        <v>110</v>
      </c>
      <c r="F18" s="110">
        <f>D18/E18</f>
        <v>818.18181818181813</v>
      </c>
      <c r="G18" s="1793"/>
    </row>
    <row r="19" spans="1:18" ht="34.5" customHeight="1">
      <c r="A19" s="1899" t="str">
        <f>+Equ!B35</f>
        <v>Cortadora de pavimento, Máxima profundidad de corte: 160 mm. Capacidad de disco: desde 12´´ hasta 18´´ de diámetro. Peso operacional: 135 kg, 13.5 hp de potencia</v>
      </c>
      <c r="B19" s="1900"/>
      <c r="C19" s="1901"/>
      <c r="D19" s="1306">
        <f>+Equ!D35</f>
        <v>25500</v>
      </c>
      <c r="E19" s="1306">
        <v>50</v>
      </c>
      <c r="F19" s="1306">
        <f>D19/E19</f>
        <v>510</v>
      </c>
      <c r="G19" s="1793"/>
    </row>
    <row r="20" spans="1:18" ht="14.1" customHeight="1">
      <c r="A20" s="142" t="s">
        <v>49</v>
      </c>
      <c r="B20" s="143"/>
      <c r="C20" s="144"/>
      <c r="D20" s="110"/>
      <c r="E20" s="180">
        <v>0.05</v>
      </c>
      <c r="F20" s="110">
        <f>+G50*E20</f>
        <v>4110.3</v>
      </c>
      <c r="G20" s="1793"/>
      <c r="H20" s="129"/>
      <c r="I20" s="129"/>
      <c r="J20" s="129"/>
      <c r="K20" s="129"/>
      <c r="L20" s="129"/>
      <c r="M20" s="129"/>
      <c r="N20" s="129"/>
      <c r="O20" s="129"/>
      <c r="P20" s="129"/>
      <c r="Q20" s="129"/>
      <c r="R20" s="129"/>
    </row>
    <row r="21" spans="1:18" ht="14.1" customHeight="1">
      <c r="A21" s="142"/>
      <c r="B21" s="177"/>
      <c r="C21" s="144"/>
      <c r="D21" s="110"/>
      <c r="E21" s="110"/>
      <c r="F21" s="110"/>
      <c r="G21" s="1793"/>
      <c r="H21" s="129"/>
      <c r="I21" s="129"/>
      <c r="J21" s="129"/>
      <c r="K21" s="129"/>
      <c r="L21" s="129"/>
      <c r="M21" s="129"/>
      <c r="N21" s="129"/>
      <c r="O21" s="129"/>
      <c r="P21" s="129"/>
      <c r="Q21" s="129"/>
      <c r="R21" s="129"/>
    </row>
    <row r="22" spans="1:18" ht="14.1" customHeight="1" thickBot="1">
      <c r="A22" s="147"/>
      <c r="B22" s="148"/>
      <c r="C22" s="149"/>
      <c r="D22" s="150"/>
      <c r="E22" s="150"/>
      <c r="F22" s="150"/>
      <c r="G22" s="1794"/>
      <c r="H22" s="129"/>
      <c r="I22" s="129"/>
      <c r="J22" s="129"/>
      <c r="K22" s="129"/>
      <c r="L22" s="129"/>
      <c r="M22" s="129"/>
      <c r="N22" s="129"/>
      <c r="O22" s="129"/>
      <c r="P22" s="129"/>
      <c r="Q22" s="129"/>
      <c r="R22" s="129"/>
    </row>
    <row r="23" spans="1:18" ht="14.1" customHeight="1" thickBot="1">
      <c r="F23" s="105" t="s">
        <v>3</v>
      </c>
      <c r="G23" s="151">
        <f>SUM(F14:F22)</f>
        <v>13233.701193744128</v>
      </c>
      <c r="H23" s="129"/>
      <c r="I23" s="129"/>
      <c r="J23" s="129"/>
      <c r="K23" s="129"/>
      <c r="L23" s="129"/>
      <c r="M23" s="129"/>
      <c r="N23" s="129"/>
      <c r="O23" s="129"/>
      <c r="P23" s="129"/>
      <c r="Q23" s="129"/>
      <c r="R23" s="129"/>
    </row>
    <row r="24" spans="1:18" ht="14.1" customHeight="1" thickBot="1">
      <c r="A24" s="134" t="s">
        <v>17</v>
      </c>
      <c r="G24" s="111"/>
      <c r="H24" s="129"/>
      <c r="I24" s="129"/>
      <c r="J24" s="129"/>
      <c r="K24" s="129"/>
      <c r="L24" s="129"/>
      <c r="M24" s="129"/>
      <c r="N24" s="129"/>
      <c r="O24" s="129"/>
      <c r="P24" s="129"/>
      <c r="Q24" s="129"/>
      <c r="R24" s="129"/>
    </row>
    <row r="25" spans="1:18" ht="14.1" customHeight="1">
      <c r="A25" s="1632" t="s">
        <v>21</v>
      </c>
      <c r="B25" s="1824"/>
      <c r="C25" s="140" t="s">
        <v>4</v>
      </c>
      <c r="D25" s="152" t="s">
        <v>5</v>
      </c>
      <c r="E25" s="140" t="s">
        <v>6</v>
      </c>
      <c r="F25" s="140" t="s">
        <v>2</v>
      </c>
      <c r="G25" s="1792"/>
      <c r="H25" s="129"/>
      <c r="I25" s="129"/>
      <c r="J25" s="129"/>
      <c r="K25" s="129"/>
      <c r="L25" s="129"/>
      <c r="M25" s="129"/>
      <c r="N25" s="129"/>
      <c r="O25" s="129"/>
      <c r="P25" s="129"/>
      <c r="Q25" s="129"/>
      <c r="R25" s="129"/>
    </row>
    <row r="26" spans="1:18" ht="14.1" customHeight="1">
      <c r="A26" s="1905" t="s">
        <v>481</v>
      </c>
      <c r="B26" s="1904"/>
      <c r="C26" s="109" t="s">
        <v>0</v>
      </c>
      <c r="D26" s="110">
        <f>+'Apu Basicos'!G133</f>
        <v>888288</v>
      </c>
      <c r="E26" s="654">
        <v>1</v>
      </c>
      <c r="F26" s="110">
        <f>D26*E26</f>
        <v>888288</v>
      </c>
      <c r="G26" s="1793"/>
      <c r="H26" s="129"/>
      <c r="I26" s="129"/>
      <c r="J26" s="129"/>
      <c r="K26" s="129"/>
      <c r="L26" s="129"/>
      <c r="M26" s="129"/>
      <c r="N26" s="129"/>
      <c r="O26" s="129"/>
      <c r="P26" s="129"/>
      <c r="Q26" s="129"/>
      <c r="R26" s="129"/>
    </row>
    <row r="27" spans="1:18" ht="14.1" customHeight="1">
      <c r="A27" s="1905" t="s">
        <v>455</v>
      </c>
      <c r="B27" s="1904"/>
      <c r="C27" s="109" t="s">
        <v>35</v>
      </c>
      <c r="D27" s="110">
        <f>Sum!D46</f>
        <v>17800</v>
      </c>
      <c r="E27" s="654">
        <v>1</v>
      </c>
      <c r="F27" s="110">
        <f t="shared" ref="F27:F34" si="1">D27*E27</f>
        <v>17800</v>
      </c>
      <c r="G27" s="1793"/>
      <c r="H27" s="129"/>
      <c r="I27" s="129"/>
      <c r="J27" s="129"/>
      <c r="K27" s="129"/>
      <c r="L27" s="129"/>
      <c r="M27" s="129"/>
      <c r="N27" s="129"/>
      <c r="O27" s="129"/>
      <c r="P27" s="129"/>
      <c r="Q27" s="129"/>
      <c r="R27" s="129"/>
    </row>
    <row r="28" spans="1:18" ht="14.1" customHeight="1">
      <c r="A28" s="1905" t="str">
        <f>+Sum!B34</f>
        <v xml:space="preserve">Alambre Negro para Amarre </v>
      </c>
      <c r="B28" s="1904"/>
      <c r="C28" s="109" t="s">
        <v>35</v>
      </c>
      <c r="D28" s="110">
        <f>+Sum!D34</f>
        <v>8900</v>
      </c>
      <c r="E28" s="654">
        <v>0.03</v>
      </c>
      <c r="F28" s="110">
        <f t="shared" si="1"/>
        <v>267</v>
      </c>
      <c r="G28" s="1793"/>
      <c r="H28" s="129"/>
      <c r="I28" s="129"/>
      <c r="J28" s="129"/>
      <c r="K28" s="129"/>
      <c r="L28" s="129"/>
      <c r="M28" s="129"/>
      <c r="N28" s="129"/>
      <c r="O28" s="129"/>
      <c r="P28" s="129"/>
      <c r="Q28" s="129"/>
      <c r="R28" s="129"/>
    </row>
    <row r="29" spans="1:18" ht="14.1" customHeight="1">
      <c r="A29" s="1905" t="s">
        <v>805</v>
      </c>
      <c r="B29" s="1904"/>
      <c r="C29" s="109" t="s">
        <v>35</v>
      </c>
      <c r="D29" s="110">
        <f>+Sum!D37</f>
        <v>7200</v>
      </c>
      <c r="E29" s="110">
        <f>+CANTIDADES!O136</f>
        <v>10.654326923076923</v>
      </c>
      <c r="F29" s="110">
        <f>D29*E29</f>
        <v>76711.153846153844</v>
      </c>
      <c r="G29" s="1793"/>
      <c r="H29" s="129"/>
      <c r="I29" s="129"/>
      <c r="J29" s="129"/>
      <c r="K29" s="129"/>
      <c r="L29" s="129"/>
      <c r="M29" s="129"/>
      <c r="N29" s="129"/>
      <c r="O29" s="129"/>
      <c r="P29" s="129"/>
      <c r="Q29" s="129"/>
      <c r="R29" s="129"/>
    </row>
    <row r="30" spans="1:18" ht="14.1" customHeight="1">
      <c r="A30" s="1906" t="s">
        <v>753</v>
      </c>
      <c r="B30" s="1904"/>
      <c r="C30" s="109" t="s">
        <v>35</v>
      </c>
      <c r="D30" s="1306">
        <f>+Sum!D38</f>
        <v>7200</v>
      </c>
      <c r="E30" s="1306">
        <f>+CANTIDADES!O127</f>
        <v>0.68766309246309232</v>
      </c>
      <c r="F30" s="110">
        <f t="shared" si="1"/>
        <v>4951.1742657342647</v>
      </c>
      <c r="G30" s="1793"/>
      <c r="H30" s="129"/>
      <c r="I30" s="129"/>
      <c r="J30" s="129"/>
      <c r="K30" s="129"/>
      <c r="L30" s="129"/>
      <c r="M30" s="129"/>
      <c r="N30" s="129"/>
      <c r="O30" s="129"/>
      <c r="P30" s="129"/>
      <c r="Q30" s="129"/>
      <c r="R30" s="129"/>
    </row>
    <row r="31" spans="1:18" ht="26.25" customHeight="1">
      <c r="A31" s="1907" t="s">
        <v>581</v>
      </c>
      <c r="B31" s="1901"/>
      <c r="C31" s="109" t="s">
        <v>35</v>
      </c>
      <c r="D31" s="1306">
        <f>+Sum!D36</f>
        <v>7150</v>
      </c>
      <c r="E31" s="1306">
        <f>CANTIDADES!Q160</f>
        <v>2.120901320901321</v>
      </c>
      <c r="F31" s="110">
        <f t="shared" si="1"/>
        <v>15164.444444444445</v>
      </c>
      <c r="G31" s="1793"/>
      <c r="H31" s="129"/>
      <c r="I31" s="129"/>
      <c r="J31" s="129"/>
      <c r="K31" s="129"/>
      <c r="L31" s="129"/>
      <c r="M31" s="129"/>
      <c r="N31" s="129"/>
      <c r="O31" s="129"/>
      <c r="P31" s="129"/>
      <c r="Q31" s="129"/>
      <c r="R31" s="129"/>
    </row>
    <row r="32" spans="1:18" ht="14.1" customHeight="1">
      <c r="A32" s="1906" t="s">
        <v>754</v>
      </c>
      <c r="B32" s="1904"/>
      <c r="C32" s="1014" t="s">
        <v>442</v>
      </c>
      <c r="D32" s="1306">
        <f>+Sum!D44</f>
        <v>1663.08377625968</v>
      </c>
      <c r="E32" s="1306">
        <f>+CANTIDADES!Q171</f>
        <v>1.8036408036408036</v>
      </c>
      <c r="F32" s="110">
        <f t="shared" si="1"/>
        <v>2999.6057587349915</v>
      </c>
      <c r="G32" s="1793"/>
      <c r="H32" s="129"/>
      <c r="I32" s="129"/>
      <c r="J32" s="129"/>
      <c r="K32" s="129"/>
      <c r="L32" s="129"/>
      <c r="M32" s="129"/>
      <c r="N32" s="129"/>
      <c r="O32" s="129"/>
      <c r="P32" s="129"/>
      <c r="Q32" s="129"/>
      <c r="R32" s="129"/>
    </row>
    <row r="33" spans="1:18" ht="14.1" customHeight="1">
      <c r="A33" s="1906" t="s">
        <v>755</v>
      </c>
      <c r="B33" s="1904"/>
      <c r="C33" s="1014" t="s">
        <v>442</v>
      </c>
      <c r="D33" s="1306">
        <f>+Sum!D47</f>
        <v>4800</v>
      </c>
      <c r="E33" s="1306">
        <f>+CANTIDADES!Q171</f>
        <v>1.8036408036408036</v>
      </c>
      <c r="F33" s="110">
        <f t="shared" si="1"/>
        <v>8657.475857475858</v>
      </c>
      <c r="G33" s="1793"/>
      <c r="H33" s="129"/>
      <c r="I33" s="129"/>
      <c r="J33" s="129"/>
      <c r="K33" s="129"/>
      <c r="L33" s="129"/>
      <c r="M33" s="129"/>
      <c r="N33" s="129"/>
      <c r="O33" s="129"/>
      <c r="P33" s="129"/>
      <c r="Q33" s="129"/>
      <c r="R33" s="129"/>
    </row>
    <row r="34" spans="1:18" ht="14.1" customHeight="1" thickBot="1">
      <c r="A34" s="1905" t="s">
        <v>447</v>
      </c>
      <c r="B34" s="1904"/>
      <c r="C34" s="226" t="s">
        <v>44</v>
      </c>
      <c r="D34" s="227">
        <f>+Sum!D43</f>
        <v>710000</v>
      </c>
      <c r="E34" s="1335">
        <f>0.006*1.81075416291254</f>
        <v>1.086452497747524E-2</v>
      </c>
      <c r="F34" s="110">
        <f t="shared" si="1"/>
        <v>7713.8127340074207</v>
      </c>
      <c r="G34" s="1794"/>
      <c r="H34" s="129"/>
      <c r="I34" s="129"/>
      <c r="J34" s="129"/>
      <c r="K34" s="129"/>
      <c r="L34" s="129"/>
      <c r="M34" s="129"/>
      <c r="N34" s="129"/>
      <c r="O34" s="129"/>
      <c r="P34" s="129"/>
      <c r="Q34" s="129"/>
      <c r="R34" s="129"/>
    </row>
    <row r="35" spans="1:18" ht="14.1" customHeight="1" thickBot="1">
      <c r="F35" s="105" t="s">
        <v>3</v>
      </c>
      <c r="G35" s="151">
        <f>SUM(F26:F34)</f>
        <v>1022552.6669065509</v>
      </c>
      <c r="H35" s="129"/>
      <c r="I35" s="129"/>
      <c r="J35" s="129"/>
      <c r="K35" s="129"/>
      <c r="L35" s="129"/>
      <c r="M35" s="129"/>
      <c r="N35" s="129"/>
      <c r="O35" s="129"/>
      <c r="P35" s="129"/>
      <c r="Q35" s="129"/>
      <c r="R35" s="129"/>
    </row>
    <row r="36" spans="1:18" ht="14.1" customHeight="1" thickBot="1">
      <c r="A36" s="134" t="s">
        <v>18</v>
      </c>
      <c r="G36" s="111"/>
    </row>
    <row r="37" spans="1:18" ht="14.1" customHeight="1">
      <c r="A37" s="155" t="s">
        <v>23</v>
      </c>
      <c r="B37" s="140" t="s">
        <v>46</v>
      </c>
      <c r="C37" s="140" t="s">
        <v>36</v>
      </c>
      <c r="D37" s="152" t="s">
        <v>26</v>
      </c>
      <c r="E37" s="140" t="s">
        <v>25</v>
      </c>
      <c r="F37" s="140" t="s">
        <v>2</v>
      </c>
      <c r="G37" s="1792"/>
    </row>
    <row r="38" spans="1:18" ht="14.1" customHeight="1">
      <c r="A38" s="156" t="s">
        <v>701</v>
      </c>
      <c r="B38" s="377">
        <v>1.05</v>
      </c>
      <c r="C38" s="112">
        <f>+Transporte!D15</f>
        <v>15.6</v>
      </c>
      <c r="D38" s="112">
        <f>+B38*C38</f>
        <v>16.38</v>
      </c>
      <c r="E38" s="110">
        <f>+Transporte!D28</f>
        <v>0.48</v>
      </c>
      <c r="F38" s="110">
        <f>+D38*E38</f>
        <v>7.8623999999999992</v>
      </c>
      <c r="G38" s="1793"/>
    </row>
    <row r="39" spans="1:18" ht="14.1" customHeight="1">
      <c r="A39" s="145"/>
      <c r="B39" s="186"/>
      <c r="C39" s="186"/>
      <c r="D39" s="187"/>
      <c r="E39" s="110"/>
      <c r="F39" s="110"/>
      <c r="G39" s="1793"/>
    </row>
    <row r="40" spans="1:18" ht="14.1" customHeight="1">
      <c r="A40" s="142"/>
      <c r="B40" s="186"/>
      <c r="C40" s="186"/>
      <c r="D40" s="187"/>
      <c r="E40" s="110"/>
      <c r="F40" s="110"/>
      <c r="G40" s="1793"/>
    </row>
    <row r="41" spans="1:18" ht="14.1" customHeight="1">
      <c r="A41" s="156"/>
      <c r="B41" s="179"/>
      <c r="C41" s="179"/>
      <c r="D41" s="110"/>
      <c r="E41" s="110"/>
      <c r="F41" s="110"/>
      <c r="G41" s="1793"/>
    </row>
    <row r="42" spans="1:18" ht="14.1" customHeight="1" thickBot="1">
      <c r="A42" s="136"/>
      <c r="B42" s="158"/>
      <c r="C42" s="158"/>
      <c r="D42" s="159"/>
      <c r="E42" s="160"/>
      <c r="F42" s="159"/>
      <c r="G42" s="1794"/>
    </row>
    <row r="43" spans="1:18" ht="14.1" customHeight="1" thickBot="1">
      <c r="F43" s="105" t="s">
        <v>3</v>
      </c>
      <c r="G43" s="151">
        <f>SUM(F38:F42)</f>
        <v>7.8623999999999992</v>
      </c>
    </row>
    <row r="44" spans="1:18" ht="14.1" customHeight="1" thickBot="1">
      <c r="A44" s="134" t="s">
        <v>19</v>
      </c>
      <c r="G44" s="111"/>
    </row>
    <row r="45" spans="1:18" ht="14.1" customHeight="1">
      <c r="A45" s="161" t="s">
        <v>24</v>
      </c>
      <c r="B45" s="140" t="s">
        <v>7</v>
      </c>
      <c r="C45" s="140" t="s">
        <v>42</v>
      </c>
      <c r="D45" s="162" t="s">
        <v>27</v>
      </c>
      <c r="E45" s="140" t="s">
        <v>8</v>
      </c>
      <c r="F45" s="140" t="s">
        <v>2</v>
      </c>
      <c r="G45" s="1792"/>
    </row>
    <row r="46" spans="1:18" ht="14.1" customHeight="1">
      <c r="A46" s="142" t="s">
        <v>564</v>
      </c>
      <c r="B46" s="110">
        <f>+FP!Q51*2</f>
        <v>154301.12332444443</v>
      </c>
      <c r="C46" s="1308">
        <f>+FP!T47</f>
        <v>1.6529</v>
      </c>
      <c r="D46" s="164">
        <f>ROUND(C46*B46,0)</f>
        <v>255044</v>
      </c>
      <c r="E46" s="992">
        <v>10</v>
      </c>
      <c r="F46" s="164">
        <f>ROUND(D46/E46,0)</f>
        <v>25504</v>
      </c>
      <c r="G46" s="1793"/>
    </row>
    <row r="47" spans="1:18" ht="14.1" customHeight="1">
      <c r="A47" s="142" t="s">
        <v>565</v>
      </c>
      <c r="B47" s="110">
        <f>FP!U51*6</f>
        <v>310169.21740000002</v>
      </c>
      <c r="C47" s="1308">
        <f>+FP!V47</f>
        <v>1.8281000000000001</v>
      </c>
      <c r="D47" s="164">
        <f>ROUND(C47*B47,0)</f>
        <v>567020</v>
      </c>
      <c r="E47" s="992">
        <v>10</v>
      </c>
      <c r="F47" s="164">
        <f>ROUND(D47/E47,0)</f>
        <v>56702</v>
      </c>
      <c r="G47" s="1793"/>
    </row>
    <row r="48" spans="1:18" ht="14.1" customHeight="1">
      <c r="A48" s="153"/>
      <c r="B48" s="146"/>
      <c r="C48" s="181"/>
      <c r="D48" s="166"/>
      <c r="E48" s="166"/>
      <c r="F48" s="166"/>
      <c r="G48" s="1793"/>
    </row>
    <row r="49" spans="1:7" ht="14.1" customHeight="1" thickBot="1">
      <c r="A49" s="147"/>
      <c r="B49" s="167"/>
      <c r="C49" s="150"/>
      <c r="D49" s="168"/>
      <c r="E49" s="168"/>
      <c r="F49" s="168"/>
      <c r="G49" s="1794"/>
    </row>
    <row r="50" spans="1:7" ht="14.1" customHeight="1" thickBot="1">
      <c r="D50" s="157"/>
      <c r="E50" s="157"/>
      <c r="F50" s="105" t="s">
        <v>3</v>
      </c>
      <c r="G50" s="169">
        <f>SUM(F46:F49)</f>
        <v>82206</v>
      </c>
    </row>
    <row r="51" spans="1:7" ht="14.1" customHeight="1" thickBot="1">
      <c r="G51" s="111"/>
    </row>
    <row r="52" spans="1:7" ht="14.1" customHeight="1" thickBot="1">
      <c r="D52" s="134" t="s">
        <v>10</v>
      </c>
      <c r="G52" s="170">
        <f>+G50+G43+G23+G35</f>
        <v>1118000.2305002951</v>
      </c>
    </row>
    <row r="53" spans="1:7" ht="14.1" customHeight="1">
      <c r="G53" s="111"/>
    </row>
    <row r="54" spans="1:7" ht="14.1" customHeight="1">
      <c r="G54" s="111"/>
    </row>
    <row r="55" spans="1:7" ht="14.1" customHeight="1">
      <c r="A55" s="134"/>
      <c r="D55" s="134"/>
      <c r="G55" s="175"/>
    </row>
    <row r="57" spans="1:7" ht="14.1" customHeight="1">
      <c r="A57" s="127"/>
      <c r="B57" s="127"/>
    </row>
    <row r="58" spans="1:7" ht="14.1" customHeight="1">
      <c r="A58" s="552" t="str">
        <f>+PRESUPUESTO!B52</f>
        <v>JESUS EDUARDO ROBLES SMITH</v>
      </c>
    </row>
    <row r="59" spans="1:7" ht="14.1" customHeight="1">
      <c r="A59" s="551" t="str">
        <f>+PRESUPUESTO!B53</f>
        <v>INGENIERO CIVIL</v>
      </c>
    </row>
    <row r="60" spans="1:7" ht="14.1" customHeight="1">
      <c r="A60" s="551" t="str">
        <f>+PRESUPUESTO!B54</f>
        <v>M.P. 25202-316144 CND</v>
      </c>
    </row>
    <row r="61" spans="1:7" ht="14.1" customHeight="1">
      <c r="A61" s="1848"/>
      <c r="B61" s="1848"/>
      <c r="C61" s="1848"/>
    </row>
    <row r="62" spans="1:7" ht="14.1" customHeight="1">
      <c r="A62" s="225"/>
      <c r="B62" s="338"/>
      <c r="C62" s="335"/>
    </row>
    <row r="63" spans="1:7" ht="14.1" customHeight="1">
      <c r="A63" s="225"/>
      <c r="B63" s="335"/>
      <c r="C63" s="335"/>
    </row>
  </sheetData>
  <sheetProtection formatCells="0" formatColumns="0" formatRows="0" insertColumns="0" insertRows="0" insertHyperlinks="0" deleteColumns="0" deleteRows="0" sort="0" autoFilter="0" pivotTables="0"/>
  <mergeCells count="22">
    <mergeCell ref="A1:C5"/>
    <mergeCell ref="D1:G5"/>
    <mergeCell ref="A19:C19"/>
    <mergeCell ref="A31:B31"/>
    <mergeCell ref="A61:C61"/>
    <mergeCell ref="A7:E8"/>
    <mergeCell ref="A25:B25"/>
    <mergeCell ref="G25:G34"/>
    <mergeCell ref="G37:G42"/>
    <mergeCell ref="G45:G49"/>
    <mergeCell ref="A13:C13"/>
    <mergeCell ref="G13:G22"/>
    <mergeCell ref="B10:E11"/>
    <mergeCell ref="A27:B27"/>
    <mergeCell ref="A26:B26"/>
    <mergeCell ref="A28:B28"/>
    <mergeCell ref="A15:C15"/>
    <mergeCell ref="A29:B29"/>
    <mergeCell ref="A34:B34"/>
    <mergeCell ref="A32:B32"/>
    <mergeCell ref="A33:B33"/>
    <mergeCell ref="A30:B30"/>
  </mergeCells>
  <hyperlinks>
    <hyperlink ref="G12" location="PRESUPUESTO!Títulos_a_imprimir" display="PRESUPUESTO!Títulos_a_imprimir" xr:uid="{00000000-0004-0000-1300-000000000000}"/>
  </hyperlinks>
  <printOptions horizontalCentered="1" verticalCentered="1"/>
  <pageMargins left="0.59055118110236227" right="0.59055118110236227" top="0.78740157480314965" bottom="0.78740157480314965" header="0.59055118110236227" footer="0.59055118110236227"/>
  <pageSetup scale="79" orientation="portrait" r:id="rId1"/>
  <headerFooter alignWithMargins="0"/>
  <ignoredErrors>
    <ignoredError sqref="E38" 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51"/>
  <sheetViews>
    <sheetView view="pageBreakPreview" topLeftCell="A25" zoomScale="85" zoomScaleNormal="100" zoomScaleSheetLayoutView="85" workbookViewId="0">
      <selection activeCell="B39" sqref="B39"/>
    </sheetView>
  </sheetViews>
  <sheetFormatPr baseColWidth="10" defaultColWidth="11.44140625" defaultRowHeight="13.2"/>
  <cols>
    <col min="1" max="1" width="20.5546875" customWidth="1"/>
    <col min="2" max="6" width="12.5546875" customWidth="1"/>
    <col min="7" max="7" width="17.88671875" customWidth="1"/>
  </cols>
  <sheetData>
    <row r="1" spans="1:7" ht="13.8" thickBot="1"/>
    <row r="2" spans="1:7">
      <c r="A2" s="1632"/>
      <c r="B2" s="1633"/>
      <c r="C2" s="1890"/>
      <c r="D2" s="1884" t="s">
        <v>51</v>
      </c>
      <c r="E2" s="1885"/>
      <c r="F2" s="1885"/>
      <c r="G2" s="1886"/>
    </row>
    <row r="3" spans="1:7">
      <c r="A3" s="1595"/>
      <c r="B3" s="1596"/>
      <c r="C3" s="1891"/>
      <c r="D3" s="1801"/>
      <c r="E3" s="1802"/>
      <c r="F3" s="1802"/>
      <c r="G3" s="1803"/>
    </row>
    <row r="4" spans="1:7">
      <c r="A4" s="1595"/>
      <c r="B4" s="1596"/>
      <c r="C4" s="1891"/>
      <c r="D4" s="1801"/>
      <c r="E4" s="1802"/>
      <c r="F4" s="1802"/>
      <c r="G4" s="1803"/>
    </row>
    <row r="5" spans="1:7">
      <c r="A5" s="1595"/>
      <c r="B5" s="1596"/>
      <c r="C5" s="1891"/>
      <c r="D5" s="1801"/>
      <c r="E5" s="1802"/>
      <c r="F5" s="1802"/>
      <c r="G5" s="1803"/>
    </row>
    <row r="6" spans="1:7" ht="13.8" thickBot="1">
      <c r="A6" s="1892"/>
      <c r="B6" s="1599"/>
      <c r="C6" s="1893"/>
      <c r="D6" s="1887"/>
      <c r="E6" s="1888"/>
      <c r="F6" s="1888"/>
      <c r="G6" s="1889"/>
    </row>
    <row r="7" spans="1:7">
      <c r="A7" s="105"/>
      <c r="B7" s="105"/>
      <c r="C7" s="105"/>
      <c r="D7" s="105"/>
      <c r="E7" s="105"/>
      <c r="F7" s="105"/>
      <c r="G7" s="105"/>
    </row>
    <row r="8" spans="1:7">
      <c r="A8" s="1804" t="str">
        <f>+PRESUPUESTO!D2</f>
        <v>"MEJORAMIENTO VIAL MEDIANTE LA CONSTRUCCIÓN DE PAVIMENTO RÍGIDO DE LA PRIMERA ETAPA DE LA VÍA QUE COMUNICA A LA VEREDA PONDORES EN EL CORREGIMIENTO DE CONEJO, MUNICIPIO DE FONSECA - DEPARTAMENTO DE LA GUAJIRA."</v>
      </c>
      <c r="B8" s="1804"/>
      <c r="C8" s="1804"/>
      <c r="D8" s="1804"/>
      <c r="E8" s="1804"/>
      <c r="F8" s="907" t="s">
        <v>522</v>
      </c>
      <c r="G8" s="907">
        <f>+PRESUPUESTO!C23</f>
        <v>710.2</v>
      </c>
    </row>
    <row r="9" spans="1:7" ht="47.25" customHeight="1">
      <c r="A9" s="1804"/>
      <c r="B9" s="1804"/>
      <c r="C9" s="1804"/>
      <c r="D9" s="1804"/>
      <c r="E9" s="1804"/>
      <c r="F9" s="139"/>
      <c r="G9" s="134"/>
    </row>
    <row r="10" spans="1:7">
      <c r="A10" s="134"/>
      <c r="B10" s="134"/>
      <c r="C10" s="134"/>
      <c r="D10" s="134"/>
      <c r="E10" s="134"/>
      <c r="F10" s="139"/>
      <c r="G10" s="134"/>
    </row>
    <row r="11" spans="1:7">
      <c r="A11" s="134" t="s">
        <v>344</v>
      </c>
      <c r="B11" s="134" t="str">
        <f>+PRESUPUESTO!D23</f>
        <v>Señal vertical de transito Tipo II (1,2*0,4) con lámina retroreflectiva</v>
      </c>
      <c r="C11" s="134"/>
      <c r="D11" s="134"/>
      <c r="E11" s="134"/>
      <c r="F11" s="1188" t="s">
        <v>28</v>
      </c>
      <c r="G11" s="1188" t="str">
        <f>+PRESUPUESTO!E23</f>
        <v>UND</v>
      </c>
    </row>
    <row r="12" spans="1:7">
      <c r="A12" s="134"/>
      <c r="B12" s="134"/>
      <c r="C12" s="134"/>
      <c r="D12" s="134"/>
      <c r="E12" s="134"/>
      <c r="F12" s="134"/>
      <c r="G12" s="134"/>
    </row>
    <row r="13" spans="1:7" ht="27" thickBot="1">
      <c r="A13" s="134" t="s">
        <v>16</v>
      </c>
      <c r="B13" s="105"/>
      <c r="C13" s="105"/>
      <c r="D13" s="105"/>
      <c r="E13" s="105"/>
      <c r="F13" s="105"/>
      <c r="G13" s="444" t="s">
        <v>378</v>
      </c>
    </row>
    <row r="14" spans="1:7">
      <c r="A14" s="1632" t="s">
        <v>21</v>
      </c>
      <c r="B14" s="1633"/>
      <c r="C14" s="1824"/>
      <c r="D14" s="140" t="s">
        <v>1</v>
      </c>
      <c r="E14" s="141" t="s">
        <v>8</v>
      </c>
      <c r="F14" s="140" t="s">
        <v>2</v>
      </c>
      <c r="G14" s="1792"/>
    </row>
    <row r="15" spans="1:7">
      <c r="A15" s="142" t="s">
        <v>93</v>
      </c>
      <c r="B15" s="143">
        <v>0.05</v>
      </c>
      <c r="C15" s="144"/>
      <c r="D15" s="110"/>
      <c r="E15" s="110"/>
      <c r="F15" s="110">
        <v>810.28</v>
      </c>
      <c r="G15" s="1793"/>
    </row>
    <row r="16" spans="1:7">
      <c r="A16" s="145" t="s">
        <v>414</v>
      </c>
      <c r="B16" s="374"/>
      <c r="C16" s="128"/>
      <c r="D16" s="146">
        <f>+Equ!D26</f>
        <v>55500</v>
      </c>
      <c r="E16" s="146">
        <v>3.75</v>
      </c>
      <c r="F16" s="146">
        <f>+D16/E16</f>
        <v>14800</v>
      </c>
      <c r="G16" s="1793"/>
    </row>
    <row r="17" spans="1:10">
      <c r="A17" s="145"/>
      <c r="B17" s="374"/>
      <c r="C17" s="128"/>
      <c r="D17" s="146"/>
      <c r="E17" s="146"/>
      <c r="F17" s="146"/>
      <c r="G17" s="1793"/>
      <c r="J17" s="735"/>
    </row>
    <row r="18" spans="1:10">
      <c r="A18" s="145"/>
      <c r="B18" s="374"/>
      <c r="C18" s="128"/>
      <c r="D18" s="146"/>
      <c r="E18" s="146"/>
      <c r="F18" s="146"/>
      <c r="G18" s="1793"/>
    </row>
    <row r="19" spans="1:10" ht="13.8" thickBot="1">
      <c r="A19" s="147"/>
      <c r="B19" s="148"/>
      <c r="C19" s="149"/>
      <c r="D19" s="150"/>
      <c r="E19" s="150"/>
      <c r="F19" s="150"/>
      <c r="G19" s="1794"/>
      <c r="H19" s="735"/>
    </row>
    <row r="20" spans="1:10" ht="13.8" thickBot="1">
      <c r="A20" s="105"/>
      <c r="B20" s="105"/>
      <c r="C20" s="105"/>
      <c r="D20" s="105"/>
      <c r="E20" s="105"/>
      <c r="F20" s="105" t="s">
        <v>3</v>
      </c>
      <c r="G20" s="151">
        <f>SUM(F15:F19)</f>
        <v>15610.28</v>
      </c>
    </row>
    <row r="21" spans="1:10" ht="13.8" thickBot="1">
      <c r="A21" s="134" t="s">
        <v>17</v>
      </c>
      <c r="B21" s="105"/>
      <c r="C21" s="105"/>
      <c r="D21" s="105"/>
      <c r="E21" s="105"/>
      <c r="F21" s="105"/>
      <c r="G21" s="111"/>
    </row>
    <row r="22" spans="1:10">
      <c r="A22" s="1632" t="s">
        <v>21</v>
      </c>
      <c r="B22" s="1824"/>
      <c r="C22" s="140" t="s">
        <v>4</v>
      </c>
      <c r="D22" s="152" t="s">
        <v>5</v>
      </c>
      <c r="E22" s="140" t="s">
        <v>6</v>
      </c>
      <c r="F22" s="140" t="s">
        <v>2</v>
      </c>
      <c r="G22" s="1792"/>
      <c r="J22" s="735"/>
    </row>
    <row r="23" spans="1:10">
      <c r="A23" s="557" t="s">
        <v>427</v>
      </c>
      <c r="B23" s="558"/>
      <c r="C23" s="559" t="s">
        <v>417</v>
      </c>
      <c r="D23" s="110">
        <f>+'Apu Basicos'!G44</f>
        <v>730491</v>
      </c>
      <c r="E23" s="110">
        <v>0.03</v>
      </c>
      <c r="F23" s="110">
        <f>+ROUND(D23*E23,0)</f>
        <v>21915</v>
      </c>
      <c r="G23" s="1793"/>
    </row>
    <row r="24" spans="1:10" ht="24.75" customHeight="1">
      <c r="A24" s="1909" t="s">
        <v>415</v>
      </c>
      <c r="B24" s="1910"/>
      <c r="C24" s="560" t="s">
        <v>4</v>
      </c>
      <c r="D24" s="110">
        <f>+Sum!D42</f>
        <v>402000</v>
      </c>
      <c r="E24" s="110">
        <v>1</v>
      </c>
      <c r="F24" s="110">
        <f>+ROUND(D24*E24,0)</f>
        <v>402000</v>
      </c>
      <c r="G24" s="1793"/>
    </row>
    <row r="25" spans="1:10">
      <c r="A25" s="557" t="s">
        <v>416</v>
      </c>
      <c r="B25" s="558"/>
      <c r="C25" s="559" t="s">
        <v>4</v>
      </c>
      <c r="D25" s="110">
        <f>+Sum!D50</f>
        <v>140000</v>
      </c>
      <c r="E25" s="110">
        <v>1</v>
      </c>
      <c r="F25" s="110">
        <f>+ROUND(D25*E25,0)</f>
        <v>140000</v>
      </c>
      <c r="G25" s="1793"/>
    </row>
    <row r="26" spans="1:10">
      <c r="A26" s="153"/>
      <c r="B26" s="115"/>
      <c r="C26" s="381"/>
      <c r="D26" s="146"/>
      <c r="E26" s="146"/>
      <c r="F26" s="110"/>
      <c r="G26" s="1793"/>
    </row>
    <row r="27" spans="1:10" ht="13.8" thickBot="1">
      <c r="A27" s="147"/>
      <c r="B27" s="149"/>
      <c r="C27" s="154"/>
      <c r="D27" s="150"/>
      <c r="E27" s="150"/>
      <c r="F27" s="150"/>
      <c r="G27" s="1794"/>
    </row>
    <row r="28" spans="1:10" ht="13.8" thickBot="1">
      <c r="A28" s="105"/>
      <c r="B28" s="105"/>
      <c r="C28" s="105"/>
      <c r="D28" s="105"/>
      <c r="E28" s="105"/>
      <c r="F28" s="105" t="s">
        <v>3</v>
      </c>
      <c r="G28" s="151">
        <f>SUM(F23:F27)</f>
        <v>563915</v>
      </c>
    </row>
    <row r="29" spans="1:10" ht="13.8" thickBot="1">
      <c r="A29" s="134" t="s">
        <v>18</v>
      </c>
      <c r="B29" s="105"/>
      <c r="C29" s="105"/>
      <c r="D29" s="105"/>
      <c r="E29" s="105"/>
      <c r="F29" s="105"/>
      <c r="G29" s="111"/>
    </row>
    <row r="30" spans="1:10">
      <c r="A30" s="155" t="s">
        <v>23</v>
      </c>
      <c r="B30" s="140" t="s">
        <v>46</v>
      </c>
      <c r="C30" s="140" t="s">
        <v>36</v>
      </c>
      <c r="D30" s="152" t="s">
        <v>26</v>
      </c>
      <c r="E30" s="140" t="s">
        <v>25</v>
      </c>
      <c r="F30" s="140" t="s">
        <v>2</v>
      </c>
      <c r="G30" s="1792"/>
    </row>
    <row r="31" spans="1:10">
      <c r="A31" s="156"/>
      <c r="B31" s="377"/>
      <c r="C31" s="112"/>
      <c r="D31" s="112"/>
      <c r="E31" s="110"/>
      <c r="F31" s="110"/>
      <c r="G31" s="1793"/>
    </row>
    <row r="32" spans="1:10">
      <c r="A32" s="156"/>
      <c r="B32" s="377"/>
      <c r="C32" s="112"/>
      <c r="D32" s="112"/>
      <c r="E32" s="110"/>
      <c r="F32" s="110"/>
      <c r="G32" s="1793"/>
    </row>
    <row r="33" spans="1:7">
      <c r="A33" s="156"/>
      <c r="B33" s="377"/>
      <c r="C33" s="112"/>
      <c r="D33" s="112"/>
      <c r="E33" s="110"/>
      <c r="F33" s="110"/>
      <c r="G33" s="1793"/>
    </row>
    <row r="34" spans="1:7">
      <c r="A34" s="378"/>
      <c r="B34" s="379"/>
      <c r="C34" s="379"/>
      <c r="D34" s="379"/>
      <c r="E34" s="380"/>
      <c r="F34" s="380"/>
      <c r="G34" s="1793"/>
    </row>
    <row r="35" spans="1:7" ht="13.8" thickBot="1">
      <c r="A35" s="136"/>
      <c r="B35" s="158"/>
      <c r="C35" s="158"/>
      <c r="D35" s="159"/>
      <c r="E35" s="160"/>
      <c r="F35" s="159"/>
      <c r="G35" s="1794"/>
    </row>
    <row r="36" spans="1:7" ht="13.8" thickBot="1">
      <c r="A36" s="105"/>
      <c r="B36" s="105"/>
      <c r="C36" s="105"/>
      <c r="D36" s="105"/>
      <c r="E36" s="105"/>
      <c r="F36" s="105" t="s">
        <v>3</v>
      </c>
      <c r="G36" s="151">
        <f>SUM(F31:F35)</f>
        <v>0</v>
      </c>
    </row>
    <row r="37" spans="1:7" ht="13.8" thickBot="1">
      <c r="A37" s="134" t="s">
        <v>19</v>
      </c>
      <c r="B37" s="105"/>
      <c r="C37" s="105"/>
      <c r="D37" s="105"/>
      <c r="E37" s="105"/>
      <c r="F37" s="105"/>
      <c r="G37" s="111"/>
    </row>
    <row r="38" spans="1:7">
      <c r="A38" s="161" t="s">
        <v>24</v>
      </c>
      <c r="B38" s="140" t="s">
        <v>7</v>
      </c>
      <c r="C38" s="140" t="s">
        <v>42</v>
      </c>
      <c r="D38" s="162" t="s">
        <v>27</v>
      </c>
      <c r="E38" s="140" t="s">
        <v>8</v>
      </c>
      <c r="F38" s="140" t="s">
        <v>2</v>
      </c>
      <c r="G38" s="1792"/>
    </row>
    <row r="39" spans="1:7">
      <c r="A39" s="142" t="s">
        <v>476</v>
      </c>
      <c r="B39" s="110">
        <f>FP!Q51</f>
        <v>77150.561662222215</v>
      </c>
      <c r="C39" s="163">
        <f>+FP!$V$47</f>
        <v>1.8281000000000001</v>
      </c>
      <c r="D39" s="164">
        <f>ROUND(C39*B39,0)</f>
        <v>141039</v>
      </c>
      <c r="E39" s="164">
        <v>30</v>
      </c>
      <c r="F39" s="164">
        <f>ROUND(D39/E39,0)</f>
        <v>4701</v>
      </c>
      <c r="G39" s="1793"/>
    </row>
    <row r="40" spans="1:7">
      <c r="A40" s="142" t="s">
        <v>531</v>
      </c>
      <c r="B40" s="110">
        <f>FP!U51*3</f>
        <v>155084.60870000001</v>
      </c>
      <c r="C40" s="163">
        <f>+FP!T47</f>
        <v>1.6529</v>
      </c>
      <c r="D40" s="653">
        <f>+B40*C40</f>
        <v>256339.34972023004</v>
      </c>
      <c r="E40" s="653">
        <v>30</v>
      </c>
      <c r="F40" s="653">
        <f>+D40/E40</f>
        <v>8544.6449906743346</v>
      </c>
      <c r="G40" s="1793"/>
    </row>
    <row r="41" spans="1:7">
      <c r="A41" s="153"/>
      <c r="B41" s="146"/>
      <c r="C41" s="165"/>
      <c r="D41" s="166"/>
      <c r="E41" s="166"/>
      <c r="F41" s="166"/>
      <c r="G41" s="1793"/>
    </row>
    <row r="42" spans="1:7" ht="13.8" thickBot="1">
      <c r="A42" s="147"/>
      <c r="B42" s="167"/>
      <c r="C42" s="150"/>
      <c r="D42" s="168"/>
      <c r="E42" s="168"/>
      <c r="F42" s="168"/>
      <c r="G42" s="1794"/>
    </row>
    <row r="43" spans="1:7" ht="13.8" thickBot="1">
      <c r="A43" s="105"/>
      <c r="B43" s="105"/>
      <c r="C43" s="105"/>
      <c r="D43" s="157"/>
      <c r="E43" s="157"/>
      <c r="F43" s="105" t="s">
        <v>3</v>
      </c>
      <c r="G43" s="169">
        <f>SUM(F39:F42)</f>
        <v>13245.644990674335</v>
      </c>
    </row>
    <row r="44" spans="1:7" ht="13.8" thickBot="1">
      <c r="A44" s="105"/>
      <c r="B44" s="105"/>
      <c r="C44" s="105"/>
      <c r="D44" s="105"/>
      <c r="E44" s="105"/>
      <c r="F44" s="105"/>
      <c r="G44" s="111"/>
    </row>
    <row r="45" spans="1:7" ht="13.8" thickBot="1">
      <c r="A45" s="105"/>
      <c r="B45" s="105"/>
      <c r="C45" s="105"/>
      <c r="D45" s="134" t="s">
        <v>10</v>
      </c>
      <c r="E45" s="105"/>
      <c r="F45" s="105"/>
      <c r="G45" s="170">
        <f>(G20+G28+G36+G43)</f>
        <v>592770.92499067436</v>
      </c>
    </row>
    <row r="46" spans="1:7">
      <c r="A46" s="105"/>
      <c r="B46" s="105"/>
      <c r="C46" s="105"/>
      <c r="D46" s="105"/>
      <c r="E46" s="105"/>
      <c r="F46" s="105"/>
      <c r="G46" s="111"/>
    </row>
    <row r="47" spans="1:7">
      <c r="A47" s="105"/>
      <c r="B47" s="105"/>
      <c r="C47" s="105"/>
      <c r="D47" s="105"/>
      <c r="E47" s="105"/>
      <c r="F47" s="105"/>
      <c r="G47" s="111"/>
    </row>
    <row r="48" spans="1:7">
      <c r="A48" s="1094"/>
      <c r="B48" s="127"/>
      <c r="C48" s="105"/>
      <c r="D48" s="134"/>
      <c r="E48" s="105"/>
      <c r="F48" s="105"/>
      <c r="G48" s="175"/>
    </row>
    <row r="49" spans="1:7">
      <c r="A49" s="552" t="str">
        <f>+PRESUPUESTO!B52</f>
        <v>JESUS EDUARDO ROBLES SMITH</v>
      </c>
      <c r="B49" s="105"/>
      <c r="C49" s="105"/>
      <c r="D49" s="105"/>
      <c r="E49" s="105"/>
      <c r="F49" s="105"/>
      <c r="G49" s="105"/>
    </row>
    <row r="50" spans="1:7">
      <c r="A50" s="551" t="str">
        <f>+PRESUPUESTO!B53</f>
        <v>INGENIERO CIVIL</v>
      </c>
      <c r="B50" s="105"/>
      <c r="C50" s="105"/>
      <c r="D50" s="105"/>
      <c r="E50" s="105"/>
      <c r="F50" s="105"/>
      <c r="G50" s="105"/>
    </row>
    <row r="51" spans="1:7">
      <c r="A51" s="551" t="str">
        <f>+PRESUPUESTO!B54</f>
        <v>M.P. 25202-316144 CND</v>
      </c>
      <c r="B51" s="105"/>
      <c r="C51" s="105"/>
      <c r="D51" s="105"/>
      <c r="E51" s="105"/>
      <c r="F51" s="105"/>
      <c r="G51" s="105"/>
    </row>
  </sheetData>
  <mergeCells count="10">
    <mergeCell ref="G30:G35"/>
    <mergeCell ref="G38:G42"/>
    <mergeCell ref="A24:B24"/>
    <mergeCell ref="A2:C6"/>
    <mergeCell ref="D2:G6"/>
    <mergeCell ref="A8:E9"/>
    <mergeCell ref="A14:C14"/>
    <mergeCell ref="G14:G19"/>
    <mergeCell ref="A22:B22"/>
    <mergeCell ref="G22:G27"/>
  </mergeCells>
  <phoneticPr fontId="130" type="noConversion"/>
  <hyperlinks>
    <hyperlink ref="G13" location="PRESUPUESTO!Títulos_a_imprimir" display="PRESUPUESTO!Títulos_a_imprimir" xr:uid="{00000000-0004-0000-1400-000000000000}"/>
  </hyperlinks>
  <pageMargins left="0.7" right="0.7" top="0.75" bottom="0.75" header="0.3" footer="0.3"/>
  <pageSetup paperSize="9" scale="8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G51"/>
  <sheetViews>
    <sheetView view="pageBreakPreview" topLeftCell="A22" zoomScale="85" zoomScaleNormal="100" zoomScaleSheetLayoutView="85" workbookViewId="0">
      <selection activeCell="B39" sqref="B39"/>
    </sheetView>
  </sheetViews>
  <sheetFormatPr baseColWidth="10" defaultColWidth="11.44140625" defaultRowHeight="13.2"/>
  <cols>
    <col min="1" max="1" width="20.5546875" customWidth="1"/>
    <col min="2" max="6" width="12.5546875" customWidth="1"/>
    <col min="7" max="7" width="19" customWidth="1"/>
  </cols>
  <sheetData>
    <row r="1" spans="1:7" ht="13.8" thickBot="1"/>
    <row r="2" spans="1:7">
      <c r="A2" s="1632"/>
      <c r="B2" s="1633"/>
      <c r="C2" s="1890"/>
      <c r="D2" s="1884" t="s">
        <v>51</v>
      </c>
      <c r="E2" s="1885"/>
      <c r="F2" s="1885"/>
      <c r="G2" s="1886"/>
    </row>
    <row r="3" spans="1:7">
      <c r="A3" s="1595"/>
      <c r="B3" s="1596"/>
      <c r="C3" s="1891"/>
      <c r="D3" s="1801"/>
      <c r="E3" s="1802"/>
      <c r="F3" s="1802"/>
      <c r="G3" s="1803"/>
    </row>
    <row r="4" spans="1:7">
      <c r="A4" s="1595"/>
      <c r="B4" s="1596"/>
      <c r="C4" s="1891"/>
      <c r="D4" s="1801"/>
      <c r="E4" s="1802"/>
      <c r="F4" s="1802"/>
      <c r="G4" s="1803"/>
    </row>
    <row r="5" spans="1:7">
      <c r="A5" s="1595"/>
      <c r="B5" s="1596"/>
      <c r="C5" s="1891"/>
      <c r="D5" s="1801"/>
      <c r="E5" s="1802"/>
      <c r="F5" s="1802"/>
      <c r="G5" s="1803"/>
    </row>
    <row r="6" spans="1:7" ht="13.8" thickBot="1">
      <c r="A6" s="1892"/>
      <c r="B6" s="1599"/>
      <c r="C6" s="1893"/>
      <c r="D6" s="1887"/>
      <c r="E6" s="1888"/>
      <c r="F6" s="1888"/>
      <c r="G6" s="1889"/>
    </row>
    <row r="7" spans="1:7">
      <c r="A7" s="105"/>
      <c r="B7" s="105"/>
      <c r="C7" s="105"/>
      <c r="D7" s="105"/>
      <c r="E7" s="105"/>
      <c r="F7" s="105"/>
      <c r="G7" s="105"/>
    </row>
    <row r="8" spans="1:7">
      <c r="A8" s="1804" t="str">
        <f>+PRESUPUESTO!D2</f>
        <v>"MEJORAMIENTO VIAL MEDIANTE LA CONSTRUCCIÓN DE PAVIMENTO RÍGIDO DE LA PRIMERA ETAPA DE LA VÍA QUE COMUNICA A LA VEREDA PONDORES EN EL CORREGIMIENTO DE CONEJO, MUNICIPIO DE FONSECA - DEPARTAMENTO DE LA GUAJIRA."</v>
      </c>
      <c r="B8" s="1804"/>
      <c r="C8" s="1804"/>
      <c r="D8" s="1804"/>
      <c r="E8" s="1804"/>
      <c r="F8" s="907" t="s">
        <v>522</v>
      </c>
      <c r="G8" s="907">
        <f>+PRESUPUESTO!C24</f>
        <v>700.1</v>
      </c>
    </row>
    <row r="9" spans="1:7" ht="47.25" customHeight="1">
      <c r="A9" s="1804"/>
      <c r="B9" s="1804"/>
      <c r="C9" s="1804"/>
      <c r="D9" s="1804"/>
      <c r="E9" s="1804"/>
      <c r="F9" s="139"/>
      <c r="G9" s="134"/>
    </row>
    <row r="10" spans="1:7">
      <c r="A10" s="134"/>
      <c r="B10" s="134"/>
      <c r="C10" s="134"/>
      <c r="D10" s="134"/>
      <c r="E10" s="134"/>
      <c r="F10" s="139"/>
      <c r="G10" s="134"/>
    </row>
    <row r="11" spans="1:7">
      <c r="A11" s="134" t="s">
        <v>344</v>
      </c>
      <c r="B11" s="134" t="str">
        <f>+PRESUPUESTO!D24</f>
        <v>Linea de demarcacion con pintura en frio</v>
      </c>
      <c r="C11" s="134"/>
      <c r="D11" s="134"/>
      <c r="E11" s="134"/>
      <c r="F11" s="1188" t="s">
        <v>28</v>
      </c>
      <c r="G11" s="1188" t="str">
        <f>+PRESUPUESTO!E24</f>
        <v>M</v>
      </c>
    </row>
    <row r="12" spans="1:7">
      <c r="A12" s="134"/>
      <c r="B12" s="134"/>
      <c r="C12" s="134"/>
      <c r="D12" s="134"/>
      <c r="E12" s="134"/>
      <c r="F12" s="134"/>
      <c r="G12" s="134"/>
    </row>
    <row r="13" spans="1:7" ht="27" thickBot="1">
      <c r="A13" s="134" t="s">
        <v>16</v>
      </c>
      <c r="B13" s="105"/>
      <c r="C13" s="105"/>
      <c r="D13" s="105"/>
      <c r="E13" s="105"/>
      <c r="F13" s="105"/>
      <c r="G13" s="444" t="s">
        <v>378</v>
      </c>
    </row>
    <row r="14" spans="1:7">
      <c r="A14" s="1632" t="s">
        <v>21</v>
      </c>
      <c r="B14" s="1633"/>
      <c r="C14" s="1824"/>
      <c r="D14" s="140" t="s">
        <v>1</v>
      </c>
      <c r="E14" s="141" t="s">
        <v>8</v>
      </c>
      <c r="F14" s="140" t="s">
        <v>2</v>
      </c>
      <c r="G14" s="1792"/>
    </row>
    <row r="15" spans="1:7">
      <c r="A15" s="142" t="s">
        <v>93</v>
      </c>
      <c r="B15" s="143">
        <v>0.05</v>
      </c>
      <c r="C15" s="144"/>
      <c r="D15" s="110"/>
      <c r="E15" s="110"/>
      <c r="F15" s="110">
        <f>+ROUND(B15*G43,0)</f>
        <v>2</v>
      </c>
      <c r="G15" s="1793"/>
    </row>
    <row r="16" spans="1:7">
      <c r="A16" s="145" t="s">
        <v>414</v>
      </c>
      <c r="B16" s="374"/>
      <c r="C16" s="128"/>
      <c r="D16" s="146">
        <f>+Equ!D26</f>
        <v>55500</v>
      </c>
      <c r="E16" s="146">
        <v>1500</v>
      </c>
      <c r="F16" s="146">
        <f>+D16/E16</f>
        <v>37</v>
      </c>
      <c r="G16" s="1793"/>
    </row>
    <row r="17" spans="1:7">
      <c r="A17" s="145" t="s">
        <v>530</v>
      </c>
      <c r="B17" s="374"/>
      <c r="C17" s="128"/>
      <c r="D17" s="146">
        <f>+Equ!D25</f>
        <v>100000</v>
      </c>
      <c r="E17" s="146">
        <f>+E16</f>
        <v>1500</v>
      </c>
      <c r="F17" s="146">
        <f>+D17/E17</f>
        <v>66.666666666666671</v>
      </c>
      <c r="G17" s="1793"/>
    </row>
    <row r="18" spans="1:7">
      <c r="A18" s="145"/>
      <c r="B18" s="374"/>
      <c r="C18" s="128"/>
      <c r="D18" s="146"/>
      <c r="E18" s="146"/>
      <c r="F18" s="146"/>
      <c r="G18" s="1793"/>
    </row>
    <row r="19" spans="1:7" ht="13.8" thickBot="1">
      <c r="A19" s="147"/>
      <c r="B19" s="148"/>
      <c r="C19" s="149"/>
      <c r="D19" s="150"/>
      <c r="E19" s="150"/>
      <c r="F19" s="150"/>
      <c r="G19" s="1794"/>
    </row>
    <row r="20" spans="1:7" ht="13.8" thickBot="1">
      <c r="A20" s="105"/>
      <c r="B20" s="105"/>
      <c r="C20" s="105"/>
      <c r="D20" s="105"/>
      <c r="E20" s="105"/>
      <c r="F20" s="105" t="s">
        <v>3</v>
      </c>
      <c r="G20" s="151">
        <f>SUM(F15:F19)</f>
        <v>105.66666666666667</v>
      </c>
    </row>
    <row r="21" spans="1:7" ht="13.8" thickBot="1">
      <c r="A21" s="134" t="s">
        <v>17</v>
      </c>
      <c r="B21" s="105"/>
      <c r="C21" s="105"/>
      <c r="D21" s="105"/>
      <c r="E21" s="105"/>
      <c r="F21" s="105"/>
      <c r="G21" s="111"/>
    </row>
    <row r="22" spans="1:7">
      <c r="A22" s="1632" t="s">
        <v>21</v>
      </c>
      <c r="B22" s="1824"/>
      <c r="C22" s="140" t="s">
        <v>4</v>
      </c>
      <c r="D22" s="152" t="s">
        <v>5</v>
      </c>
      <c r="E22" s="140" t="s">
        <v>6</v>
      </c>
      <c r="F22" s="140" t="s">
        <v>2</v>
      </c>
      <c r="G22" s="1792"/>
    </row>
    <row r="23" spans="1:7">
      <c r="A23" s="1911" t="str">
        <f>Sum!B28</f>
        <v>Esferas reflectivas</v>
      </c>
      <c r="B23" s="1912"/>
      <c r="C23" s="832" t="s">
        <v>433</v>
      </c>
      <c r="D23" s="110">
        <f>Sum!D28</f>
        <v>6541.0923174372601</v>
      </c>
      <c r="E23" s="654">
        <v>4.5999999999999999E-2</v>
      </c>
      <c r="F23" s="110">
        <f>+ROUND(D23*E23,0)</f>
        <v>301</v>
      </c>
      <c r="G23" s="1793"/>
    </row>
    <row r="24" spans="1:7" ht="15" customHeight="1">
      <c r="A24" s="1911" t="str">
        <f>Sum!B29</f>
        <v>Disolvente para pintura tráfico (acrilico)</v>
      </c>
      <c r="B24" s="1912"/>
      <c r="C24" s="833" t="s">
        <v>471</v>
      </c>
      <c r="D24" s="110">
        <f>Sum!D29</f>
        <v>34301.424641850303</v>
      </c>
      <c r="E24" s="834">
        <v>4.2999999999999999E-4</v>
      </c>
      <c r="F24" s="110">
        <f>+ROUND(D24*E24,0)</f>
        <v>15</v>
      </c>
      <c r="G24" s="1793"/>
    </row>
    <row r="25" spans="1:7">
      <c r="A25" s="1911" t="str">
        <f>Sum!B30</f>
        <v>Pintura acrílica pura para tráfico</v>
      </c>
      <c r="B25" s="1912"/>
      <c r="C25" s="832" t="s">
        <v>471</v>
      </c>
      <c r="D25" s="110">
        <f>Sum!D30</f>
        <v>71856.739077102102</v>
      </c>
      <c r="E25" s="654">
        <v>1.4E-2</v>
      </c>
      <c r="F25" s="110">
        <f>+ROUND(D25*E25,0)</f>
        <v>1006</v>
      </c>
      <c r="G25" s="1793"/>
    </row>
    <row r="26" spans="1:7">
      <c r="A26" s="153"/>
      <c r="B26" s="115"/>
      <c r="C26" s="381"/>
      <c r="D26" s="146"/>
      <c r="E26" s="146"/>
      <c r="F26" s="110"/>
      <c r="G26" s="1793"/>
    </row>
    <row r="27" spans="1:7" ht="13.8" thickBot="1">
      <c r="A27" s="147"/>
      <c r="B27" s="149"/>
      <c r="C27" s="154"/>
      <c r="D27" s="150"/>
      <c r="E27" s="150"/>
      <c r="F27" s="150"/>
      <c r="G27" s="1794"/>
    </row>
    <row r="28" spans="1:7" ht="13.8" thickBot="1">
      <c r="A28" s="105"/>
      <c r="B28" s="105"/>
      <c r="C28" s="105"/>
      <c r="D28" s="105"/>
      <c r="E28" s="105"/>
      <c r="F28" s="105" t="s">
        <v>3</v>
      </c>
      <c r="G28" s="151">
        <f>SUM(F23:F27)</f>
        <v>1322</v>
      </c>
    </row>
    <row r="29" spans="1:7" ht="13.8" thickBot="1">
      <c r="A29" s="134" t="s">
        <v>18</v>
      </c>
      <c r="B29" s="105"/>
      <c r="C29" s="105"/>
      <c r="D29" s="105"/>
      <c r="E29" s="105"/>
      <c r="F29" s="105"/>
      <c r="G29" s="111"/>
    </row>
    <row r="30" spans="1:7">
      <c r="A30" s="155" t="s">
        <v>23</v>
      </c>
      <c r="B30" s="140" t="s">
        <v>46</v>
      </c>
      <c r="C30" s="140" t="s">
        <v>36</v>
      </c>
      <c r="D30" s="152" t="s">
        <v>26</v>
      </c>
      <c r="E30" s="140" t="s">
        <v>25</v>
      </c>
      <c r="F30" s="140" t="s">
        <v>2</v>
      </c>
      <c r="G30" s="1792"/>
    </row>
    <row r="31" spans="1:7">
      <c r="A31" s="156"/>
      <c r="B31" s="377"/>
      <c r="C31" s="112"/>
      <c r="D31" s="112"/>
      <c r="E31" s="110"/>
      <c r="F31" s="110"/>
      <c r="G31" s="1793"/>
    </row>
    <row r="32" spans="1:7">
      <c r="A32" s="156"/>
      <c r="B32" s="377"/>
      <c r="C32" s="112"/>
      <c r="D32" s="112"/>
      <c r="E32" s="110"/>
      <c r="F32" s="110"/>
      <c r="G32" s="1793"/>
    </row>
    <row r="33" spans="1:7">
      <c r="A33" s="156"/>
      <c r="B33" s="377"/>
      <c r="C33" s="112"/>
      <c r="D33" s="112"/>
      <c r="E33" s="110"/>
      <c r="F33" s="110"/>
      <c r="G33" s="1793"/>
    </row>
    <row r="34" spans="1:7">
      <c r="A34" s="378"/>
      <c r="B34" s="379"/>
      <c r="C34" s="379"/>
      <c r="D34" s="379"/>
      <c r="E34" s="380"/>
      <c r="F34" s="380"/>
      <c r="G34" s="1793"/>
    </row>
    <row r="35" spans="1:7" ht="13.8" thickBot="1">
      <c r="A35" s="136"/>
      <c r="B35" s="158"/>
      <c r="C35" s="158"/>
      <c r="D35" s="159"/>
      <c r="E35" s="160"/>
      <c r="F35" s="159"/>
      <c r="G35" s="1794"/>
    </row>
    <row r="36" spans="1:7" ht="13.8" thickBot="1">
      <c r="A36" s="105"/>
      <c r="B36" s="105"/>
      <c r="C36" s="105"/>
      <c r="D36" s="105"/>
      <c r="E36" s="105"/>
      <c r="F36" s="105" t="s">
        <v>3</v>
      </c>
      <c r="G36" s="151">
        <f>SUM(F31:F35)</f>
        <v>0</v>
      </c>
    </row>
    <row r="37" spans="1:7" ht="13.8" thickBot="1">
      <c r="A37" s="134" t="s">
        <v>19</v>
      </c>
      <c r="B37" s="105"/>
      <c r="C37" s="105"/>
      <c r="D37" s="105"/>
      <c r="E37" s="105"/>
      <c r="F37" s="105"/>
      <c r="G37" s="111"/>
    </row>
    <row r="38" spans="1:7">
      <c r="A38" s="161" t="s">
        <v>24</v>
      </c>
      <c r="B38" s="140" t="s">
        <v>7</v>
      </c>
      <c r="C38" s="140" t="s">
        <v>42</v>
      </c>
      <c r="D38" s="162" t="s">
        <v>27</v>
      </c>
      <c r="E38" s="140" t="s">
        <v>8</v>
      </c>
      <c r="F38" s="140" t="s">
        <v>2</v>
      </c>
      <c r="G38" s="1792"/>
    </row>
    <row r="39" spans="1:7">
      <c r="A39" s="142" t="s">
        <v>149</v>
      </c>
      <c r="B39" s="110">
        <f>FP!Q51</f>
        <v>77150.561662222215</v>
      </c>
      <c r="C39" s="163">
        <f>+FP!V47</f>
        <v>1.8281000000000001</v>
      </c>
      <c r="D39" s="164">
        <f>ROUND(C39*B39,0)</f>
        <v>141039</v>
      </c>
      <c r="E39" s="164">
        <v>12000</v>
      </c>
      <c r="F39" s="164">
        <f>ROUND(D39/E39,0)</f>
        <v>12</v>
      </c>
      <c r="G39" s="1793"/>
    </row>
    <row r="40" spans="1:7">
      <c r="A40" s="142" t="s">
        <v>531</v>
      </c>
      <c r="B40" s="110">
        <f>FP!U51*3</f>
        <v>155084.60870000001</v>
      </c>
      <c r="C40" s="163">
        <f>+FP!T47</f>
        <v>1.6529</v>
      </c>
      <c r="D40" s="653">
        <f>+B40*C40</f>
        <v>256339.34972023004</v>
      </c>
      <c r="E40" s="653">
        <f>+E39</f>
        <v>12000</v>
      </c>
      <c r="F40" s="653">
        <f>+D40/E40</f>
        <v>21.361612476685835</v>
      </c>
      <c r="G40" s="1793"/>
    </row>
    <row r="41" spans="1:7">
      <c r="A41" s="153"/>
      <c r="B41" s="146"/>
      <c r="C41" s="165"/>
      <c r="D41" s="166"/>
      <c r="E41" s="166"/>
      <c r="F41" s="166"/>
      <c r="G41" s="1793"/>
    </row>
    <row r="42" spans="1:7" ht="13.8" thickBot="1">
      <c r="A42" s="147"/>
      <c r="B42" s="167"/>
      <c r="C42" s="150"/>
      <c r="D42" s="168"/>
      <c r="E42" s="168"/>
      <c r="F42" s="168"/>
      <c r="G42" s="1794"/>
    </row>
    <row r="43" spans="1:7" ht="13.8" thickBot="1">
      <c r="A43" s="105"/>
      <c r="B43" s="105"/>
      <c r="C43" s="105"/>
      <c r="D43" s="157"/>
      <c r="E43" s="157"/>
      <c r="F43" s="105" t="s">
        <v>3</v>
      </c>
      <c r="G43" s="169">
        <f>SUM(F39:F42)</f>
        <v>33.361612476685835</v>
      </c>
    </row>
    <row r="44" spans="1:7" ht="13.8" thickBot="1">
      <c r="A44" s="105"/>
      <c r="B44" s="105"/>
      <c r="C44" s="105"/>
      <c r="D44" s="105"/>
      <c r="E44" s="105"/>
      <c r="F44" s="105"/>
      <c r="G44" s="111"/>
    </row>
    <row r="45" spans="1:7" ht="13.8" thickBot="1">
      <c r="A45" s="105"/>
      <c r="B45" s="105"/>
      <c r="C45" s="105"/>
      <c r="D45" s="134" t="s">
        <v>10</v>
      </c>
      <c r="E45" s="105"/>
      <c r="F45" s="105"/>
      <c r="G45" s="170">
        <f>ROUND(G20+G28+G36+G43,0)</f>
        <v>1461</v>
      </c>
    </row>
    <row r="46" spans="1:7">
      <c r="A46" s="105"/>
      <c r="B46" s="105"/>
      <c r="C46" s="105"/>
      <c r="D46" s="105"/>
      <c r="E46" s="105"/>
      <c r="F46" s="105"/>
      <c r="G46" s="111"/>
    </row>
    <row r="47" spans="1:7">
      <c r="A47" s="105"/>
      <c r="B47" s="105"/>
      <c r="C47" s="105"/>
      <c r="D47" s="105"/>
      <c r="E47" s="105"/>
      <c r="F47" s="105"/>
      <c r="G47" s="111"/>
    </row>
    <row r="48" spans="1:7">
      <c r="A48" s="1094"/>
      <c r="B48" s="127"/>
      <c r="C48" s="105"/>
      <c r="D48" s="134"/>
      <c r="E48" s="105"/>
      <c r="F48" s="105"/>
      <c r="G48" s="175"/>
    </row>
    <row r="49" spans="1:7">
      <c r="A49" s="552" t="str">
        <f>+PRESUPUESTO!B52</f>
        <v>JESUS EDUARDO ROBLES SMITH</v>
      </c>
      <c r="B49" s="105"/>
      <c r="C49" s="105"/>
      <c r="D49" s="105"/>
      <c r="E49" s="105"/>
      <c r="F49" s="105"/>
      <c r="G49" s="105"/>
    </row>
    <row r="50" spans="1:7">
      <c r="A50" s="551" t="str">
        <f>+PRESUPUESTO!B53</f>
        <v>INGENIERO CIVIL</v>
      </c>
      <c r="B50" s="105"/>
      <c r="C50" s="105"/>
      <c r="D50" s="105"/>
      <c r="E50" s="105"/>
      <c r="F50" s="105"/>
      <c r="G50" s="105"/>
    </row>
    <row r="51" spans="1:7">
      <c r="A51" s="551" t="str">
        <f>+PRESUPUESTO!B54</f>
        <v>M.P. 25202-316144 CND</v>
      </c>
      <c r="B51" s="105"/>
      <c r="C51" s="105"/>
      <c r="D51" s="105"/>
      <c r="E51" s="105"/>
      <c r="F51" s="105"/>
      <c r="G51" s="105"/>
    </row>
  </sheetData>
  <mergeCells count="12">
    <mergeCell ref="G30:G35"/>
    <mergeCell ref="G38:G42"/>
    <mergeCell ref="A23:B23"/>
    <mergeCell ref="A25:B25"/>
    <mergeCell ref="A2:C6"/>
    <mergeCell ref="D2:G6"/>
    <mergeCell ref="A8:E9"/>
    <mergeCell ref="A14:C14"/>
    <mergeCell ref="G14:G19"/>
    <mergeCell ref="A22:B22"/>
    <mergeCell ref="G22:G27"/>
    <mergeCell ref="A24:B24"/>
  </mergeCells>
  <phoneticPr fontId="130" type="noConversion"/>
  <hyperlinks>
    <hyperlink ref="G13" location="PRESUPUESTO!Títulos_a_imprimir" display="PRESUPUESTO!Títulos_a_imprimir" xr:uid="{00000000-0004-0000-1500-000000000000}"/>
  </hyperlinks>
  <pageMargins left="0.7" right="0.7" top="0.75" bottom="0.75" header="0.3" footer="0.3"/>
  <pageSetup paperSize="9" scale="8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51"/>
  <sheetViews>
    <sheetView view="pageBreakPreview" topLeftCell="A19" zoomScale="85" zoomScaleNormal="73" zoomScaleSheetLayoutView="85" workbookViewId="0">
      <selection activeCell="E40" sqref="E40"/>
    </sheetView>
  </sheetViews>
  <sheetFormatPr baseColWidth="10" defaultColWidth="9.109375" defaultRowHeight="13.2"/>
  <cols>
    <col min="1" max="1" width="20.5546875" customWidth="1"/>
    <col min="2" max="6" width="12.5546875" customWidth="1"/>
    <col min="7" max="7" width="19" customWidth="1"/>
  </cols>
  <sheetData>
    <row r="1" spans="1:7" ht="13.8" thickBot="1"/>
    <row r="2" spans="1:7">
      <c r="A2" s="1632"/>
      <c r="B2" s="1633"/>
      <c r="C2" s="1890"/>
      <c r="D2" s="1884" t="s">
        <v>51</v>
      </c>
      <c r="E2" s="1885"/>
      <c r="F2" s="1885"/>
      <c r="G2" s="1886"/>
    </row>
    <row r="3" spans="1:7">
      <c r="A3" s="1595"/>
      <c r="B3" s="1596"/>
      <c r="C3" s="1891"/>
      <c r="D3" s="1801"/>
      <c r="E3" s="1802"/>
      <c r="F3" s="1802"/>
      <c r="G3" s="1803"/>
    </row>
    <row r="4" spans="1:7">
      <c r="A4" s="1595"/>
      <c r="B4" s="1596"/>
      <c r="C4" s="1891"/>
      <c r="D4" s="1801"/>
      <c r="E4" s="1802"/>
      <c r="F4" s="1802"/>
      <c r="G4" s="1803"/>
    </row>
    <row r="5" spans="1:7">
      <c r="A5" s="1595"/>
      <c r="B5" s="1596"/>
      <c r="C5" s="1891"/>
      <c r="D5" s="1801"/>
      <c r="E5" s="1802"/>
      <c r="F5" s="1802"/>
      <c r="G5" s="1803"/>
    </row>
    <row r="6" spans="1:7" ht="13.8" thickBot="1">
      <c r="A6" s="1892"/>
      <c r="B6" s="1599"/>
      <c r="C6" s="1893"/>
      <c r="D6" s="1887"/>
      <c r="E6" s="1888"/>
      <c r="F6" s="1888"/>
      <c r="G6" s="1889"/>
    </row>
    <row r="7" spans="1:7">
      <c r="A7" s="105"/>
      <c r="B7" s="105"/>
      <c r="C7" s="105"/>
      <c r="D7" s="105"/>
      <c r="E7" s="105"/>
      <c r="F7" s="105"/>
      <c r="G7" s="105"/>
    </row>
    <row r="8" spans="1:7">
      <c r="A8" s="1804" t="str">
        <f>+PRESUPUESTO!D2</f>
        <v>"MEJORAMIENTO VIAL MEDIANTE LA CONSTRUCCIÓN DE PAVIMENTO RÍGIDO DE LA PRIMERA ETAPA DE LA VÍA QUE COMUNICA A LA VEREDA PONDORES EN EL CORREGIMIENTO DE CONEJO, MUNICIPIO DE FONSECA - DEPARTAMENTO DE LA GUAJIRA."</v>
      </c>
      <c r="B8" s="1804"/>
      <c r="C8" s="1804"/>
      <c r="D8" s="1804"/>
      <c r="E8" s="1804"/>
      <c r="F8" s="907" t="s">
        <v>522</v>
      </c>
      <c r="G8" s="907">
        <f>+PRESUPUESTO!C25</f>
        <v>701.1</v>
      </c>
    </row>
    <row r="9" spans="1:7">
      <c r="A9" s="1804"/>
      <c r="B9" s="1804"/>
      <c r="C9" s="1804"/>
      <c r="D9" s="1804"/>
      <c r="E9" s="1804"/>
      <c r="F9" s="139"/>
      <c r="G9" s="134"/>
    </row>
    <row r="10" spans="1:7">
      <c r="A10" s="134"/>
      <c r="B10" s="134"/>
      <c r="C10" s="134"/>
      <c r="D10" s="134"/>
      <c r="E10" s="134"/>
      <c r="F10" s="139"/>
      <c r="G10" s="134"/>
    </row>
    <row r="11" spans="1:7">
      <c r="A11" s="134" t="s">
        <v>344</v>
      </c>
      <c r="B11" s="134" t="str">
        <f>+PRESUPUESTO!D25</f>
        <v>Tachas reflectivas</v>
      </c>
      <c r="C11" s="134"/>
      <c r="D11" s="134"/>
      <c r="E11" s="134"/>
      <c r="F11" s="1188" t="s">
        <v>28</v>
      </c>
      <c r="G11" s="1188" t="str">
        <f>+PRESUPUESTO!E25</f>
        <v>UND</v>
      </c>
    </row>
    <row r="12" spans="1:7">
      <c r="A12" s="134"/>
      <c r="B12" s="134"/>
      <c r="C12" s="134"/>
      <c r="D12" s="134"/>
      <c r="E12" s="134"/>
      <c r="F12" s="134"/>
      <c r="G12" s="134"/>
    </row>
    <row r="13" spans="1:7" ht="27" thickBot="1">
      <c r="A13" s="134" t="s">
        <v>16</v>
      </c>
      <c r="B13" s="105"/>
      <c r="C13" s="105"/>
      <c r="D13" s="105"/>
      <c r="E13" s="105"/>
      <c r="F13" s="105"/>
      <c r="G13" s="444" t="s">
        <v>378</v>
      </c>
    </row>
    <row r="14" spans="1:7">
      <c r="A14" s="1632" t="s">
        <v>21</v>
      </c>
      <c r="B14" s="1633"/>
      <c r="C14" s="1824"/>
      <c r="D14" s="140" t="s">
        <v>1</v>
      </c>
      <c r="E14" s="141" t="s">
        <v>8</v>
      </c>
      <c r="F14" s="140" t="s">
        <v>2</v>
      </c>
      <c r="G14" s="1792"/>
    </row>
    <row r="15" spans="1:7">
      <c r="A15" s="142" t="s">
        <v>93</v>
      </c>
      <c r="B15" s="143">
        <v>0.01</v>
      </c>
      <c r="C15" s="144"/>
      <c r="D15" s="110"/>
      <c r="E15" s="110"/>
      <c r="F15" s="110">
        <f>+ROUND(B15*G43,0)</f>
        <v>64</v>
      </c>
      <c r="G15" s="1793"/>
    </row>
    <row r="16" spans="1:7">
      <c r="A16" s="145" t="s">
        <v>535</v>
      </c>
      <c r="B16" s="374"/>
      <c r="C16" s="128"/>
      <c r="D16" s="146">
        <f>+Equ!D26</f>
        <v>55500</v>
      </c>
      <c r="E16" s="146">
        <v>250</v>
      </c>
      <c r="F16" s="146">
        <f>+D16/E16</f>
        <v>222</v>
      </c>
      <c r="G16" s="1793"/>
    </row>
    <row r="17" spans="1:7">
      <c r="A17" s="145" t="str">
        <f>+Equ!B38</f>
        <v>Maquina térmica pegatachas</v>
      </c>
      <c r="B17" s="374"/>
      <c r="C17" s="128"/>
      <c r="D17" s="146">
        <f>+Equ!D38</f>
        <v>19000</v>
      </c>
      <c r="E17" s="146">
        <f>+E16</f>
        <v>250</v>
      </c>
      <c r="F17" s="146">
        <f>+D17/E17</f>
        <v>76</v>
      </c>
      <c r="G17" s="1793"/>
    </row>
    <row r="18" spans="1:7">
      <c r="A18" s="145"/>
      <c r="B18" s="374"/>
      <c r="C18" s="128"/>
      <c r="D18" s="146"/>
      <c r="E18" s="146"/>
      <c r="F18" s="146"/>
      <c r="G18" s="1793"/>
    </row>
    <row r="19" spans="1:7" ht="13.8" thickBot="1">
      <c r="A19" s="147"/>
      <c r="B19" s="148"/>
      <c r="C19" s="149"/>
      <c r="D19" s="150"/>
      <c r="E19" s="150"/>
      <c r="F19" s="150"/>
      <c r="G19" s="1794"/>
    </row>
    <row r="20" spans="1:7" ht="13.8" thickBot="1">
      <c r="A20" s="105"/>
      <c r="B20" s="105"/>
      <c r="C20" s="105"/>
      <c r="D20" s="105"/>
      <c r="E20" s="105"/>
      <c r="F20" s="105" t="s">
        <v>3</v>
      </c>
      <c r="G20" s="151">
        <f>SUM(F15:F19)</f>
        <v>362</v>
      </c>
    </row>
    <row r="21" spans="1:7" ht="13.8" thickBot="1">
      <c r="A21" s="134" t="s">
        <v>17</v>
      </c>
      <c r="B21" s="105"/>
      <c r="C21" s="105"/>
      <c r="D21" s="105"/>
      <c r="E21" s="105"/>
      <c r="F21" s="105"/>
      <c r="G21" s="111"/>
    </row>
    <row r="22" spans="1:7">
      <c r="A22" s="1632" t="s">
        <v>21</v>
      </c>
      <c r="B22" s="1824"/>
      <c r="C22" s="140" t="s">
        <v>4</v>
      </c>
      <c r="D22" s="152" t="s">
        <v>5</v>
      </c>
      <c r="E22" s="140" t="s">
        <v>6</v>
      </c>
      <c r="F22" s="140" t="s">
        <v>2</v>
      </c>
      <c r="G22" s="1792"/>
    </row>
    <row r="23" spans="1:7">
      <c r="A23" s="1911" t="str">
        <f>+Sum!B52</f>
        <v>Tacha reflectiva</v>
      </c>
      <c r="B23" s="1912"/>
      <c r="C23" s="832" t="str">
        <f>+Sum!C52</f>
        <v>UND</v>
      </c>
      <c r="D23" s="110">
        <f>+Sum!D52</f>
        <v>7250</v>
      </c>
      <c r="E23" s="654">
        <v>1</v>
      </c>
      <c r="F23" s="110">
        <f>+ROUND(D23*E23,0)</f>
        <v>7250</v>
      </c>
      <c r="G23" s="1793"/>
    </row>
    <row r="24" spans="1:7" ht="13.8">
      <c r="A24" s="1911" t="str">
        <f>+Sum!B53</f>
        <v xml:space="preserve">Resina termoplástica </v>
      </c>
      <c r="B24" s="1912"/>
      <c r="C24" s="833" t="str">
        <f>+Sum!C53</f>
        <v>KG</v>
      </c>
      <c r="D24" s="110">
        <f>+Sum!D53</f>
        <v>7950</v>
      </c>
      <c r="E24" s="110">
        <v>0.08</v>
      </c>
      <c r="F24" s="110">
        <f>+ROUND(D24*E24,0)</f>
        <v>636</v>
      </c>
      <c r="G24" s="1793"/>
    </row>
    <row r="25" spans="1:7">
      <c r="A25" s="1911"/>
      <c r="B25" s="1912"/>
      <c r="C25" s="832"/>
      <c r="D25" s="110"/>
      <c r="E25" s="654"/>
      <c r="F25" s="110"/>
      <c r="G25" s="1793"/>
    </row>
    <row r="26" spans="1:7">
      <c r="A26" s="153"/>
      <c r="B26" s="115"/>
      <c r="C26" s="381"/>
      <c r="D26" s="146"/>
      <c r="E26" s="146"/>
      <c r="F26" s="110"/>
      <c r="G26" s="1793"/>
    </row>
    <row r="27" spans="1:7" ht="13.8" thickBot="1">
      <c r="A27" s="147"/>
      <c r="B27" s="149"/>
      <c r="C27" s="154"/>
      <c r="D27" s="150"/>
      <c r="E27" s="150"/>
      <c r="F27" s="150"/>
      <c r="G27" s="1794"/>
    </row>
    <row r="28" spans="1:7" ht="13.8" thickBot="1">
      <c r="A28" s="105"/>
      <c r="B28" s="105"/>
      <c r="C28" s="105"/>
      <c r="D28" s="105"/>
      <c r="E28" s="105"/>
      <c r="F28" s="105" t="s">
        <v>3</v>
      </c>
      <c r="G28" s="151">
        <f>SUM(F23:F27)</f>
        <v>7886</v>
      </c>
    </row>
    <row r="29" spans="1:7" ht="13.8" thickBot="1">
      <c r="A29" s="134" t="s">
        <v>18</v>
      </c>
      <c r="B29" s="105"/>
      <c r="C29" s="105"/>
      <c r="D29" s="105"/>
      <c r="E29" s="105"/>
      <c r="F29" s="105"/>
      <c r="G29" s="111"/>
    </row>
    <row r="30" spans="1:7">
      <c r="A30" s="155" t="s">
        <v>23</v>
      </c>
      <c r="B30" s="140" t="s">
        <v>46</v>
      </c>
      <c r="C30" s="140" t="s">
        <v>36</v>
      </c>
      <c r="D30" s="152" t="s">
        <v>26</v>
      </c>
      <c r="E30" s="140" t="s">
        <v>25</v>
      </c>
      <c r="F30" s="140" t="s">
        <v>2</v>
      </c>
      <c r="G30" s="1792"/>
    </row>
    <row r="31" spans="1:7">
      <c r="A31" s="156"/>
      <c r="B31" s="377"/>
      <c r="C31" s="112"/>
      <c r="D31" s="112"/>
      <c r="E31" s="110"/>
      <c r="F31" s="110"/>
      <c r="G31" s="1793"/>
    </row>
    <row r="32" spans="1:7">
      <c r="A32" s="156"/>
      <c r="B32" s="377"/>
      <c r="C32" s="112"/>
      <c r="D32" s="112"/>
      <c r="E32" s="110"/>
      <c r="F32" s="110"/>
      <c r="G32" s="1793"/>
    </row>
    <row r="33" spans="1:7">
      <c r="A33" s="156"/>
      <c r="B33" s="377"/>
      <c r="C33" s="112"/>
      <c r="D33" s="112"/>
      <c r="E33" s="110"/>
      <c r="F33" s="110"/>
      <c r="G33" s="1793"/>
    </row>
    <row r="34" spans="1:7">
      <c r="A34" s="378"/>
      <c r="B34" s="379"/>
      <c r="C34" s="379"/>
      <c r="D34" s="379"/>
      <c r="E34" s="380"/>
      <c r="F34" s="380"/>
      <c r="G34" s="1793"/>
    </row>
    <row r="35" spans="1:7" ht="13.8" thickBot="1">
      <c r="A35" s="136"/>
      <c r="B35" s="158"/>
      <c r="C35" s="158"/>
      <c r="D35" s="159"/>
      <c r="E35" s="160"/>
      <c r="F35" s="159"/>
      <c r="G35" s="1794"/>
    </row>
    <row r="36" spans="1:7" ht="13.8" thickBot="1">
      <c r="A36" s="105"/>
      <c r="B36" s="105"/>
      <c r="C36" s="105"/>
      <c r="D36" s="105"/>
      <c r="E36" s="105"/>
      <c r="F36" s="105" t="s">
        <v>3</v>
      </c>
      <c r="G36" s="151">
        <f>SUM(F31:F35)</f>
        <v>0</v>
      </c>
    </row>
    <row r="37" spans="1:7" ht="13.8" thickBot="1">
      <c r="A37" s="134" t="s">
        <v>19</v>
      </c>
      <c r="B37" s="105"/>
      <c r="C37" s="105"/>
      <c r="D37" s="105"/>
      <c r="E37" s="105"/>
      <c r="F37" s="105"/>
      <c r="G37" s="111"/>
    </row>
    <row r="38" spans="1:7">
      <c r="A38" s="161" t="s">
        <v>24</v>
      </c>
      <c r="B38" s="140" t="s">
        <v>7</v>
      </c>
      <c r="C38" s="140" t="s">
        <v>42</v>
      </c>
      <c r="D38" s="162" t="s">
        <v>27</v>
      </c>
      <c r="E38" s="140" t="s">
        <v>8</v>
      </c>
      <c r="F38" s="140" t="s">
        <v>2</v>
      </c>
      <c r="G38" s="1792"/>
    </row>
    <row r="39" spans="1:7">
      <c r="A39" s="142" t="s">
        <v>149</v>
      </c>
      <c r="B39" s="110">
        <f>FP!Q51</f>
        <v>77150.561662222215</v>
      </c>
      <c r="C39" s="163">
        <f>+FP!V47</f>
        <v>1.8281000000000001</v>
      </c>
      <c r="D39" s="164">
        <f>ROUND(C39*B39,0)</f>
        <v>141039</v>
      </c>
      <c r="E39" s="164">
        <v>48.8</v>
      </c>
      <c r="F39" s="164">
        <f>ROUND(D39/E39,0)</f>
        <v>2890</v>
      </c>
      <c r="G39" s="1793"/>
    </row>
    <row r="40" spans="1:7">
      <c r="A40" s="142" t="s">
        <v>418</v>
      </c>
      <c r="B40" s="110">
        <f>FP!U51*2</f>
        <v>103389.73913333334</v>
      </c>
      <c r="C40" s="163">
        <f>+FP!T47</f>
        <v>1.6529</v>
      </c>
      <c r="D40" s="653">
        <f>+B40*C40</f>
        <v>170892.89981348667</v>
      </c>
      <c r="E40" s="653">
        <f>+E39</f>
        <v>48.8</v>
      </c>
      <c r="F40" s="653">
        <f>+D40/E40</f>
        <v>3501.9036847025959</v>
      </c>
      <c r="G40" s="1793"/>
    </row>
    <row r="41" spans="1:7">
      <c r="A41" s="153"/>
      <c r="B41" s="146"/>
      <c r="C41" s="165"/>
      <c r="D41" s="166"/>
      <c r="E41" s="166"/>
      <c r="F41" s="166"/>
      <c r="G41" s="1793"/>
    </row>
    <row r="42" spans="1:7" ht="13.8" thickBot="1">
      <c r="A42" s="147"/>
      <c r="B42" s="167"/>
      <c r="C42" s="150"/>
      <c r="D42" s="168"/>
      <c r="E42" s="168"/>
      <c r="F42" s="168"/>
      <c r="G42" s="1794"/>
    </row>
    <row r="43" spans="1:7" ht="13.8" thickBot="1">
      <c r="A43" s="105"/>
      <c r="B43" s="105"/>
      <c r="C43" s="105"/>
      <c r="D43" s="157"/>
      <c r="E43" s="157"/>
      <c r="F43" s="105" t="s">
        <v>3</v>
      </c>
      <c r="G43" s="169">
        <f>SUM(F39:F42)</f>
        <v>6391.9036847025964</v>
      </c>
    </row>
    <row r="44" spans="1:7" ht="13.8" thickBot="1">
      <c r="A44" s="105"/>
      <c r="B44" s="105"/>
      <c r="C44" s="105"/>
      <c r="D44" s="105"/>
      <c r="E44" s="105"/>
      <c r="F44" s="105"/>
      <c r="G44" s="111"/>
    </row>
    <row r="45" spans="1:7" ht="13.8" thickBot="1">
      <c r="A45" s="105"/>
      <c r="B45" s="105"/>
      <c r="C45" s="105"/>
      <c r="D45" s="134" t="s">
        <v>10</v>
      </c>
      <c r="E45" s="105"/>
      <c r="F45" s="105"/>
      <c r="G45" s="170">
        <f>ROUND(G20+G28+G36+G43,0)</f>
        <v>14640</v>
      </c>
    </row>
    <row r="46" spans="1:7">
      <c r="A46" s="105"/>
      <c r="B46" s="105"/>
      <c r="C46" s="105"/>
      <c r="D46" s="105"/>
      <c r="E46" s="105"/>
      <c r="F46" s="105"/>
      <c r="G46" s="111"/>
    </row>
    <row r="47" spans="1:7">
      <c r="A47" s="105"/>
      <c r="B47" s="105"/>
      <c r="C47" s="105"/>
      <c r="D47" s="105"/>
      <c r="E47" s="105"/>
      <c r="F47" s="105"/>
      <c r="G47" s="111"/>
    </row>
    <row r="48" spans="1:7">
      <c r="A48" s="1094"/>
      <c r="B48" s="127"/>
      <c r="C48" s="105"/>
      <c r="D48" s="134"/>
      <c r="E48" s="105"/>
      <c r="F48" s="105"/>
      <c r="G48" s="175"/>
    </row>
    <row r="49" spans="1:7">
      <c r="A49" s="552" t="str">
        <f>+PRESUPUESTO!B52</f>
        <v>JESUS EDUARDO ROBLES SMITH</v>
      </c>
      <c r="B49" s="105"/>
      <c r="C49" s="105"/>
      <c r="D49" s="105"/>
      <c r="E49" s="105"/>
      <c r="F49" s="105"/>
      <c r="G49" s="105"/>
    </row>
    <row r="50" spans="1:7">
      <c r="A50" s="551" t="str">
        <f>+PRESUPUESTO!B53</f>
        <v>INGENIERO CIVIL</v>
      </c>
      <c r="B50" s="105"/>
      <c r="C50" s="105"/>
      <c r="D50" s="105"/>
      <c r="E50" s="105"/>
      <c r="F50" s="105"/>
      <c r="G50" s="105"/>
    </row>
    <row r="51" spans="1:7">
      <c r="A51" s="551" t="str">
        <f>+PRESUPUESTO!B54</f>
        <v>M.P. 25202-316144 CND</v>
      </c>
      <c r="B51" s="105"/>
      <c r="C51" s="105"/>
      <c r="D51" s="105"/>
      <c r="E51" s="105"/>
      <c r="F51" s="105"/>
      <c r="G51" s="105"/>
    </row>
  </sheetData>
  <mergeCells count="12">
    <mergeCell ref="G30:G35"/>
    <mergeCell ref="G38:G42"/>
    <mergeCell ref="A2:C6"/>
    <mergeCell ref="D2:G6"/>
    <mergeCell ref="A8:E9"/>
    <mergeCell ref="A14:C14"/>
    <mergeCell ref="G14:G19"/>
    <mergeCell ref="A22:B22"/>
    <mergeCell ref="G22:G27"/>
    <mergeCell ref="A23:B23"/>
    <mergeCell ref="A24:B24"/>
    <mergeCell ref="A25:B25"/>
  </mergeCells>
  <hyperlinks>
    <hyperlink ref="G13" location="PRESUPUESTO!Títulos_a_imprimir" display="PRESUPUESTO!Títulos_a_imprimir" xr:uid="{00000000-0004-0000-1600-000000000000}"/>
  </hyperlinks>
  <pageMargins left="0.7" right="0.7" top="0.75" bottom="0.75" header="0.3" footer="0.3"/>
  <pageSetup scale="8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B2:AL64"/>
  <sheetViews>
    <sheetView topLeftCell="AG1" zoomScaleNormal="100" zoomScaleSheetLayoutView="80" workbookViewId="0">
      <selection activeCell="U19" sqref="U19:V19"/>
    </sheetView>
  </sheetViews>
  <sheetFormatPr baseColWidth="10" defaultColWidth="11.44140625" defaultRowHeight="13.2"/>
  <cols>
    <col min="1" max="1" width="4.109375" style="243" customWidth="1"/>
    <col min="2" max="2" width="36.109375" style="243" bestFit="1" customWidth="1"/>
    <col min="3" max="3" width="16.44140625" style="243" customWidth="1"/>
    <col min="4" max="4" width="10.109375" style="243" customWidth="1"/>
    <col min="5" max="5" width="18.109375" style="243" bestFit="1" customWidth="1"/>
    <col min="6" max="6" width="10.109375" style="243" customWidth="1"/>
    <col min="7" max="7" width="16.44140625" style="243" customWidth="1"/>
    <col min="8" max="8" width="10.109375" style="243" customWidth="1"/>
    <col min="9" max="9" width="16.44140625" style="243" customWidth="1"/>
    <col min="10" max="10" width="10.109375" style="243" customWidth="1"/>
    <col min="11" max="11" width="16.44140625" style="243" customWidth="1"/>
    <col min="12" max="12" width="10.109375" style="243" customWidth="1"/>
    <col min="13" max="13" width="16.44140625" style="243" customWidth="1"/>
    <col min="14" max="14" width="10.109375" style="243" customWidth="1"/>
    <col min="15" max="15" width="16.44140625" style="243" customWidth="1"/>
    <col min="16" max="16" width="10.109375" style="243" customWidth="1"/>
    <col min="17" max="17" width="16.44140625" style="243" customWidth="1"/>
    <col min="18" max="18" width="10.109375" style="243" customWidth="1"/>
    <col min="19" max="19" width="16.44140625" style="243" customWidth="1"/>
    <col min="20" max="20" width="10.109375" style="243" customWidth="1"/>
    <col min="21" max="21" width="16.44140625" style="243" customWidth="1"/>
    <col min="22" max="22" width="10.109375" style="243" customWidth="1"/>
    <col min="23" max="23" width="18.44140625" style="243" customWidth="1"/>
    <col min="24" max="24" width="10.109375" style="243" bestFit="1" customWidth="1"/>
    <col min="25" max="25" width="16.44140625" style="243" bestFit="1" customWidth="1"/>
    <col min="26" max="26" width="10.109375" style="243" bestFit="1" customWidth="1"/>
    <col min="27" max="27" width="16.44140625" style="243" bestFit="1" customWidth="1"/>
    <col min="28" max="28" width="11.44140625" style="243"/>
    <col min="29" max="29" width="19" style="243" customWidth="1"/>
    <col min="30" max="30" width="11.44140625" style="243"/>
    <col min="31" max="31" width="18.5546875" style="243" hidden="1" customWidth="1"/>
    <col min="32" max="32" width="0" style="243" hidden="1" customWidth="1"/>
    <col min="33" max="33" width="18.44140625" style="243" customWidth="1"/>
    <col min="34" max="34" width="11.44140625" style="243"/>
    <col min="35" max="35" width="16.44140625" style="243" bestFit="1" customWidth="1"/>
    <col min="36" max="36" width="11.44140625" style="243" customWidth="1"/>
    <col min="37" max="37" width="14" style="243" customWidth="1"/>
    <col min="38" max="38" width="14.33203125" style="243" customWidth="1"/>
    <col min="39" max="16384" width="11.44140625" style="243"/>
  </cols>
  <sheetData>
    <row r="2" spans="2:38" ht="12.75" customHeight="1">
      <c r="B2" s="1917" t="s">
        <v>301</v>
      </c>
      <c r="C2" s="1918"/>
      <c r="D2" s="1918"/>
      <c r="E2" s="1918"/>
      <c r="F2" s="1918"/>
      <c r="G2" s="1918"/>
      <c r="H2" s="1918"/>
      <c r="I2" s="1918"/>
      <c r="J2" s="1918"/>
      <c r="K2" s="1918"/>
      <c r="L2" s="1918"/>
      <c r="M2" s="1918"/>
      <c r="N2" s="1918"/>
      <c r="O2" s="1918"/>
      <c r="P2" s="1918"/>
      <c r="Q2" s="1918"/>
      <c r="R2" s="1918"/>
      <c r="S2" s="1918"/>
      <c r="T2" s="1918"/>
      <c r="U2" s="1918"/>
      <c r="V2" s="1918"/>
      <c r="W2" s="1918"/>
      <c r="X2" s="1918"/>
      <c r="Y2" s="1918"/>
      <c r="Z2" s="1918"/>
      <c r="AA2" s="1918"/>
      <c r="AB2" s="1918"/>
      <c r="AC2" s="1918"/>
      <c r="AD2" s="1918"/>
      <c r="AE2" s="1918"/>
      <c r="AF2" s="1918"/>
      <c r="AG2" s="1918"/>
      <c r="AH2" s="1918"/>
      <c r="AI2" s="1918"/>
      <c r="AJ2" s="1918"/>
      <c r="AK2" s="1918"/>
      <c r="AL2" s="1918"/>
    </row>
    <row r="3" spans="2:38" ht="13.5" customHeight="1">
      <c r="B3" s="1917"/>
      <c r="C3" s="1918"/>
      <c r="D3" s="1918"/>
      <c r="E3" s="1918"/>
      <c r="F3" s="1918"/>
      <c r="G3" s="1918"/>
      <c r="H3" s="1918"/>
      <c r="I3" s="1918"/>
      <c r="J3" s="1918"/>
      <c r="K3" s="1918"/>
      <c r="L3" s="1918"/>
      <c r="M3" s="1918"/>
      <c r="N3" s="1918"/>
      <c r="O3" s="1918"/>
      <c r="P3" s="1918"/>
      <c r="Q3" s="1918"/>
      <c r="R3" s="1918"/>
      <c r="S3" s="1918"/>
      <c r="T3" s="1918"/>
      <c r="U3" s="1918"/>
      <c r="V3" s="1918"/>
      <c r="W3" s="1918"/>
      <c r="X3" s="1918"/>
      <c r="Y3" s="1918"/>
      <c r="Z3" s="1918"/>
      <c r="AA3" s="1918"/>
      <c r="AB3" s="1918"/>
      <c r="AC3" s="1918"/>
      <c r="AD3" s="1918"/>
      <c r="AE3" s="1918"/>
      <c r="AF3" s="1918"/>
      <c r="AG3" s="1918"/>
      <c r="AH3" s="1918"/>
      <c r="AI3" s="1918"/>
      <c r="AJ3" s="1918"/>
      <c r="AK3" s="1918"/>
      <c r="AL3" s="1918"/>
    </row>
    <row r="4" spans="2:38" ht="13.5" customHeight="1" thickBot="1">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row>
    <row r="5" spans="2:38" ht="13.8">
      <c r="B5" s="244" t="s">
        <v>302</v>
      </c>
      <c r="C5" s="245">
        <v>1300000</v>
      </c>
      <c r="D5" s="274" t="s">
        <v>303</v>
      </c>
      <c r="E5" s="1146"/>
      <c r="F5" s="1146"/>
      <c r="G5" s="246">
        <v>2024</v>
      </c>
      <c r="H5" s="247"/>
      <c r="I5" s="247"/>
      <c r="J5" s="247"/>
    </row>
    <row r="6" spans="2:38" ht="14.4" thickBot="1">
      <c r="B6" s="248" t="s">
        <v>304</v>
      </c>
      <c r="C6" s="658">
        <v>162000</v>
      </c>
      <c r="D6" s="249"/>
      <c r="E6" s="1147"/>
      <c r="F6" s="1147"/>
      <c r="G6" s="250"/>
      <c r="H6" s="247"/>
      <c r="I6" s="247"/>
      <c r="J6" s="247"/>
    </row>
    <row r="7" spans="2:38" ht="13.8">
      <c r="B7" s="251"/>
      <c r="C7" s="247"/>
      <c r="D7" s="247"/>
      <c r="E7" s="247"/>
      <c r="F7" s="247"/>
      <c r="G7" s="247"/>
      <c r="H7" s="247"/>
      <c r="I7" s="247"/>
      <c r="J7" s="247"/>
    </row>
    <row r="8" spans="2:38" ht="14.4" thickBot="1">
      <c r="B8" s="251"/>
      <c r="C8" s="247"/>
      <c r="D8" s="247"/>
      <c r="E8" s="247"/>
      <c r="F8" s="247"/>
      <c r="G8" s="247"/>
      <c r="H8" s="247"/>
      <c r="I8" s="247"/>
      <c r="J8" s="247"/>
    </row>
    <row r="9" spans="2:38" ht="27" customHeight="1" thickBot="1">
      <c r="B9" s="629" t="s">
        <v>305</v>
      </c>
      <c r="C9" s="1921" t="s">
        <v>306</v>
      </c>
      <c r="D9" s="1922"/>
      <c r="E9" s="1921" t="s">
        <v>674</v>
      </c>
      <c r="F9" s="1922"/>
      <c r="G9" s="1919" t="s">
        <v>307</v>
      </c>
      <c r="H9" s="1920"/>
      <c r="I9" s="1919" t="s">
        <v>361</v>
      </c>
      <c r="J9" s="1920"/>
      <c r="K9" s="1919" t="s">
        <v>308</v>
      </c>
      <c r="L9" s="1920"/>
      <c r="M9" s="1919" t="s">
        <v>309</v>
      </c>
      <c r="N9" s="1920"/>
      <c r="O9" s="1919" t="s">
        <v>310</v>
      </c>
      <c r="P9" s="1920"/>
      <c r="Q9" s="1919" t="s">
        <v>405</v>
      </c>
      <c r="R9" s="1920"/>
      <c r="S9" s="1921" t="s">
        <v>920</v>
      </c>
      <c r="T9" s="1922"/>
      <c r="U9" s="1919" t="s">
        <v>311</v>
      </c>
      <c r="V9" s="1920"/>
      <c r="W9" s="1919" t="s">
        <v>312</v>
      </c>
      <c r="X9" s="1920"/>
      <c r="Y9" s="1919" t="s">
        <v>313</v>
      </c>
      <c r="Z9" s="1920"/>
      <c r="AA9" s="1919" t="s">
        <v>339</v>
      </c>
      <c r="AB9" s="1920"/>
      <c r="AC9" s="1919" t="s">
        <v>340</v>
      </c>
      <c r="AD9" s="1920"/>
      <c r="AE9" s="1921" t="s">
        <v>583</v>
      </c>
      <c r="AF9" s="1922"/>
      <c r="AG9" s="1919" t="s">
        <v>341</v>
      </c>
      <c r="AH9" s="1920"/>
      <c r="AI9" s="1919" t="s">
        <v>911</v>
      </c>
      <c r="AJ9" s="1920"/>
      <c r="AK9" s="1919" t="s">
        <v>921</v>
      </c>
      <c r="AL9" s="1920"/>
    </row>
    <row r="10" spans="2:38" ht="13.8">
      <c r="B10" s="252"/>
      <c r="C10" s="253" t="s">
        <v>231</v>
      </c>
      <c r="D10" s="254" t="s">
        <v>9</v>
      </c>
      <c r="E10" s="253" t="s">
        <v>231</v>
      </c>
      <c r="F10" s="254" t="s">
        <v>9</v>
      </c>
      <c r="G10" s="253" t="s">
        <v>231</v>
      </c>
      <c r="H10" s="254" t="s">
        <v>9</v>
      </c>
      <c r="I10" s="253" t="s">
        <v>231</v>
      </c>
      <c r="J10" s="254" t="s">
        <v>9</v>
      </c>
      <c r="K10" s="253" t="s">
        <v>231</v>
      </c>
      <c r="L10" s="254" t="s">
        <v>9</v>
      </c>
      <c r="M10" s="253" t="s">
        <v>231</v>
      </c>
      <c r="N10" s="254" t="s">
        <v>9</v>
      </c>
      <c r="O10" s="253" t="s">
        <v>231</v>
      </c>
      <c r="P10" s="254" t="s">
        <v>9</v>
      </c>
      <c r="Q10" s="253" t="s">
        <v>231</v>
      </c>
      <c r="R10" s="254" t="s">
        <v>9</v>
      </c>
      <c r="S10" s="253" t="s">
        <v>231</v>
      </c>
      <c r="T10" s="254" t="s">
        <v>9</v>
      </c>
      <c r="U10" s="253" t="s">
        <v>231</v>
      </c>
      <c r="V10" s="254" t="s">
        <v>9</v>
      </c>
      <c r="W10" s="253" t="s">
        <v>231</v>
      </c>
      <c r="X10" s="254" t="s">
        <v>9</v>
      </c>
      <c r="Y10" s="253" t="s">
        <v>231</v>
      </c>
      <c r="Z10" s="254" t="s">
        <v>9</v>
      </c>
      <c r="AA10" s="253" t="s">
        <v>231</v>
      </c>
      <c r="AB10" s="254" t="s">
        <v>9</v>
      </c>
      <c r="AC10" s="253" t="s">
        <v>231</v>
      </c>
      <c r="AD10" s="254" t="s">
        <v>9</v>
      </c>
      <c r="AE10" s="1081" t="s">
        <v>231</v>
      </c>
      <c r="AF10" s="254" t="s">
        <v>9</v>
      </c>
      <c r="AG10" s="253" t="s">
        <v>231</v>
      </c>
      <c r="AH10" s="254" t="s">
        <v>9</v>
      </c>
      <c r="AI10" s="253" t="s">
        <v>231</v>
      </c>
      <c r="AJ10" s="254" t="s">
        <v>9</v>
      </c>
      <c r="AK10" s="253" t="s">
        <v>231</v>
      </c>
      <c r="AL10" s="254" t="s">
        <v>9</v>
      </c>
    </row>
    <row r="11" spans="2:38" ht="13.8">
      <c r="B11" s="255" t="s">
        <v>919</v>
      </c>
      <c r="C11" s="1913"/>
      <c r="D11" s="1914"/>
      <c r="E11" s="1082"/>
      <c r="F11" s="1082"/>
      <c r="G11" s="1913"/>
      <c r="H11" s="1914"/>
      <c r="I11" s="1913"/>
      <c r="J11" s="1914"/>
      <c r="K11" s="1913"/>
      <c r="L11" s="1914"/>
      <c r="M11" s="1913"/>
      <c r="N11" s="1914"/>
      <c r="O11" s="1913"/>
      <c r="P11" s="1914"/>
      <c r="Q11" s="1913"/>
      <c r="R11" s="1914"/>
      <c r="S11" s="1913"/>
      <c r="T11" s="1914"/>
      <c r="U11" s="1913"/>
      <c r="V11" s="1914"/>
      <c r="W11" s="1913"/>
      <c r="X11" s="1914"/>
      <c r="Y11" s="1913"/>
      <c r="Z11" s="1914"/>
      <c r="AA11" s="1913"/>
      <c r="AB11" s="1914"/>
      <c r="AC11" s="1913"/>
      <c r="AD11" s="1914"/>
      <c r="AE11" s="1082"/>
      <c r="AF11" s="1082"/>
      <c r="AG11" s="1913"/>
      <c r="AH11" s="1914"/>
      <c r="AI11" s="1913"/>
      <c r="AJ11" s="1914"/>
      <c r="AK11" s="1913"/>
      <c r="AL11" s="1914"/>
    </row>
    <row r="12" spans="2:38" ht="13.8">
      <c r="B12" s="257" t="s">
        <v>314</v>
      </c>
      <c r="C12" s="1483">
        <v>6174985</v>
      </c>
      <c r="D12" s="259"/>
      <c r="E12" s="1483">
        <v>5671970.0300000003</v>
      </c>
      <c r="F12" s="259"/>
      <c r="G12" s="1483">
        <v>3434120.1002000002</v>
      </c>
      <c r="H12" s="259"/>
      <c r="I12" s="1483">
        <v>3434120.1002000002</v>
      </c>
      <c r="J12" s="259"/>
      <c r="K12" s="1483">
        <v>3434120.1002000002</v>
      </c>
      <c r="L12" s="259"/>
      <c r="M12" s="1483">
        <v>3737870.83</v>
      </c>
      <c r="N12" s="259"/>
      <c r="O12" s="1483">
        <v>2935453</v>
      </c>
      <c r="P12" s="259"/>
      <c r="Q12" s="1483">
        <v>2314516.8498666664</v>
      </c>
      <c r="R12" s="259"/>
      <c r="S12" s="1483">
        <v>5671970.0300000003</v>
      </c>
      <c r="T12" s="259"/>
      <c r="U12" s="1483">
        <v>1550846.0870000001</v>
      </c>
      <c r="V12" s="259"/>
      <c r="W12" s="1483">
        <v>1634033.3333333333</v>
      </c>
      <c r="X12" s="259"/>
      <c r="Y12" s="1483">
        <v>1300000</v>
      </c>
      <c r="Z12" s="259"/>
      <c r="AA12" s="1483">
        <v>1300000</v>
      </c>
      <c r="AB12" s="259"/>
      <c r="AC12" s="1483">
        <v>1300000</v>
      </c>
      <c r="AD12" s="259"/>
      <c r="AE12" s="1083">
        <v>1300000</v>
      </c>
      <c r="AF12" s="1083"/>
      <c r="AG12" s="1483">
        <v>1388166.6666666667</v>
      </c>
      <c r="AH12" s="259"/>
      <c r="AI12" s="1483">
        <v>3434120.1002000002</v>
      </c>
      <c r="AJ12" s="259"/>
      <c r="AK12" s="1483">
        <v>1300000</v>
      </c>
      <c r="AL12" s="259"/>
    </row>
    <row r="13" spans="2:38" ht="13.8">
      <c r="B13" s="257" t="s">
        <v>315</v>
      </c>
      <c r="C13" s="260">
        <f>+C12/$C$5</f>
        <v>4.7499884615384618</v>
      </c>
      <c r="D13" s="259"/>
      <c r="E13" s="260">
        <f>+E12/$C$5</f>
        <v>4.363053869230769</v>
      </c>
      <c r="F13" s="259"/>
      <c r="G13" s="260">
        <f>+G12/$C$5</f>
        <v>2.6416308463076925</v>
      </c>
      <c r="H13" s="259"/>
      <c r="I13" s="260">
        <f>+I12/$C$5</f>
        <v>2.6416308463076925</v>
      </c>
      <c r="J13" s="259"/>
      <c r="K13" s="260">
        <f>+K12/$C$5</f>
        <v>2.6416308463076925</v>
      </c>
      <c r="L13" s="259"/>
      <c r="M13" s="260">
        <f>+M12/$C$5</f>
        <v>2.8752852538461537</v>
      </c>
      <c r="N13" s="259"/>
      <c r="O13" s="260">
        <f>+O12/$C$5</f>
        <v>2.2580407692307691</v>
      </c>
      <c r="P13" s="259"/>
      <c r="Q13" s="260">
        <f>+Q12/$C$5</f>
        <v>1.7803975768205127</v>
      </c>
      <c r="R13" s="259"/>
      <c r="S13" s="260">
        <f>+S12/$C$5</f>
        <v>4.363053869230769</v>
      </c>
      <c r="T13" s="259"/>
      <c r="U13" s="260">
        <f>+U12/$C$5</f>
        <v>1.1929585284615385</v>
      </c>
      <c r="V13" s="259"/>
      <c r="W13" s="260">
        <f>+W12/$C$5</f>
        <v>1.256948717948718</v>
      </c>
      <c r="X13" s="259"/>
      <c r="Y13" s="260">
        <f>+Y12/$C$5</f>
        <v>1</v>
      </c>
      <c r="Z13" s="259"/>
      <c r="AA13" s="260">
        <f>+AA12/$C$5</f>
        <v>1</v>
      </c>
      <c r="AB13" s="259"/>
      <c r="AC13" s="260">
        <f>+AC12/$C$5</f>
        <v>1</v>
      </c>
      <c r="AD13" s="259"/>
      <c r="AE13" s="1083">
        <f>AE12/C5</f>
        <v>1</v>
      </c>
      <c r="AF13" s="1083"/>
      <c r="AG13" s="260">
        <f>+AG12/$C$5</f>
        <v>1.0678205128205129</v>
      </c>
      <c r="AH13" s="259"/>
      <c r="AI13" s="260">
        <f>+AI12/$C$5</f>
        <v>2.6416308463076925</v>
      </c>
      <c r="AJ13" s="259"/>
      <c r="AK13" s="260">
        <f>+AK12/$C$5</f>
        <v>1</v>
      </c>
      <c r="AL13" s="259"/>
    </row>
    <row r="14" spans="2:38" ht="13.8">
      <c r="B14" s="257" t="s">
        <v>316</v>
      </c>
      <c r="C14" s="261">
        <f>12*C12</f>
        <v>74099820</v>
      </c>
      <c r="D14" s="262">
        <v>1</v>
      </c>
      <c r="E14" s="261">
        <f>12*E12</f>
        <v>68063640.359999999</v>
      </c>
      <c r="F14" s="262">
        <v>1</v>
      </c>
      <c r="G14" s="261">
        <f>12*G12</f>
        <v>41209441.202399999</v>
      </c>
      <c r="H14" s="262">
        <v>1</v>
      </c>
      <c r="I14" s="261">
        <f>12*I12</f>
        <v>41209441.202399999</v>
      </c>
      <c r="J14" s="262">
        <v>1</v>
      </c>
      <c r="K14" s="261">
        <f>12*K12</f>
        <v>41209441.202399999</v>
      </c>
      <c r="L14" s="262">
        <v>1</v>
      </c>
      <c r="M14" s="261">
        <f>12*M12</f>
        <v>44854449.960000001</v>
      </c>
      <c r="N14" s="262">
        <v>1</v>
      </c>
      <c r="O14" s="261">
        <f>12*O12</f>
        <v>35225436</v>
      </c>
      <c r="P14" s="262">
        <v>1</v>
      </c>
      <c r="Q14" s="261">
        <f>12*Q12</f>
        <v>27774202.198399998</v>
      </c>
      <c r="R14" s="262">
        <v>1</v>
      </c>
      <c r="S14" s="261">
        <f>12*S12</f>
        <v>68063640.359999999</v>
      </c>
      <c r="T14" s="262">
        <v>1</v>
      </c>
      <c r="U14" s="261">
        <f>12*U12</f>
        <v>18610153.044</v>
      </c>
      <c r="V14" s="262">
        <v>1</v>
      </c>
      <c r="W14" s="261">
        <f>12*W12</f>
        <v>19608400</v>
      </c>
      <c r="X14" s="262">
        <v>1</v>
      </c>
      <c r="Y14" s="261">
        <f>12*Y12</f>
        <v>15600000</v>
      </c>
      <c r="Z14" s="262">
        <v>1</v>
      </c>
      <c r="AA14" s="261">
        <f>12*AA12</f>
        <v>15600000</v>
      </c>
      <c r="AB14" s="262">
        <v>1</v>
      </c>
      <c r="AC14" s="261">
        <f>12*AC12</f>
        <v>15600000</v>
      </c>
      <c r="AD14" s="262">
        <v>1</v>
      </c>
      <c r="AE14" s="1086">
        <f>+AE12*12</f>
        <v>15600000</v>
      </c>
      <c r="AF14" s="1084"/>
      <c r="AG14" s="261">
        <f>12*AG12</f>
        <v>16658000</v>
      </c>
      <c r="AH14" s="262">
        <v>1</v>
      </c>
      <c r="AI14" s="261">
        <f>12*AI12</f>
        <v>41209441.202399999</v>
      </c>
      <c r="AJ14" s="262">
        <v>1</v>
      </c>
      <c r="AK14" s="261">
        <f>12*AK12</f>
        <v>15600000</v>
      </c>
      <c r="AL14" s="262">
        <v>1</v>
      </c>
    </row>
    <row r="15" spans="2:38" ht="13.8">
      <c r="B15" s="257"/>
      <c r="C15" s="1913"/>
      <c r="D15" s="1914"/>
      <c r="E15" s="1913"/>
      <c r="F15" s="1914"/>
      <c r="G15" s="1913"/>
      <c r="H15" s="1914"/>
      <c r="I15" s="1913"/>
      <c r="J15" s="1914"/>
      <c r="K15" s="1913"/>
      <c r="L15" s="1914"/>
      <c r="M15" s="1913"/>
      <c r="N15" s="1914"/>
      <c r="O15" s="1913"/>
      <c r="P15" s="1914"/>
      <c r="Q15" s="1913"/>
      <c r="R15" s="1914"/>
      <c r="S15" s="1913"/>
      <c r="T15" s="1914"/>
      <c r="U15" s="1913"/>
      <c r="V15" s="1914"/>
      <c r="W15" s="1913"/>
      <c r="X15" s="1914"/>
      <c r="Y15" s="1913"/>
      <c r="Z15" s="1914"/>
      <c r="AA15" s="1913"/>
      <c r="AB15" s="1914"/>
      <c r="AC15" s="1913"/>
      <c r="AD15" s="1914"/>
      <c r="AE15" s="1082"/>
      <c r="AF15" s="1082"/>
      <c r="AG15" s="1913"/>
      <c r="AH15" s="1914"/>
      <c r="AI15" s="1913"/>
      <c r="AJ15" s="1914"/>
      <c r="AK15" s="1913"/>
      <c r="AL15" s="1914"/>
    </row>
    <row r="16" spans="2:38" ht="13.8">
      <c r="B16" s="257"/>
      <c r="C16" s="263" t="s">
        <v>317</v>
      </c>
      <c r="D16" s="256" t="s">
        <v>318</v>
      </c>
      <c r="E16" s="263" t="s">
        <v>317</v>
      </c>
      <c r="F16" s="256" t="s">
        <v>318</v>
      </c>
      <c r="G16" s="263" t="s">
        <v>317</v>
      </c>
      <c r="H16" s="256" t="s">
        <v>318</v>
      </c>
      <c r="I16" s="263" t="s">
        <v>317</v>
      </c>
      <c r="J16" s="256" t="s">
        <v>318</v>
      </c>
      <c r="K16" s="263" t="s">
        <v>317</v>
      </c>
      <c r="L16" s="256" t="s">
        <v>318</v>
      </c>
      <c r="M16" s="263" t="s">
        <v>317</v>
      </c>
      <c r="N16" s="256" t="s">
        <v>318</v>
      </c>
      <c r="O16" s="263" t="s">
        <v>317</v>
      </c>
      <c r="P16" s="256" t="s">
        <v>318</v>
      </c>
      <c r="Q16" s="263" t="s">
        <v>317</v>
      </c>
      <c r="R16" s="256" t="s">
        <v>318</v>
      </c>
      <c r="S16" s="263" t="s">
        <v>317</v>
      </c>
      <c r="T16" s="256" t="s">
        <v>318</v>
      </c>
      <c r="U16" s="263" t="s">
        <v>317</v>
      </c>
      <c r="V16" s="256" t="s">
        <v>318</v>
      </c>
      <c r="W16" s="263" t="s">
        <v>317</v>
      </c>
      <c r="X16" s="256" t="s">
        <v>318</v>
      </c>
      <c r="Y16" s="263" t="s">
        <v>317</v>
      </c>
      <c r="Z16" s="256" t="s">
        <v>318</v>
      </c>
      <c r="AA16" s="263" t="s">
        <v>317</v>
      </c>
      <c r="AB16" s="256" t="s">
        <v>318</v>
      </c>
      <c r="AC16" s="263" t="s">
        <v>317</v>
      </c>
      <c r="AD16" s="256" t="s">
        <v>318</v>
      </c>
      <c r="AE16" s="263" t="s">
        <v>317</v>
      </c>
      <c r="AF16" s="256" t="s">
        <v>318</v>
      </c>
      <c r="AG16" s="263" t="s">
        <v>317</v>
      </c>
      <c r="AH16" s="256" t="s">
        <v>318</v>
      </c>
      <c r="AI16" s="263" t="s">
        <v>317</v>
      </c>
      <c r="AJ16" s="256" t="s">
        <v>318</v>
      </c>
      <c r="AK16" s="263" t="s">
        <v>317</v>
      </c>
      <c r="AL16" s="256" t="s">
        <v>318</v>
      </c>
    </row>
    <row r="17" spans="2:38" ht="13.8">
      <c r="B17" s="257" t="s">
        <v>319</v>
      </c>
      <c r="C17" s="258">
        <f>IF(C13&lt;=2,$C$6,0)</f>
        <v>0</v>
      </c>
      <c r="D17" s="264"/>
      <c r="E17" s="258">
        <f>IF(E13&lt;=2,$C$6,0)</f>
        <v>0</v>
      </c>
      <c r="F17" s="264"/>
      <c r="G17" s="258">
        <f>IF(G13&lt;=2,$C$6,0)</f>
        <v>0</v>
      </c>
      <c r="H17" s="264"/>
      <c r="I17" s="258">
        <f>IF(I13&lt;=2,$C$6,0)</f>
        <v>0</v>
      </c>
      <c r="J17" s="264"/>
      <c r="K17" s="258">
        <f>IF(K13&lt;=2,$C$6,0)</f>
        <v>0</v>
      </c>
      <c r="L17" s="264"/>
      <c r="M17" s="258">
        <f>IF(M13&lt;=2,$C$6,0)</f>
        <v>0</v>
      </c>
      <c r="N17" s="264"/>
      <c r="O17" s="258">
        <f>IF(O13&lt;=2,$C$6,0)</f>
        <v>0</v>
      </c>
      <c r="P17" s="264"/>
      <c r="Q17" s="258">
        <f>IF(Q13&lt;=2,$C$6,0)</f>
        <v>162000</v>
      </c>
      <c r="R17" s="264"/>
      <c r="S17" s="258">
        <f>IF(S13&lt;=2,$C$6,0)</f>
        <v>0</v>
      </c>
      <c r="T17" s="264"/>
      <c r="U17" s="258">
        <f>IF(U13&lt;=2,$C$6,0)</f>
        <v>162000</v>
      </c>
      <c r="V17" s="264"/>
      <c r="W17" s="258">
        <f>IF(W13&lt;=2,$C$6,0)</f>
        <v>162000</v>
      </c>
      <c r="X17" s="264"/>
      <c r="Y17" s="258">
        <f>IF(Y13&lt;=2,$C$6,0)</f>
        <v>162000</v>
      </c>
      <c r="Z17" s="264"/>
      <c r="AA17" s="258">
        <f>IF(AA13&lt;=2,$C$6,0)</f>
        <v>162000</v>
      </c>
      <c r="AB17" s="264"/>
      <c r="AC17" s="258">
        <f>IF(AC13&lt;=2,$C$6,0)</f>
        <v>162000</v>
      </c>
      <c r="AD17" s="264"/>
      <c r="AE17" s="258">
        <f>IF(AE13&lt;=2,$C$6,0)</f>
        <v>162000</v>
      </c>
      <c r="AF17" s="1085"/>
      <c r="AG17" s="258">
        <f>IF(AG13&lt;=2,$C$6,0)</f>
        <v>162000</v>
      </c>
      <c r="AH17" s="264"/>
      <c r="AI17" s="258">
        <f>IF(AI13&lt;=2,$C$6,0)</f>
        <v>0</v>
      </c>
      <c r="AJ17" s="264"/>
      <c r="AK17" s="258">
        <f>IF(AK13&lt;=2,$C$6,0)</f>
        <v>162000</v>
      </c>
      <c r="AL17" s="264"/>
    </row>
    <row r="18" spans="2:38" ht="13.8">
      <c r="B18" s="257"/>
      <c r="C18" s="1913"/>
      <c r="D18" s="1914"/>
      <c r="E18" s="1913"/>
      <c r="F18" s="1914"/>
      <c r="G18" s="1913"/>
      <c r="H18" s="1914"/>
      <c r="I18" s="1913"/>
      <c r="J18" s="1914"/>
      <c r="K18" s="1913"/>
      <c r="L18" s="1914"/>
      <c r="M18" s="1913"/>
      <c r="N18" s="1914"/>
      <c r="O18" s="1913"/>
      <c r="P18" s="1914"/>
      <c r="Q18" s="1913"/>
      <c r="R18" s="1914"/>
      <c r="S18" s="1913"/>
      <c r="T18" s="1914"/>
      <c r="U18" s="1913"/>
      <c r="V18" s="1914"/>
      <c r="W18" s="1913"/>
      <c r="X18" s="1914"/>
      <c r="Y18" s="1913"/>
      <c r="Z18" s="1914"/>
      <c r="AA18" s="1913"/>
      <c r="AB18" s="1914"/>
      <c r="AC18" s="1913"/>
      <c r="AD18" s="1914"/>
      <c r="AE18" s="1082"/>
      <c r="AF18" s="1082"/>
      <c r="AG18" s="1913"/>
      <c r="AH18" s="1914"/>
      <c r="AI18" s="1913"/>
      <c r="AJ18" s="1914"/>
      <c r="AK18" s="1913"/>
      <c r="AL18" s="1914"/>
    </row>
    <row r="19" spans="2:38" ht="13.8">
      <c r="B19" s="255" t="s">
        <v>304</v>
      </c>
      <c r="C19" s="1913"/>
      <c r="D19" s="1914"/>
      <c r="E19" s="1913"/>
      <c r="F19" s="1914"/>
      <c r="G19" s="1913"/>
      <c r="H19" s="1914"/>
      <c r="I19" s="1913"/>
      <c r="J19" s="1914"/>
      <c r="K19" s="1913"/>
      <c r="L19" s="1914"/>
      <c r="M19" s="1913"/>
      <c r="N19" s="1914"/>
      <c r="O19" s="1913"/>
      <c r="P19" s="1914"/>
      <c r="Q19" s="1913"/>
      <c r="R19" s="1914"/>
      <c r="S19" s="1913"/>
      <c r="T19" s="1914"/>
      <c r="U19" s="1913"/>
      <c r="V19" s="1914"/>
      <c r="W19" s="1913"/>
      <c r="X19" s="1914"/>
      <c r="Y19" s="1913"/>
      <c r="Z19" s="1914"/>
      <c r="AA19" s="1913"/>
      <c r="AB19" s="1914"/>
      <c r="AC19" s="1913"/>
      <c r="AD19" s="1914"/>
      <c r="AE19" s="1082"/>
      <c r="AF19" s="1082"/>
      <c r="AG19" s="1913"/>
      <c r="AH19" s="1914"/>
      <c r="AI19" s="1913"/>
      <c r="AJ19" s="1914"/>
      <c r="AK19" s="1913"/>
      <c r="AL19" s="1914"/>
    </row>
    <row r="20" spans="2:38" ht="13.8">
      <c r="B20" s="257" t="s">
        <v>320</v>
      </c>
      <c r="C20" s="258">
        <f>12*C17</f>
        <v>0</v>
      </c>
      <c r="D20" s="262">
        <f>+C20/C14</f>
        <v>0</v>
      </c>
      <c r="E20" s="258">
        <f>12*E17</f>
        <v>0</v>
      </c>
      <c r="F20" s="262">
        <f>+E20/E14</f>
        <v>0</v>
      </c>
      <c r="G20" s="258">
        <f>12*G17</f>
        <v>0</v>
      </c>
      <c r="H20" s="262">
        <f>+G20/G14</f>
        <v>0</v>
      </c>
      <c r="I20" s="258">
        <f>12*I17</f>
        <v>0</v>
      </c>
      <c r="J20" s="262">
        <f>+I20/I14</f>
        <v>0</v>
      </c>
      <c r="K20" s="258">
        <f>12*K17</f>
        <v>0</v>
      </c>
      <c r="L20" s="262">
        <f>+K20/K14</f>
        <v>0</v>
      </c>
      <c r="M20" s="258">
        <f>12*M17</f>
        <v>0</v>
      </c>
      <c r="N20" s="262">
        <f>+M20/M14</f>
        <v>0</v>
      </c>
      <c r="O20" s="258">
        <f>12*O17</f>
        <v>0</v>
      </c>
      <c r="P20" s="262">
        <f>+O20/O14</f>
        <v>0</v>
      </c>
      <c r="Q20" s="258">
        <f>12*Q17</f>
        <v>1944000</v>
      </c>
      <c r="R20" s="262">
        <f>+Q20/Q14</f>
        <v>6.9993009560216604E-2</v>
      </c>
      <c r="S20" s="258">
        <f>12*S17</f>
        <v>0</v>
      </c>
      <c r="T20" s="262">
        <f>+S20/S14</f>
        <v>0</v>
      </c>
      <c r="U20" s="258">
        <f>12*U17</f>
        <v>1944000</v>
      </c>
      <c r="V20" s="262">
        <f>+U20/U14</f>
        <v>0.10445910871360377</v>
      </c>
      <c r="W20" s="258">
        <f>12*W17</f>
        <v>1944000</v>
      </c>
      <c r="X20" s="262">
        <f>+W20/W14</f>
        <v>9.9141184390363318E-2</v>
      </c>
      <c r="Y20" s="258">
        <f>12*Y17</f>
        <v>1944000</v>
      </c>
      <c r="Z20" s="262">
        <f>+Y20/Y14</f>
        <v>0.12461538461538461</v>
      </c>
      <c r="AA20" s="258">
        <f>12*AA17</f>
        <v>1944000</v>
      </c>
      <c r="AB20" s="262">
        <f>+AA20/AA14</f>
        <v>0.12461538461538461</v>
      </c>
      <c r="AC20" s="258">
        <f>12*AC17</f>
        <v>1944000</v>
      </c>
      <c r="AD20" s="262">
        <f>+AC20/AC14</f>
        <v>0.12461538461538461</v>
      </c>
      <c r="AE20" s="1086">
        <f>AE17*12</f>
        <v>1944000</v>
      </c>
      <c r="AF20" s="1084">
        <f>AE20/AE14</f>
        <v>0.12461538461538461</v>
      </c>
      <c r="AG20" s="258">
        <f>12*AG17</f>
        <v>1944000</v>
      </c>
      <c r="AH20" s="262">
        <f>+AG20/AG14</f>
        <v>0.11670068435586504</v>
      </c>
      <c r="AI20" s="258">
        <f>12*AI17</f>
        <v>0</v>
      </c>
      <c r="AJ20" s="262">
        <f>+AI20/AI14</f>
        <v>0</v>
      </c>
      <c r="AK20" s="258">
        <f>12*AK17</f>
        <v>1944000</v>
      </c>
      <c r="AL20" s="262">
        <f>+AK20/AK14</f>
        <v>0.12461538461538461</v>
      </c>
    </row>
    <row r="21" spans="2:38" ht="13.8">
      <c r="B21" s="257"/>
      <c r="C21" s="1913"/>
      <c r="D21" s="1914"/>
      <c r="E21" s="1913"/>
      <c r="F21" s="1914"/>
      <c r="G21" s="1913"/>
      <c r="H21" s="1914"/>
      <c r="I21" s="1913"/>
      <c r="J21" s="1914"/>
      <c r="K21" s="1913"/>
      <c r="L21" s="1914"/>
      <c r="M21" s="1913"/>
      <c r="N21" s="1914"/>
      <c r="O21" s="1913"/>
      <c r="P21" s="1914"/>
      <c r="Q21" s="1913"/>
      <c r="R21" s="1914"/>
      <c r="S21" s="1913"/>
      <c r="T21" s="1914"/>
      <c r="U21" s="1913"/>
      <c r="V21" s="1914"/>
      <c r="W21" s="1913"/>
      <c r="X21" s="1914"/>
      <c r="Y21" s="1913"/>
      <c r="Z21" s="1914"/>
      <c r="AA21" s="1913"/>
      <c r="AB21" s="1914"/>
      <c r="AC21" s="1913"/>
      <c r="AD21" s="1914"/>
      <c r="AE21" s="1082"/>
      <c r="AF21" s="1082"/>
      <c r="AG21" s="1913"/>
      <c r="AH21" s="1914"/>
      <c r="AI21" s="1913"/>
      <c r="AJ21" s="1914"/>
      <c r="AK21" s="1913"/>
      <c r="AL21" s="1914"/>
    </row>
    <row r="22" spans="2:38" ht="13.8">
      <c r="B22" s="255" t="s">
        <v>295</v>
      </c>
      <c r="C22" s="1913"/>
      <c r="D22" s="1914"/>
      <c r="E22" s="1913"/>
      <c r="F22" s="1914"/>
      <c r="G22" s="1913"/>
      <c r="H22" s="1914"/>
      <c r="I22" s="1913"/>
      <c r="J22" s="1914"/>
      <c r="K22" s="1913"/>
      <c r="L22" s="1914"/>
      <c r="M22" s="1913"/>
      <c r="N22" s="1914"/>
      <c r="O22" s="1913"/>
      <c r="P22" s="1914"/>
      <c r="Q22" s="1913"/>
      <c r="R22" s="1914"/>
      <c r="S22" s="1913"/>
      <c r="T22" s="1914"/>
      <c r="U22" s="1913"/>
      <c r="V22" s="1914"/>
      <c r="W22" s="1913"/>
      <c r="X22" s="1914"/>
      <c r="Y22" s="1913"/>
      <c r="Z22" s="1914"/>
      <c r="AA22" s="1913"/>
      <c r="AB22" s="1914"/>
      <c r="AC22" s="1913"/>
      <c r="AD22" s="1914"/>
      <c r="AE22" s="1082"/>
      <c r="AF22" s="1082"/>
      <c r="AG22" s="1913"/>
      <c r="AH22" s="1914"/>
      <c r="AI22" s="1913"/>
      <c r="AJ22" s="1914"/>
      <c r="AK22" s="1913"/>
      <c r="AL22" s="1914"/>
    </row>
    <row r="23" spans="2:38" ht="13.8">
      <c r="B23" s="257" t="s">
        <v>366</v>
      </c>
      <c r="C23" s="258">
        <f>+(C14+C20)*30/360</f>
        <v>6174985</v>
      </c>
      <c r="D23" s="262">
        <f>+C23/C14</f>
        <v>8.3333333333333329E-2</v>
      </c>
      <c r="E23" s="258">
        <f>+(E14+E20)*30/360</f>
        <v>5671970.0300000003</v>
      </c>
      <c r="F23" s="262">
        <f>+E23/E14</f>
        <v>8.3333333333333343E-2</v>
      </c>
      <c r="G23" s="258">
        <f>+(G14+G20)*30/360</f>
        <v>3434120.1002000002</v>
      </c>
      <c r="H23" s="262">
        <f>+G23/G14</f>
        <v>8.3333333333333343E-2</v>
      </c>
      <c r="I23" s="258">
        <f>+(I14+I20)*30/360</f>
        <v>3434120.1002000002</v>
      </c>
      <c r="J23" s="262">
        <f>+I23/I14</f>
        <v>8.3333333333333343E-2</v>
      </c>
      <c r="K23" s="258">
        <f>+(K14+K20)*30/360</f>
        <v>3434120.1002000002</v>
      </c>
      <c r="L23" s="262">
        <f>+K23/K14</f>
        <v>8.3333333333333343E-2</v>
      </c>
      <c r="M23" s="258">
        <f>+(M14+M20)*30/360</f>
        <v>3737870.83</v>
      </c>
      <c r="N23" s="262">
        <f>+M23/M14</f>
        <v>8.3333333333333329E-2</v>
      </c>
      <c r="O23" s="258">
        <f>+(O14+O20)*30/360</f>
        <v>2935453</v>
      </c>
      <c r="P23" s="262">
        <f>+O23/O14</f>
        <v>8.3333333333333329E-2</v>
      </c>
      <c r="Q23" s="258">
        <f>+(Q14+Q20)*30/360</f>
        <v>2476516.8498666664</v>
      </c>
      <c r="R23" s="262">
        <f>+Q23/Q14</f>
        <v>8.9166084130018045E-2</v>
      </c>
      <c r="S23" s="258">
        <f>+(S14+S20)*30/360</f>
        <v>5671970.0300000003</v>
      </c>
      <c r="T23" s="262">
        <f>+S23/S14</f>
        <v>8.3333333333333343E-2</v>
      </c>
      <c r="U23" s="258">
        <f>+(U14)*30/360</f>
        <v>1550846.0869999998</v>
      </c>
      <c r="V23" s="262">
        <f>+U23/U14</f>
        <v>8.3333333333333329E-2</v>
      </c>
      <c r="W23" s="258">
        <f>+(W14+W20)*30/360</f>
        <v>1796033.3333333333</v>
      </c>
      <c r="X23" s="262">
        <f>+W23/W14</f>
        <v>9.1595098699196936E-2</v>
      </c>
      <c r="Y23" s="258">
        <f>+(Y14)*30/360</f>
        <v>1300000</v>
      </c>
      <c r="Z23" s="262">
        <f>+Y23/Y14</f>
        <v>8.3333333333333329E-2</v>
      </c>
      <c r="AA23" s="258">
        <f>+(AA14)*30/360</f>
        <v>1300000</v>
      </c>
      <c r="AB23" s="262">
        <f>+AA23/AA14</f>
        <v>8.3333333333333329E-2</v>
      </c>
      <c r="AC23" s="258">
        <f>+(AC14)*30/360</f>
        <v>1300000</v>
      </c>
      <c r="AD23" s="262">
        <f>+AC23/AC14</f>
        <v>8.3333333333333329E-2</v>
      </c>
      <c r="AE23" s="258">
        <f>+(AE14)*30/360</f>
        <v>1300000</v>
      </c>
      <c r="AF23" s="262">
        <f>+AE23/AE14</f>
        <v>8.3333333333333329E-2</v>
      </c>
      <c r="AG23" s="258">
        <f>+(AG14)*30/360</f>
        <v>1388166.6666666667</v>
      </c>
      <c r="AH23" s="262">
        <f>+AG23/AG14</f>
        <v>8.3333333333333343E-2</v>
      </c>
      <c r="AI23" s="258">
        <f>+(AI14+AI20)*30/360</f>
        <v>3434120.1002000002</v>
      </c>
      <c r="AJ23" s="262">
        <f>+AI23/AI14</f>
        <v>8.3333333333333343E-2</v>
      </c>
      <c r="AK23" s="258">
        <f>+(AK14)*30/360</f>
        <v>1300000</v>
      </c>
      <c r="AL23" s="262">
        <f>+AK23/AK14</f>
        <v>8.3333333333333329E-2</v>
      </c>
    </row>
    <row r="24" spans="2:38" ht="13.8">
      <c r="B24" s="257" t="s">
        <v>321</v>
      </c>
      <c r="C24" s="261">
        <f>0.12*C23</f>
        <v>740998.2</v>
      </c>
      <c r="D24" s="262">
        <f>+C24/C14</f>
        <v>0.01</v>
      </c>
      <c r="E24" s="261">
        <f>0.12*E23</f>
        <v>680636.40359999996</v>
      </c>
      <c r="F24" s="262">
        <f>+E24/E14</f>
        <v>0.01</v>
      </c>
      <c r="G24" s="261">
        <f>0.12*G23</f>
        <v>412094.41202400002</v>
      </c>
      <c r="H24" s="262">
        <f>+G24/G14</f>
        <v>0.01</v>
      </c>
      <c r="I24" s="261">
        <f>0.12*I23</f>
        <v>412094.41202400002</v>
      </c>
      <c r="J24" s="262">
        <f>+I24/I14</f>
        <v>0.01</v>
      </c>
      <c r="K24" s="261">
        <f>0.12*K23</f>
        <v>412094.41202400002</v>
      </c>
      <c r="L24" s="262">
        <f>+K24/K14</f>
        <v>0.01</v>
      </c>
      <c r="M24" s="261">
        <f>0.12*M23</f>
        <v>448544.49959999998</v>
      </c>
      <c r="N24" s="262">
        <f>+M24/M14</f>
        <v>0.01</v>
      </c>
      <c r="O24" s="261">
        <f>0.12*O23</f>
        <v>352254.36</v>
      </c>
      <c r="P24" s="262">
        <f>+O24/O14</f>
        <v>0.01</v>
      </c>
      <c r="Q24" s="261">
        <f>0.12*Q23</f>
        <v>297182.02198399993</v>
      </c>
      <c r="R24" s="262">
        <f>+Q24/Q14</f>
        <v>1.0699930095602165E-2</v>
      </c>
      <c r="S24" s="261">
        <f>0.12*S23</f>
        <v>680636.40359999996</v>
      </c>
      <c r="T24" s="262">
        <f>+S24/S14</f>
        <v>0.01</v>
      </c>
      <c r="U24" s="261">
        <f>0.12*U23</f>
        <v>186101.53043999997</v>
      </c>
      <c r="V24" s="262">
        <f>+U24/U14</f>
        <v>9.9999999999999985E-3</v>
      </c>
      <c r="W24" s="261">
        <f>0.12*W23</f>
        <v>215523.99999999997</v>
      </c>
      <c r="X24" s="262">
        <f>+W24/W14</f>
        <v>1.0991411843903632E-2</v>
      </c>
      <c r="Y24" s="261">
        <f>0.12*Y23</f>
        <v>156000</v>
      </c>
      <c r="Z24" s="262">
        <f>+Y24/Y14</f>
        <v>0.01</v>
      </c>
      <c r="AA24" s="261">
        <f>0.12*AA23</f>
        <v>156000</v>
      </c>
      <c r="AB24" s="262">
        <f>+AA24/AA14</f>
        <v>0.01</v>
      </c>
      <c r="AC24" s="261">
        <f>0.12*AC23</f>
        <v>156000</v>
      </c>
      <c r="AD24" s="262">
        <f>+AC24/AC14</f>
        <v>0.01</v>
      </c>
      <c r="AE24" s="261">
        <f>0.12*AE23</f>
        <v>156000</v>
      </c>
      <c r="AF24" s="262">
        <f>+AE24/AE14</f>
        <v>0.01</v>
      </c>
      <c r="AG24" s="261">
        <f>0.12*AG23</f>
        <v>166580</v>
      </c>
      <c r="AH24" s="262">
        <f>+AG24/AG14</f>
        <v>0.01</v>
      </c>
      <c r="AI24" s="261">
        <f>0.12*AI23</f>
        <v>412094.41202400002</v>
      </c>
      <c r="AJ24" s="262">
        <f>+AI24/AI14</f>
        <v>0.01</v>
      </c>
      <c r="AK24" s="261">
        <f>0.12*AK23</f>
        <v>156000</v>
      </c>
      <c r="AL24" s="262">
        <f>+AK24/AK14</f>
        <v>0.01</v>
      </c>
    </row>
    <row r="25" spans="2:38" ht="13.8">
      <c r="B25" s="257" t="s">
        <v>322</v>
      </c>
      <c r="C25" s="261">
        <f>30*C14/360</f>
        <v>6174985</v>
      </c>
      <c r="D25" s="262">
        <f>C25/C14</f>
        <v>8.3333333333333329E-2</v>
      </c>
      <c r="E25" s="261">
        <f>30*E14/360</f>
        <v>5671970.0300000003</v>
      </c>
      <c r="F25" s="262">
        <f>E25/E14</f>
        <v>8.3333333333333343E-2</v>
      </c>
      <c r="G25" s="261">
        <f>30*G14/360</f>
        <v>3434120.1002000002</v>
      </c>
      <c r="H25" s="262">
        <f>+G25/G14</f>
        <v>8.3333333333333343E-2</v>
      </c>
      <c r="I25" s="261">
        <f>30*I14/360</f>
        <v>3434120.1002000002</v>
      </c>
      <c r="J25" s="262">
        <f>+I25/I14</f>
        <v>8.3333333333333343E-2</v>
      </c>
      <c r="K25" s="261">
        <f>30*K14/360</f>
        <v>3434120.1002000002</v>
      </c>
      <c r="L25" s="262">
        <f>+K25/K14</f>
        <v>8.3333333333333343E-2</v>
      </c>
      <c r="M25" s="261">
        <f>30*M14/360</f>
        <v>3737870.83</v>
      </c>
      <c r="N25" s="262">
        <f>+M25/M14</f>
        <v>8.3333333333333329E-2</v>
      </c>
      <c r="O25" s="261">
        <f>30*O14/360</f>
        <v>2935453</v>
      </c>
      <c r="P25" s="262">
        <f>+O25/O14</f>
        <v>8.3333333333333329E-2</v>
      </c>
      <c r="Q25" s="261">
        <f>30*Q14/360</f>
        <v>2314516.8498666664</v>
      </c>
      <c r="R25" s="262">
        <f>+Q25/Q14</f>
        <v>8.3333333333333329E-2</v>
      </c>
      <c r="S25" s="261">
        <f>30*S14/360</f>
        <v>5671970.0300000003</v>
      </c>
      <c r="T25" s="262">
        <f>+S25/S14</f>
        <v>8.3333333333333343E-2</v>
      </c>
      <c r="U25" s="261">
        <f>30*U14/360</f>
        <v>1550846.0869999998</v>
      </c>
      <c r="V25" s="262">
        <f>+U25/U14</f>
        <v>8.3333333333333329E-2</v>
      </c>
      <c r="W25" s="261">
        <f>30*W14/360</f>
        <v>1634033.3333333333</v>
      </c>
      <c r="X25" s="262">
        <f>+W25/W14</f>
        <v>8.3333333333333329E-2</v>
      </c>
      <c r="Y25" s="261">
        <f>30*Y14/360</f>
        <v>1300000</v>
      </c>
      <c r="Z25" s="262">
        <f>+Y25/Y14</f>
        <v>8.3333333333333329E-2</v>
      </c>
      <c r="AA25" s="261">
        <f>30*AA14/360</f>
        <v>1300000</v>
      </c>
      <c r="AB25" s="262">
        <f>+AA25/AA14</f>
        <v>8.3333333333333329E-2</v>
      </c>
      <c r="AC25" s="261">
        <f>30*AC14/360</f>
        <v>1300000</v>
      </c>
      <c r="AD25" s="262">
        <f>+AC25/AC14</f>
        <v>8.3333333333333329E-2</v>
      </c>
      <c r="AE25" s="261">
        <f>30*AE14/360</f>
        <v>1300000</v>
      </c>
      <c r="AF25" s="262">
        <f>+AE25/AE14</f>
        <v>8.3333333333333329E-2</v>
      </c>
      <c r="AG25" s="261">
        <f>30*AG14/360</f>
        <v>1388166.6666666667</v>
      </c>
      <c r="AH25" s="262">
        <f>+AG25/AG14</f>
        <v>8.3333333333333343E-2</v>
      </c>
      <c r="AI25" s="261">
        <f>30*AI14/360</f>
        <v>3434120.1002000002</v>
      </c>
      <c r="AJ25" s="262">
        <f>+AI25/AI14</f>
        <v>8.3333333333333343E-2</v>
      </c>
      <c r="AK25" s="261">
        <f>30*AK14/360</f>
        <v>1300000</v>
      </c>
      <c r="AL25" s="262">
        <f>+AK25/AK14</f>
        <v>8.3333333333333329E-2</v>
      </c>
    </row>
    <row r="26" spans="2:38" ht="27.6">
      <c r="B26" s="257" t="s">
        <v>323</v>
      </c>
      <c r="C26" s="261">
        <f>15*C12/30</f>
        <v>3087492.5</v>
      </c>
      <c r="D26" s="262">
        <f>+C26/C14</f>
        <v>4.1666666666666664E-2</v>
      </c>
      <c r="E26" s="261">
        <f>15*E12/30</f>
        <v>2835985.0150000001</v>
      </c>
      <c r="F26" s="262">
        <f>+E26/E14</f>
        <v>4.1666666666666671E-2</v>
      </c>
      <c r="G26" s="261">
        <f>15*G12/30</f>
        <v>1717060.0501000001</v>
      </c>
      <c r="H26" s="262">
        <f>+G26/G14</f>
        <v>4.1666666666666671E-2</v>
      </c>
      <c r="I26" s="261">
        <f>15*I12/30</f>
        <v>1717060.0501000001</v>
      </c>
      <c r="J26" s="262">
        <f>+I26/I14</f>
        <v>4.1666666666666671E-2</v>
      </c>
      <c r="K26" s="261">
        <f>15*K12/30</f>
        <v>1717060.0501000001</v>
      </c>
      <c r="L26" s="262">
        <f>+K26/K14</f>
        <v>4.1666666666666671E-2</v>
      </c>
      <c r="M26" s="261">
        <f>15*M12/30</f>
        <v>1868935.415</v>
      </c>
      <c r="N26" s="262">
        <f>+M26/M14</f>
        <v>4.1666666666666664E-2</v>
      </c>
      <c r="O26" s="261">
        <f>15*O12/30</f>
        <v>1467726.5</v>
      </c>
      <c r="P26" s="262">
        <f>+O26/O14</f>
        <v>4.1666666666666664E-2</v>
      </c>
      <c r="Q26" s="261">
        <f>15*Q12/30</f>
        <v>1157258.4249333332</v>
      </c>
      <c r="R26" s="262">
        <f>+Q26/Q14</f>
        <v>4.1666666666666664E-2</v>
      </c>
      <c r="S26" s="261">
        <f>15*S12/30</f>
        <v>2835985.0150000001</v>
      </c>
      <c r="T26" s="262">
        <f>+S26/S14</f>
        <v>4.1666666666666671E-2</v>
      </c>
      <c r="U26" s="261">
        <f>15*U12/30</f>
        <v>775423.04350000003</v>
      </c>
      <c r="V26" s="262">
        <f>+U26/U14</f>
        <v>4.1666666666666671E-2</v>
      </c>
      <c r="W26" s="261">
        <f>15*W12/30</f>
        <v>817016.66666666663</v>
      </c>
      <c r="X26" s="262">
        <f>+W26/W14</f>
        <v>4.1666666666666664E-2</v>
      </c>
      <c r="Y26" s="261">
        <f>15*Y12/30</f>
        <v>650000</v>
      </c>
      <c r="Z26" s="262">
        <f>+Y26/Y14</f>
        <v>4.1666666666666664E-2</v>
      </c>
      <c r="AA26" s="261">
        <f>15*AA12/30</f>
        <v>650000</v>
      </c>
      <c r="AB26" s="262">
        <f>+AA26/AA14</f>
        <v>4.1666666666666664E-2</v>
      </c>
      <c r="AC26" s="261">
        <f>15*AC12/30</f>
        <v>650000</v>
      </c>
      <c r="AD26" s="262">
        <f>+AC26/AC14</f>
        <v>4.1666666666666664E-2</v>
      </c>
      <c r="AE26" s="261">
        <f>15*AE12/30</f>
        <v>650000</v>
      </c>
      <c r="AF26" s="262">
        <f>+AE26/AE14</f>
        <v>4.1666666666666664E-2</v>
      </c>
      <c r="AG26" s="261">
        <f>15*AG12/30</f>
        <v>694083.33333333337</v>
      </c>
      <c r="AH26" s="262">
        <f>+AG26/AG14</f>
        <v>4.1666666666666671E-2</v>
      </c>
      <c r="AI26" s="261">
        <f>15*AI12/30</f>
        <v>1717060.0501000001</v>
      </c>
      <c r="AJ26" s="262">
        <f>+AI26/AI14</f>
        <v>4.1666666666666671E-2</v>
      </c>
      <c r="AK26" s="261">
        <f>15*AK12/30</f>
        <v>650000</v>
      </c>
      <c r="AL26" s="262">
        <f>+AK26/AK14</f>
        <v>4.1666666666666664E-2</v>
      </c>
    </row>
    <row r="27" spans="2:38" ht="13.8">
      <c r="B27" s="257"/>
      <c r="C27" s="1913"/>
      <c r="D27" s="1914"/>
      <c r="E27" s="1913"/>
      <c r="F27" s="1914"/>
      <c r="G27" s="1913"/>
      <c r="H27" s="1914"/>
      <c r="I27" s="1913"/>
      <c r="J27" s="1914"/>
      <c r="K27" s="1913"/>
      <c r="L27" s="1914"/>
      <c r="M27" s="1913"/>
      <c r="N27" s="1914"/>
      <c r="O27" s="1913"/>
      <c r="P27" s="1914"/>
      <c r="Q27" s="1913"/>
      <c r="R27" s="1914"/>
      <c r="S27" s="1913"/>
      <c r="T27" s="1914"/>
      <c r="U27" s="1913"/>
      <c r="V27" s="1914"/>
      <c r="W27" s="1913"/>
      <c r="X27" s="1914"/>
      <c r="Y27" s="1913"/>
      <c r="Z27" s="1914"/>
      <c r="AA27" s="1913"/>
      <c r="AB27" s="1914"/>
      <c r="AC27" s="1913"/>
      <c r="AD27" s="1914"/>
      <c r="AE27" s="1082"/>
      <c r="AF27" s="1082"/>
      <c r="AG27" s="1913"/>
      <c r="AH27" s="1914"/>
      <c r="AI27" s="1913"/>
      <c r="AJ27" s="1914"/>
      <c r="AK27" s="1913"/>
      <c r="AL27" s="1914"/>
    </row>
    <row r="28" spans="2:38" ht="13.8">
      <c r="B28" s="255" t="s">
        <v>296</v>
      </c>
      <c r="C28" s="1913"/>
      <c r="D28" s="1914"/>
      <c r="E28" s="1913"/>
      <c r="F28" s="1914"/>
      <c r="G28" s="1913"/>
      <c r="H28" s="1914"/>
      <c r="I28" s="1913"/>
      <c r="J28" s="1914"/>
      <c r="K28" s="1913"/>
      <c r="L28" s="1914"/>
      <c r="M28" s="1913"/>
      <c r="N28" s="1914"/>
      <c r="O28" s="1913"/>
      <c r="P28" s="1914"/>
      <c r="Q28" s="1913"/>
      <c r="R28" s="1914"/>
      <c r="S28" s="1913"/>
      <c r="T28" s="1914"/>
      <c r="U28" s="1913"/>
      <c r="V28" s="1914"/>
      <c r="W28" s="1913"/>
      <c r="X28" s="1914"/>
      <c r="Y28" s="1913"/>
      <c r="Z28" s="1914"/>
      <c r="AA28" s="1913"/>
      <c r="AB28" s="1914"/>
      <c r="AC28" s="1913"/>
      <c r="AD28" s="1914"/>
      <c r="AE28" s="1082"/>
      <c r="AF28" s="1082"/>
      <c r="AG28" s="1913"/>
      <c r="AH28" s="1914"/>
      <c r="AI28" s="1913"/>
      <c r="AJ28" s="1914"/>
      <c r="AK28" s="1913"/>
      <c r="AL28" s="1914"/>
    </row>
    <row r="29" spans="2:38" ht="27.6">
      <c r="B29" s="257" t="s">
        <v>324</v>
      </c>
      <c r="C29" s="258">
        <f>+D29*C14</f>
        <v>6298484.7000000002</v>
      </c>
      <c r="D29" s="262">
        <v>8.5000000000000006E-2</v>
      </c>
      <c r="E29" s="258">
        <f>+F29*E14</f>
        <v>5785409.4306000005</v>
      </c>
      <c r="F29" s="262">
        <v>8.5000000000000006E-2</v>
      </c>
      <c r="G29" s="258">
        <f>+H29*G14</f>
        <v>3502802.502204</v>
      </c>
      <c r="H29" s="262">
        <v>8.5000000000000006E-2</v>
      </c>
      <c r="I29" s="258">
        <f>+J29*I14</f>
        <v>3502802.502204</v>
      </c>
      <c r="J29" s="262">
        <v>8.5000000000000006E-2</v>
      </c>
      <c r="K29" s="258">
        <f>+L29*K14</f>
        <v>3502802.502204</v>
      </c>
      <c r="L29" s="262">
        <v>8.5000000000000006E-2</v>
      </c>
      <c r="M29" s="258">
        <f>+N29*M14</f>
        <v>3812628.2466000002</v>
      </c>
      <c r="N29" s="262">
        <v>8.5000000000000006E-2</v>
      </c>
      <c r="O29" s="258">
        <f>+P29*O14</f>
        <v>2994162.06</v>
      </c>
      <c r="P29" s="262">
        <v>8.5000000000000006E-2</v>
      </c>
      <c r="Q29" s="258">
        <f>+R29*Q14</f>
        <v>2360807.1868639998</v>
      </c>
      <c r="R29" s="262">
        <v>8.5000000000000006E-2</v>
      </c>
      <c r="S29" s="258">
        <f>+T29*S14</f>
        <v>5785409.4306000005</v>
      </c>
      <c r="T29" s="262">
        <v>8.5000000000000006E-2</v>
      </c>
      <c r="U29" s="258">
        <f>+V29*U14</f>
        <v>1581863.0087400002</v>
      </c>
      <c r="V29" s="262">
        <v>8.5000000000000006E-2</v>
      </c>
      <c r="W29" s="258">
        <f>+X29*W14</f>
        <v>1666714.0000000002</v>
      </c>
      <c r="X29" s="262">
        <v>8.5000000000000006E-2</v>
      </c>
      <c r="Y29" s="258">
        <f>+Z29*Y14</f>
        <v>1326000</v>
      </c>
      <c r="Z29" s="262">
        <v>8.5000000000000006E-2</v>
      </c>
      <c r="AA29" s="258">
        <f>+AB29*AA14</f>
        <v>1326000</v>
      </c>
      <c r="AB29" s="262">
        <v>8.5000000000000006E-2</v>
      </c>
      <c r="AC29" s="258">
        <f>+AD29*AC14</f>
        <v>1326000</v>
      </c>
      <c r="AD29" s="262">
        <v>8.5000000000000006E-2</v>
      </c>
      <c r="AE29" s="258">
        <f>+AF29*AE14</f>
        <v>1326000</v>
      </c>
      <c r="AF29" s="262">
        <v>8.5000000000000006E-2</v>
      </c>
      <c r="AG29" s="258">
        <f>+AH29*AG14</f>
        <v>1415930</v>
      </c>
      <c r="AH29" s="262">
        <v>8.5000000000000006E-2</v>
      </c>
      <c r="AI29" s="258">
        <f>+AJ29*AI14</f>
        <v>3502802.502204</v>
      </c>
      <c r="AJ29" s="262">
        <v>8.5000000000000006E-2</v>
      </c>
      <c r="AK29" s="258">
        <f>+AL29*AK14</f>
        <v>1326000</v>
      </c>
      <c r="AL29" s="262">
        <v>8.5000000000000006E-2</v>
      </c>
    </row>
    <row r="30" spans="2:38" ht="27.6">
      <c r="B30" s="257" t="s">
        <v>325</v>
      </c>
      <c r="C30" s="261">
        <f>+D30*C14</f>
        <v>8891978.4000000004</v>
      </c>
      <c r="D30" s="262">
        <v>0.12</v>
      </c>
      <c r="E30" s="261">
        <f>+F30*E14</f>
        <v>8167636.8432</v>
      </c>
      <c r="F30" s="262">
        <v>0.12</v>
      </c>
      <c r="G30" s="261">
        <f>+H30*G14</f>
        <v>4945132.9442879995</v>
      </c>
      <c r="H30" s="262">
        <v>0.12</v>
      </c>
      <c r="I30" s="261">
        <f>+J30*I14</f>
        <v>4945132.9442879995</v>
      </c>
      <c r="J30" s="262">
        <v>0.12</v>
      </c>
      <c r="K30" s="261">
        <f>+L30*K14</f>
        <v>4945132.9442879995</v>
      </c>
      <c r="L30" s="262">
        <v>0.12</v>
      </c>
      <c r="M30" s="261">
        <f>+N30*M14</f>
        <v>5382533.9951999998</v>
      </c>
      <c r="N30" s="262">
        <v>0.12</v>
      </c>
      <c r="O30" s="261">
        <f>+P30*O14</f>
        <v>4227052.32</v>
      </c>
      <c r="P30" s="262">
        <v>0.12</v>
      </c>
      <c r="Q30" s="261">
        <f>+R30*Q14</f>
        <v>3332904.2638079994</v>
      </c>
      <c r="R30" s="262">
        <v>0.12</v>
      </c>
      <c r="S30" s="261">
        <f>+T30*S14</f>
        <v>8167636.8432</v>
      </c>
      <c r="T30" s="262">
        <v>0.12</v>
      </c>
      <c r="U30" s="261">
        <f>+V30*U14</f>
        <v>2233218.36528</v>
      </c>
      <c r="V30" s="262">
        <v>0.12</v>
      </c>
      <c r="W30" s="261">
        <f>+X30*W14</f>
        <v>2353008</v>
      </c>
      <c r="X30" s="262">
        <v>0.12</v>
      </c>
      <c r="Y30" s="261">
        <f>+Z30*Y14</f>
        <v>1872000</v>
      </c>
      <c r="Z30" s="262">
        <v>0.12</v>
      </c>
      <c r="AA30" s="261">
        <f>+AB30*AA14</f>
        <v>1872000</v>
      </c>
      <c r="AB30" s="262">
        <v>0.12</v>
      </c>
      <c r="AC30" s="261">
        <f>+AD30*AC14</f>
        <v>1872000</v>
      </c>
      <c r="AD30" s="262">
        <v>0.12</v>
      </c>
      <c r="AE30" s="261">
        <f>+AF30*AE14</f>
        <v>1872000</v>
      </c>
      <c r="AF30" s="262">
        <v>0.12</v>
      </c>
      <c r="AG30" s="261">
        <f>+AH30*AG14</f>
        <v>1998960</v>
      </c>
      <c r="AH30" s="262">
        <v>0.12</v>
      </c>
      <c r="AI30" s="261">
        <f>+AJ30*AI14</f>
        <v>4945132.9442879995</v>
      </c>
      <c r="AJ30" s="262">
        <v>0.12</v>
      </c>
      <c r="AK30" s="261">
        <f>+AL30*AK14</f>
        <v>1872000</v>
      </c>
      <c r="AL30" s="262">
        <v>0.12</v>
      </c>
    </row>
    <row r="31" spans="2:38" ht="27.6">
      <c r="B31" s="257" t="s">
        <v>326</v>
      </c>
      <c r="C31" s="261">
        <f>+D31*C14</f>
        <v>5157347.4720000001</v>
      </c>
      <c r="D31" s="262">
        <v>6.9599999999999995E-2</v>
      </c>
      <c r="E31" s="261">
        <f>+F31*E14</f>
        <v>4737229.3690559994</v>
      </c>
      <c r="F31" s="262">
        <v>6.9599999999999995E-2</v>
      </c>
      <c r="G31" s="261">
        <f>+H31*G14</f>
        <v>2868177.1076870398</v>
      </c>
      <c r="H31" s="262">
        <v>6.9599999999999995E-2</v>
      </c>
      <c r="I31" s="261">
        <f>+J31*I14</f>
        <v>2868177.1076870398</v>
      </c>
      <c r="J31" s="262">
        <v>6.9599999999999995E-2</v>
      </c>
      <c r="K31" s="261">
        <f>+L31*K14</f>
        <v>2868177.1076870398</v>
      </c>
      <c r="L31" s="262">
        <v>6.9599999999999995E-2</v>
      </c>
      <c r="M31" s="261">
        <f>+N31*M14</f>
        <v>3121869.717216</v>
      </c>
      <c r="N31" s="262">
        <v>6.9599999999999995E-2</v>
      </c>
      <c r="O31" s="261">
        <f>+P31*O14</f>
        <v>2451690.3455999997</v>
      </c>
      <c r="P31" s="262">
        <v>6.9599999999999995E-2</v>
      </c>
      <c r="Q31" s="261">
        <f>+R31*Q14</f>
        <v>1933084.4730086396</v>
      </c>
      <c r="R31" s="262">
        <v>6.9599999999999995E-2</v>
      </c>
      <c r="S31" s="261">
        <f>+T31*S14</f>
        <v>4737229.3690559994</v>
      </c>
      <c r="T31" s="262">
        <v>6.9599999999999995E-2</v>
      </c>
      <c r="U31" s="261">
        <f>+V31*U14</f>
        <v>1295266.6518623999</v>
      </c>
      <c r="V31" s="262">
        <v>6.9599999999999995E-2</v>
      </c>
      <c r="W31" s="261">
        <f>+X31*W14</f>
        <v>1364744.64</v>
      </c>
      <c r="X31" s="262">
        <v>6.9599999999999995E-2</v>
      </c>
      <c r="Y31" s="261">
        <f>+Z31*Y14</f>
        <v>1085760</v>
      </c>
      <c r="Z31" s="262">
        <v>6.9599999999999995E-2</v>
      </c>
      <c r="AA31" s="261">
        <f>+AB31*AA14</f>
        <v>1085760</v>
      </c>
      <c r="AB31" s="262">
        <v>6.9599999999999995E-2</v>
      </c>
      <c r="AC31" s="261">
        <f>+AD31*AC14</f>
        <v>1085760</v>
      </c>
      <c r="AD31" s="262">
        <v>6.9599999999999995E-2</v>
      </c>
      <c r="AE31" s="261">
        <f>+AF31*AE14</f>
        <v>1085760</v>
      </c>
      <c r="AF31" s="262">
        <v>6.9599999999999995E-2</v>
      </c>
      <c r="AG31" s="261">
        <f>+AH31*AG14</f>
        <v>1159396.7999999998</v>
      </c>
      <c r="AH31" s="262">
        <v>6.9599999999999995E-2</v>
      </c>
      <c r="AI31" s="261">
        <f>+AJ31*AI14</f>
        <v>2868177.1076870398</v>
      </c>
      <c r="AJ31" s="262">
        <v>6.9599999999999995E-2</v>
      </c>
      <c r="AK31" s="261">
        <f>+AL31*AK14</f>
        <v>1085760</v>
      </c>
      <c r="AL31" s="262">
        <v>6.9599999999999995E-2</v>
      </c>
    </row>
    <row r="32" spans="2:38" ht="13.8">
      <c r="B32" s="257"/>
      <c r="C32" s="1913"/>
      <c r="D32" s="1914"/>
      <c r="E32" s="1913"/>
      <c r="F32" s="1914"/>
      <c r="G32" s="1913"/>
      <c r="H32" s="1914"/>
      <c r="I32" s="1913"/>
      <c r="J32" s="1914"/>
      <c r="K32" s="1913"/>
      <c r="L32" s="1914"/>
      <c r="M32" s="1913"/>
      <c r="N32" s="1914"/>
      <c r="O32" s="1913"/>
      <c r="P32" s="1914"/>
      <c r="Q32" s="1913"/>
      <c r="R32" s="1914"/>
      <c r="S32" s="1913"/>
      <c r="T32" s="1914"/>
      <c r="U32" s="1913"/>
      <c r="V32" s="1914"/>
      <c r="W32" s="1913"/>
      <c r="X32" s="1914"/>
      <c r="Y32" s="1913"/>
      <c r="Z32" s="1914"/>
      <c r="AA32" s="1913"/>
      <c r="AB32" s="1914"/>
      <c r="AC32" s="1913"/>
      <c r="AD32" s="1914"/>
      <c r="AE32" s="1082"/>
      <c r="AF32" s="1082"/>
      <c r="AG32" s="1913"/>
      <c r="AH32" s="1914"/>
      <c r="AI32" s="1913"/>
      <c r="AJ32" s="1914"/>
      <c r="AK32" s="1913"/>
      <c r="AL32" s="1914"/>
    </row>
    <row r="33" spans="2:38" ht="13.8">
      <c r="B33" s="257"/>
      <c r="C33" s="1913"/>
      <c r="D33" s="1914"/>
      <c r="E33" s="1913"/>
      <c r="F33" s="1914"/>
      <c r="G33" s="1913"/>
      <c r="H33" s="1914"/>
      <c r="I33" s="1913"/>
      <c r="J33" s="1914"/>
      <c r="K33" s="1913"/>
      <c r="L33" s="1914"/>
      <c r="M33" s="1913"/>
      <c r="N33" s="1914"/>
      <c r="O33" s="1913"/>
      <c r="P33" s="1914"/>
      <c r="Q33" s="1913"/>
      <c r="R33" s="1914"/>
      <c r="S33" s="1913"/>
      <c r="T33" s="1914"/>
      <c r="U33" s="1913"/>
      <c r="V33" s="1914"/>
      <c r="W33" s="1913"/>
      <c r="X33" s="1914"/>
      <c r="Y33" s="1913"/>
      <c r="Z33" s="1914"/>
      <c r="AA33" s="1913"/>
      <c r="AB33" s="1914"/>
      <c r="AC33" s="1913"/>
      <c r="AD33" s="1914"/>
      <c r="AE33" s="1082"/>
      <c r="AF33" s="1082"/>
      <c r="AG33" s="1913"/>
      <c r="AH33" s="1914"/>
      <c r="AI33" s="1913"/>
      <c r="AJ33" s="1914"/>
      <c r="AK33" s="1913"/>
      <c r="AL33" s="1914"/>
    </row>
    <row r="34" spans="2:38" ht="13.8">
      <c r="B34" s="255" t="s">
        <v>297</v>
      </c>
      <c r="C34" s="1913"/>
      <c r="D34" s="1914"/>
      <c r="E34" s="1913"/>
      <c r="F34" s="1914"/>
      <c r="G34" s="1913"/>
      <c r="H34" s="1914"/>
      <c r="I34" s="1913"/>
      <c r="J34" s="1914"/>
      <c r="K34" s="1913"/>
      <c r="L34" s="1914"/>
      <c r="M34" s="1913"/>
      <c r="N34" s="1914"/>
      <c r="O34" s="1913"/>
      <c r="P34" s="1914"/>
      <c r="Q34" s="1913"/>
      <c r="R34" s="1914"/>
      <c r="S34" s="1913"/>
      <c r="T34" s="1914"/>
      <c r="U34" s="1913"/>
      <c r="V34" s="1914"/>
      <c r="W34" s="1913"/>
      <c r="X34" s="1914"/>
      <c r="Y34" s="1913"/>
      <c r="Z34" s="1914"/>
      <c r="AA34" s="1913"/>
      <c r="AB34" s="1914"/>
      <c r="AC34" s="1913"/>
      <c r="AD34" s="1914"/>
      <c r="AE34" s="1082"/>
      <c r="AF34" s="1082"/>
      <c r="AG34" s="1913"/>
      <c r="AH34" s="1914"/>
      <c r="AI34" s="1913"/>
      <c r="AJ34" s="1914"/>
      <c r="AK34" s="1913"/>
      <c r="AL34" s="1914"/>
    </row>
    <row r="35" spans="2:38" ht="13.8">
      <c r="B35" s="257" t="s">
        <v>327</v>
      </c>
      <c r="C35" s="261">
        <f>+D35*C14</f>
        <v>0</v>
      </c>
      <c r="D35" s="262">
        <v>0</v>
      </c>
      <c r="E35" s="261">
        <f>+F35*E14</f>
        <v>0</v>
      </c>
      <c r="F35" s="262">
        <v>0</v>
      </c>
      <c r="G35" s="261">
        <f>+H35*G14</f>
        <v>0</v>
      </c>
      <c r="H35" s="262">
        <v>0</v>
      </c>
      <c r="I35" s="261">
        <f>+J35*I14</f>
        <v>0</v>
      </c>
      <c r="J35" s="262">
        <v>0</v>
      </c>
      <c r="K35" s="261">
        <f>+L35*K14</f>
        <v>0</v>
      </c>
      <c r="L35" s="262">
        <v>0</v>
      </c>
      <c r="M35" s="261">
        <f>+N35*M14</f>
        <v>0</v>
      </c>
      <c r="N35" s="262">
        <v>0</v>
      </c>
      <c r="O35" s="261">
        <f>+P35*O14</f>
        <v>0</v>
      </c>
      <c r="P35" s="262">
        <v>0</v>
      </c>
      <c r="Q35" s="261">
        <f>+R35*Q14</f>
        <v>0</v>
      </c>
      <c r="R35" s="262">
        <v>0</v>
      </c>
      <c r="S35" s="261">
        <f>+T35*S14</f>
        <v>0</v>
      </c>
      <c r="T35" s="262">
        <v>0</v>
      </c>
      <c r="U35" s="261">
        <f>+V35*U14</f>
        <v>0</v>
      </c>
      <c r="V35" s="262">
        <v>0</v>
      </c>
      <c r="W35" s="261">
        <f>+X35*W14</f>
        <v>0</v>
      </c>
      <c r="X35" s="262">
        <v>0</v>
      </c>
      <c r="Y35" s="261">
        <f>+Z35*Y14</f>
        <v>0</v>
      </c>
      <c r="Z35" s="262">
        <v>0</v>
      </c>
      <c r="AA35" s="261">
        <f>+AB35*AA14</f>
        <v>0</v>
      </c>
      <c r="AB35" s="262">
        <v>0</v>
      </c>
      <c r="AC35" s="261">
        <f>+AD35*AC14</f>
        <v>0</v>
      </c>
      <c r="AD35" s="262">
        <v>0</v>
      </c>
      <c r="AE35" s="261">
        <f>+AF35*AE14</f>
        <v>0</v>
      </c>
      <c r="AF35" s="262">
        <v>0</v>
      </c>
      <c r="AG35" s="261">
        <f>+AH35*AG14</f>
        <v>0</v>
      </c>
      <c r="AH35" s="262">
        <v>0</v>
      </c>
      <c r="AI35" s="261">
        <f>+AJ35*AI14</f>
        <v>0</v>
      </c>
      <c r="AJ35" s="262">
        <v>0</v>
      </c>
      <c r="AK35" s="261">
        <f>+AL35*AK14</f>
        <v>0</v>
      </c>
      <c r="AL35" s="262">
        <v>0</v>
      </c>
    </row>
    <row r="36" spans="2:38" ht="13.8">
      <c r="B36" s="257" t="s">
        <v>328</v>
      </c>
      <c r="C36" s="261">
        <f>+D36*C14</f>
        <v>0</v>
      </c>
      <c r="D36" s="262">
        <v>0</v>
      </c>
      <c r="E36" s="261">
        <f>+F36*E14</f>
        <v>0</v>
      </c>
      <c r="F36" s="262">
        <v>0</v>
      </c>
      <c r="G36" s="261">
        <f>+H36*G14</f>
        <v>0</v>
      </c>
      <c r="H36" s="262">
        <v>0</v>
      </c>
      <c r="I36" s="261">
        <f>+J36*I14</f>
        <v>0</v>
      </c>
      <c r="J36" s="262">
        <v>0</v>
      </c>
      <c r="K36" s="261">
        <f>+L36*K14</f>
        <v>0</v>
      </c>
      <c r="L36" s="262">
        <v>0</v>
      </c>
      <c r="M36" s="261">
        <f>+N36*M14</f>
        <v>0</v>
      </c>
      <c r="N36" s="262">
        <v>0</v>
      </c>
      <c r="O36" s="261">
        <f>+P36*O14</f>
        <v>0</v>
      </c>
      <c r="P36" s="262">
        <v>0</v>
      </c>
      <c r="Q36" s="261">
        <f>+R36*Q14</f>
        <v>0</v>
      </c>
      <c r="R36" s="262">
        <v>0</v>
      </c>
      <c r="S36" s="261">
        <f>+T36*S14</f>
        <v>0</v>
      </c>
      <c r="T36" s="262">
        <v>0</v>
      </c>
      <c r="U36" s="261">
        <f>+V36*U14</f>
        <v>0</v>
      </c>
      <c r="V36" s="262">
        <v>0</v>
      </c>
      <c r="W36" s="261">
        <f>+X36*W14</f>
        <v>0</v>
      </c>
      <c r="X36" s="262">
        <v>0</v>
      </c>
      <c r="Y36" s="261">
        <f>+Z36*Y14</f>
        <v>0</v>
      </c>
      <c r="Z36" s="262">
        <v>0</v>
      </c>
      <c r="AA36" s="261">
        <f>+AB36*AA14</f>
        <v>0</v>
      </c>
      <c r="AB36" s="262">
        <v>0</v>
      </c>
      <c r="AC36" s="261">
        <f>+AD36*AC14</f>
        <v>0</v>
      </c>
      <c r="AD36" s="262">
        <v>0</v>
      </c>
      <c r="AE36" s="261">
        <f>+AF36*AE14</f>
        <v>0</v>
      </c>
      <c r="AF36" s="262">
        <v>0</v>
      </c>
      <c r="AG36" s="261">
        <f>+AH36*AG14</f>
        <v>0</v>
      </c>
      <c r="AH36" s="262">
        <v>0</v>
      </c>
      <c r="AI36" s="261">
        <f>+AJ36*AI14</f>
        <v>0</v>
      </c>
      <c r="AJ36" s="262">
        <v>0</v>
      </c>
      <c r="AK36" s="261">
        <f>+AL36*AK14</f>
        <v>0</v>
      </c>
      <c r="AL36" s="262">
        <v>0</v>
      </c>
    </row>
    <row r="37" spans="2:38" ht="13.8">
      <c r="B37" s="257" t="s">
        <v>329</v>
      </c>
      <c r="C37" s="258">
        <f>IF(C13&lt;=10,0.04*C14,0)</f>
        <v>2963992.8000000003</v>
      </c>
      <c r="D37" s="262">
        <f>+C37/C14</f>
        <v>0.04</v>
      </c>
      <c r="E37" s="258">
        <f>IF(E13&lt;=10,0.04*E14,0)</f>
        <v>2722545.6143999998</v>
      </c>
      <c r="F37" s="262">
        <f>+E37/E14</f>
        <v>0.04</v>
      </c>
      <c r="G37" s="258">
        <f>IF(G13&lt;=10,0.04*G14,0)</f>
        <v>1648377.6480960001</v>
      </c>
      <c r="H37" s="262">
        <f>+G37/G14</f>
        <v>0.04</v>
      </c>
      <c r="I37" s="258">
        <f>IF(I13&lt;=10,0.04*I14,0)</f>
        <v>1648377.6480960001</v>
      </c>
      <c r="J37" s="262">
        <f>+I37/I14</f>
        <v>0.04</v>
      </c>
      <c r="K37" s="258">
        <f>IF(K13&lt;=10,0.04*K14,0)</f>
        <v>1648377.6480960001</v>
      </c>
      <c r="L37" s="262">
        <f>+K37/K14</f>
        <v>0.04</v>
      </c>
      <c r="M37" s="258">
        <f>IF(M13&lt;=10,0.04*M14,0)</f>
        <v>1794177.9984000002</v>
      </c>
      <c r="N37" s="262">
        <f>+M37/M14</f>
        <v>0.04</v>
      </c>
      <c r="O37" s="258">
        <f>IF(O13&lt;=10,0.04*O14,0)</f>
        <v>1409017.44</v>
      </c>
      <c r="P37" s="262">
        <f>+O37/O14</f>
        <v>0.04</v>
      </c>
      <c r="Q37" s="258">
        <f>IF(Q13&lt;=10,0.04*Q14,0)</f>
        <v>1110968.087936</v>
      </c>
      <c r="R37" s="262">
        <f>+Q37/Q14</f>
        <v>0.04</v>
      </c>
      <c r="S37" s="258">
        <f>IF(S13&lt;=10,0.04*S14,0)</f>
        <v>2722545.6143999998</v>
      </c>
      <c r="T37" s="262">
        <f>+S37/S14</f>
        <v>0.04</v>
      </c>
      <c r="U37" s="258">
        <f>IF(U13&lt;=10,0.04*U14,0)</f>
        <v>744406.12176000001</v>
      </c>
      <c r="V37" s="262">
        <f>+U37/U14</f>
        <v>0.04</v>
      </c>
      <c r="W37" s="258">
        <f>IF(W13&lt;=10,0.04*W14,0)</f>
        <v>784336</v>
      </c>
      <c r="X37" s="262">
        <f>+W37/W14</f>
        <v>0.04</v>
      </c>
      <c r="Y37" s="258">
        <f>IF(Y13&lt;=10,0.04*Y14,0)</f>
        <v>624000</v>
      </c>
      <c r="Z37" s="262">
        <f>+Y37/Y14</f>
        <v>0.04</v>
      </c>
      <c r="AA37" s="258">
        <f>IF(AA13&lt;=10,0.04*AA14,0)</f>
        <v>624000</v>
      </c>
      <c r="AB37" s="262">
        <f>+AA37/AA14</f>
        <v>0.04</v>
      </c>
      <c r="AC37" s="258">
        <f>IF(AC13&lt;=10,0.04*AC14,0)</f>
        <v>624000</v>
      </c>
      <c r="AD37" s="262">
        <f>+AC37/AC14</f>
        <v>0.04</v>
      </c>
      <c r="AE37" s="258">
        <f>IF(AE13&lt;=10,0.04*AE14,0)</f>
        <v>624000</v>
      </c>
      <c r="AF37" s="262">
        <f>+AE37/AE14</f>
        <v>0.04</v>
      </c>
      <c r="AG37" s="258">
        <f>IF(AG13&lt;=10,0.04*AG14,0)</f>
        <v>666320</v>
      </c>
      <c r="AH37" s="262">
        <f>+AG37/AG14</f>
        <v>0.04</v>
      </c>
      <c r="AI37" s="258">
        <f>IF(AI13&lt;=10,0.04*AI14,0)</f>
        <v>1648377.6480960001</v>
      </c>
      <c r="AJ37" s="262">
        <f>+AI37/AI14</f>
        <v>0.04</v>
      </c>
      <c r="AK37" s="258">
        <f>IF(AK13&lt;=10,0.04*AK14,0)</f>
        <v>624000</v>
      </c>
      <c r="AL37" s="262">
        <f>+AK37/AK14</f>
        <v>0.04</v>
      </c>
    </row>
    <row r="38" spans="2:38" ht="13.8">
      <c r="B38" s="257"/>
      <c r="C38" s="1913"/>
      <c r="D38" s="1914"/>
      <c r="E38" s="1913"/>
      <c r="F38" s="1914"/>
      <c r="G38" s="1913"/>
      <c r="H38" s="1914"/>
      <c r="I38" s="1913"/>
      <c r="J38" s="1914"/>
      <c r="K38" s="1913"/>
      <c r="L38" s="1914"/>
      <c r="M38" s="1913"/>
      <c r="N38" s="1914"/>
      <c r="O38" s="1913"/>
      <c r="P38" s="1914"/>
      <c r="Q38" s="1913"/>
      <c r="R38" s="1914"/>
      <c r="S38" s="1913"/>
      <c r="T38" s="1914"/>
      <c r="U38" s="1913"/>
      <c r="V38" s="1914"/>
      <c r="W38" s="1913"/>
      <c r="X38" s="1914"/>
      <c r="Y38" s="1913"/>
      <c r="Z38" s="1914"/>
      <c r="AA38" s="1913"/>
      <c r="AB38" s="1914"/>
      <c r="AC38" s="1913"/>
      <c r="AD38" s="1914"/>
      <c r="AE38" s="1082"/>
      <c r="AF38" s="1082"/>
      <c r="AG38" s="1913"/>
      <c r="AH38" s="1914"/>
      <c r="AI38" s="1913"/>
      <c r="AJ38" s="1914"/>
      <c r="AK38" s="1913"/>
      <c r="AL38" s="1914"/>
    </row>
    <row r="39" spans="2:38" ht="13.8">
      <c r="B39" s="257"/>
      <c r="C39" s="1913"/>
      <c r="D39" s="1914"/>
      <c r="E39" s="1913"/>
      <c r="F39" s="1914"/>
      <c r="G39" s="1913"/>
      <c r="H39" s="1914"/>
      <c r="I39" s="1913"/>
      <c r="J39" s="1914"/>
      <c r="K39" s="1913"/>
      <c r="L39" s="1914"/>
      <c r="M39" s="1913"/>
      <c r="N39" s="1914"/>
      <c r="O39" s="1913"/>
      <c r="P39" s="1914"/>
      <c r="Q39" s="1913"/>
      <c r="R39" s="1914"/>
      <c r="S39" s="1913"/>
      <c r="T39" s="1914"/>
      <c r="U39" s="1913"/>
      <c r="V39" s="1914"/>
      <c r="W39" s="1913"/>
      <c r="X39" s="1914"/>
      <c r="Y39" s="1913"/>
      <c r="Z39" s="1914"/>
      <c r="AA39" s="1913"/>
      <c r="AB39" s="1914"/>
      <c r="AC39" s="1913"/>
      <c r="AD39" s="1914"/>
      <c r="AE39" s="1082"/>
      <c r="AF39" s="1082"/>
      <c r="AG39" s="1913"/>
      <c r="AH39" s="1914"/>
      <c r="AI39" s="1913"/>
      <c r="AJ39" s="1914"/>
      <c r="AK39" s="1913"/>
      <c r="AL39" s="1914"/>
    </row>
    <row r="40" spans="2:38" ht="13.8">
      <c r="B40" s="255" t="s">
        <v>330</v>
      </c>
      <c r="C40" s="1913"/>
      <c r="D40" s="1914"/>
      <c r="E40" s="1913"/>
      <c r="F40" s="1914"/>
      <c r="G40" s="1913"/>
      <c r="H40" s="1914"/>
      <c r="I40" s="1913"/>
      <c r="J40" s="1914"/>
      <c r="K40" s="1913"/>
      <c r="L40" s="1914"/>
      <c r="M40" s="1913"/>
      <c r="N40" s="1914"/>
      <c r="O40" s="1913"/>
      <c r="P40" s="1914"/>
      <c r="Q40" s="1913"/>
      <c r="R40" s="1914"/>
      <c r="S40" s="1913"/>
      <c r="T40" s="1914"/>
      <c r="U40" s="1913"/>
      <c r="V40" s="1914"/>
      <c r="W40" s="1913"/>
      <c r="X40" s="1914"/>
      <c r="Y40" s="1913"/>
      <c r="Z40" s="1914"/>
      <c r="AA40" s="1913"/>
      <c r="AB40" s="1914"/>
      <c r="AC40" s="1913"/>
      <c r="AD40" s="1914"/>
      <c r="AE40" s="1082"/>
      <c r="AF40" s="1082"/>
      <c r="AG40" s="1913"/>
      <c r="AH40" s="1914"/>
      <c r="AI40" s="1913"/>
      <c r="AJ40" s="1914"/>
      <c r="AK40" s="1913"/>
      <c r="AL40" s="1914"/>
    </row>
    <row r="41" spans="2:38" ht="27.6">
      <c r="B41" s="257" t="s">
        <v>342</v>
      </c>
      <c r="C41" s="261">
        <f>+D41*C14</f>
        <v>5186987.4000000004</v>
      </c>
      <c r="D41" s="262">
        <v>7.0000000000000007E-2</v>
      </c>
      <c r="E41" s="261">
        <f>+F41*E14</f>
        <v>4764454.8252000008</v>
      </c>
      <c r="F41" s="262">
        <v>7.0000000000000007E-2</v>
      </c>
      <c r="G41" s="261">
        <f>+H41*G14</f>
        <v>5769321.7683360009</v>
      </c>
      <c r="H41" s="262">
        <v>0.14000000000000001</v>
      </c>
      <c r="I41" s="261">
        <f>+J41*I14</f>
        <v>5769321.7683360009</v>
      </c>
      <c r="J41" s="262">
        <v>0.14000000000000001</v>
      </c>
      <c r="K41" s="261">
        <f>+L41*K14</f>
        <v>5769321.7683360009</v>
      </c>
      <c r="L41" s="262">
        <v>0.14000000000000001</v>
      </c>
      <c r="M41" s="261">
        <f>+N41*M14</f>
        <v>0</v>
      </c>
      <c r="N41" s="262">
        <v>0</v>
      </c>
      <c r="O41" s="261">
        <f>+P41*O14</f>
        <v>4931561.04</v>
      </c>
      <c r="P41" s="262">
        <v>0.14000000000000001</v>
      </c>
      <c r="Q41" s="261">
        <f>+R41*Q14</f>
        <v>4166130.3297599996</v>
      </c>
      <c r="R41" s="262">
        <v>0.15</v>
      </c>
      <c r="S41" s="261">
        <f>+T41*S14</f>
        <v>4764454.8252000008</v>
      </c>
      <c r="T41" s="262">
        <v>7.0000000000000007E-2</v>
      </c>
      <c r="U41" s="261">
        <f>+V41*U14</f>
        <v>2419319.8957199999</v>
      </c>
      <c r="V41" s="262">
        <v>0.13</v>
      </c>
      <c r="W41" s="261">
        <f>+X41*W14</f>
        <v>3529512</v>
      </c>
      <c r="X41" s="262">
        <v>0.18</v>
      </c>
      <c r="Y41" s="261">
        <f>+Z41*Y14</f>
        <v>1404000</v>
      </c>
      <c r="Z41" s="262">
        <v>0.09</v>
      </c>
      <c r="AA41" s="261">
        <f>+AB41*AA14</f>
        <v>2340000</v>
      </c>
      <c r="AB41" s="409">
        <v>0.15</v>
      </c>
      <c r="AC41" s="261">
        <f>+AD41*AC14</f>
        <v>1560000</v>
      </c>
      <c r="AD41" s="262">
        <v>0.1</v>
      </c>
      <c r="AE41" s="261">
        <f>+AF41*AE14</f>
        <v>1560000</v>
      </c>
      <c r="AF41" s="262">
        <v>0.1</v>
      </c>
      <c r="AG41" s="261">
        <f>+AH41*AG19</f>
        <v>0</v>
      </c>
      <c r="AH41" s="262">
        <v>0</v>
      </c>
      <c r="AI41" s="261">
        <f>+AJ41*AI14</f>
        <v>5769321.7683360009</v>
      </c>
      <c r="AJ41" s="262">
        <v>0.14000000000000001</v>
      </c>
      <c r="AK41" s="261">
        <f>+AL41*AK14</f>
        <v>1560000</v>
      </c>
      <c r="AL41" s="262">
        <v>0.1</v>
      </c>
    </row>
    <row r="42" spans="2:38" ht="13.8">
      <c r="B42" s="257" t="s">
        <v>331</v>
      </c>
      <c r="C42" s="258">
        <f>0.05*C14</f>
        <v>3704991</v>
      </c>
      <c r="D42" s="262">
        <v>0.05</v>
      </c>
      <c r="E42" s="258">
        <f>0.05*E14</f>
        <v>3403182.0180000002</v>
      </c>
      <c r="F42" s="262">
        <v>0.05</v>
      </c>
      <c r="G42" s="258">
        <f>0.05*G14</f>
        <v>2060472.06012</v>
      </c>
      <c r="H42" s="262">
        <f>+G42/G14</f>
        <v>0.05</v>
      </c>
      <c r="I42" s="258">
        <f>0.05*I14</f>
        <v>2060472.06012</v>
      </c>
      <c r="J42" s="262">
        <f>+I42/I14</f>
        <v>0.05</v>
      </c>
      <c r="K42" s="258">
        <f>0.05*K14</f>
        <v>2060472.06012</v>
      </c>
      <c r="L42" s="262">
        <f>+K42/K14</f>
        <v>0.05</v>
      </c>
      <c r="M42" s="258">
        <f>0.05*M14</f>
        <v>2242722.4980000001</v>
      </c>
      <c r="N42" s="262">
        <v>0.1</v>
      </c>
      <c r="O42" s="258">
        <f>0.05*O14</f>
        <v>1761271.8</v>
      </c>
      <c r="P42" s="262">
        <f>+O42/O14</f>
        <v>0.05</v>
      </c>
      <c r="Q42" s="258">
        <f>0.05*Q14</f>
        <v>1388710.10992</v>
      </c>
      <c r="R42" s="262">
        <v>0.08</v>
      </c>
      <c r="S42" s="258">
        <f>0.05*S14</f>
        <v>3403182.0180000002</v>
      </c>
      <c r="T42" s="262">
        <v>0.05</v>
      </c>
      <c r="U42" s="258">
        <f>0.05*U14</f>
        <v>930507.65220000001</v>
      </c>
      <c r="V42" s="262">
        <v>0.05</v>
      </c>
      <c r="W42" s="258">
        <f>+X42*W14</f>
        <v>980420</v>
      </c>
      <c r="X42" s="262">
        <v>0.05</v>
      </c>
      <c r="Y42" s="258">
        <f>0.05*Y14</f>
        <v>780000</v>
      </c>
      <c r="Z42" s="262">
        <v>0.03</v>
      </c>
      <c r="AA42" s="258">
        <f>0.05*AA14</f>
        <v>780000</v>
      </c>
      <c r="AB42" s="262">
        <v>0.05</v>
      </c>
      <c r="AC42" s="258">
        <f>0.05*AC14</f>
        <v>780000</v>
      </c>
      <c r="AD42" s="262">
        <v>0.06</v>
      </c>
      <c r="AE42" s="258">
        <f>0.05*AE14</f>
        <v>780000</v>
      </c>
      <c r="AF42" s="262">
        <v>0.06</v>
      </c>
      <c r="AG42" s="258">
        <v>489000</v>
      </c>
      <c r="AH42" s="262">
        <v>0.1</v>
      </c>
      <c r="AI42" s="258">
        <f>0.05*AI14</f>
        <v>2060472.06012</v>
      </c>
      <c r="AJ42" s="262">
        <f>+AI42/AI14</f>
        <v>0.05</v>
      </c>
      <c r="AK42" s="258">
        <f>0.05*AK14</f>
        <v>780000</v>
      </c>
      <c r="AL42" s="262">
        <v>0.06</v>
      </c>
    </row>
    <row r="43" spans="2:38" ht="13.8">
      <c r="B43" s="855"/>
      <c r="C43" s="856"/>
      <c r="D43" s="857"/>
      <c r="E43" s="856"/>
      <c r="F43" s="857"/>
      <c r="G43" s="856"/>
      <c r="H43" s="857"/>
      <c r="I43" s="856"/>
      <c r="J43" s="857"/>
      <c r="K43" s="856"/>
      <c r="L43" s="857"/>
      <c r="M43" s="856"/>
      <c r="N43" s="857"/>
      <c r="O43" s="856"/>
      <c r="P43" s="857"/>
      <c r="Q43" s="856"/>
      <c r="R43" s="857"/>
      <c r="S43" s="856"/>
      <c r="T43" s="857"/>
      <c r="U43" s="856"/>
      <c r="V43" s="857"/>
      <c r="W43" s="856"/>
      <c r="X43" s="857"/>
      <c r="Y43" s="856"/>
      <c r="Z43" s="857"/>
      <c r="AA43" s="856"/>
      <c r="AB43" s="857"/>
      <c r="AC43" s="856"/>
      <c r="AD43" s="857"/>
      <c r="AE43" s="1084"/>
      <c r="AF43" s="1084"/>
      <c r="AG43" s="856"/>
      <c r="AH43" s="857"/>
      <c r="AI43" s="856"/>
      <c r="AJ43" s="857"/>
      <c r="AK43" s="856"/>
      <c r="AL43" s="857"/>
    </row>
    <row r="44" spans="2:38" ht="13.8">
      <c r="B44" s="859" t="s">
        <v>537</v>
      </c>
      <c r="C44" s="1915"/>
      <c r="D44" s="1916"/>
      <c r="E44" s="1915"/>
      <c r="F44" s="1916"/>
      <c r="G44" s="1915"/>
      <c r="H44" s="1916"/>
      <c r="I44" s="1915"/>
      <c r="J44" s="1916"/>
      <c r="K44" s="1915"/>
      <c r="L44" s="1916"/>
      <c r="M44" s="1915"/>
      <c r="N44" s="1916"/>
      <c r="O44" s="1915"/>
      <c r="P44" s="1916"/>
      <c r="Q44" s="1915"/>
      <c r="R44" s="1916"/>
      <c r="S44" s="1915"/>
      <c r="T44" s="1916"/>
      <c r="U44" s="1915"/>
      <c r="V44" s="1916"/>
      <c r="W44" s="1915"/>
      <c r="X44" s="1916"/>
      <c r="Y44" s="1915"/>
      <c r="Z44" s="1916"/>
      <c r="AA44" s="1915"/>
      <c r="AB44" s="1916"/>
      <c r="AC44" s="1915"/>
      <c r="AD44" s="1916"/>
      <c r="AE44" s="1082"/>
      <c r="AF44" s="1082"/>
      <c r="AG44" s="1915"/>
      <c r="AH44" s="1916"/>
      <c r="AI44" s="1915"/>
      <c r="AJ44" s="1916"/>
      <c r="AK44" s="1915"/>
      <c r="AL44" s="1916"/>
    </row>
    <row r="45" spans="2:38" ht="13.8">
      <c r="B45" s="860" t="s">
        <v>537</v>
      </c>
      <c r="C45" s="858">
        <v>0</v>
      </c>
      <c r="D45" s="861">
        <f>+C45/C14</f>
        <v>0</v>
      </c>
      <c r="E45" s="858">
        <v>0</v>
      </c>
      <c r="F45" s="861">
        <f>+E45/E14</f>
        <v>0</v>
      </c>
      <c r="G45" s="858">
        <v>0</v>
      </c>
      <c r="H45" s="861">
        <f>+G45/G14</f>
        <v>0</v>
      </c>
      <c r="I45" s="858">
        <v>0</v>
      </c>
      <c r="J45" s="861">
        <f>+I45/I14</f>
        <v>0</v>
      </c>
      <c r="K45" s="858"/>
      <c r="L45" s="861">
        <f>+K45/K14</f>
        <v>0</v>
      </c>
      <c r="M45" s="858"/>
      <c r="N45" s="861">
        <f>+M45/M14</f>
        <v>0</v>
      </c>
      <c r="O45" s="858">
        <v>200000</v>
      </c>
      <c r="P45" s="861">
        <f>+O45/O14</f>
        <v>5.6777153872559589E-3</v>
      </c>
      <c r="Q45" s="858">
        <v>200000</v>
      </c>
      <c r="R45" s="861">
        <f>+Q45/Q14</f>
        <v>7.2009269094873048E-3</v>
      </c>
      <c r="S45" s="858">
        <v>0</v>
      </c>
      <c r="T45" s="861">
        <v>0</v>
      </c>
      <c r="U45" s="858">
        <v>200000</v>
      </c>
      <c r="V45" s="861">
        <f>+U45/U14</f>
        <v>1.0746821884115614E-2</v>
      </c>
      <c r="W45" s="858">
        <v>200000</v>
      </c>
      <c r="X45" s="861">
        <f>+W45/W14</f>
        <v>1.0199710328226679E-2</v>
      </c>
      <c r="Y45" s="858"/>
      <c r="Z45" s="861">
        <f>+Y45/Y14</f>
        <v>0</v>
      </c>
      <c r="AA45" s="858">
        <v>200000</v>
      </c>
      <c r="AB45" s="861">
        <f>+AA45/AA14</f>
        <v>1.282051282051282E-2</v>
      </c>
      <c r="AC45" s="858">
        <v>200000</v>
      </c>
      <c r="AD45" s="861">
        <f>+AC45/AC14</f>
        <v>1.282051282051282E-2</v>
      </c>
      <c r="AE45" s="858">
        <v>200000</v>
      </c>
      <c r="AF45" s="861">
        <f>+AE45/AE14</f>
        <v>1.282051282051282E-2</v>
      </c>
      <c r="AG45" s="858">
        <v>200000</v>
      </c>
      <c r="AH45" s="861">
        <f>+AG45/AG14</f>
        <v>1.2006243246488173E-2</v>
      </c>
      <c r="AI45" s="858"/>
      <c r="AJ45" s="861">
        <f>+AI45/AI14</f>
        <v>0</v>
      </c>
      <c r="AK45" s="858">
        <v>200000</v>
      </c>
      <c r="AL45" s="861">
        <f>+AK45/AK14</f>
        <v>1.282051282051282E-2</v>
      </c>
    </row>
    <row r="46" spans="2:38" ht="13.8">
      <c r="B46" s="255" t="s">
        <v>332</v>
      </c>
      <c r="C46" s="266">
        <f>SUM(C19:C42)</f>
        <v>48382242.471999995</v>
      </c>
      <c r="D46" s="267">
        <f>ROUND(SUM(D20:D45),4)</f>
        <v>0.65290000000000004</v>
      </c>
      <c r="E46" s="266">
        <f>SUM(E19:E42)</f>
        <v>44441019.579056002</v>
      </c>
      <c r="F46" s="267">
        <f>ROUND(SUM(F20:F45),4)</f>
        <v>0.65290000000000004</v>
      </c>
      <c r="G46" s="266">
        <f>SUM(G19:G42)</f>
        <v>29791678.693255045</v>
      </c>
      <c r="H46" s="267">
        <f>ROUND(SUM(H20:H45),4)</f>
        <v>0.72289999999999999</v>
      </c>
      <c r="I46" s="266">
        <f>SUM(I19:I42)</f>
        <v>29791678.693255045</v>
      </c>
      <c r="J46" s="267">
        <f>ROUND(SUM(J20:J45),4)</f>
        <v>0.72289999999999999</v>
      </c>
      <c r="K46" s="266">
        <f>SUM(K19:K42)</f>
        <v>29791678.693255045</v>
      </c>
      <c r="L46" s="267">
        <f>ROUND(SUM(L20:L45),4)</f>
        <v>0.72289999999999999</v>
      </c>
      <c r="M46" s="266">
        <f>SUM(M19:M42)</f>
        <v>26147154.030015998</v>
      </c>
      <c r="N46" s="267">
        <f>ROUND(SUM(N20:N45),4)</f>
        <v>0.63290000000000002</v>
      </c>
      <c r="O46" s="266">
        <f>SUM(O19:O45)</f>
        <v>25665641.865600001</v>
      </c>
      <c r="P46" s="267">
        <f>ROUND(SUM(P20:P45),4)</f>
        <v>0.72860000000000003</v>
      </c>
      <c r="Q46" s="266">
        <f>SUM(Q19:Q45)</f>
        <v>22682078.597947303</v>
      </c>
      <c r="R46" s="267">
        <f>ROUND(SUM(R20:R45),4)</f>
        <v>0.84670000000000001</v>
      </c>
      <c r="S46" s="266">
        <f>SUM(S19:S45)</f>
        <v>44441019.579056002</v>
      </c>
      <c r="T46" s="267">
        <f>ROUND(SUM(T20:T45),4)</f>
        <v>0.65290000000000004</v>
      </c>
      <c r="U46" s="266">
        <f>SUM(U19:U45)</f>
        <v>15411798.443502398</v>
      </c>
      <c r="V46" s="267">
        <f>ROUND(SUM(V20:V45),4)</f>
        <v>0.82809999999999995</v>
      </c>
      <c r="W46" s="266">
        <f>SUM(W19:W45)</f>
        <v>17285341.973333333</v>
      </c>
      <c r="X46" s="267">
        <f>ROUND(SUM(X20:X45),4)</f>
        <v>0.88149999999999995</v>
      </c>
      <c r="Y46" s="266">
        <f>SUM(Y19:Y42)</f>
        <v>12441760</v>
      </c>
      <c r="Z46" s="267">
        <f>ROUND(SUM(Z20:Z45),4)</f>
        <v>0.77749999999999997</v>
      </c>
      <c r="AA46" s="266">
        <f>SUM(AA19:AA45)</f>
        <v>13577760</v>
      </c>
      <c r="AB46" s="267">
        <f>ROUND(SUM(AB20:AB45),4)</f>
        <v>0.87039999999999995</v>
      </c>
      <c r="AC46" s="266">
        <f>SUM(AC19:AC45)</f>
        <v>12797760</v>
      </c>
      <c r="AD46" s="267">
        <f>ROUND(SUM(AD20:AD45),4)</f>
        <v>0.83040000000000003</v>
      </c>
      <c r="AE46" s="266">
        <f>SUM(AE19:AE45)</f>
        <v>12797760</v>
      </c>
      <c r="AF46" s="267">
        <f>ROUND(SUM(AF20:AF45),4)</f>
        <v>0.83040000000000003</v>
      </c>
      <c r="AG46" s="266">
        <f>SUM(AG19:AG45)</f>
        <v>11510603.466666669</v>
      </c>
      <c r="AH46" s="267">
        <f>ROUND(SUM(AH20:AH45),4)</f>
        <v>0.76160000000000005</v>
      </c>
      <c r="AI46" s="266">
        <f>SUM(AI19:AI42)</f>
        <v>29791678.693255045</v>
      </c>
      <c r="AJ46" s="267">
        <f>ROUND(SUM(AJ20:AJ45),4)</f>
        <v>0.72289999999999999</v>
      </c>
      <c r="AK46" s="266">
        <f>SUM(AK19:AK45)</f>
        <v>12797760</v>
      </c>
      <c r="AL46" s="267">
        <f>ROUND(SUM(AL20:AL45),4)</f>
        <v>0.83040000000000003</v>
      </c>
    </row>
    <row r="47" spans="2:38" ht="13.8">
      <c r="B47" s="255" t="s">
        <v>298</v>
      </c>
      <c r="C47"/>
      <c r="D47" s="405">
        <f>1+D46</f>
        <v>1.6529</v>
      </c>
      <c r="E47"/>
      <c r="F47" s="405">
        <f>1+F46</f>
        <v>1.6529</v>
      </c>
      <c r="G47"/>
      <c r="H47" s="410">
        <f>1+H46</f>
        <v>1.7229000000000001</v>
      </c>
      <c r="I47" s="408"/>
      <c r="J47" s="405">
        <f>1+J46</f>
        <v>1.7229000000000001</v>
      </c>
      <c r="K47"/>
      <c r="L47" s="405">
        <f>1+L46</f>
        <v>1.7229000000000001</v>
      </c>
      <c r="M47"/>
      <c r="N47" s="405">
        <f>1+N46</f>
        <v>1.6329</v>
      </c>
      <c r="O47"/>
      <c r="P47" s="405">
        <f>1+P46</f>
        <v>1.7286000000000001</v>
      </c>
      <c r="Q47"/>
      <c r="R47" s="405">
        <f>1+R46</f>
        <v>1.8467</v>
      </c>
      <c r="S47"/>
      <c r="T47" s="405">
        <f>1+T46</f>
        <v>1.6529</v>
      </c>
      <c r="U47"/>
      <c r="V47" s="405">
        <f>1+V46</f>
        <v>1.8281000000000001</v>
      </c>
      <c r="W47"/>
      <c r="X47" s="405">
        <f>1+X46</f>
        <v>1.8815</v>
      </c>
      <c r="Y47"/>
      <c r="Z47" s="405">
        <f>1+Z46</f>
        <v>1.7774999999999999</v>
      </c>
      <c r="AA47"/>
      <c r="AB47" s="405">
        <f>1+AB46</f>
        <v>1.8704000000000001</v>
      </c>
      <c r="AC47"/>
      <c r="AD47" s="405">
        <f>1+AD46</f>
        <v>1.8304</v>
      </c>
      <c r="AE47"/>
      <c r="AF47" s="405">
        <f>1+AF46</f>
        <v>1.8304</v>
      </c>
      <c r="AG47"/>
      <c r="AH47" s="405">
        <f>1+AH46</f>
        <v>1.7616000000000001</v>
      </c>
      <c r="AI47"/>
      <c r="AJ47" s="405">
        <f>1+AJ46</f>
        <v>1.7229000000000001</v>
      </c>
      <c r="AK47"/>
      <c r="AL47" s="405">
        <f>1+AL46</f>
        <v>1.8304</v>
      </c>
    </row>
    <row r="48" spans="2:38" ht="13.8">
      <c r="B48" s="257"/>
      <c r="C48" s="1913"/>
      <c r="D48" s="1914"/>
      <c r="E48" s="1913"/>
      <c r="F48" s="1914"/>
      <c r="G48" s="1913"/>
      <c r="H48" s="1914"/>
      <c r="I48"/>
      <c r="J48"/>
      <c r="K48" s="1913"/>
      <c r="L48" s="1914"/>
      <c r="M48" s="1913"/>
      <c r="N48" s="1914"/>
      <c r="O48" s="1913"/>
      <c r="P48" s="1914"/>
      <c r="Q48" s="1913"/>
      <c r="R48" s="1914"/>
      <c r="S48" s="1913"/>
      <c r="T48" s="1914"/>
      <c r="U48" s="1913"/>
      <c r="V48" s="1914"/>
      <c r="W48" s="1913"/>
      <c r="X48" s="1914"/>
      <c r="Y48" s="1913"/>
      <c r="Z48" s="1914"/>
      <c r="AA48" s="1913"/>
      <c r="AB48" s="1914"/>
      <c r="AC48" s="1913"/>
      <c r="AD48" s="1914"/>
      <c r="AE48" s="1082"/>
      <c r="AF48" s="1082"/>
      <c r="AG48" s="1913"/>
      <c r="AH48" s="1914"/>
      <c r="AI48" s="1913"/>
      <c r="AJ48" s="1914"/>
      <c r="AK48" s="1913"/>
      <c r="AL48" s="1914"/>
    </row>
    <row r="49" spans="2:38" ht="13.8">
      <c r="B49" s="257"/>
      <c r="C49" s="1913"/>
      <c r="D49" s="1914"/>
      <c r="E49" s="1913"/>
      <c r="F49" s="1914"/>
      <c r="G49" s="1913"/>
      <c r="H49" s="1914"/>
      <c r="I49" s="1913"/>
      <c r="J49" s="1914"/>
      <c r="K49" s="1913"/>
      <c r="L49" s="1914"/>
      <c r="M49" s="1913"/>
      <c r="N49" s="1914"/>
      <c r="O49" s="1913"/>
      <c r="P49" s="1914"/>
      <c r="Q49" s="1913"/>
      <c r="R49" s="1914"/>
      <c r="S49" s="1913"/>
      <c r="T49" s="1914"/>
      <c r="U49" s="1913"/>
      <c r="V49" s="1914"/>
      <c r="W49" s="1913"/>
      <c r="X49" s="1914"/>
      <c r="Y49" s="1913"/>
      <c r="Z49" s="1914"/>
      <c r="AA49" s="1913"/>
      <c r="AB49" s="1914"/>
      <c r="AC49" s="1913"/>
      <c r="AD49" s="1914"/>
      <c r="AE49" s="1082"/>
      <c r="AF49" s="1082"/>
      <c r="AG49" s="1913"/>
      <c r="AH49" s="1914"/>
      <c r="AI49" s="1913"/>
      <c r="AJ49" s="1914"/>
      <c r="AK49" s="1913"/>
      <c r="AL49" s="1914"/>
    </row>
    <row r="50" spans="2:38" ht="13.8">
      <c r="B50" s="257" t="s">
        <v>333</v>
      </c>
      <c r="C50" s="258">
        <f>+C14/12</f>
        <v>6174985</v>
      </c>
      <c r="D50" s="265"/>
      <c r="E50" s="258">
        <f>+E14/12</f>
        <v>5671970.0300000003</v>
      </c>
      <c r="F50" s="265"/>
      <c r="G50" s="258">
        <f>+G14/12</f>
        <v>3434120.1001999998</v>
      </c>
      <c r="H50" s="265"/>
      <c r="I50" s="258">
        <f>+I14/12</f>
        <v>3434120.1001999998</v>
      </c>
      <c r="J50" s="265"/>
      <c r="K50" s="258">
        <f>+K14/12</f>
        <v>3434120.1001999998</v>
      </c>
      <c r="L50" s="265"/>
      <c r="M50" s="258">
        <f>+M14/12</f>
        <v>3737870.83</v>
      </c>
      <c r="N50" s="265"/>
      <c r="O50" s="258">
        <f>+O14/12</f>
        <v>2935453</v>
      </c>
      <c r="P50" s="265"/>
      <c r="Q50" s="258">
        <f>+Q14/12</f>
        <v>2314516.8498666664</v>
      </c>
      <c r="R50" s="265"/>
      <c r="S50" s="258">
        <f>+S14/12</f>
        <v>5671970.0300000003</v>
      </c>
      <c r="T50" s="265"/>
      <c r="U50" s="258">
        <f>+U14/12</f>
        <v>1550846.0870000001</v>
      </c>
      <c r="V50" s="265"/>
      <c r="W50" s="258">
        <f>+W14/12</f>
        <v>1634033.3333333333</v>
      </c>
      <c r="X50" s="265"/>
      <c r="Y50" s="258">
        <f>+Y14/12</f>
        <v>1300000</v>
      </c>
      <c r="Z50" s="265"/>
      <c r="AA50" s="258">
        <f>+AA14/12</f>
        <v>1300000</v>
      </c>
      <c r="AB50" s="265"/>
      <c r="AC50" s="258">
        <f>+AC14/12</f>
        <v>1300000</v>
      </c>
      <c r="AD50" s="265"/>
      <c r="AE50" s="258">
        <f>+AE14/12</f>
        <v>1300000</v>
      </c>
      <c r="AF50" s="265"/>
      <c r="AG50" s="258">
        <f>+AG14/12</f>
        <v>1388166.6666666667</v>
      </c>
      <c r="AH50" s="265"/>
      <c r="AI50" s="258">
        <f>+AI14/12</f>
        <v>3434120.1001999998</v>
      </c>
      <c r="AJ50" s="265"/>
      <c r="AK50" s="258">
        <f>+AK14/12</f>
        <v>1300000</v>
      </c>
      <c r="AL50" s="265"/>
    </row>
    <row r="51" spans="2:38" ht="13.8">
      <c r="B51" s="257" t="s">
        <v>334</v>
      </c>
      <c r="C51" s="258">
        <f>+C50/30</f>
        <v>205832.83333333334</v>
      </c>
      <c r="D51" s="265"/>
      <c r="E51" s="258">
        <f>+E50/30</f>
        <v>189065.66766666668</v>
      </c>
      <c r="F51" s="265"/>
      <c r="G51" s="258">
        <f>+G50/30</f>
        <v>114470.67000666665</v>
      </c>
      <c r="H51" s="265"/>
      <c r="I51" s="258">
        <f>+I50/30</f>
        <v>114470.67000666665</v>
      </c>
      <c r="J51" s="265"/>
      <c r="K51" s="258">
        <f>+K50/30</f>
        <v>114470.67000666665</v>
      </c>
      <c r="L51" s="265"/>
      <c r="M51" s="258">
        <f>+M50/30</f>
        <v>124595.69433333333</v>
      </c>
      <c r="N51" s="265"/>
      <c r="O51" s="258">
        <f>+O50/30</f>
        <v>97848.433333333334</v>
      </c>
      <c r="P51" s="265"/>
      <c r="Q51" s="258">
        <f>+Q50/30</f>
        <v>77150.561662222215</v>
      </c>
      <c r="R51" s="265"/>
      <c r="S51" s="258">
        <f>+S50/30</f>
        <v>189065.66766666668</v>
      </c>
      <c r="T51" s="265"/>
      <c r="U51" s="258">
        <f>+U50/30</f>
        <v>51694.869566666668</v>
      </c>
      <c r="V51" s="265"/>
      <c r="W51" s="258">
        <f>+W50/30</f>
        <v>54467.777777777774</v>
      </c>
      <c r="X51" s="265"/>
      <c r="Y51" s="258">
        <f>+Y50/30</f>
        <v>43333.333333333336</v>
      </c>
      <c r="Z51" s="265"/>
      <c r="AA51" s="258">
        <f>+AA50/30</f>
        <v>43333.333333333336</v>
      </c>
      <c r="AB51" s="265"/>
      <c r="AC51" s="258">
        <f>+AC50/30</f>
        <v>43333.333333333336</v>
      </c>
      <c r="AD51" s="265"/>
      <c r="AE51" s="258">
        <f>+AE50/30</f>
        <v>43333.333333333336</v>
      </c>
      <c r="AF51" s="265"/>
      <c r="AG51" s="258">
        <f>+AG50/30</f>
        <v>46272.222222222226</v>
      </c>
      <c r="AH51" s="265"/>
      <c r="AI51" s="258">
        <f>+AI50/30</f>
        <v>114470.67000666665</v>
      </c>
      <c r="AJ51" s="265"/>
      <c r="AK51" s="258">
        <f>+AK50/30</f>
        <v>43333.333333333336</v>
      </c>
      <c r="AL51" s="265"/>
    </row>
    <row r="52" spans="2:38" ht="13.8">
      <c r="B52" s="257" t="s">
        <v>335</v>
      </c>
      <c r="C52" s="258">
        <f>+C51/8</f>
        <v>25729.104166666668</v>
      </c>
      <c r="D52" s="265"/>
      <c r="E52" s="258">
        <f>+E51/8</f>
        <v>23633.208458333334</v>
      </c>
      <c r="F52" s="265"/>
      <c r="G52" s="258">
        <f>+G51/8</f>
        <v>14308.833750833332</v>
      </c>
      <c r="H52" s="265"/>
      <c r="I52" s="258">
        <f>+I51/8</f>
        <v>14308.833750833332</v>
      </c>
      <c r="J52" s="265"/>
      <c r="K52" s="258">
        <f>+K51/8</f>
        <v>14308.833750833332</v>
      </c>
      <c r="L52" s="265"/>
      <c r="M52" s="258">
        <f>+M51/8</f>
        <v>15574.461791666667</v>
      </c>
      <c r="N52" s="265"/>
      <c r="O52" s="258">
        <f>+O51/8</f>
        <v>12231.054166666667</v>
      </c>
      <c r="P52" s="265"/>
      <c r="Q52" s="258">
        <f>+Q51/8</f>
        <v>9643.8202077777769</v>
      </c>
      <c r="R52" s="265"/>
      <c r="S52" s="258">
        <f>+S51/8</f>
        <v>23633.208458333334</v>
      </c>
      <c r="T52" s="265"/>
      <c r="U52" s="258">
        <f>+U51/8</f>
        <v>6461.8586958333335</v>
      </c>
      <c r="V52" s="265"/>
      <c r="W52" s="258">
        <f>+W51/8</f>
        <v>6808.4722222222217</v>
      </c>
      <c r="X52" s="265"/>
      <c r="Y52" s="258">
        <f>+Y51/8</f>
        <v>5416.666666666667</v>
      </c>
      <c r="Z52" s="265"/>
      <c r="AA52" s="258">
        <f>+AA51/8</f>
        <v>5416.666666666667</v>
      </c>
      <c r="AB52" s="265"/>
      <c r="AC52" s="258">
        <f>+AC51/8</f>
        <v>5416.666666666667</v>
      </c>
      <c r="AD52" s="265"/>
      <c r="AE52" s="258">
        <f>+AE51/8</f>
        <v>5416.666666666667</v>
      </c>
      <c r="AF52" s="265"/>
      <c r="AG52" s="258">
        <f>+AG51/8</f>
        <v>5784.0277777777783</v>
      </c>
      <c r="AH52" s="265"/>
      <c r="AI52" s="258">
        <f>+AI51/8</f>
        <v>14308.833750833332</v>
      </c>
      <c r="AJ52" s="265"/>
      <c r="AK52" s="258">
        <f>+AK51/8</f>
        <v>5416.666666666667</v>
      </c>
      <c r="AL52" s="265"/>
    </row>
    <row r="53" spans="2:38" ht="13.8">
      <c r="B53" s="257" t="s">
        <v>336</v>
      </c>
      <c r="C53" s="1484">
        <f>+(C46+C14)/12</f>
        <v>10206838.539333334</v>
      </c>
      <c r="D53" s="269"/>
      <c r="E53" s="1484">
        <f>+(E46+E14)/12</f>
        <v>9375388.328254668</v>
      </c>
      <c r="F53" s="269"/>
      <c r="G53" s="1484">
        <f>+(G46+G14)/12</f>
        <v>5916759.9913045866</v>
      </c>
      <c r="H53" s="269"/>
      <c r="I53" s="1484">
        <f>+(I46+I14)/12</f>
        <v>5916759.9913045866</v>
      </c>
      <c r="J53" s="269"/>
      <c r="K53" s="1484">
        <f>+(K46+K14)/12</f>
        <v>5916759.9913045866</v>
      </c>
      <c r="L53" s="269"/>
      <c r="M53" s="1484">
        <f>+(M46+M14)/12</f>
        <v>5916800.3325013332</v>
      </c>
      <c r="N53" s="269"/>
      <c r="O53" s="1484">
        <f>+(O46+O14)/12</f>
        <v>5074256.4888000004</v>
      </c>
      <c r="P53" s="269"/>
      <c r="Q53" s="1484">
        <f>+(Q46+Q14)/12</f>
        <v>4204690.0663622757</v>
      </c>
      <c r="R53" s="269"/>
      <c r="S53" s="1484">
        <f>+(S46+S14)/12</f>
        <v>9375388.328254668</v>
      </c>
      <c r="T53" s="269"/>
      <c r="U53" s="1484">
        <f>+(U46+U14)/12</f>
        <v>2835162.6239585332</v>
      </c>
      <c r="V53" s="269"/>
      <c r="W53" s="1484">
        <f>+(W46+W14)/12</f>
        <v>3074478.4977777773</v>
      </c>
      <c r="X53" s="269"/>
      <c r="Y53" s="1484">
        <f>+(Y46+Y14)/12</f>
        <v>2336813.3333333335</v>
      </c>
      <c r="Z53" s="269"/>
      <c r="AA53" s="1484">
        <f>+(AA46+AA14)/12</f>
        <v>2431480</v>
      </c>
      <c r="AB53" s="269"/>
      <c r="AC53" s="1484">
        <f>+(AC46+AC14)/12</f>
        <v>2366480</v>
      </c>
      <c r="AD53" s="269"/>
      <c r="AE53" s="268">
        <f>+(AE46+AE14)/12</f>
        <v>2366480</v>
      </c>
      <c r="AF53" s="269"/>
      <c r="AG53" s="1484">
        <f>+(AG46+AG14)/12</f>
        <v>2347383.6222222224</v>
      </c>
      <c r="AH53" s="269"/>
      <c r="AI53" s="1484">
        <f>+(AI46+AI14)/12</f>
        <v>5916759.9913045866</v>
      </c>
      <c r="AJ53" s="269"/>
      <c r="AK53" s="1484">
        <f>+(AK46+AK14)/12</f>
        <v>2366480</v>
      </c>
      <c r="AL53" s="269"/>
    </row>
    <row r="54" spans="2:38" ht="13.8">
      <c r="B54" s="257" t="s">
        <v>337</v>
      </c>
      <c r="C54" s="258">
        <f>+C53/30</f>
        <v>340227.95131111116</v>
      </c>
      <c r="D54" s="265"/>
      <c r="E54" s="258">
        <f>+E53/30</f>
        <v>312512.94427515561</v>
      </c>
      <c r="F54" s="265"/>
      <c r="G54" s="258">
        <f>+G53/30</f>
        <v>197225.33304348623</v>
      </c>
      <c r="H54" s="265"/>
      <c r="I54" s="258">
        <f>+I53/30</f>
        <v>197225.33304348623</v>
      </c>
      <c r="J54" s="265"/>
      <c r="K54" s="258">
        <f>+K53/30</f>
        <v>197225.33304348623</v>
      </c>
      <c r="L54" s="265"/>
      <c r="M54" s="258">
        <f>+M53/30</f>
        <v>197226.67775004444</v>
      </c>
      <c r="N54" s="265"/>
      <c r="O54" s="258">
        <f>+O53/30</f>
        <v>169141.88296000002</v>
      </c>
      <c r="P54" s="265"/>
      <c r="Q54" s="258">
        <f>+Q53/30</f>
        <v>140156.33554540918</v>
      </c>
      <c r="R54" s="265"/>
      <c r="S54" s="258">
        <f>+S53/30</f>
        <v>312512.94427515561</v>
      </c>
      <c r="T54" s="265"/>
      <c r="U54" s="258">
        <f>+U53/30</f>
        <v>94505.420798617779</v>
      </c>
      <c r="V54" s="265"/>
      <c r="W54" s="258">
        <f>+W53/30</f>
        <v>102482.61659259257</v>
      </c>
      <c r="X54" s="265"/>
      <c r="Y54" s="258">
        <f>+Y53/30</f>
        <v>77893.777777777781</v>
      </c>
      <c r="Z54" s="265"/>
      <c r="AA54" s="258">
        <f>+AA53/30</f>
        <v>81049.333333333328</v>
      </c>
      <c r="AB54" s="265"/>
      <c r="AC54" s="258">
        <f>+AC53/30</f>
        <v>78882.666666666672</v>
      </c>
      <c r="AD54" s="265"/>
      <c r="AE54" s="258">
        <f>+AE53/30</f>
        <v>78882.666666666672</v>
      </c>
      <c r="AF54" s="265"/>
      <c r="AG54" s="258">
        <f>+AG53/30</f>
        <v>78246.120740740749</v>
      </c>
      <c r="AH54" s="265"/>
      <c r="AI54" s="258">
        <f>+AI53/30</f>
        <v>197225.33304348623</v>
      </c>
      <c r="AJ54" s="265"/>
      <c r="AK54" s="258">
        <f>+AK53/30</f>
        <v>78882.666666666672</v>
      </c>
      <c r="AL54" s="265"/>
    </row>
    <row r="55" spans="2:38" ht="14.4" thickBot="1">
      <c r="B55" s="270" t="s">
        <v>338</v>
      </c>
      <c r="C55" s="271">
        <f>+C54/8</f>
        <v>42528.493913888895</v>
      </c>
      <c r="D55" s="272"/>
      <c r="E55" s="271">
        <f>+E54/8</f>
        <v>39064.118034394451</v>
      </c>
      <c r="F55" s="272"/>
      <c r="G55" s="271">
        <f>+G54/8</f>
        <v>24653.166630435779</v>
      </c>
      <c r="H55" s="272"/>
      <c r="I55" s="271">
        <f>+I54/8</f>
        <v>24653.166630435779</v>
      </c>
      <c r="J55" s="272"/>
      <c r="K55" s="271">
        <f>+K54/8</f>
        <v>24653.166630435779</v>
      </c>
      <c r="L55" s="272"/>
      <c r="M55" s="271">
        <f>+M54/8</f>
        <v>24653.334718755556</v>
      </c>
      <c r="N55" s="272"/>
      <c r="O55" s="271">
        <f>+O54/8</f>
        <v>21142.735370000002</v>
      </c>
      <c r="P55" s="272"/>
      <c r="Q55" s="271">
        <f>+Q54/8</f>
        <v>17519.541943176147</v>
      </c>
      <c r="R55" s="272"/>
      <c r="S55" s="271">
        <f>+S54/8</f>
        <v>39064.118034394451</v>
      </c>
      <c r="T55" s="272"/>
      <c r="U55" s="271">
        <f>+U54/8</f>
        <v>11813.177599827222</v>
      </c>
      <c r="V55" s="272"/>
      <c r="W55" s="271">
        <f>+W54/8</f>
        <v>12810.327074074072</v>
      </c>
      <c r="X55" s="272"/>
      <c r="Y55" s="271">
        <f>+Y54/8</f>
        <v>9736.7222222222226</v>
      </c>
      <c r="Z55" s="272"/>
      <c r="AA55" s="271">
        <f>+AA54/8</f>
        <v>10131.166666666666</v>
      </c>
      <c r="AB55" s="272"/>
      <c r="AC55" s="271">
        <f>+AC54/8</f>
        <v>9860.3333333333339</v>
      </c>
      <c r="AD55" s="272"/>
      <c r="AE55" s="271">
        <f>+AE54/8</f>
        <v>9860.3333333333339</v>
      </c>
      <c r="AF55" s="272"/>
      <c r="AG55" s="271">
        <f>+AG54/8</f>
        <v>9780.7650925925936</v>
      </c>
      <c r="AH55" s="272"/>
      <c r="AI55" s="271">
        <f>+AI54/8</f>
        <v>24653.166630435779</v>
      </c>
      <c r="AJ55" s="272"/>
      <c r="AK55" s="271">
        <f>+AK54/8</f>
        <v>9860.3333333333339</v>
      </c>
      <c r="AL55" s="272"/>
    </row>
    <row r="56" spans="2:38" ht="13.8">
      <c r="B56" s="251"/>
      <c r="C56" s="1479"/>
      <c r="D56" s="273"/>
      <c r="E56" s="273"/>
      <c r="F56" s="273"/>
      <c r="G56" s="273"/>
      <c r="H56" s="273"/>
      <c r="I56" s="273"/>
      <c r="J56" s="273"/>
    </row>
    <row r="57" spans="2:38" ht="13.8">
      <c r="B57" s="251"/>
      <c r="C57" s="273"/>
      <c r="D57" s="273"/>
      <c r="E57" s="1479"/>
      <c r="F57" s="273"/>
      <c r="G57" s="1479"/>
      <c r="H57" s="273"/>
      <c r="I57" s="273"/>
      <c r="J57" s="273"/>
      <c r="K57" s="1480"/>
      <c r="M57" s="1480"/>
      <c r="O57" s="1482"/>
      <c r="S57" s="1480"/>
      <c r="W57" s="1480"/>
      <c r="AI57" s="1480"/>
    </row>
    <row r="61" spans="2:38" ht="15">
      <c r="B61" s="1095"/>
    </row>
    <row r="62" spans="2:38">
      <c r="B62" s="552" t="str">
        <f>+PRESUPUESTO!B52</f>
        <v>JESUS EDUARDO ROBLES SMITH</v>
      </c>
    </row>
    <row r="63" spans="2:38">
      <c r="B63" s="551" t="str">
        <f>+PRESUPUESTO!B53</f>
        <v>INGENIERO CIVIL</v>
      </c>
    </row>
    <row r="64" spans="2:38">
      <c r="B64" s="551" t="str">
        <f>+PRESUPUESTO!B54</f>
        <v>M.P. 25202-316144 CND</v>
      </c>
    </row>
  </sheetData>
  <sheetProtection formatCells="0" formatColumns="0" formatRows="0" insertColumns="0" insertRows="0" insertHyperlinks="0" deleteColumns="0" deleteRows="0" sort="0" autoFilter="0" pivotTables="0"/>
  <mergeCells count="306">
    <mergeCell ref="AK48:AL48"/>
    <mergeCell ref="AK49:AL49"/>
    <mergeCell ref="AK27:AL27"/>
    <mergeCell ref="AK28:AL28"/>
    <mergeCell ref="AK32:AL32"/>
    <mergeCell ref="AK33:AL33"/>
    <mergeCell ref="AK34:AL34"/>
    <mergeCell ref="AK38:AL38"/>
    <mergeCell ref="AK39:AL39"/>
    <mergeCell ref="AK40:AL40"/>
    <mergeCell ref="AK44:AL44"/>
    <mergeCell ref="Q9:R9"/>
    <mergeCell ref="S9:T9"/>
    <mergeCell ref="AK9:AL9"/>
    <mergeCell ref="AK11:AL11"/>
    <mergeCell ref="AK15:AL15"/>
    <mergeCell ref="AK18:AL18"/>
    <mergeCell ref="AK19:AL19"/>
    <mergeCell ref="AK21:AL21"/>
    <mergeCell ref="AK22:AL22"/>
    <mergeCell ref="AG9:AH9"/>
    <mergeCell ref="AI9:AJ9"/>
    <mergeCell ref="W9:X9"/>
    <mergeCell ref="Y9:Z9"/>
    <mergeCell ref="AA9:AB9"/>
    <mergeCell ref="AC9:AD9"/>
    <mergeCell ref="AE9:AF9"/>
    <mergeCell ref="AI15:AJ15"/>
    <mergeCell ref="U15:V15"/>
    <mergeCell ref="W15:X15"/>
    <mergeCell ref="Y15:Z15"/>
    <mergeCell ref="AA15:AB15"/>
    <mergeCell ref="AC15:AD15"/>
    <mergeCell ref="AG15:AH15"/>
    <mergeCell ref="S19:T19"/>
    <mergeCell ref="B2:AL3"/>
    <mergeCell ref="C11:D11"/>
    <mergeCell ref="G11:H11"/>
    <mergeCell ref="I11:J11"/>
    <mergeCell ref="K11:L11"/>
    <mergeCell ref="M11:N11"/>
    <mergeCell ref="O11:P11"/>
    <mergeCell ref="Q11:R11"/>
    <mergeCell ref="S11:T11"/>
    <mergeCell ref="U9:V9"/>
    <mergeCell ref="C9:D9"/>
    <mergeCell ref="E9:F9"/>
    <mergeCell ref="G9:H9"/>
    <mergeCell ref="I9:J9"/>
    <mergeCell ref="K9:L9"/>
    <mergeCell ref="M9:N9"/>
    <mergeCell ref="O9:P9"/>
    <mergeCell ref="AI11:AJ11"/>
    <mergeCell ref="U11:V11"/>
    <mergeCell ref="W11:X11"/>
    <mergeCell ref="Y11:Z11"/>
    <mergeCell ref="AA11:AB11"/>
    <mergeCell ref="AC11:AD11"/>
    <mergeCell ref="AG11:AH11"/>
    <mergeCell ref="C15:D15"/>
    <mergeCell ref="E15:F15"/>
    <mergeCell ref="G15:H15"/>
    <mergeCell ref="I15:J15"/>
    <mergeCell ref="K15:L15"/>
    <mergeCell ref="M15:N15"/>
    <mergeCell ref="O15:P15"/>
    <mergeCell ref="Q15:R15"/>
    <mergeCell ref="S15:T15"/>
    <mergeCell ref="AA18:AB18"/>
    <mergeCell ref="AC18:AD18"/>
    <mergeCell ref="AG18:AH18"/>
    <mergeCell ref="AI19:AJ19"/>
    <mergeCell ref="U19:V19"/>
    <mergeCell ref="W19:X19"/>
    <mergeCell ref="Y19:Z19"/>
    <mergeCell ref="AA19:AB19"/>
    <mergeCell ref="AC19:AD19"/>
    <mergeCell ref="AG19:AH19"/>
    <mergeCell ref="AI18:AJ18"/>
    <mergeCell ref="U18:V18"/>
    <mergeCell ref="W18:X18"/>
    <mergeCell ref="C19:D19"/>
    <mergeCell ref="E19:F19"/>
    <mergeCell ref="G19:H19"/>
    <mergeCell ref="I19:J19"/>
    <mergeCell ref="K19:L19"/>
    <mergeCell ref="M19:N19"/>
    <mergeCell ref="O19:P19"/>
    <mergeCell ref="Q19:R19"/>
    <mergeCell ref="Y18:Z18"/>
    <mergeCell ref="S18:T18"/>
    <mergeCell ref="C18:D18"/>
    <mergeCell ref="E18:F18"/>
    <mergeCell ref="G18:H18"/>
    <mergeCell ref="I18:J18"/>
    <mergeCell ref="K18:L18"/>
    <mergeCell ref="M18:N18"/>
    <mergeCell ref="O18:P18"/>
    <mergeCell ref="Q18:R18"/>
    <mergeCell ref="S21:T21"/>
    <mergeCell ref="C22:D22"/>
    <mergeCell ref="E22:F22"/>
    <mergeCell ref="G22:H22"/>
    <mergeCell ref="I22:J22"/>
    <mergeCell ref="K22:L22"/>
    <mergeCell ref="M22:N22"/>
    <mergeCell ref="O22:P22"/>
    <mergeCell ref="Q22:R22"/>
    <mergeCell ref="S22:T22"/>
    <mergeCell ref="C21:D21"/>
    <mergeCell ref="E21:F21"/>
    <mergeCell ref="G21:H21"/>
    <mergeCell ref="I21:J21"/>
    <mergeCell ref="K21:L21"/>
    <mergeCell ref="M21:N21"/>
    <mergeCell ref="O21:P21"/>
    <mergeCell ref="Q21:R21"/>
    <mergeCell ref="AI21:AJ21"/>
    <mergeCell ref="U21:V21"/>
    <mergeCell ref="W21:X21"/>
    <mergeCell ref="Y21:Z21"/>
    <mergeCell ref="AA21:AB21"/>
    <mergeCell ref="AC21:AD21"/>
    <mergeCell ref="AG21:AH21"/>
    <mergeCell ref="AI22:AJ22"/>
    <mergeCell ref="U22:V22"/>
    <mergeCell ref="W22:X22"/>
    <mergeCell ref="Y22:Z22"/>
    <mergeCell ref="AA22:AB22"/>
    <mergeCell ref="AC22:AD22"/>
    <mergeCell ref="AG22:AH22"/>
    <mergeCell ref="S28:T28"/>
    <mergeCell ref="E27:F27"/>
    <mergeCell ref="G27:H27"/>
    <mergeCell ref="I27:J27"/>
    <mergeCell ref="K27:L27"/>
    <mergeCell ref="M27:N27"/>
    <mergeCell ref="O27:P27"/>
    <mergeCell ref="Q27:R27"/>
    <mergeCell ref="S27:T27"/>
    <mergeCell ref="W27:X27"/>
    <mergeCell ref="Y27:Z27"/>
    <mergeCell ref="AA27:AB27"/>
    <mergeCell ref="AC27:AD27"/>
    <mergeCell ref="AG27:AH27"/>
    <mergeCell ref="AI28:AJ28"/>
    <mergeCell ref="U28:V28"/>
    <mergeCell ref="W28:X28"/>
    <mergeCell ref="Y28:Z28"/>
    <mergeCell ref="AA28:AB28"/>
    <mergeCell ref="AC28:AD28"/>
    <mergeCell ref="AG28:AH28"/>
    <mergeCell ref="AI27:AJ27"/>
    <mergeCell ref="U27:V27"/>
    <mergeCell ref="C27:D27"/>
    <mergeCell ref="C32:D32"/>
    <mergeCell ref="E32:F32"/>
    <mergeCell ref="G32:H32"/>
    <mergeCell ref="I32:J32"/>
    <mergeCell ref="K32:L32"/>
    <mergeCell ref="M32:N32"/>
    <mergeCell ref="O32:P32"/>
    <mergeCell ref="Q32:R32"/>
    <mergeCell ref="C28:D28"/>
    <mergeCell ref="E28:F28"/>
    <mergeCell ref="G28:H28"/>
    <mergeCell ref="I28:J28"/>
    <mergeCell ref="K28:L28"/>
    <mergeCell ref="M28:N28"/>
    <mergeCell ref="O28:P28"/>
    <mergeCell ref="Q28:R28"/>
    <mergeCell ref="C33:D33"/>
    <mergeCell ref="E33:F33"/>
    <mergeCell ref="G33:H33"/>
    <mergeCell ref="I33:J33"/>
    <mergeCell ref="K33:L33"/>
    <mergeCell ref="M33:N33"/>
    <mergeCell ref="O33:P33"/>
    <mergeCell ref="Q33:R33"/>
    <mergeCell ref="S33:T33"/>
    <mergeCell ref="Q34:R34"/>
    <mergeCell ref="S34:T34"/>
    <mergeCell ref="AI32:AJ32"/>
    <mergeCell ref="U32:V32"/>
    <mergeCell ref="W32:X32"/>
    <mergeCell ref="Y32:Z32"/>
    <mergeCell ref="AA32:AB32"/>
    <mergeCell ref="AC32:AD32"/>
    <mergeCell ref="AG32:AH32"/>
    <mergeCell ref="AI33:AJ33"/>
    <mergeCell ref="U33:V33"/>
    <mergeCell ref="W33:X33"/>
    <mergeCell ref="Y33:Z33"/>
    <mergeCell ref="AA33:AB33"/>
    <mergeCell ref="AC33:AD33"/>
    <mergeCell ref="AG33:AH33"/>
    <mergeCell ref="AI34:AJ34"/>
    <mergeCell ref="U34:V34"/>
    <mergeCell ref="S32:T32"/>
    <mergeCell ref="AI38:AJ38"/>
    <mergeCell ref="U38:V38"/>
    <mergeCell ref="W38:X38"/>
    <mergeCell ref="Y38:Z38"/>
    <mergeCell ref="AA38:AB38"/>
    <mergeCell ref="AC38:AD38"/>
    <mergeCell ref="AG38:AH38"/>
    <mergeCell ref="C38:D38"/>
    <mergeCell ref="E38:F38"/>
    <mergeCell ref="G38:H38"/>
    <mergeCell ref="I38:J38"/>
    <mergeCell ref="K38:L38"/>
    <mergeCell ref="M38:N38"/>
    <mergeCell ref="O38:P38"/>
    <mergeCell ref="Q38:R38"/>
    <mergeCell ref="S38:T38"/>
    <mergeCell ref="C34:D34"/>
    <mergeCell ref="AA40:AB40"/>
    <mergeCell ref="AC40:AD40"/>
    <mergeCell ref="AG40:AH40"/>
    <mergeCell ref="C39:D39"/>
    <mergeCell ref="E39:F39"/>
    <mergeCell ref="G39:H39"/>
    <mergeCell ref="I39:J39"/>
    <mergeCell ref="K39:L39"/>
    <mergeCell ref="M39:N39"/>
    <mergeCell ref="O39:P39"/>
    <mergeCell ref="Q39:R39"/>
    <mergeCell ref="S39:T39"/>
    <mergeCell ref="W34:X34"/>
    <mergeCell ref="Y34:Z34"/>
    <mergeCell ref="AA34:AB34"/>
    <mergeCell ref="AC34:AD34"/>
    <mergeCell ref="AG34:AH34"/>
    <mergeCell ref="E34:F34"/>
    <mergeCell ref="G34:H34"/>
    <mergeCell ref="I34:J34"/>
    <mergeCell ref="K34:L34"/>
    <mergeCell ref="M34:N34"/>
    <mergeCell ref="O34:P34"/>
    <mergeCell ref="M44:N44"/>
    <mergeCell ref="O44:P44"/>
    <mergeCell ref="Q44:R44"/>
    <mergeCell ref="S44:T44"/>
    <mergeCell ref="AI39:AJ39"/>
    <mergeCell ref="C40:D40"/>
    <mergeCell ref="E40:F40"/>
    <mergeCell ref="G40:H40"/>
    <mergeCell ref="I40:J40"/>
    <mergeCell ref="K40:L40"/>
    <mergeCell ref="M40:N40"/>
    <mergeCell ref="O40:P40"/>
    <mergeCell ref="Q40:R40"/>
    <mergeCell ref="S40:T40"/>
    <mergeCell ref="U39:V39"/>
    <mergeCell ref="W39:X39"/>
    <mergeCell ref="Y39:Z39"/>
    <mergeCell ref="AA39:AB39"/>
    <mergeCell ref="AC39:AD39"/>
    <mergeCell ref="AG39:AH39"/>
    <mergeCell ref="AI40:AJ40"/>
    <mergeCell ref="U40:V40"/>
    <mergeCell ref="W40:X40"/>
    <mergeCell ref="Y40:Z40"/>
    <mergeCell ref="AC48:AD48"/>
    <mergeCell ref="AG48:AH48"/>
    <mergeCell ref="AI48:AJ48"/>
    <mergeCell ref="AI44:AJ44"/>
    <mergeCell ref="C48:D48"/>
    <mergeCell ref="E48:F48"/>
    <mergeCell ref="G48:H48"/>
    <mergeCell ref="K48:L48"/>
    <mergeCell ref="M48:N48"/>
    <mergeCell ref="O48:P48"/>
    <mergeCell ref="Q48:R48"/>
    <mergeCell ref="S48:T48"/>
    <mergeCell ref="U48:V48"/>
    <mergeCell ref="U44:V44"/>
    <mergeCell ref="W44:X44"/>
    <mergeCell ref="Y44:Z44"/>
    <mergeCell ref="AA44:AB44"/>
    <mergeCell ref="AC44:AD44"/>
    <mergeCell ref="AG44:AH44"/>
    <mergeCell ref="C44:D44"/>
    <mergeCell ref="E44:F44"/>
    <mergeCell ref="G44:H44"/>
    <mergeCell ref="I44:J44"/>
    <mergeCell ref="K44:L44"/>
    <mergeCell ref="C49:D49"/>
    <mergeCell ref="E49:F49"/>
    <mergeCell ref="G49:H49"/>
    <mergeCell ref="I49:J49"/>
    <mergeCell ref="K49:L49"/>
    <mergeCell ref="M49:N49"/>
    <mergeCell ref="W48:X48"/>
    <mergeCell ref="Y48:Z48"/>
    <mergeCell ref="AA48:AB48"/>
    <mergeCell ref="AA49:AB49"/>
    <mergeCell ref="AC49:AD49"/>
    <mergeCell ref="AG49:AH49"/>
    <mergeCell ref="AI49:AJ49"/>
    <mergeCell ref="O49:P49"/>
    <mergeCell ref="Q49:R49"/>
    <mergeCell ref="S49:T49"/>
    <mergeCell ref="U49:V49"/>
    <mergeCell ref="W49:X49"/>
    <mergeCell ref="Y49:Z49"/>
  </mergeCells>
  <conditionalFormatting sqref="D47 H47 J47 L47 N47 P47 T47 V47 X47:Z47 AB47 AD47 AH47">
    <cfRule type="cellIs" dxfId="6" priority="6" operator="between">
      <formula>1.6</formula>
      <formula>1.85</formula>
    </cfRule>
  </conditionalFormatting>
  <conditionalFormatting sqref="F47">
    <cfRule type="cellIs" dxfId="5" priority="3" operator="between">
      <formula>1.6</formula>
      <formula>1.85</formula>
    </cfRule>
  </conditionalFormatting>
  <conditionalFormatting sqref="R47">
    <cfRule type="cellIs" dxfId="4" priority="5" operator="between">
      <formula>1.6</formula>
      <formula>1.85</formula>
    </cfRule>
  </conditionalFormatting>
  <conditionalFormatting sqref="AB41">
    <cfRule type="cellIs" dxfId="3" priority="7" operator="between">
      <formula>1.64</formula>
      <formula>1.85</formula>
    </cfRule>
  </conditionalFormatting>
  <conditionalFormatting sqref="AF47">
    <cfRule type="cellIs" dxfId="2" priority="4" operator="between">
      <formula>1.6</formula>
      <formula>1.85</formula>
    </cfRule>
  </conditionalFormatting>
  <conditionalFormatting sqref="AJ47">
    <cfRule type="cellIs" dxfId="1" priority="2" operator="between">
      <formula>1.6</formula>
      <formula>1.85</formula>
    </cfRule>
  </conditionalFormatting>
  <conditionalFormatting sqref="AL47">
    <cfRule type="cellIs" dxfId="0" priority="1" operator="between">
      <formula>1.6</formula>
      <formula>1.85</formula>
    </cfRule>
  </conditionalFormatting>
  <pageMargins left="0.7" right="0.7" top="0.75" bottom="0.75" header="0.3" footer="0.3"/>
  <pageSetup scale="26"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7">
    <pageSetUpPr fitToPage="1"/>
  </sheetPr>
  <dimension ref="B1:I51"/>
  <sheetViews>
    <sheetView view="pageBreakPreview" topLeftCell="D40" zoomScaleNormal="100" zoomScaleSheetLayoutView="100" workbookViewId="0">
      <selection activeCell="I7" sqref="I7"/>
    </sheetView>
  </sheetViews>
  <sheetFormatPr baseColWidth="10" defaultColWidth="10.88671875" defaultRowHeight="14.4"/>
  <cols>
    <col min="1" max="1" width="3.44140625" style="205" customWidth="1"/>
    <col min="2" max="2" width="6.44140625" style="214" bestFit="1" customWidth="1"/>
    <col min="3" max="7" width="10.88671875" style="214"/>
    <col min="8" max="8" width="12.5546875" style="214" customWidth="1"/>
    <col min="9" max="9" width="14.88671875" style="214" customWidth="1"/>
    <col min="10" max="10" width="3.88671875" style="205" customWidth="1"/>
    <col min="11" max="16384" width="10.88671875" style="205"/>
  </cols>
  <sheetData>
    <row r="1" spans="2:9" ht="15" thickBot="1"/>
    <row r="2" spans="2:9" ht="69.75" customHeight="1" thickBot="1">
      <c r="B2" s="1935" t="str">
        <f>+PRESUPUESTO!D2</f>
        <v>"MEJORAMIENTO VIAL MEDIANTE LA CONSTRUCCIÓN DE PAVIMENTO RÍGIDO DE LA PRIMERA ETAPA DE LA VÍA QUE COMUNICA A LA VEREDA PONDORES EN EL CORREGIMIENTO DE CONEJO, MUNICIPIO DE FONSECA - DEPARTAMENTO DE LA GUAJIRA."</v>
      </c>
      <c r="C2" s="1936"/>
      <c r="D2" s="1936"/>
      <c r="E2" s="1936"/>
      <c r="F2" s="1936"/>
      <c r="G2" s="1936"/>
      <c r="H2" s="1936"/>
      <c r="I2" s="1937"/>
    </row>
    <row r="3" spans="2:9" ht="16.2" thickBot="1">
      <c r="B3" s="1943" t="s">
        <v>281</v>
      </c>
      <c r="C3" s="1944"/>
      <c r="D3" s="1944"/>
      <c r="E3" s="1944"/>
      <c r="F3" s="1944"/>
      <c r="G3" s="1944"/>
      <c r="H3" s="1944"/>
      <c r="I3" s="1945"/>
    </row>
    <row r="4" spans="2:9" ht="15" thickBot="1">
      <c r="B4" s="1938"/>
      <c r="C4" s="1939"/>
      <c r="D4" s="1939"/>
      <c r="E4" s="1939"/>
      <c r="F4" s="1939"/>
      <c r="G4" s="1939"/>
      <c r="H4" s="1939"/>
      <c r="I4" s="391"/>
    </row>
    <row r="5" spans="2:9" ht="15.6">
      <c r="B5" s="392"/>
      <c r="C5" s="393"/>
      <c r="D5" s="394" t="s">
        <v>200</v>
      </c>
      <c r="E5" s="395"/>
      <c r="F5" s="395"/>
      <c r="G5" s="395"/>
      <c r="H5" s="396"/>
      <c r="I5" s="397" t="s">
        <v>282</v>
      </c>
    </row>
    <row r="6" spans="2:9" ht="15.6">
      <c r="B6" s="398">
        <v>1</v>
      </c>
      <c r="C6" s="1940" t="s">
        <v>283</v>
      </c>
      <c r="D6" s="1941"/>
      <c r="E6" s="1941"/>
      <c r="F6" s="1941"/>
      <c r="G6" s="1941"/>
      <c r="H6" s="1941"/>
      <c r="I6" s="1942"/>
    </row>
    <row r="7" spans="2:9" ht="15.6">
      <c r="B7" s="400">
        <v>1.1000000000000001</v>
      </c>
      <c r="C7" s="1923" t="s">
        <v>284</v>
      </c>
      <c r="D7" s="1924"/>
      <c r="E7" s="1924"/>
      <c r="F7" s="1924"/>
      <c r="G7" s="1924"/>
      <c r="H7" s="1925"/>
      <c r="I7" s="445">
        <v>1</v>
      </c>
    </row>
    <row r="8" spans="2:9" ht="15.6">
      <c r="B8" s="400">
        <v>1.2</v>
      </c>
      <c r="C8" s="1923" t="s">
        <v>285</v>
      </c>
      <c r="D8" s="1924"/>
      <c r="E8" s="1924"/>
      <c r="F8" s="446">
        <v>1</v>
      </c>
      <c r="G8" s="447" t="s">
        <v>286</v>
      </c>
      <c r="H8" s="449"/>
      <c r="I8" s="445">
        <f>1/12</f>
        <v>8.3333333333333329E-2</v>
      </c>
    </row>
    <row r="9" spans="2:9" ht="15.6">
      <c r="B9" s="400">
        <v>1.3</v>
      </c>
      <c r="C9" s="1923" t="s">
        <v>287</v>
      </c>
      <c r="D9" s="1924"/>
      <c r="E9" s="1924"/>
      <c r="F9" s="446">
        <v>1</v>
      </c>
      <c r="G9" s="447" t="s">
        <v>286</v>
      </c>
      <c r="H9" s="449"/>
      <c r="I9" s="445">
        <f>1/12</f>
        <v>8.3333333333333329E-2</v>
      </c>
    </row>
    <row r="10" spans="2:9" ht="15.6">
      <c r="B10" s="400">
        <v>1.4</v>
      </c>
      <c r="C10" s="1923" t="s">
        <v>288</v>
      </c>
      <c r="D10" s="1924"/>
      <c r="E10" s="1924"/>
      <c r="F10" s="446">
        <v>0.01</v>
      </c>
      <c r="G10" s="447" t="s">
        <v>289</v>
      </c>
      <c r="H10" s="449"/>
      <c r="I10" s="445">
        <v>0.01</v>
      </c>
    </row>
    <row r="11" spans="2:9" ht="15.6">
      <c r="B11" s="400">
        <v>1.5</v>
      </c>
      <c r="C11" s="1923" t="s">
        <v>290</v>
      </c>
      <c r="D11" s="1924"/>
      <c r="E11" s="1924"/>
      <c r="F11" s="1924"/>
      <c r="G11" s="1924"/>
      <c r="H11" s="1925"/>
      <c r="I11" s="445">
        <f>+I9/2</f>
        <v>4.1666666666666664E-2</v>
      </c>
    </row>
    <row r="12" spans="2:9" ht="15.6">
      <c r="B12" s="400">
        <v>1.6</v>
      </c>
      <c r="C12" s="1923" t="s">
        <v>368</v>
      </c>
      <c r="D12" s="1924"/>
      <c r="E12" s="1924"/>
      <c r="F12" s="1924"/>
      <c r="G12" s="1924"/>
      <c r="H12" s="1925"/>
      <c r="I12" s="445">
        <v>0.12</v>
      </c>
    </row>
    <row r="13" spans="2:9" ht="15.6">
      <c r="B13" s="400">
        <v>1.7</v>
      </c>
      <c r="C13" s="1923" t="s">
        <v>369</v>
      </c>
      <c r="D13" s="1924"/>
      <c r="E13" s="1924"/>
      <c r="F13" s="1924"/>
      <c r="G13" s="1924"/>
      <c r="H13" s="1925"/>
      <c r="I13" s="445">
        <v>8.5000000000000006E-2</v>
      </c>
    </row>
    <row r="14" spans="2:9" ht="15.6">
      <c r="B14" s="400">
        <v>1.8</v>
      </c>
      <c r="C14" s="1923" t="s">
        <v>291</v>
      </c>
      <c r="D14" s="1924"/>
      <c r="E14" s="1924"/>
      <c r="F14" s="1924"/>
      <c r="G14" s="1924"/>
      <c r="H14" s="1925"/>
      <c r="I14" s="445">
        <v>0.04</v>
      </c>
    </row>
    <row r="15" spans="2:9" ht="15.6">
      <c r="B15" s="400">
        <v>1.9</v>
      </c>
      <c r="C15" s="1923" t="s">
        <v>292</v>
      </c>
      <c r="D15" s="1924"/>
      <c r="E15" s="1924"/>
      <c r="F15" s="1924"/>
      <c r="G15" s="1924"/>
      <c r="H15" s="1925"/>
      <c r="I15" s="445">
        <v>6.9599999999999995E-2</v>
      </c>
    </row>
    <row r="16" spans="2:9" ht="18.75" customHeight="1">
      <c r="B16" s="403">
        <v>1.1000000000000001</v>
      </c>
      <c r="C16" s="1923" t="s">
        <v>713</v>
      </c>
      <c r="D16" s="1924"/>
      <c r="E16" s="1924"/>
      <c r="F16" s="1924"/>
      <c r="G16" s="1924"/>
      <c r="H16" s="1925"/>
      <c r="I16" s="445">
        <v>0.03</v>
      </c>
    </row>
    <row r="17" spans="2:9" ht="15.6">
      <c r="B17" s="400">
        <v>1.1100000000000001</v>
      </c>
      <c r="C17" s="1923" t="s">
        <v>195</v>
      </c>
      <c r="D17" s="1924"/>
      <c r="E17" s="1924"/>
      <c r="F17" s="1924"/>
      <c r="G17" s="1924"/>
      <c r="H17" s="1925"/>
      <c r="I17" s="445">
        <v>0.03</v>
      </c>
    </row>
    <row r="18" spans="2:9" ht="15.6">
      <c r="B18" s="399"/>
      <c r="C18" s="450"/>
      <c r="D18" s="448"/>
      <c r="E18" s="448"/>
      <c r="F18" s="448"/>
      <c r="G18" s="1930" t="s">
        <v>293</v>
      </c>
      <c r="H18" s="1925"/>
      <c r="I18" s="451">
        <f>SUM(I7:I17)</f>
        <v>1.5929333333333333</v>
      </c>
    </row>
    <row r="19" spans="2:9" ht="15.6">
      <c r="B19" s="452"/>
      <c r="C19" s="448"/>
      <c r="D19" s="448"/>
      <c r="E19" s="448"/>
      <c r="F19" s="448"/>
      <c r="G19" s="453"/>
      <c r="H19" s="446"/>
      <c r="I19" s="454"/>
    </row>
    <row r="20" spans="2:9" ht="15.6">
      <c r="B20" s="398">
        <v>2</v>
      </c>
      <c r="C20" s="1933" t="s">
        <v>294</v>
      </c>
      <c r="D20" s="1924"/>
      <c r="E20" s="1924"/>
      <c r="F20" s="1924"/>
      <c r="G20" s="1924"/>
      <c r="H20" s="1924"/>
      <c r="I20" s="1934"/>
    </row>
    <row r="21" spans="2:9" ht="15.6">
      <c r="B21" s="400">
        <v>2.1</v>
      </c>
      <c r="C21" s="1923" t="s">
        <v>711</v>
      </c>
      <c r="D21" s="1924"/>
      <c r="E21" s="1924"/>
      <c r="F21" s="1924"/>
      <c r="G21" s="1924"/>
      <c r="H21" s="1925"/>
      <c r="I21" s="445">
        <v>0.08</v>
      </c>
    </row>
    <row r="22" spans="2:9" ht="15.6">
      <c r="B22" s="815">
        <v>2.2000000000000002</v>
      </c>
      <c r="C22" s="1923" t="s">
        <v>712</v>
      </c>
      <c r="D22" s="1924"/>
      <c r="E22" s="1924"/>
      <c r="F22" s="1924"/>
      <c r="G22" s="1924"/>
      <c r="H22" s="1925"/>
      <c r="I22" s="445">
        <v>0.1</v>
      </c>
    </row>
    <row r="23" spans="2:9" ht="15.6">
      <c r="B23" s="399"/>
      <c r="C23" s="450"/>
      <c r="D23" s="448"/>
      <c r="E23" s="448"/>
      <c r="F23" s="448"/>
      <c r="G23" s="1930" t="s">
        <v>293</v>
      </c>
      <c r="H23" s="1925"/>
      <c r="I23" s="451">
        <f>SUM(I21:I22)</f>
        <v>0.18</v>
      </c>
    </row>
    <row r="24" spans="2:9" ht="15.6">
      <c r="B24" s="452"/>
      <c r="C24" s="448"/>
      <c r="D24" s="448"/>
      <c r="E24" s="448"/>
      <c r="F24" s="448"/>
      <c r="G24" s="453"/>
      <c r="H24" s="446"/>
      <c r="I24" s="454"/>
    </row>
    <row r="25" spans="2:9" ht="15.6">
      <c r="B25" s="398">
        <v>3</v>
      </c>
      <c r="C25" s="1928" t="s">
        <v>370</v>
      </c>
      <c r="D25" s="1929"/>
      <c r="E25" s="1929"/>
      <c r="F25" s="1929"/>
      <c r="G25" s="1929"/>
      <c r="H25" s="1929"/>
      <c r="I25" s="466">
        <f>SUM(I26:I32)</f>
        <v>0.13</v>
      </c>
    </row>
    <row r="26" spans="2:9" ht="15.6">
      <c r="B26" s="1001"/>
      <c r="C26" s="1005"/>
      <c r="D26" s="1003"/>
      <c r="E26" s="1003"/>
      <c r="F26" s="1003"/>
      <c r="G26" s="1003"/>
      <c r="H26" s="1003"/>
      <c r="I26" s="1004"/>
    </row>
    <row r="27" spans="2:9" ht="15.6">
      <c r="B27" s="1001"/>
      <c r="C27" s="1005" t="s">
        <v>759</v>
      </c>
      <c r="D27" s="1003"/>
      <c r="E27" s="1003"/>
      <c r="F27" s="1003"/>
      <c r="G27" s="1003"/>
      <c r="H27" s="1003"/>
      <c r="I27" s="1004">
        <f>0.015</f>
        <v>1.4999999999999999E-2</v>
      </c>
    </row>
    <row r="28" spans="2:9" ht="15.6">
      <c r="B28" s="1001"/>
      <c r="C28" s="1005" t="s">
        <v>710</v>
      </c>
      <c r="D28" s="1003"/>
      <c r="E28" s="1003"/>
      <c r="F28" s="1003"/>
      <c r="G28" s="1003"/>
      <c r="H28" s="1003"/>
      <c r="I28" s="1004">
        <f>0.04</f>
        <v>0.04</v>
      </c>
    </row>
    <row r="29" spans="2:9" ht="15.6">
      <c r="B29" s="1001"/>
      <c r="C29" s="1005" t="s">
        <v>760</v>
      </c>
      <c r="D29" s="1003"/>
      <c r="E29" s="1003"/>
      <c r="F29" s="1003"/>
      <c r="G29" s="1003"/>
      <c r="H29" s="1003"/>
      <c r="I29" s="1004">
        <f>0.02</f>
        <v>0.02</v>
      </c>
    </row>
    <row r="30" spans="2:9" ht="15.6">
      <c r="B30" s="1001"/>
      <c r="C30" s="1005" t="s">
        <v>761</v>
      </c>
      <c r="D30" s="1003"/>
      <c r="E30" s="1003"/>
      <c r="F30" s="1003"/>
      <c r="G30" s="1003"/>
      <c r="H30" s="1003"/>
      <c r="I30" s="1004">
        <f t="shared" ref="I30:I31" si="0">0.02</f>
        <v>0.02</v>
      </c>
    </row>
    <row r="31" spans="2:9" ht="15.6">
      <c r="B31" s="1001"/>
      <c r="C31" s="1005" t="s">
        <v>762</v>
      </c>
      <c r="D31" s="1003"/>
      <c r="E31" s="1003"/>
      <c r="F31" s="1003"/>
      <c r="G31" s="1003"/>
      <c r="H31" s="1003"/>
      <c r="I31" s="1004">
        <f t="shared" si="0"/>
        <v>0.02</v>
      </c>
    </row>
    <row r="32" spans="2:9" ht="15.6">
      <c r="B32" s="1001"/>
      <c r="C32" s="1005" t="s">
        <v>770</v>
      </c>
      <c r="D32" s="1003"/>
      <c r="E32" s="1003"/>
      <c r="F32" s="1003"/>
      <c r="G32" s="1003"/>
      <c r="H32" s="1003"/>
      <c r="I32" s="1004">
        <f>0.015</f>
        <v>1.4999999999999999E-2</v>
      </c>
    </row>
    <row r="33" spans="2:9" ht="15.6">
      <c r="B33" s="1001"/>
      <c r="C33" s="1002"/>
      <c r="D33" s="1003"/>
      <c r="E33" s="1003"/>
      <c r="F33" s="1003"/>
      <c r="G33" s="1003"/>
      <c r="H33" s="1003"/>
      <c r="I33" s="1004"/>
    </row>
    <row r="34" spans="2:9" ht="15.6">
      <c r="B34" s="399"/>
      <c r="C34" s="401"/>
      <c r="D34" s="455"/>
      <c r="E34" s="455"/>
      <c r="F34" s="455"/>
      <c r="G34" s="1931" t="s">
        <v>293</v>
      </c>
      <c r="H34" s="1932"/>
      <c r="I34" s="456">
        <f>+I25</f>
        <v>0.13</v>
      </c>
    </row>
    <row r="35" spans="2:9" ht="15.6">
      <c r="B35" s="457"/>
      <c r="C35" s="458"/>
      <c r="D35" s="455"/>
      <c r="E35" s="455"/>
      <c r="F35" s="455"/>
      <c r="G35" s="459"/>
      <c r="H35" s="460"/>
      <c r="I35" s="461"/>
    </row>
    <row r="36" spans="2:9" ht="15.75" customHeight="1">
      <c r="B36" s="398">
        <v>4</v>
      </c>
      <c r="C36" s="1928" t="s">
        <v>367</v>
      </c>
      <c r="D36" s="1927"/>
      <c r="E36" s="1927"/>
      <c r="F36" s="1927"/>
      <c r="G36" s="1931" t="s">
        <v>293</v>
      </c>
      <c r="H36" s="1932"/>
      <c r="I36" s="456">
        <v>0.09</v>
      </c>
    </row>
    <row r="37" spans="2:9" ht="15.6">
      <c r="B37" s="462"/>
      <c r="C37" s="455"/>
      <c r="D37" s="455"/>
      <c r="E37" s="455"/>
      <c r="F37" s="455"/>
      <c r="G37" s="459"/>
      <c r="H37" s="460"/>
      <c r="I37" s="461"/>
    </row>
    <row r="38" spans="2:9" ht="15.6">
      <c r="B38" s="462"/>
      <c r="C38" s="455"/>
      <c r="D38" s="455"/>
      <c r="E38" s="455"/>
      <c r="F38" s="455"/>
      <c r="G38" s="459"/>
      <c r="H38" s="460"/>
      <c r="I38" s="461"/>
    </row>
    <row r="39" spans="2:9" ht="17.399999999999999">
      <c r="B39" s="1926" t="s">
        <v>365</v>
      </c>
      <c r="C39" s="1927"/>
      <c r="D39" s="1927"/>
      <c r="E39" s="1927"/>
      <c r="F39" s="1927"/>
      <c r="G39" s="1927"/>
      <c r="H39" s="1927"/>
      <c r="I39" s="463">
        <f>SUM(I36,I34,I23,I18)</f>
        <v>1.9929333333333332</v>
      </c>
    </row>
    <row r="40" spans="2:9" ht="15.75" customHeight="1" thickBot="1">
      <c r="B40" s="464"/>
      <c r="C40" s="465"/>
      <c r="D40" s="465"/>
      <c r="E40" s="465"/>
      <c r="F40" s="465"/>
      <c r="G40" s="465"/>
      <c r="H40" s="465"/>
      <c r="I40" s="402" t="s">
        <v>65</v>
      </c>
    </row>
    <row r="48" spans="2:9">
      <c r="B48" s="1096"/>
      <c r="C48" s="1096"/>
      <c r="D48" s="1096"/>
      <c r="E48" s="1096"/>
    </row>
    <row r="49" spans="2:5" ht="15.75" customHeight="1">
      <c r="B49" s="552" t="str">
        <f>+PRESUPUESTO!B52</f>
        <v>JESUS EDUARDO ROBLES SMITH</v>
      </c>
      <c r="C49" s="224"/>
      <c r="D49" s="224"/>
      <c r="E49" s="224"/>
    </row>
    <row r="50" spans="2:5" ht="15">
      <c r="B50" s="551" t="str">
        <f>+PRESUPUESTO!B53</f>
        <v>INGENIERO CIVIL</v>
      </c>
      <c r="C50" s="223"/>
      <c r="D50" s="213"/>
      <c r="E50" s="211"/>
    </row>
    <row r="51" spans="2:5" ht="15.75" customHeight="1">
      <c r="B51" s="551" t="str">
        <f>+PRESUPUESTO!B54</f>
        <v>M.P. 25202-316144 CND</v>
      </c>
      <c r="C51" s="223"/>
      <c r="D51" s="211"/>
      <c r="E51" s="211"/>
    </row>
  </sheetData>
  <sheetProtection formatCells="0" formatColumns="0" formatRows="0" insertColumns="0" insertRows="0" insertHyperlinks="0" deleteColumns="0" deleteRows="0" sort="0" autoFilter="0" pivotTables="0"/>
  <mergeCells count="25">
    <mergeCell ref="C14:H14"/>
    <mergeCell ref="C15:H15"/>
    <mergeCell ref="C13:H13"/>
    <mergeCell ref="C9:E9"/>
    <mergeCell ref="B3:I3"/>
    <mergeCell ref="C10:E10"/>
    <mergeCell ref="C11:H11"/>
    <mergeCell ref="C12:H12"/>
    <mergeCell ref="B2:I2"/>
    <mergeCell ref="B4:H4"/>
    <mergeCell ref="C6:I6"/>
    <mergeCell ref="C7:H7"/>
    <mergeCell ref="C8:E8"/>
    <mergeCell ref="C21:H21"/>
    <mergeCell ref="C16:H16"/>
    <mergeCell ref="C17:H17"/>
    <mergeCell ref="G18:H18"/>
    <mergeCell ref="C20:I20"/>
    <mergeCell ref="C22:H22"/>
    <mergeCell ref="B39:H39"/>
    <mergeCell ref="C25:H25"/>
    <mergeCell ref="G23:H23"/>
    <mergeCell ref="G34:H34"/>
    <mergeCell ref="C36:F36"/>
    <mergeCell ref="G36:H36"/>
  </mergeCells>
  <printOptions horizontalCentered="1" verticalCentered="1"/>
  <pageMargins left="0.70866141732283472" right="0.70866141732283472" top="0.74803149606299213" bottom="0.74803149606299213" header="0.31496062992125984" footer="0.31496062992125984"/>
  <pageSetup paperSize="9" scale="89" orientation="portrait" horizontalDpi="4294967293" r:id="rId1"/>
  <ignoredErrors>
    <ignoredError sqref="I28" formula="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9"/>
  <dimension ref="B1:O61"/>
  <sheetViews>
    <sheetView view="pageBreakPreview" topLeftCell="B37" zoomScale="91" zoomScaleNormal="85" zoomScaleSheetLayoutView="91" workbookViewId="0">
      <selection activeCell="J48" sqref="J48"/>
    </sheetView>
  </sheetViews>
  <sheetFormatPr baseColWidth="10" defaultColWidth="11.44140625" defaultRowHeight="14.4"/>
  <cols>
    <col min="1" max="1" width="3.88671875" style="414" customWidth="1"/>
    <col min="2" max="2" width="4.109375" style="414" bestFit="1" customWidth="1"/>
    <col min="3" max="3" width="21" style="414" customWidth="1"/>
    <col min="4" max="4" width="31.44140625" style="414" customWidth="1"/>
    <col min="5" max="5" width="42.109375" style="414" customWidth="1"/>
    <col min="6" max="6" width="11.44140625" style="414"/>
    <col min="7" max="7" width="12.33203125" style="414" customWidth="1"/>
    <col min="8" max="8" width="11.44140625" style="414" customWidth="1"/>
    <col min="9" max="9" width="24.109375" style="414" bestFit="1" customWidth="1"/>
    <col min="10" max="10" width="23.88671875" style="414" customWidth="1"/>
    <col min="11" max="11" width="5.88671875" style="414" customWidth="1"/>
    <col min="12" max="14" width="11.44140625" style="414"/>
    <col min="15" max="15" width="13.88671875" style="414" bestFit="1" customWidth="1"/>
    <col min="16" max="16384" width="11.44140625" style="414"/>
  </cols>
  <sheetData>
    <row r="1" spans="2:15" ht="15" thickBot="1"/>
    <row r="2" spans="2:15" ht="57" customHeight="1" thickBot="1">
      <c r="B2" s="1960" t="str">
        <f>+PRESUPUESTO!D2</f>
        <v>"MEJORAMIENTO VIAL MEDIANTE LA CONSTRUCCIÓN DE PAVIMENTO RÍGIDO DE LA PRIMERA ETAPA DE LA VÍA QUE COMUNICA A LA VEREDA PONDORES EN EL CORREGIMIENTO DE CONEJO, MUNICIPIO DE FONSECA - DEPARTAMENTO DE LA GUAJIRA."</v>
      </c>
      <c r="C2" s="1961"/>
      <c r="D2" s="1961"/>
      <c r="E2" s="1961"/>
      <c r="F2" s="1961"/>
      <c r="G2" s="1961"/>
      <c r="H2" s="1961"/>
      <c r="I2" s="1961"/>
      <c r="J2" s="1962"/>
    </row>
    <row r="3" spans="2:15" ht="19.5" customHeight="1">
      <c r="B3" s="1963" t="s">
        <v>381</v>
      </c>
      <c r="C3" s="1963"/>
      <c r="D3" s="1963"/>
      <c r="E3" s="1963"/>
      <c r="F3" s="1963"/>
      <c r="G3" s="1963"/>
      <c r="H3" s="1963"/>
      <c r="I3" s="1963"/>
      <c r="J3" s="1963"/>
    </row>
    <row r="4" spans="2:15">
      <c r="B4" s="1967"/>
      <c r="C4" s="1967"/>
      <c r="D4" s="1967"/>
      <c r="E4" s="1967"/>
      <c r="F4" s="1967"/>
      <c r="G4" s="1967"/>
      <c r="H4" s="1967"/>
      <c r="I4" s="1967"/>
      <c r="J4" s="1967"/>
    </row>
    <row r="5" spans="2:15">
      <c r="B5" s="415">
        <v>1</v>
      </c>
      <c r="C5" s="415"/>
      <c r="D5" s="1964" t="s">
        <v>382</v>
      </c>
      <c r="E5" s="1964"/>
      <c r="F5" s="1964"/>
      <c r="G5" s="1964"/>
      <c r="H5" s="1959"/>
      <c r="I5" s="1964"/>
      <c r="J5" s="1964"/>
      <c r="O5" s="468"/>
    </row>
    <row r="6" spans="2:15">
      <c r="B6" s="416" t="s">
        <v>234</v>
      </c>
      <c r="C6" s="416" t="s">
        <v>373</v>
      </c>
      <c r="D6" s="416" t="s">
        <v>235</v>
      </c>
      <c r="E6" s="416" t="s">
        <v>236</v>
      </c>
      <c r="F6" s="416" t="s">
        <v>140</v>
      </c>
      <c r="G6" s="416" t="s">
        <v>15</v>
      </c>
      <c r="H6" s="836" t="s">
        <v>532</v>
      </c>
      <c r="I6" s="416" t="s">
        <v>180</v>
      </c>
      <c r="J6" s="416" t="s">
        <v>179</v>
      </c>
    </row>
    <row r="7" spans="2:15" ht="43.2">
      <c r="B7" s="1965">
        <v>1</v>
      </c>
      <c r="C7" s="1956" t="s">
        <v>374</v>
      </c>
      <c r="D7" s="1965" t="s">
        <v>224</v>
      </c>
      <c r="E7" s="473" t="s">
        <v>388</v>
      </c>
      <c r="F7" s="418" t="s">
        <v>156</v>
      </c>
      <c r="G7" s="697">
        <f>+AIU!J6</f>
        <v>3</v>
      </c>
      <c r="H7" s="882">
        <v>1</v>
      </c>
      <c r="I7" s="812">
        <f>+FP!I53</f>
        <v>5916759.9913045866</v>
      </c>
      <c r="J7" s="883">
        <f>+I7*H7*G7</f>
        <v>17750279.973913759</v>
      </c>
    </row>
    <row r="8" spans="2:15">
      <c r="B8" s="1966"/>
      <c r="C8" s="1955"/>
      <c r="D8" s="1966"/>
      <c r="E8" s="810" t="s">
        <v>519</v>
      </c>
      <c r="F8" s="811" t="s">
        <v>190</v>
      </c>
      <c r="G8" s="808">
        <v>2</v>
      </c>
      <c r="H8" s="837"/>
      <c r="I8" s="809">
        <v>850000</v>
      </c>
      <c r="J8" s="884">
        <f>+I8*G8</f>
        <v>1700000</v>
      </c>
    </row>
    <row r="9" spans="2:15">
      <c r="B9" s="1952">
        <v>3</v>
      </c>
      <c r="C9" s="1955"/>
      <c r="D9" s="1957" t="s">
        <v>237</v>
      </c>
      <c r="E9" s="420" t="s">
        <v>238</v>
      </c>
      <c r="F9" s="418" t="s">
        <v>190</v>
      </c>
      <c r="G9" s="418">
        <v>2</v>
      </c>
      <c r="H9" s="838"/>
      <c r="I9" s="419">
        <v>90000</v>
      </c>
      <c r="J9" s="884">
        <f t="shared" ref="J9:J19" si="0">+I9*G9</f>
        <v>180000</v>
      </c>
    </row>
    <row r="10" spans="2:15">
      <c r="B10" s="1952"/>
      <c r="C10" s="1955"/>
      <c r="D10" s="1957"/>
      <c r="E10" s="1507" t="s">
        <v>239</v>
      </c>
      <c r="F10" s="418" t="s">
        <v>190</v>
      </c>
      <c r="G10" s="418">
        <v>2</v>
      </c>
      <c r="H10" s="838"/>
      <c r="I10" s="419">
        <v>20000</v>
      </c>
      <c r="J10" s="884">
        <f t="shared" si="0"/>
        <v>40000</v>
      </c>
    </row>
    <row r="11" spans="2:15">
      <c r="B11" s="1952"/>
      <c r="C11" s="1955"/>
      <c r="D11" s="1957"/>
      <c r="E11" s="420" t="s">
        <v>240</v>
      </c>
      <c r="F11" s="418" t="s">
        <v>190</v>
      </c>
      <c r="G11" s="418">
        <v>2</v>
      </c>
      <c r="H11" s="838"/>
      <c r="I11" s="419">
        <v>250000</v>
      </c>
      <c r="J11" s="884">
        <f t="shared" si="0"/>
        <v>500000</v>
      </c>
    </row>
    <row r="12" spans="2:15">
      <c r="B12" s="1952"/>
      <c r="C12" s="1955"/>
      <c r="D12" s="1957"/>
      <c r="E12" s="467" t="s">
        <v>380</v>
      </c>
      <c r="F12" s="418" t="s">
        <v>190</v>
      </c>
      <c r="G12" s="418">
        <v>2</v>
      </c>
      <c r="H12" s="838"/>
      <c r="I12" s="419">
        <v>90000</v>
      </c>
      <c r="J12" s="884">
        <f t="shared" si="0"/>
        <v>180000</v>
      </c>
    </row>
    <row r="13" spans="2:15">
      <c r="B13" s="1952"/>
      <c r="C13" s="1955"/>
      <c r="D13" s="1957"/>
      <c r="E13" s="467" t="s">
        <v>241</v>
      </c>
      <c r="F13" s="418" t="s">
        <v>190</v>
      </c>
      <c r="G13" s="418">
        <v>16</v>
      </c>
      <c r="H13" s="838"/>
      <c r="I13" s="419">
        <v>45000</v>
      </c>
      <c r="J13" s="884">
        <f t="shared" si="0"/>
        <v>720000</v>
      </c>
    </row>
    <row r="14" spans="2:15">
      <c r="B14" s="1952"/>
      <c r="C14" s="1949"/>
      <c r="D14" s="1957"/>
      <c r="E14" s="420" t="s">
        <v>242</v>
      </c>
      <c r="F14" s="418" t="s">
        <v>190</v>
      </c>
      <c r="G14" s="418">
        <v>4</v>
      </c>
      <c r="H14" s="838"/>
      <c r="I14" s="419">
        <v>280000</v>
      </c>
      <c r="J14" s="884">
        <f t="shared" si="0"/>
        <v>1120000</v>
      </c>
    </row>
    <row r="15" spans="2:15" ht="33.75" customHeight="1">
      <c r="B15" s="1952">
        <v>4</v>
      </c>
      <c r="C15" s="1956" t="s">
        <v>375</v>
      </c>
      <c r="D15" s="1957" t="s">
        <v>243</v>
      </c>
      <c r="E15" s="420" t="s">
        <v>244</v>
      </c>
      <c r="F15" s="418" t="s">
        <v>190</v>
      </c>
      <c r="G15" s="418">
        <v>4</v>
      </c>
      <c r="H15" s="838"/>
      <c r="I15" s="419">
        <f>+I10</f>
        <v>20000</v>
      </c>
      <c r="J15" s="884">
        <f t="shared" si="0"/>
        <v>80000</v>
      </c>
    </row>
    <row r="16" spans="2:15">
      <c r="B16" s="1952"/>
      <c r="C16" s="1955"/>
      <c r="D16" s="1957"/>
      <c r="E16" s="420" t="s">
        <v>245</v>
      </c>
      <c r="F16" s="418" t="s">
        <v>190</v>
      </c>
      <c r="G16" s="418">
        <v>2</v>
      </c>
      <c r="H16" s="838"/>
      <c r="I16" s="419">
        <f>+I15</f>
        <v>20000</v>
      </c>
      <c r="J16" s="884">
        <f t="shared" si="0"/>
        <v>40000</v>
      </c>
    </row>
    <row r="17" spans="2:10">
      <c r="B17" s="1952"/>
      <c r="C17" s="1955"/>
      <c r="D17" s="1957"/>
      <c r="E17" s="420" t="s">
        <v>246</v>
      </c>
      <c r="F17" s="418" t="s">
        <v>190</v>
      </c>
      <c r="G17" s="418">
        <v>2</v>
      </c>
      <c r="H17" s="838"/>
      <c r="I17" s="419">
        <f t="shared" ref="I17:I19" si="1">+I16</f>
        <v>20000</v>
      </c>
      <c r="J17" s="884">
        <f t="shared" si="0"/>
        <v>40000</v>
      </c>
    </row>
    <row r="18" spans="2:10">
      <c r="B18" s="1952"/>
      <c r="C18" s="1955"/>
      <c r="D18" s="1957"/>
      <c r="E18" s="420" t="s">
        <v>247</v>
      </c>
      <c r="F18" s="418" t="s">
        <v>190</v>
      </c>
      <c r="G18" s="418">
        <v>2</v>
      </c>
      <c r="H18" s="838"/>
      <c r="I18" s="419">
        <f t="shared" si="1"/>
        <v>20000</v>
      </c>
      <c r="J18" s="884">
        <f t="shared" si="0"/>
        <v>40000</v>
      </c>
    </row>
    <row r="19" spans="2:10">
      <c r="B19" s="1952"/>
      <c r="C19" s="1955"/>
      <c r="D19" s="1957"/>
      <c r="E19" s="420" t="s">
        <v>248</v>
      </c>
      <c r="F19" s="418" t="s">
        <v>190</v>
      </c>
      <c r="G19" s="418">
        <v>2</v>
      </c>
      <c r="H19" s="838"/>
      <c r="I19" s="419">
        <f t="shared" si="1"/>
        <v>20000</v>
      </c>
      <c r="J19" s="884">
        <f t="shared" si="0"/>
        <v>40000</v>
      </c>
    </row>
    <row r="20" spans="2:10">
      <c r="B20" s="417">
        <v>5</v>
      </c>
      <c r="C20" s="1949"/>
      <c r="D20" s="421" t="s">
        <v>249</v>
      </c>
      <c r="E20" s="1281" t="s">
        <v>731</v>
      </c>
      <c r="F20" s="418" t="s">
        <v>156</v>
      </c>
      <c r="G20" s="1197">
        <f>+G7</f>
        <v>3</v>
      </c>
      <c r="H20" s="838"/>
      <c r="I20" s="419">
        <f>180000*2</f>
        <v>360000</v>
      </c>
      <c r="J20" s="884">
        <f>+I20*G20</f>
        <v>1080000</v>
      </c>
    </row>
    <row r="21" spans="2:10">
      <c r="B21" s="1950" t="s">
        <v>383</v>
      </c>
      <c r="C21" s="1950"/>
      <c r="D21" s="1950"/>
      <c r="E21" s="1950"/>
      <c r="F21" s="1950"/>
      <c r="G21" s="1950"/>
      <c r="H21" s="1951"/>
      <c r="I21" s="1950"/>
      <c r="J21" s="423">
        <f>+SUM(J7:J20)</f>
        <v>23510279.973913759</v>
      </c>
    </row>
    <row r="24" spans="2:10">
      <c r="B24" s="417">
        <v>2</v>
      </c>
      <c r="C24" s="417"/>
      <c r="D24" s="1958" t="s">
        <v>387</v>
      </c>
      <c r="E24" s="1958"/>
      <c r="F24" s="1958"/>
      <c r="G24" s="1958"/>
      <c r="H24" s="1959"/>
      <c r="I24" s="1958"/>
      <c r="J24" s="1958"/>
    </row>
    <row r="25" spans="2:10">
      <c r="B25" s="424" t="s">
        <v>234</v>
      </c>
      <c r="C25" s="416" t="s">
        <v>373</v>
      </c>
      <c r="D25" s="424" t="s">
        <v>235</v>
      </c>
      <c r="E25" s="424" t="s">
        <v>236</v>
      </c>
      <c r="F25" s="424" t="s">
        <v>140</v>
      </c>
      <c r="G25" s="424" t="s">
        <v>15</v>
      </c>
      <c r="H25" s="836"/>
      <c r="I25" s="424" t="s">
        <v>180</v>
      </c>
      <c r="J25" s="424" t="s">
        <v>179</v>
      </c>
    </row>
    <row r="26" spans="2:10" ht="15" customHeight="1">
      <c r="B26" s="1952">
        <v>1</v>
      </c>
      <c r="C26" s="1956" t="s">
        <v>375</v>
      </c>
      <c r="D26" s="1952" t="s">
        <v>250</v>
      </c>
      <c r="E26" s="420" t="s">
        <v>251</v>
      </c>
      <c r="F26" s="425" t="s">
        <v>190</v>
      </c>
      <c r="G26" s="425">
        <v>4</v>
      </c>
      <c r="H26" s="839"/>
      <c r="I26" s="426">
        <v>60000</v>
      </c>
      <c r="J26" s="426">
        <f t="shared" ref="J26:J46" si="2">+I26*G26</f>
        <v>240000</v>
      </c>
    </row>
    <row r="27" spans="2:10">
      <c r="B27" s="1952"/>
      <c r="C27" s="1955"/>
      <c r="D27" s="1952"/>
      <c r="E27" s="420" t="s">
        <v>252</v>
      </c>
      <c r="F27" s="425" t="s">
        <v>190</v>
      </c>
      <c r="G27" s="425">
        <v>120</v>
      </c>
      <c r="H27" s="839"/>
      <c r="I27" s="426">
        <v>1000</v>
      </c>
      <c r="J27" s="426">
        <f t="shared" si="2"/>
        <v>120000</v>
      </c>
    </row>
    <row r="28" spans="2:10">
      <c r="B28" s="1952"/>
      <c r="C28" s="1955"/>
      <c r="D28" s="1952"/>
      <c r="E28" s="420" t="s">
        <v>253</v>
      </c>
      <c r="F28" s="425" t="s">
        <v>190</v>
      </c>
      <c r="G28" s="425">
        <f>+G27</f>
        <v>120</v>
      </c>
      <c r="H28" s="839"/>
      <c r="I28" s="426">
        <f>+I27</f>
        <v>1000</v>
      </c>
      <c r="J28" s="426">
        <f t="shared" si="2"/>
        <v>120000</v>
      </c>
    </row>
    <row r="29" spans="2:10">
      <c r="B29" s="1952"/>
      <c r="C29" s="1955"/>
      <c r="D29" s="1952"/>
      <c r="E29" s="474" t="s">
        <v>254</v>
      </c>
      <c r="F29" s="425" t="s">
        <v>190</v>
      </c>
      <c r="G29" s="425">
        <f>+G28</f>
        <v>120</v>
      </c>
      <c r="H29" s="839"/>
      <c r="I29" s="426">
        <f>+I28</f>
        <v>1000</v>
      </c>
      <c r="J29" s="426">
        <f t="shared" si="2"/>
        <v>120000</v>
      </c>
    </row>
    <row r="30" spans="2:10">
      <c r="B30" s="1952">
        <v>2</v>
      </c>
      <c r="C30" s="1955"/>
      <c r="D30" s="1952" t="s">
        <v>255</v>
      </c>
      <c r="E30" s="420" t="s">
        <v>376</v>
      </c>
      <c r="F30" s="425" t="s">
        <v>190</v>
      </c>
      <c r="G30" s="425">
        <v>2</v>
      </c>
      <c r="H30" s="839"/>
      <c r="I30" s="426">
        <v>55000</v>
      </c>
      <c r="J30" s="426">
        <f t="shared" si="2"/>
        <v>110000</v>
      </c>
    </row>
    <row r="31" spans="2:10">
      <c r="B31" s="1952"/>
      <c r="C31" s="1955"/>
      <c r="D31" s="1952"/>
      <c r="E31" s="420" t="s">
        <v>256</v>
      </c>
      <c r="F31" s="425" t="s">
        <v>190</v>
      </c>
      <c r="G31" s="425">
        <v>2</v>
      </c>
      <c r="H31" s="839"/>
      <c r="I31" s="426">
        <f>+I30</f>
        <v>55000</v>
      </c>
      <c r="J31" s="426">
        <f t="shared" si="2"/>
        <v>110000</v>
      </c>
    </row>
    <row r="32" spans="2:10">
      <c r="B32" s="1952"/>
      <c r="C32" s="1955"/>
      <c r="D32" s="1952"/>
      <c r="E32" s="420" t="s">
        <v>257</v>
      </c>
      <c r="F32" s="425" t="s">
        <v>190</v>
      </c>
      <c r="G32" s="425">
        <v>2</v>
      </c>
      <c r="H32" s="839"/>
      <c r="I32" s="426">
        <f>+I31</f>
        <v>55000</v>
      </c>
      <c r="J32" s="426">
        <f t="shared" si="2"/>
        <v>110000</v>
      </c>
    </row>
    <row r="33" spans="2:10" ht="43.2">
      <c r="B33" s="422">
        <v>3</v>
      </c>
      <c r="C33" s="1955"/>
      <c r="D33" s="422" t="s">
        <v>260</v>
      </c>
      <c r="E33" s="1507" t="s">
        <v>520</v>
      </c>
      <c r="F33" s="425" t="s">
        <v>188</v>
      </c>
      <c r="G33" s="425">
        <v>1000</v>
      </c>
      <c r="H33" s="839"/>
      <c r="I33" s="426">
        <v>18000</v>
      </c>
      <c r="J33" s="426">
        <f t="shared" si="2"/>
        <v>18000000</v>
      </c>
    </row>
    <row r="34" spans="2:10" ht="43.2">
      <c r="B34" s="422">
        <v>4</v>
      </c>
      <c r="C34" s="1955"/>
      <c r="D34" s="422" t="s">
        <v>261</v>
      </c>
      <c r="E34" s="1481" t="s">
        <v>521</v>
      </c>
      <c r="F34" s="425" t="s">
        <v>188</v>
      </c>
      <c r="G34" s="425">
        <f>+G33</f>
        <v>1000</v>
      </c>
      <c r="H34" s="839"/>
      <c r="I34" s="426">
        <f>+I33</f>
        <v>18000</v>
      </c>
      <c r="J34" s="426">
        <f t="shared" si="2"/>
        <v>18000000</v>
      </c>
    </row>
    <row r="35" spans="2:10" ht="15" customHeight="1">
      <c r="B35" s="1952">
        <v>5</v>
      </c>
      <c r="C35" s="1955"/>
      <c r="D35" s="1952" t="s">
        <v>262</v>
      </c>
      <c r="E35" s="420" t="s">
        <v>263</v>
      </c>
      <c r="F35" s="425" t="s">
        <v>190</v>
      </c>
      <c r="G35" s="425">
        <v>4</v>
      </c>
      <c r="H35" s="839"/>
      <c r="I35" s="426">
        <v>35000</v>
      </c>
      <c r="J35" s="426">
        <f t="shared" si="2"/>
        <v>140000</v>
      </c>
    </row>
    <row r="36" spans="2:10">
      <c r="B36" s="1952"/>
      <c r="C36" s="1955"/>
      <c r="D36" s="1952"/>
      <c r="E36" s="420" t="s">
        <v>264</v>
      </c>
      <c r="F36" s="425" t="s">
        <v>190</v>
      </c>
      <c r="G36" s="425">
        <v>4</v>
      </c>
      <c r="H36" s="839"/>
      <c r="I36" s="426">
        <v>160000</v>
      </c>
      <c r="J36" s="426">
        <f t="shared" si="2"/>
        <v>640000</v>
      </c>
    </row>
    <row r="37" spans="2:10">
      <c r="B37" s="1952"/>
      <c r="C37" s="1955"/>
      <c r="D37" s="1952"/>
      <c r="E37" s="420" t="s">
        <v>265</v>
      </c>
      <c r="F37" s="425" t="s">
        <v>190</v>
      </c>
      <c r="G37" s="425">
        <v>20</v>
      </c>
      <c r="H37" s="839"/>
      <c r="I37" s="426">
        <v>45000</v>
      </c>
      <c r="J37" s="426">
        <f t="shared" si="2"/>
        <v>900000</v>
      </c>
    </row>
    <row r="38" spans="2:10">
      <c r="B38" s="1952"/>
      <c r="C38" s="1955"/>
      <c r="D38" s="1952"/>
      <c r="E38" s="420" t="s">
        <v>266</v>
      </c>
      <c r="F38" s="425" t="s">
        <v>190</v>
      </c>
      <c r="G38" s="425">
        <v>6</v>
      </c>
      <c r="H38" s="839"/>
      <c r="I38" s="426">
        <v>40000</v>
      </c>
      <c r="J38" s="426">
        <f t="shared" si="2"/>
        <v>240000</v>
      </c>
    </row>
    <row r="39" spans="2:10">
      <c r="B39" s="1952"/>
      <c r="C39" s="1955"/>
      <c r="D39" s="1952"/>
      <c r="E39" s="420" t="s">
        <v>267</v>
      </c>
      <c r="F39" s="425" t="s">
        <v>190</v>
      </c>
      <c r="G39" s="425">
        <v>2</v>
      </c>
      <c r="H39" s="839"/>
      <c r="I39" s="426">
        <v>30000</v>
      </c>
      <c r="J39" s="426">
        <f t="shared" si="2"/>
        <v>60000</v>
      </c>
    </row>
    <row r="40" spans="2:10" ht="28.8">
      <c r="B40" s="422">
        <v>6</v>
      </c>
      <c r="C40" s="1949"/>
      <c r="D40" s="422" t="s">
        <v>258</v>
      </c>
      <c r="E40" s="475" t="s">
        <v>259</v>
      </c>
      <c r="F40" s="425" t="s">
        <v>190</v>
      </c>
      <c r="G40" s="425">
        <v>2</v>
      </c>
      <c r="H40" s="839"/>
      <c r="I40" s="426">
        <v>80000</v>
      </c>
      <c r="J40" s="426">
        <f>+I40*G40</f>
        <v>160000</v>
      </c>
    </row>
    <row r="41" spans="2:10" ht="43.2">
      <c r="B41" s="422">
        <v>7</v>
      </c>
      <c r="C41" s="422" t="s">
        <v>377</v>
      </c>
      <c r="D41" s="422" t="s">
        <v>268</v>
      </c>
      <c r="E41" s="474" t="s">
        <v>392</v>
      </c>
      <c r="F41" s="425" t="s">
        <v>190</v>
      </c>
      <c r="G41" s="425">
        <v>2</v>
      </c>
      <c r="H41" s="839"/>
      <c r="I41" s="426">
        <v>250000</v>
      </c>
      <c r="J41" s="426">
        <f t="shared" si="2"/>
        <v>500000</v>
      </c>
    </row>
    <row r="42" spans="2:10">
      <c r="B42" s="1948">
        <v>8</v>
      </c>
      <c r="C42" s="1948" t="s">
        <v>393</v>
      </c>
      <c r="D42" s="1948" t="s">
        <v>394</v>
      </c>
      <c r="E42" s="476" t="s">
        <v>389</v>
      </c>
      <c r="F42" s="472" t="s">
        <v>391</v>
      </c>
      <c r="G42" s="469">
        <v>2000</v>
      </c>
      <c r="H42" s="839"/>
      <c r="I42" s="470">
        <v>2100</v>
      </c>
      <c r="J42" s="426">
        <f t="shared" si="2"/>
        <v>4200000</v>
      </c>
    </row>
    <row r="43" spans="2:10">
      <c r="B43" s="1949"/>
      <c r="C43" s="1949"/>
      <c r="D43" s="1949"/>
      <c r="E43" s="476" t="s">
        <v>390</v>
      </c>
      <c r="F43" s="472" t="s">
        <v>391</v>
      </c>
      <c r="G43" s="469">
        <v>4000</v>
      </c>
      <c r="H43" s="839"/>
      <c r="I43" s="470">
        <v>1200</v>
      </c>
      <c r="J43" s="426">
        <f t="shared" si="2"/>
        <v>4800000</v>
      </c>
    </row>
    <row r="44" spans="2:10">
      <c r="B44" s="1954">
        <v>9</v>
      </c>
      <c r="C44" s="1954" t="s">
        <v>384</v>
      </c>
      <c r="D44" s="1954" t="s">
        <v>385</v>
      </c>
      <c r="E44" s="1192" t="s">
        <v>709</v>
      </c>
      <c r="F44" s="472" t="s">
        <v>386</v>
      </c>
      <c r="G44" s="469">
        <v>15</v>
      </c>
      <c r="H44" s="839"/>
      <c r="I44" s="470">
        <v>350000</v>
      </c>
      <c r="J44" s="426">
        <f t="shared" si="2"/>
        <v>5250000</v>
      </c>
    </row>
    <row r="45" spans="2:10">
      <c r="B45" s="1955"/>
      <c r="C45" s="1955"/>
      <c r="D45" s="1955"/>
      <c r="E45" s="471" t="s">
        <v>395</v>
      </c>
      <c r="F45" s="472" t="s">
        <v>190</v>
      </c>
      <c r="G45" s="469">
        <v>2000</v>
      </c>
      <c r="H45" s="839"/>
      <c r="I45" s="470">
        <v>200</v>
      </c>
      <c r="J45" s="426">
        <f t="shared" si="2"/>
        <v>400000</v>
      </c>
    </row>
    <row r="46" spans="2:10">
      <c r="B46" s="1949"/>
      <c r="C46" s="1949"/>
      <c r="D46" s="1949"/>
      <c r="E46" s="806" t="s">
        <v>518</v>
      </c>
      <c r="F46" s="807" t="s">
        <v>190</v>
      </c>
      <c r="G46" s="804">
        <v>4</v>
      </c>
      <c r="H46" s="839"/>
      <c r="I46" s="805">
        <v>500000</v>
      </c>
      <c r="J46" s="805">
        <f t="shared" si="2"/>
        <v>2000000</v>
      </c>
    </row>
    <row r="47" spans="2:10">
      <c r="B47" s="1950" t="s">
        <v>383</v>
      </c>
      <c r="C47" s="1950"/>
      <c r="D47" s="1950"/>
      <c r="E47" s="1950"/>
      <c r="F47" s="1950"/>
      <c r="G47" s="1950"/>
      <c r="H47" s="1951"/>
      <c r="I47" s="1950"/>
      <c r="J47" s="423">
        <f>+SUM(J26:J46)</f>
        <v>56220000</v>
      </c>
    </row>
    <row r="48" spans="2:10">
      <c r="B48" s="1952" t="s">
        <v>269</v>
      </c>
      <c r="C48" s="1952"/>
      <c r="D48" s="1952"/>
      <c r="E48" s="1952"/>
      <c r="F48" s="1952"/>
      <c r="G48" s="1952"/>
      <c r="H48" s="1953"/>
      <c r="I48" s="1952"/>
      <c r="J48" s="1097">
        <f>+J47+J21</f>
        <v>79730279.973913759</v>
      </c>
    </row>
    <row r="49" spans="2:11">
      <c r="B49" s="718"/>
      <c r="C49" s="718"/>
      <c r="D49" s="718"/>
      <c r="E49" s="718"/>
      <c r="F49" s="718"/>
      <c r="G49" s="718"/>
      <c r="H49" s="718"/>
      <c r="I49" s="718"/>
      <c r="J49" s="719"/>
    </row>
    <row r="50" spans="2:11">
      <c r="B50" s="718"/>
      <c r="C50" s="718"/>
      <c r="D50" s="718"/>
      <c r="E50" s="718"/>
      <c r="F50" s="718"/>
      <c r="G50" s="718"/>
      <c r="H50" s="718"/>
      <c r="I50" s="718"/>
      <c r="J50" s="719"/>
    </row>
    <row r="51" spans="2:11">
      <c r="B51" s="718"/>
      <c r="C51" s="1946"/>
      <c r="D51" s="1946"/>
      <c r="E51" s="718"/>
      <c r="F51" s="718"/>
      <c r="G51" s="718"/>
      <c r="H51" s="718"/>
      <c r="I51" s="718"/>
      <c r="J51" s="719"/>
    </row>
    <row r="52" spans="2:11">
      <c r="B52" s="718"/>
      <c r="C52" s="1946"/>
      <c r="D52" s="1946"/>
      <c r="E52" s="718"/>
      <c r="F52" s="718"/>
      <c r="G52" s="718"/>
      <c r="H52" s="718"/>
      <c r="I52" s="718"/>
      <c r="J52" s="719"/>
    </row>
    <row r="53" spans="2:11">
      <c r="C53" s="1946"/>
      <c r="D53" s="1946"/>
      <c r="K53" s="427"/>
    </row>
    <row r="54" spans="2:11">
      <c r="C54" s="1946"/>
      <c r="D54" s="1946"/>
    </row>
    <row r="55" spans="2:11">
      <c r="C55" s="1947"/>
      <c r="D55" s="1947"/>
    </row>
    <row r="56" spans="2:11">
      <c r="C56" s="552" t="str">
        <f>+PRESUPUESTO!B52</f>
        <v>JESUS EDUARDO ROBLES SMITH</v>
      </c>
    </row>
    <row r="57" spans="2:11">
      <c r="C57" s="551" t="str">
        <f>+PRESUPUESTO!B53</f>
        <v>INGENIERO CIVIL</v>
      </c>
    </row>
    <row r="58" spans="2:11">
      <c r="C58" s="551" t="str">
        <f>+PRESUPUESTO!B54</f>
        <v>M.P. 25202-316144 CND</v>
      </c>
    </row>
    <row r="59" spans="2:11">
      <c r="E59" s="428"/>
    </row>
    <row r="60" spans="2:11">
      <c r="E60" s="429"/>
    </row>
    <row r="61" spans="2:11">
      <c r="E61" s="429"/>
    </row>
  </sheetData>
  <sheetProtection formatCells="0" formatColumns="0" formatRows="0" insertColumns="0" insertRows="0" insertHyperlinks="0" deleteColumns="0" deleteRows="0" sort="0" autoFilter="0" pivotTables="0"/>
  <mergeCells count="30">
    <mergeCell ref="B2:J2"/>
    <mergeCell ref="B3:J3"/>
    <mergeCell ref="D5:J5"/>
    <mergeCell ref="C7:C14"/>
    <mergeCell ref="B9:B14"/>
    <mergeCell ref="D9:D14"/>
    <mergeCell ref="D7:D8"/>
    <mergeCell ref="B7:B8"/>
    <mergeCell ref="B4:J4"/>
    <mergeCell ref="B15:B19"/>
    <mergeCell ref="C15:C20"/>
    <mergeCell ref="D15:D19"/>
    <mergeCell ref="B21:I21"/>
    <mergeCell ref="D24:J24"/>
    <mergeCell ref="B26:B29"/>
    <mergeCell ref="C26:C40"/>
    <mergeCell ref="D26:D29"/>
    <mergeCell ref="B30:B32"/>
    <mergeCell ref="D30:D32"/>
    <mergeCell ref="B35:B39"/>
    <mergeCell ref="D35:D39"/>
    <mergeCell ref="C51:D55"/>
    <mergeCell ref="C42:C43"/>
    <mergeCell ref="B42:B43"/>
    <mergeCell ref="B47:I47"/>
    <mergeCell ref="B48:I48"/>
    <mergeCell ref="D42:D43"/>
    <mergeCell ref="D44:D46"/>
    <mergeCell ref="C44:C46"/>
    <mergeCell ref="B44:B46"/>
  </mergeCells>
  <pageMargins left="0.7" right="0.7" top="0.75" bottom="0.75" header="0.3" footer="0.3"/>
  <pageSetup scale="4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11">
    <pageSetUpPr fitToPage="1"/>
  </sheetPr>
  <dimension ref="B1:T28"/>
  <sheetViews>
    <sheetView view="pageBreakPreview" topLeftCell="A12" zoomScale="85" zoomScaleNormal="100" zoomScaleSheetLayoutView="85" workbookViewId="0">
      <selection activeCell="H18" sqref="H18:I18"/>
    </sheetView>
  </sheetViews>
  <sheetFormatPr baseColWidth="10" defaultColWidth="11.44140625" defaultRowHeight="14.4"/>
  <cols>
    <col min="1" max="1" width="3.44140625" style="205" customWidth="1"/>
    <col min="2" max="2" width="11.5546875" style="214" bestFit="1" customWidth="1"/>
    <col min="3" max="3" width="42.88671875" style="214" customWidth="1"/>
    <col min="4" max="4" width="13.5546875" style="214" customWidth="1"/>
    <col min="5" max="5" width="14" style="214" customWidth="1"/>
    <col min="6" max="6" width="15.44140625" style="214" customWidth="1"/>
    <col min="7" max="7" width="14.44140625" style="214" bestFit="1" customWidth="1"/>
    <col min="8" max="8" width="10.44140625" style="214" customWidth="1"/>
    <col min="9" max="9" width="26.109375" style="214" customWidth="1"/>
    <col min="10" max="10" width="3" style="205" customWidth="1"/>
    <col min="11" max="11" width="18.5546875" style="205" bestFit="1" customWidth="1"/>
    <col min="12" max="12" width="12.109375" style="205" bestFit="1" customWidth="1"/>
    <col min="13" max="13" width="11.5546875" style="205" bestFit="1" customWidth="1"/>
    <col min="14" max="14" width="42.88671875" style="205" customWidth="1"/>
    <col min="15" max="15" width="13.5546875" style="205" customWidth="1"/>
    <col min="16" max="16" width="14" style="205" customWidth="1"/>
    <col min="17" max="17" width="15.44140625" style="205" customWidth="1"/>
    <col min="18" max="18" width="14.44140625" style="205" bestFit="1" customWidth="1"/>
    <col min="19" max="19" width="10.44140625" style="205" customWidth="1"/>
    <col min="20" max="20" width="26.109375" style="205" customWidth="1"/>
    <col min="21" max="16384" width="11.44140625" style="205"/>
  </cols>
  <sheetData>
    <row r="1" spans="2:20" ht="15" thickBot="1"/>
    <row r="2" spans="2:20" ht="37.5" customHeight="1" thickBot="1">
      <c r="B2" s="1988" t="str">
        <f>+PRESUPUESTO!D2</f>
        <v>"MEJORAMIENTO VIAL MEDIANTE LA CONSTRUCCIÓN DE PAVIMENTO RÍGIDO DE LA PRIMERA ETAPA DE LA VÍA QUE COMUNICA A LA VEREDA PONDORES EN EL CORREGIMIENTO DE CONEJO, MUNICIPIO DE FONSECA - DEPARTAMENTO DE LA GUAJIRA."</v>
      </c>
      <c r="C2" s="1989"/>
      <c r="D2" s="1989"/>
      <c r="E2" s="1989"/>
      <c r="F2" s="1989"/>
      <c r="G2" s="1989"/>
      <c r="H2" s="1989"/>
      <c r="I2" s="1990"/>
    </row>
    <row r="3" spans="2:20" ht="21.6" thickBot="1">
      <c r="B3" s="1991" t="s">
        <v>225</v>
      </c>
      <c r="C3" s="1992"/>
      <c r="D3" s="1992"/>
      <c r="E3" s="1992"/>
      <c r="F3" s="1992"/>
      <c r="G3" s="1992"/>
      <c r="H3" s="1992"/>
      <c r="I3" s="1993"/>
      <c r="K3" s="412"/>
    </row>
    <row r="4" spans="2:20" ht="17.25" customHeight="1" thickBot="1">
      <c r="B4" s="2006">
        <v>1.1845862243693199</v>
      </c>
      <c r="C4" s="2006"/>
      <c r="D4" s="2006"/>
      <c r="E4" s="2006"/>
      <c r="F4" s="2006"/>
      <c r="G4" s="2006"/>
      <c r="H4" s="2006"/>
      <c r="I4" s="2006"/>
    </row>
    <row r="5" spans="2:20" ht="41.4">
      <c r="B5" s="630" t="s">
        <v>270</v>
      </c>
      <c r="C5" s="631" t="s">
        <v>12</v>
      </c>
      <c r="D5" s="631" t="s">
        <v>140</v>
      </c>
      <c r="E5" s="631" t="s">
        <v>15</v>
      </c>
      <c r="F5" s="631" t="s">
        <v>271</v>
      </c>
      <c r="G5" s="631" t="s">
        <v>371</v>
      </c>
      <c r="H5" s="631" t="s">
        <v>372</v>
      </c>
      <c r="I5" s="632" t="s">
        <v>179</v>
      </c>
      <c r="M5" s="723"/>
      <c r="N5" s="723"/>
      <c r="O5" s="723"/>
      <c r="P5" s="723"/>
      <c r="Q5" s="723"/>
      <c r="R5" s="723"/>
      <c r="S5" s="723"/>
      <c r="T5" s="723"/>
    </row>
    <row r="6" spans="2:20">
      <c r="B6" s="413">
        <v>1</v>
      </c>
      <c r="C6" s="389" t="s">
        <v>670</v>
      </c>
      <c r="D6" s="389" t="s">
        <v>44</v>
      </c>
      <c r="E6" s="553">
        <v>4</v>
      </c>
      <c r="F6" s="698">
        <f>+AIU!J6</f>
        <v>3</v>
      </c>
      <c r="G6" s="430">
        <f>+FP!AK12</f>
        <v>1300000</v>
      </c>
      <c r="H6" s="411">
        <f>+FP!AJ47</f>
        <v>1.7229000000000001</v>
      </c>
      <c r="I6" s="390">
        <f>+E6*F6*G6*H6</f>
        <v>26877240</v>
      </c>
      <c r="K6" s="229"/>
      <c r="M6" s="724"/>
      <c r="N6" s="275"/>
      <c r="O6" s="724"/>
      <c r="P6" s="725"/>
      <c r="Q6" s="726"/>
      <c r="R6" s="727"/>
      <c r="S6" s="728"/>
      <c r="T6" s="729"/>
    </row>
    <row r="7" spans="2:20">
      <c r="B7" s="1994" t="s">
        <v>272</v>
      </c>
      <c r="C7" s="1995"/>
      <c r="D7" s="1995"/>
      <c r="E7" s="1995"/>
      <c r="F7" s="1995"/>
      <c r="G7" s="1995"/>
      <c r="H7" s="1995"/>
      <c r="I7" s="1996"/>
      <c r="M7" s="2008"/>
      <c r="N7" s="1968"/>
      <c r="O7" s="1968"/>
      <c r="P7" s="1968"/>
      <c r="Q7" s="1968"/>
      <c r="R7" s="1968"/>
      <c r="S7" s="1968"/>
      <c r="T7" s="1968"/>
    </row>
    <row r="8" spans="2:20">
      <c r="B8" s="510" t="s">
        <v>270</v>
      </c>
      <c r="C8" s="511" t="s">
        <v>12</v>
      </c>
      <c r="D8" s="512"/>
      <c r="E8" s="513" t="s">
        <v>140</v>
      </c>
      <c r="F8" s="513" t="s">
        <v>15</v>
      </c>
      <c r="G8" s="513" t="s">
        <v>231</v>
      </c>
      <c r="H8" s="1997" t="s">
        <v>223</v>
      </c>
      <c r="I8" s="1998"/>
      <c r="M8" s="730"/>
      <c r="N8" s="730"/>
      <c r="O8" s="730"/>
      <c r="P8" s="730"/>
      <c r="Q8" s="730"/>
      <c r="R8" s="730"/>
      <c r="S8" s="2009"/>
      <c r="T8" s="2009"/>
    </row>
    <row r="9" spans="2:20" ht="36.75" customHeight="1">
      <c r="B9" s="1139">
        <v>1</v>
      </c>
      <c r="C9" s="1999" t="s">
        <v>671</v>
      </c>
      <c r="D9" s="2000"/>
      <c r="E9" s="1140" t="s">
        <v>44</v>
      </c>
      <c r="F9" s="1141">
        <v>8</v>
      </c>
      <c r="G9" s="517">
        <f>45000</f>
        <v>45000</v>
      </c>
      <c r="H9" s="1974">
        <f t="shared" ref="H9" si="0">+G9*F9</f>
        <v>360000</v>
      </c>
      <c r="I9" s="1975"/>
      <c r="M9" s="730"/>
      <c r="N9" s="730"/>
      <c r="O9" s="730"/>
      <c r="P9" s="730"/>
      <c r="Q9" s="730"/>
      <c r="R9" s="730"/>
      <c r="S9" s="730"/>
      <c r="T9" s="730"/>
    </row>
    <row r="10" spans="2:20" ht="45" customHeight="1">
      <c r="B10" s="514">
        <v>2</v>
      </c>
      <c r="C10" s="1970" t="s">
        <v>540</v>
      </c>
      <c r="D10" s="1971"/>
      <c r="E10" s="515" t="s">
        <v>273</v>
      </c>
      <c r="F10" s="516">
        <f>600</f>
        <v>600</v>
      </c>
      <c r="G10" s="517">
        <v>95000</v>
      </c>
      <c r="H10" s="1974">
        <f t="shared" ref="H10:H15" si="1">+G10*F10</f>
        <v>57000000</v>
      </c>
      <c r="I10" s="1975"/>
      <c r="M10" s="731"/>
      <c r="N10" s="2004"/>
      <c r="O10" s="2004"/>
      <c r="P10" s="731"/>
      <c r="Q10" s="731"/>
      <c r="R10" s="732"/>
      <c r="S10" s="2005"/>
      <c r="T10" s="2005"/>
    </row>
    <row r="11" spans="2:20" ht="42" customHeight="1">
      <c r="B11" s="514">
        <v>3</v>
      </c>
      <c r="C11" s="1970" t="s">
        <v>562</v>
      </c>
      <c r="D11" s="1971"/>
      <c r="E11" s="515" t="s">
        <v>273</v>
      </c>
      <c r="F11" s="516">
        <v>8</v>
      </c>
      <c r="G11" s="517">
        <v>420000</v>
      </c>
      <c r="H11" s="1974">
        <f t="shared" si="1"/>
        <v>3360000</v>
      </c>
      <c r="I11" s="1975"/>
      <c r="M11" s="731"/>
      <c r="N11" s="2004"/>
      <c r="O11" s="2004"/>
      <c r="P11" s="731"/>
      <c r="Q11" s="731"/>
      <c r="R11" s="732"/>
      <c r="S11" s="2005"/>
      <c r="T11" s="2005"/>
    </row>
    <row r="12" spans="2:20" ht="42" customHeight="1">
      <c r="B12" s="1142">
        <v>4</v>
      </c>
      <c r="C12" s="1987" t="s">
        <v>672</v>
      </c>
      <c r="D12" s="1973"/>
      <c r="E12" s="1143" t="s">
        <v>44</v>
      </c>
      <c r="F12" s="1144">
        <v>4</v>
      </c>
      <c r="G12" s="1145">
        <f>50000</f>
        <v>50000</v>
      </c>
      <c r="H12" s="1974">
        <f t="shared" ref="H12" si="2">+G12*F12</f>
        <v>200000</v>
      </c>
      <c r="I12" s="1975"/>
      <c r="M12" s="731"/>
      <c r="N12" s="1098"/>
      <c r="O12" s="1098"/>
      <c r="P12" s="731"/>
      <c r="Q12" s="731"/>
      <c r="R12" s="732"/>
      <c r="S12" s="1099"/>
      <c r="T12" s="1099"/>
    </row>
    <row r="13" spans="2:20" ht="42" customHeight="1">
      <c r="B13" s="514">
        <v>5</v>
      </c>
      <c r="C13" s="1970" t="s">
        <v>673</v>
      </c>
      <c r="D13" s="1971"/>
      <c r="E13" s="515" t="s">
        <v>273</v>
      </c>
      <c r="F13" s="516">
        <v>8</v>
      </c>
      <c r="G13" s="517">
        <v>402000</v>
      </c>
      <c r="H13" s="1974">
        <f t="shared" si="1"/>
        <v>3216000</v>
      </c>
      <c r="I13" s="1975"/>
      <c r="M13" s="731"/>
      <c r="N13" s="2004"/>
      <c r="O13" s="2004"/>
      <c r="P13" s="731"/>
      <c r="Q13" s="731"/>
      <c r="R13" s="732"/>
      <c r="S13" s="2005"/>
      <c r="T13" s="2005"/>
    </row>
    <row r="14" spans="2:20" ht="41.25" customHeight="1">
      <c r="B14" s="514">
        <v>6</v>
      </c>
      <c r="C14" s="1972" t="s">
        <v>541</v>
      </c>
      <c r="D14" s="1973"/>
      <c r="E14" s="515" t="s">
        <v>273</v>
      </c>
      <c r="F14" s="516">
        <v>12</v>
      </c>
      <c r="G14" s="517">
        <v>402000</v>
      </c>
      <c r="H14" s="2010">
        <f t="shared" si="1"/>
        <v>4824000</v>
      </c>
      <c r="I14" s="2011"/>
      <c r="M14" s="731"/>
      <c r="N14" s="2004"/>
      <c r="O14" s="2004"/>
      <c r="P14" s="731"/>
      <c r="Q14" s="731"/>
      <c r="R14" s="732"/>
      <c r="S14" s="2005"/>
      <c r="T14" s="2005"/>
    </row>
    <row r="15" spans="2:20" ht="39.75" customHeight="1">
      <c r="B15" s="514">
        <v>7</v>
      </c>
      <c r="C15" s="1970" t="s">
        <v>542</v>
      </c>
      <c r="D15" s="1971"/>
      <c r="E15" s="515" t="s">
        <v>44</v>
      </c>
      <c r="F15" s="516">
        <v>16</v>
      </c>
      <c r="G15" s="517">
        <v>402000</v>
      </c>
      <c r="H15" s="1974">
        <f t="shared" si="1"/>
        <v>6432000</v>
      </c>
      <c r="I15" s="1975"/>
      <c r="M15" s="731"/>
      <c r="N15" s="2004"/>
      <c r="O15" s="2004"/>
      <c r="P15" s="731"/>
      <c r="Q15" s="731"/>
      <c r="R15" s="732"/>
      <c r="S15" s="2005"/>
      <c r="T15" s="2005"/>
    </row>
    <row r="16" spans="2:20">
      <c r="B16" s="1978"/>
      <c r="C16" s="1979"/>
      <c r="D16" s="1979"/>
      <c r="E16" s="1980"/>
      <c r="F16" s="1980"/>
      <c r="G16" s="1980"/>
      <c r="H16" s="1981">
        <f>+I6</f>
        <v>26877240</v>
      </c>
      <c r="I16" s="1982"/>
      <c r="M16" s="2001"/>
      <c r="N16" s="2001"/>
      <c r="O16" s="2001"/>
      <c r="P16" s="2001"/>
      <c r="Q16" s="2001"/>
      <c r="R16" s="2001"/>
      <c r="S16" s="2007"/>
      <c r="T16" s="2001"/>
    </row>
    <row r="17" spans="2:20">
      <c r="B17" s="1978" t="s">
        <v>274</v>
      </c>
      <c r="C17" s="1980"/>
      <c r="D17" s="1980"/>
      <c r="E17" s="1980"/>
      <c r="F17" s="1980"/>
      <c r="G17" s="1980"/>
      <c r="H17" s="1983">
        <f>+SUM(H10:I15)</f>
        <v>75032000</v>
      </c>
      <c r="I17" s="1984"/>
      <c r="K17" s="206"/>
      <c r="L17" s="206"/>
      <c r="M17" s="2001"/>
      <c r="N17" s="2001"/>
      <c r="O17" s="2001"/>
      <c r="P17" s="2001"/>
      <c r="Q17" s="2001"/>
      <c r="R17" s="2001"/>
      <c r="S17" s="2002"/>
      <c r="T17" s="2002"/>
    </row>
    <row r="18" spans="2:20" ht="24" customHeight="1" thickBot="1">
      <c r="B18" s="1985" t="s">
        <v>275</v>
      </c>
      <c r="C18" s="1986"/>
      <c r="D18" s="1986"/>
      <c r="E18" s="1986"/>
      <c r="F18" s="1986"/>
      <c r="G18" s="1986"/>
      <c r="H18" s="1976">
        <f>+ROUND(H16+H17,0)</f>
        <v>101909240</v>
      </c>
      <c r="I18" s="1977"/>
      <c r="J18" s="230"/>
      <c r="K18" s="231"/>
      <c r="M18" s="2003"/>
      <c r="N18" s="2003"/>
      <c r="O18" s="2003"/>
      <c r="P18" s="2003"/>
      <c r="Q18" s="2003"/>
      <c r="R18" s="2003"/>
      <c r="S18" s="733"/>
      <c r="T18" s="734"/>
    </row>
    <row r="19" spans="2:20">
      <c r="B19" s="275"/>
      <c r="C19" s="275"/>
      <c r="D19" s="275"/>
      <c r="E19" s="275"/>
      <c r="F19" s="275"/>
      <c r="G19" s="275"/>
      <c r="H19" s="275"/>
      <c r="I19" s="275"/>
      <c r="K19" s="206"/>
      <c r="O19" s="229"/>
    </row>
    <row r="20" spans="2:20">
      <c r="B20" s="1968"/>
      <c r="C20" s="1968"/>
      <c r="D20" s="275"/>
      <c r="E20" s="275"/>
      <c r="F20" s="275"/>
      <c r="G20" s="275"/>
      <c r="H20" s="275"/>
      <c r="I20" s="275"/>
      <c r="K20" s="206"/>
      <c r="O20" s="229"/>
    </row>
    <row r="21" spans="2:20">
      <c r="B21" s="1968"/>
      <c r="C21" s="1968"/>
      <c r="D21" s="275"/>
      <c r="E21" s="275"/>
      <c r="F21" s="275"/>
      <c r="G21" s="275"/>
      <c r="H21" s="275"/>
      <c r="I21" s="275"/>
      <c r="K21" s="206"/>
      <c r="O21" s="229"/>
    </row>
    <row r="22" spans="2:20">
      <c r="B22" s="1968"/>
      <c r="C22" s="1968"/>
      <c r="D22" s="275"/>
      <c r="E22" s="275"/>
      <c r="F22" s="275"/>
      <c r="G22" s="275"/>
      <c r="H22" s="275"/>
      <c r="I22" s="275"/>
      <c r="K22" s="206"/>
    </row>
    <row r="23" spans="2:20">
      <c r="B23" s="1968"/>
      <c r="C23" s="1968"/>
      <c r="I23" s="722"/>
    </row>
    <row r="24" spans="2:20">
      <c r="B24" s="1969"/>
      <c r="C24" s="1969"/>
    </row>
    <row r="25" spans="2:20" ht="15">
      <c r="B25" s="552" t="str">
        <f>+PRESUPUESTO!B52</f>
        <v>JESUS EDUARDO ROBLES SMITH</v>
      </c>
      <c r="C25" s="224"/>
      <c r="D25" s="224"/>
      <c r="E25" s="222"/>
      <c r="F25" s="6"/>
    </row>
    <row r="26" spans="2:20" ht="15">
      <c r="B26" s="551" t="str">
        <f>+PRESUPUESTO!B53</f>
        <v>INGENIERO CIVIL</v>
      </c>
      <c r="C26" s="223"/>
      <c r="D26" s="223"/>
      <c r="E26" s="199"/>
      <c r="F26" s="6"/>
    </row>
    <row r="27" spans="2:20" ht="15">
      <c r="B27" s="551" t="str">
        <f>+PRESUPUESTO!B54</f>
        <v>M.P. 25202-316144 CND</v>
      </c>
      <c r="C27" s="223"/>
      <c r="D27" s="223"/>
      <c r="E27" s="199"/>
      <c r="F27" s="6"/>
    </row>
    <row r="28" spans="2:20" ht="15">
      <c r="B28" s="6"/>
      <c r="C28" s="199"/>
      <c r="D28" s="199"/>
      <c r="E28" s="6"/>
    </row>
  </sheetData>
  <sheetProtection formatCells="0" formatColumns="0" formatRows="0" insertColumns="0" insertRows="0" insertHyperlinks="0" deleteColumns="0" deleteRows="0" sort="0" autoFilter="0" pivotTables="0"/>
  <mergeCells count="43">
    <mergeCell ref="S14:T14"/>
    <mergeCell ref="N14:O14"/>
    <mergeCell ref="B4:I4"/>
    <mergeCell ref="M16:R16"/>
    <mergeCell ref="S16:T16"/>
    <mergeCell ref="N11:O11"/>
    <mergeCell ref="S11:T11"/>
    <mergeCell ref="N13:O13"/>
    <mergeCell ref="S13:T13"/>
    <mergeCell ref="M7:T7"/>
    <mergeCell ref="S8:T8"/>
    <mergeCell ref="N10:O10"/>
    <mergeCell ref="S10:T10"/>
    <mergeCell ref="H11:I11"/>
    <mergeCell ref="H13:I13"/>
    <mergeCell ref="H14:I14"/>
    <mergeCell ref="M17:R17"/>
    <mergeCell ref="S17:T17"/>
    <mergeCell ref="M18:R18"/>
    <mergeCell ref="N15:O15"/>
    <mergeCell ref="S15:T15"/>
    <mergeCell ref="B2:I2"/>
    <mergeCell ref="B3:I3"/>
    <mergeCell ref="B7:I7"/>
    <mergeCell ref="H8:I8"/>
    <mergeCell ref="H10:I10"/>
    <mergeCell ref="C10:D10"/>
    <mergeCell ref="C9:D9"/>
    <mergeCell ref="H9:I9"/>
    <mergeCell ref="H12:I12"/>
    <mergeCell ref="H18:I18"/>
    <mergeCell ref="H15:I15"/>
    <mergeCell ref="B16:G16"/>
    <mergeCell ref="H16:I16"/>
    <mergeCell ref="B17:G17"/>
    <mergeCell ref="H17:I17"/>
    <mergeCell ref="B18:G18"/>
    <mergeCell ref="C12:D12"/>
    <mergeCell ref="B20:C24"/>
    <mergeCell ref="C15:D15"/>
    <mergeCell ref="C11:D11"/>
    <mergeCell ref="C13:D13"/>
    <mergeCell ref="C14:D14"/>
  </mergeCells>
  <pageMargins left="0.7" right="0.7" top="0.75" bottom="0.75" header="0.3" footer="0.3"/>
  <pageSetup paperSize="9" scale="56" orientation="portrait" horizontalDpi="4294967293"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W95"/>
  <sheetViews>
    <sheetView topLeftCell="A26" zoomScale="69" zoomScaleNormal="69" workbookViewId="0">
      <selection activeCell="C10" sqref="C10"/>
    </sheetView>
  </sheetViews>
  <sheetFormatPr baseColWidth="10" defaultColWidth="11.44140625" defaultRowHeight="14.4"/>
  <cols>
    <col min="1" max="1" width="5.6640625" style="1203" customWidth="1"/>
    <col min="2" max="2" width="6.33203125" style="1200" bestFit="1" customWidth="1"/>
    <col min="3" max="3" width="36" style="1201" customWidth="1"/>
    <col min="4" max="4" width="18.109375" style="1201" customWidth="1"/>
    <col min="5" max="5" width="18.33203125" style="1200" customWidth="1"/>
    <col min="6" max="6" width="13.6640625" style="1200" customWidth="1"/>
    <col min="7" max="7" width="17.44140625" style="1200" customWidth="1"/>
    <col min="8" max="8" width="19.5546875" style="1202" customWidth="1"/>
    <col min="9" max="9" width="5.6640625" style="1203" customWidth="1"/>
    <col min="10" max="10" width="13.6640625" style="1203" bestFit="1" customWidth="1"/>
    <col min="11" max="11" width="13.6640625" style="1203" customWidth="1"/>
    <col min="12" max="12" width="16.5546875" style="1203" customWidth="1"/>
    <col min="13" max="13" width="15.6640625" style="1203" bestFit="1" customWidth="1"/>
    <col min="14" max="14" width="60.6640625" style="1203" customWidth="1"/>
    <col min="15" max="15" width="20" style="1203" bestFit="1" customWidth="1"/>
    <col min="16" max="16" width="18.44140625" style="1203" bestFit="1" customWidth="1"/>
    <col min="17" max="17" width="16.44140625" style="1203" bestFit="1" customWidth="1"/>
    <col min="18" max="18" width="21.44140625" style="1203" bestFit="1" customWidth="1"/>
    <col min="19" max="19" width="11.44140625" style="1203"/>
    <col min="20" max="20" width="21.5546875" style="1203" customWidth="1"/>
    <col min="21" max="21" width="31" style="1203" bestFit="1" customWidth="1"/>
    <col min="22" max="23" width="18.6640625" style="1203" bestFit="1" customWidth="1"/>
    <col min="24" max="16384" width="11.44140625" style="1203"/>
  </cols>
  <sheetData>
    <row r="1" spans="2:18" ht="15" thickBot="1"/>
    <row r="2" spans="2:18" ht="66.75" customHeight="1" thickBot="1">
      <c r="B2" s="2041" t="str">
        <f>+PRESUPUESTO!D2</f>
        <v>"MEJORAMIENTO VIAL MEDIANTE LA CONSTRUCCIÓN DE PAVIMENTO RÍGIDO DE LA PRIMERA ETAPA DE LA VÍA QUE COMUNICA A LA VEREDA PONDORES EN EL CORREGIMIENTO DE CONEJO, MUNICIPIO DE FONSECA - DEPARTAMENTO DE LA GUAJIRA."</v>
      </c>
      <c r="C2" s="2042"/>
      <c r="D2" s="2042"/>
      <c r="E2" s="2042"/>
      <c r="F2" s="2042"/>
      <c r="G2" s="2042"/>
      <c r="H2" s="2043"/>
      <c r="K2" s="2044" t="s">
        <v>721</v>
      </c>
      <c r="L2" s="2045"/>
      <c r="M2" s="2045"/>
      <c r="N2" s="2045"/>
      <c r="O2" s="2045"/>
      <c r="P2" s="2045"/>
      <c r="Q2" s="2045"/>
      <c r="R2" s="2046"/>
    </row>
    <row r="3" spans="2:18" ht="18" thickBot="1">
      <c r="B3" s="1204"/>
      <c r="C3" s="1205"/>
      <c r="D3" s="1205"/>
      <c r="E3" s="1204"/>
      <c r="F3" s="1204"/>
      <c r="G3" s="1204"/>
      <c r="H3" s="1206"/>
      <c r="K3" s="2047" t="s">
        <v>722</v>
      </c>
      <c r="L3" s="2048"/>
      <c r="M3" s="2049" t="s">
        <v>723</v>
      </c>
      <c r="N3" s="2049"/>
      <c r="O3" s="2049"/>
      <c r="P3" s="2049"/>
      <c r="Q3" s="2049"/>
      <c r="R3" s="2050"/>
    </row>
    <row r="4" spans="2:18" ht="48.75" customHeight="1" thickBot="1">
      <c r="B4" s="2051" t="s">
        <v>724</v>
      </c>
      <c r="C4" s="2052"/>
      <c r="D4" s="2052"/>
      <c r="E4" s="2052"/>
      <c r="F4" s="2052"/>
      <c r="G4" s="2052"/>
      <c r="H4" s="2053"/>
      <c r="K4" s="2054" t="s">
        <v>725</v>
      </c>
      <c r="L4" s="2055"/>
      <c r="M4" s="2058"/>
      <c r="N4" s="2058"/>
      <c r="O4" s="2058"/>
      <c r="P4" s="2058"/>
      <c r="Q4" s="2058"/>
      <c r="R4" s="2059"/>
    </row>
    <row r="5" spans="2:18" ht="15" thickBot="1">
      <c r="B5" s="1207"/>
      <c r="C5" s="1208"/>
      <c r="D5" s="1208"/>
      <c r="E5" s="1204"/>
      <c r="F5" s="1204"/>
      <c r="G5" s="1204"/>
      <c r="H5" s="1206"/>
      <c r="K5" s="2054"/>
      <c r="L5" s="2055"/>
      <c r="M5" s="2058"/>
      <c r="N5" s="2058"/>
      <c r="O5" s="2058"/>
      <c r="P5" s="2058"/>
      <c r="Q5" s="2058"/>
      <c r="R5" s="2059"/>
    </row>
    <row r="6" spans="2:18" ht="15" customHeight="1">
      <c r="B6" s="1209" t="s">
        <v>485</v>
      </c>
      <c r="C6" s="2062" t="s">
        <v>486</v>
      </c>
      <c r="D6" s="2063"/>
      <c r="E6" s="2063"/>
      <c r="F6" s="2063"/>
      <c r="G6" s="2063"/>
      <c r="H6" s="2064"/>
      <c r="K6" s="2054"/>
      <c r="L6" s="2055"/>
      <c r="M6" s="2058"/>
      <c r="N6" s="2058"/>
      <c r="O6" s="2058"/>
      <c r="P6" s="2058"/>
      <c r="Q6" s="2058"/>
      <c r="R6" s="2059"/>
    </row>
    <row r="7" spans="2:18" ht="22.5" customHeight="1">
      <c r="B7" s="2065" t="s">
        <v>200</v>
      </c>
      <c r="C7" s="2066"/>
      <c r="D7" s="1210" t="s">
        <v>193</v>
      </c>
      <c r="E7" s="1210" t="s">
        <v>194</v>
      </c>
      <c r="F7" s="1210" t="s">
        <v>196</v>
      </c>
      <c r="G7" s="1210" t="s">
        <v>146</v>
      </c>
      <c r="H7" s="1211" t="s">
        <v>197</v>
      </c>
      <c r="K7" s="2054"/>
      <c r="L7" s="2055"/>
      <c r="M7" s="2058"/>
      <c r="N7" s="2058"/>
      <c r="O7" s="2058"/>
      <c r="P7" s="2058"/>
      <c r="Q7" s="2058"/>
      <c r="R7" s="2059"/>
    </row>
    <row r="8" spans="2:18" ht="41.4">
      <c r="B8" s="1212" t="s">
        <v>487</v>
      </c>
      <c r="C8" s="1213" t="s">
        <v>488</v>
      </c>
      <c r="D8" s="1213" t="s">
        <v>489</v>
      </c>
      <c r="E8" s="1213" t="s">
        <v>490</v>
      </c>
      <c r="F8" s="1213" t="s">
        <v>280</v>
      </c>
      <c r="G8" s="1214" t="s">
        <v>492</v>
      </c>
      <c r="H8" s="1215" t="s">
        <v>493</v>
      </c>
      <c r="K8" s="2054"/>
      <c r="L8" s="2055"/>
      <c r="M8" s="2058"/>
      <c r="N8" s="2058"/>
      <c r="O8" s="2058"/>
      <c r="P8" s="2058"/>
      <c r="Q8" s="2058"/>
      <c r="R8" s="2059"/>
    </row>
    <row r="9" spans="2:18" ht="18.75" customHeight="1">
      <c r="B9" s="1216" t="s">
        <v>485</v>
      </c>
      <c r="C9" s="1217" t="s">
        <v>494</v>
      </c>
      <c r="D9" s="2067"/>
      <c r="E9" s="2068"/>
      <c r="F9" s="2068"/>
      <c r="G9" s="2068"/>
      <c r="H9" s="2069"/>
      <c r="K9" s="2054"/>
      <c r="L9" s="2055"/>
      <c r="M9" s="2058"/>
      <c r="N9" s="2058"/>
      <c r="O9" s="2058"/>
      <c r="P9" s="2058"/>
      <c r="Q9" s="2058"/>
      <c r="R9" s="2059"/>
    </row>
    <row r="10" spans="2:18">
      <c r="B10" s="1218">
        <v>1.1000000000000001</v>
      </c>
      <c r="C10" s="1219" t="s">
        <v>495</v>
      </c>
      <c r="D10" s="1220">
        <v>1</v>
      </c>
      <c r="E10" s="1221">
        <f>+FP!E12</f>
        <v>5671970.0300000003</v>
      </c>
      <c r="F10" s="1222">
        <f>+FP!F47</f>
        <v>1.6529</v>
      </c>
      <c r="G10" s="1223">
        <v>2.56478753603415E-2</v>
      </c>
      <c r="H10" s="1224">
        <f>E10*F10*G10</f>
        <v>240453.94216519696</v>
      </c>
      <c r="K10" s="2054"/>
      <c r="L10" s="2055"/>
      <c r="M10" s="2058"/>
      <c r="N10" s="2058"/>
      <c r="O10" s="2058"/>
      <c r="P10" s="2058"/>
      <c r="Q10" s="2058"/>
      <c r="R10" s="2059"/>
    </row>
    <row r="11" spans="2:18">
      <c r="B11" s="1218"/>
      <c r="C11" s="1219"/>
      <c r="D11" s="1220"/>
      <c r="E11" s="1221"/>
      <c r="F11" s="1222"/>
      <c r="G11" s="1222"/>
      <c r="H11" s="1224"/>
      <c r="K11" s="2054"/>
      <c r="L11" s="2055"/>
      <c r="M11" s="2058"/>
      <c r="N11" s="2058"/>
      <c r="O11" s="2058"/>
      <c r="P11" s="2058"/>
      <c r="Q11" s="2058"/>
      <c r="R11" s="2059"/>
    </row>
    <row r="12" spans="2:18" ht="15" customHeight="1">
      <c r="B12" s="2026" t="s">
        <v>496</v>
      </c>
      <c r="C12" s="2027"/>
      <c r="D12" s="2027"/>
      <c r="E12" s="2027"/>
      <c r="F12" s="2027"/>
      <c r="G12" s="2028"/>
      <c r="H12" s="1269">
        <f>SUM(H10:H11)</f>
        <v>240453.94216519696</v>
      </c>
      <c r="K12" s="2054"/>
      <c r="L12" s="2055"/>
      <c r="M12" s="2058"/>
      <c r="N12" s="2058"/>
      <c r="O12" s="2058"/>
      <c r="P12" s="2058"/>
      <c r="Q12" s="2058"/>
      <c r="R12" s="2059"/>
    </row>
    <row r="13" spans="2:18" ht="42" thickBot="1">
      <c r="B13" s="1225" t="s">
        <v>497</v>
      </c>
      <c r="C13" s="1226" t="s">
        <v>498</v>
      </c>
      <c r="D13" s="1227" t="s">
        <v>6</v>
      </c>
      <c r="E13" s="1213" t="s">
        <v>490</v>
      </c>
      <c r="F13" s="1213" t="s">
        <v>280</v>
      </c>
      <c r="G13" s="1214" t="s">
        <v>492</v>
      </c>
      <c r="H13" s="1215" t="s">
        <v>499</v>
      </c>
      <c r="K13" s="2056"/>
      <c r="L13" s="2057"/>
      <c r="M13" s="2060"/>
      <c r="N13" s="2060"/>
      <c r="O13" s="2060"/>
      <c r="P13" s="2060"/>
      <c r="Q13" s="2060"/>
      <c r="R13" s="2061"/>
    </row>
    <row r="14" spans="2:18">
      <c r="B14" s="1349" t="s">
        <v>167</v>
      </c>
      <c r="C14" s="1350" t="s">
        <v>787</v>
      </c>
      <c r="D14" s="1351">
        <v>1</v>
      </c>
      <c r="E14" s="1352">
        <f>FP!AG12</f>
        <v>1388166.6666666667</v>
      </c>
      <c r="F14" s="1222">
        <f>FP!AH47</f>
        <v>1.7616000000000001</v>
      </c>
      <c r="G14" s="1353">
        <f>G10</f>
        <v>2.56478753603415E-2</v>
      </c>
      <c r="H14" s="1230">
        <f>E14*F14*G14*D14</f>
        <v>62719.170778077096</v>
      </c>
      <c r="K14" s="1347"/>
      <c r="L14" s="1347"/>
      <c r="M14" s="1348"/>
      <c r="N14" s="1348"/>
      <c r="O14" s="1348"/>
      <c r="P14" s="1348"/>
      <c r="Q14" s="1348"/>
      <c r="R14" s="1348"/>
    </row>
    <row r="15" spans="2:18" ht="15" customHeight="1">
      <c r="B15" s="1228" t="s">
        <v>166</v>
      </c>
      <c r="C15" s="1229" t="s">
        <v>348</v>
      </c>
      <c r="D15" s="1220">
        <v>1</v>
      </c>
      <c r="E15" s="1221">
        <f>+FP!W12</f>
        <v>1634033.3333333333</v>
      </c>
      <c r="F15" s="1222">
        <f>+FP!X47</f>
        <v>1.8815</v>
      </c>
      <c r="G15" s="1223">
        <f>+G10</f>
        <v>2.56478753603415E-2</v>
      </c>
      <c r="H15" s="1230">
        <f>E15*F15*G15*D15</f>
        <v>78852.692768698136</v>
      </c>
    </row>
    <row r="16" spans="2:18">
      <c r="B16" s="1228" t="s">
        <v>165</v>
      </c>
      <c r="C16" s="1229" t="s">
        <v>501</v>
      </c>
      <c r="D16" s="1220">
        <v>2</v>
      </c>
      <c r="E16" s="1221">
        <f>+FP!Y12</f>
        <v>1300000</v>
      </c>
      <c r="F16" s="1222">
        <f>+FP!Z47</f>
        <v>1.7774999999999999</v>
      </c>
      <c r="G16" s="1223">
        <f>+G15</f>
        <v>2.56478753603415E-2</v>
      </c>
      <c r="H16" s="1230">
        <f>E16*F16*G16*D16</f>
        <v>118531.65597781824</v>
      </c>
    </row>
    <row r="17" spans="1:17" ht="15" customHeight="1">
      <c r="B17" s="2029" t="s">
        <v>502</v>
      </c>
      <c r="C17" s="2030"/>
      <c r="D17" s="2030"/>
      <c r="E17" s="2030"/>
      <c r="F17" s="2030"/>
      <c r="G17" s="2031"/>
      <c r="H17" s="1270">
        <f>H14+H15+H16</f>
        <v>260103.51952459349</v>
      </c>
    </row>
    <row r="18" spans="1:17" ht="15" customHeight="1">
      <c r="B18" s="1231"/>
      <c r="C18" s="1232"/>
      <c r="D18" s="1232"/>
      <c r="E18" s="1232"/>
      <c r="F18" s="1232"/>
      <c r="G18" s="1232"/>
      <c r="H18" s="1233"/>
      <c r="K18" s="1234"/>
      <c r="L18" s="1234"/>
      <c r="M18" s="1234"/>
      <c r="N18" s="1234"/>
      <c r="O18" s="1234"/>
      <c r="P18" s="1234"/>
      <c r="Q18" s="1234"/>
    </row>
    <row r="19" spans="1:17" ht="15" customHeight="1" thickBot="1">
      <c r="B19" s="2032" t="s">
        <v>503</v>
      </c>
      <c r="C19" s="2033"/>
      <c r="D19" s="2033"/>
      <c r="E19" s="2033"/>
      <c r="F19" s="2033"/>
      <c r="G19" s="2034"/>
      <c r="H19" s="1271">
        <f>H12+H17</f>
        <v>500557.46168979048</v>
      </c>
      <c r="K19" s="1234"/>
      <c r="L19" s="1234"/>
      <c r="M19" s="1234"/>
      <c r="N19" s="1234"/>
      <c r="O19" s="1234"/>
      <c r="P19" s="1235"/>
      <c r="Q19" s="1235"/>
    </row>
    <row r="20" spans="1:17" ht="15" customHeight="1" thickBot="1">
      <c r="B20" s="1232"/>
      <c r="C20" s="1232"/>
      <c r="D20" s="1232"/>
      <c r="E20" s="1232"/>
      <c r="F20" s="1232"/>
      <c r="G20" s="1232"/>
      <c r="H20" s="1236"/>
      <c r="K20" s="1234"/>
      <c r="L20" s="1234"/>
      <c r="M20" s="1234"/>
      <c r="N20" s="1237"/>
      <c r="O20" s="1237"/>
      <c r="P20" s="1238"/>
      <c r="Q20" s="1238"/>
    </row>
    <row r="21" spans="1:17" ht="15" customHeight="1">
      <c r="B21" s="1209" t="s">
        <v>504</v>
      </c>
      <c r="C21" s="2035" t="s">
        <v>505</v>
      </c>
      <c r="D21" s="2035"/>
      <c r="E21" s="2035"/>
      <c r="F21" s="2035"/>
      <c r="G21" s="2035"/>
      <c r="H21" s="2036"/>
      <c r="K21" s="1239"/>
      <c r="L21" s="1239"/>
      <c r="M21" s="1239"/>
      <c r="N21" s="1240"/>
      <c r="P21" s="1240"/>
      <c r="Q21" s="1240"/>
    </row>
    <row r="22" spans="1:17" ht="36">
      <c r="B22" s="1212" t="s">
        <v>487</v>
      </c>
      <c r="C22" s="1213" t="s">
        <v>506</v>
      </c>
      <c r="D22" s="1213" t="s">
        <v>15</v>
      </c>
      <c r="E22" s="1213" t="s">
        <v>507</v>
      </c>
      <c r="F22" s="1241" t="s">
        <v>508</v>
      </c>
      <c r="G22" s="1213" t="s">
        <v>726</v>
      </c>
      <c r="H22" s="1215" t="s">
        <v>223</v>
      </c>
    </row>
    <row r="23" spans="1:17" ht="90" customHeight="1">
      <c r="B23" s="1218">
        <v>3.1</v>
      </c>
      <c r="C23" s="1229" t="s">
        <v>509</v>
      </c>
      <c r="D23" s="1220">
        <v>1</v>
      </c>
      <c r="E23" s="1242">
        <v>5000000</v>
      </c>
      <c r="F23" s="1223">
        <v>2</v>
      </c>
      <c r="G23" s="1243">
        <f>100/100</f>
        <v>1</v>
      </c>
      <c r="H23" s="1244">
        <f>E23*F23*D23*G23</f>
        <v>10000000</v>
      </c>
      <c r="J23" s="1245"/>
      <c r="K23" s="1234"/>
      <c r="L23" s="1234"/>
      <c r="M23" s="1234"/>
      <c r="N23" s="1234"/>
      <c r="O23" s="1234"/>
      <c r="P23" s="1234"/>
      <c r="Q23" s="1234"/>
    </row>
    <row r="24" spans="1:17">
      <c r="B24" s="1218">
        <v>3.2</v>
      </c>
      <c r="C24" s="1229" t="s">
        <v>510</v>
      </c>
      <c r="D24" s="1220">
        <v>1</v>
      </c>
      <c r="E24" s="1242">
        <v>350000</v>
      </c>
      <c r="F24" s="1223">
        <f>+G16</f>
        <v>2.56478753603415E-2</v>
      </c>
      <c r="G24" s="1243">
        <f t="shared" ref="G24:G26" si="0">100/100</f>
        <v>1</v>
      </c>
      <c r="H24" s="1244">
        <f>E24*F24*D24*G24</f>
        <v>8976.7563761195252</v>
      </c>
      <c r="K24" s="1234"/>
      <c r="L24" s="1234"/>
      <c r="M24" s="1234"/>
      <c r="N24" s="1234"/>
      <c r="O24" s="1246"/>
      <c r="P24" s="1246"/>
      <c r="Q24" s="1246"/>
    </row>
    <row r="25" spans="1:17" ht="27.6">
      <c r="B25" s="1218">
        <v>3.3</v>
      </c>
      <c r="C25" s="1229" t="s">
        <v>347</v>
      </c>
      <c r="D25" s="1220">
        <v>1</v>
      </c>
      <c r="E25" s="1242">
        <f>+AIU!J40</f>
        <v>7000000</v>
      </c>
      <c r="F25" s="1223">
        <f>+F24</f>
        <v>2.56478753603415E-2</v>
      </c>
      <c r="G25" s="1243">
        <f t="shared" si="0"/>
        <v>1</v>
      </c>
      <c r="H25" s="1244">
        <f>E25*F25*D25*G25</f>
        <v>179535.12752239051</v>
      </c>
      <c r="K25" s="1234"/>
      <c r="L25" s="1234"/>
      <c r="M25" s="1234"/>
      <c r="N25" s="1234"/>
      <c r="O25" s="1246"/>
      <c r="P25" s="1246"/>
      <c r="Q25" s="1246"/>
    </row>
    <row r="26" spans="1:17">
      <c r="B26" s="1218">
        <v>3.5</v>
      </c>
      <c r="C26" s="1229" t="s">
        <v>512</v>
      </c>
      <c r="D26" s="1220">
        <v>1</v>
      </c>
      <c r="E26" s="1242">
        <f>+AIU!J37</f>
        <v>241237.7272773108</v>
      </c>
      <c r="F26" s="1223">
        <f>+F23</f>
        <v>2</v>
      </c>
      <c r="G26" s="1243">
        <f t="shared" si="0"/>
        <v>1</v>
      </c>
      <c r="H26" s="1244">
        <f>E26*F26*D26*G26</f>
        <v>482475.4545546216</v>
      </c>
      <c r="K26" s="1234"/>
      <c r="L26" s="1234"/>
      <c r="M26" s="1234"/>
      <c r="N26" s="1246"/>
      <c r="O26" s="1246"/>
      <c r="P26" s="1246"/>
      <c r="Q26" s="1246"/>
    </row>
    <row r="27" spans="1:17" ht="15.75" customHeight="1" thickBot="1">
      <c r="B27" s="2037" t="s">
        <v>513</v>
      </c>
      <c r="C27" s="2038"/>
      <c r="D27" s="2038"/>
      <c r="E27" s="2038"/>
      <c r="F27" s="2038"/>
      <c r="G27" s="2038"/>
      <c r="H27" s="1247">
        <f>SUM(H23:H26)</f>
        <v>10670987.338453131</v>
      </c>
      <c r="K27" s="1234"/>
      <c r="L27" s="1234"/>
      <c r="M27" s="1234"/>
      <c r="N27" s="1246"/>
      <c r="O27" s="1246"/>
      <c r="P27" s="1246"/>
      <c r="Q27" s="1246"/>
    </row>
    <row r="28" spans="1:17" ht="15" thickBot="1">
      <c r="B28" s="1248"/>
      <c r="C28" s="1248"/>
      <c r="D28" s="1248"/>
      <c r="E28" s="1248"/>
      <c r="F28" s="1248"/>
      <c r="G28" s="1248"/>
      <c r="H28" s="1249"/>
      <c r="K28" s="1234"/>
      <c r="L28" s="1234"/>
      <c r="M28" s="1234"/>
      <c r="N28" s="1246"/>
      <c r="O28" s="1246"/>
      <c r="P28" s="1246"/>
      <c r="Q28" s="1246"/>
    </row>
    <row r="29" spans="1:17" ht="15.75" customHeight="1" thickBot="1">
      <c r="B29" s="2039" t="s">
        <v>514</v>
      </c>
      <c r="C29" s="2040"/>
      <c r="D29" s="2040"/>
      <c r="E29" s="2040"/>
      <c r="F29" s="2040"/>
      <c r="G29" s="2040"/>
      <c r="H29" s="1272">
        <f>H10+H27+H19</f>
        <v>11411998.742308119</v>
      </c>
      <c r="K29" s="1234"/>
      <c r="L29" s="1234"/>
      <c r="M29" s="1246"/>
      <c r="N29" s="1246"/>
      <c r="O29" s="1246"/>
      <c r="P29" s="1246"/>
      <c r="Q29" s="1246"/>
    </row>
    <row r="30" spans="1:17" ht="15" thickBot="1">
      <c r="B30" s="1250"/>
      <c r="C30" s="1250"/>
      <c r="D30" s="1250"/>
      <c r="E30" s="1250"/>
      <c r="F30" s="1250"/>
      <c r="G30" s="1250"/>
      <c r="H30" s="1251"/>
      <c r="K30" s="1234"/>
      <c r="L30" s="1234"/>
      <c r="M30" s="1246"/>
      <c r="N30" s="1246"/>
      <c r="O30" s="1246"/>
      <c r="P30" s="1246"/>
      <c r="Q30" s="1246"/>
    </row>
    <row r="31" spans="1:17" ht="15" thickBot="1">
      <c r="B31" s="2012" t="s">
        <v>515</v>
      </c>
      <c r="C31" s="2013"/>
      <c r="D31" s="2013"/>
      <c r="E31" s="2013"/>
      <c r="F31" s="2013"/>
      <c r="G31" s="2013"/>
      <c r="H31" s="1252">
        <f>+ROUND(H29,0)</f>
        <v>11411999</v>
      </c>
      <c r="I31" s="1253"/>
      <c r="J31" s="1254"/>
      <c r="K31" s="1255"/>
      <c r="L31" s="1255"/>
    </row>
    <row r="32" spans="1:17" ht="15.75" customHeight="1">
      <c r="A32" s="1256"/>
      <c r="B32" s="1256"/>
      <c r="C32" s="1256"/>
      <c r="D32" s="1256"/>
      <c r="E32" s="1256"/>
      <c r="F32" s="1256"/>
      <c r="G32" s="1256"/>
      <c r="H32" s="1256"/>
      <c r="I32" s="1256"/>
      <c r="K32" s="1257"/>
      <c r="L32" s="1257"/>
    </row>
    <row r="33" spans="1:17" ht="15.75" customHeight="1">
      <c r="A33" s="1256"/>
      <c r="B33" s="1256"/>
      <c r="C33" s="2014" t="s">
        <v>517</v>
      </c>
      <c r="D33" s="2014"/>
      <c r="E33" s="2014"/>
      <c r="F33" s="2014"/>
      <c r="G33" s="1340">
        <f>853/1000</f>
        <v>0.85299999999999998</v>
      </c>
      <c r="H33" s="1256"/>
      <c r="I33" s="1256"/>
    </row>
    <row r="34" spans="1:17" ht="15.75" customHeight="1">
      <c r="A34" s="1256"/>
      <c r="B34" s="2015"/>
      <c r="C34" s="2015"/>
      <c r="D34" s="1256"/>
      <c r="E34" s="1256"/>
      <c r="F34" s="1206"/>
      <c r="G34" s="1206"/>
      <c r="H34" s="1206"/>
      <c r="I34" s="1256"/>
      <c r="K34" s="1257"/>
      <c r="L34" s="1257"/>
      <c r="M34" s="1257"/>
      <c r="N34" s="1257"/>
      <c r="O34" s="1257"/>
      <c r="P34" s="1257"/>
      <c r="Q34" s="1257"/>
    </row>
    <row r="35" spans="1:17">
      <c r="A35" s="1256"/>
      <c r="B35" s="2015"/>
      <c r="C35" s="2015"/>
      <c r="D35" s="1256"/>
      <c r="E35" s="1256"/>
      <c r="F35" s="1256"/>
      <c r="G35" s="1256"/>
      <c r="H35" s="1256"/>
      <c r="I35" s="1256"/>
      <c r="K35" s="1258"/>
      <c r="L35" s="1258"/>
      <c r="M35" s="1234"/>
      <c r="N35" s="1234"/>
      <c r="O35" s="1234"/>
      <c r="P35" s="1234"/>
      <c r="Q35" s="1234"/>
    </row>
    <row r="36" spans="1:17">
      <c r="B36" s="2016"/>
      <c r="C36" s="2016"/>
      <c r="D36" s="1208"/>
      <c r="E36" s="1204"/>
      <c r="F36" s="1204"/>
      <c r="G36" s="1204"/>
      <c r="H36" s="1206"/>
      <c r="K36" s="1258"/>
      <c r="L36" s="1258"/>
      <c r="M36" s="1234"/>
      <c r="N36" s="1234"/>
      <c r="O36" s="1234"/>
      <c r="P36" s="1234"/>
      <c r="Q36" s="1234"/>
    </row>
    <row r="37" spans="1:17" ht="15.6">
      <c r="B37" s="1259" t="str">
        <f>+PMT!B25</f>
        <v>JESUS EDUARDO ROBLES SMITH</v>
      </c>
      <c r="C37" s="1260"/>
      <c r="D37" s="1261"/>
      <c r="E37" s="952"/>
      <c r="F37" s="1204"/>
      <c r="G37" s="1204"/>
      <c r="H37" s="1206"/>
      <c r="K37" s="1234"/>
      <c r="L37" s="1234"/>
      <c r="M37" s="1262"/>
      <c r="N37" s="1262"/>
      <c r="O37" s="1262"/>
      <c r="P37" s="1262"/>
      <c r="Q37" s="1262"/>
    </row>
    <row r="38" spans="1:17" ht="15">
      <c r="B38" s="1263" t="str">
        <f>+PMT!B26</f>
        <v>INGENIERO CIVIL</v>
      </c>
      <c r="C38" s="1264"/>
      <c r="D38" s="1265"/>
      <c r="E38" s="952"/>
      <c r="F38" s="1204"/>
      <c r="G38" s="1204"/>
      <c r="H38" s="1206"/>
      <c r="K38" s="1234"/>
      <c r="L38" s="1234"/>
      <c r="M38" s="1238"/>
      <c r="N38" s="1262"/>
      <c r="O38" s="1262"/>
      <c r="P38" s="1262"/>
      <c r="Q38" s="1238"/>
    </row>
    <row r="39" spans="1:17" ht="15">
      <c r="B39" s="1263" t="str">
        <f>+PMT!B27</f>
        <v>M.P. 25202-316144 CND</v>
      </c>
      <c r="C39" s="1266"/>
      <c r="D39" s="1267"/>
      <c r="E39" s="1268"/>
      <c r="K39" s="1234"/>
      <c r="L39" s="1234"/>
      <c r="M39" s="1262"/>
      <c r="N39" s="1262"/>
      <c r="O39" s="1238"/>
      <c r="P39" s="1238"/>
      <c r="Q39" s="1238"/>
    </row>
    <row r="40" spans="1:17" ht="15" thickBot="1">
      <c r="K40" s="1255"/>
      <c r="L40" s="1255"/>
      <c r="M40" s="1255"/>
      <c r="N40" s="1255"/>
      <c r="O40" s="1255"/>
      <c r="P40" s="1255"/>
      <c r="Q40" s="1255"/>
    </row>
    <row r="41" spans="1:17" ht="17.25" customHeight="1">
      <c r="C41" s="2017" t="s">
        <v>727</v>
      </c>
      <c r="D41" s="2018"/>
      <c r="E41" s="2018"/>
      <c r="F41" s="2018"/>
      <c r="G41" s="2018"/>
      <c r="H41" s="2019"/>
    </row>
    <row r="42" spans="1:17" ht="17.25" customHeight="1">
      <c r="C42" s="2020"/>
      <c r="D42" s="2021"/>
      <c r="E42" s="2021"/>
      <c r="F42" s="2021"/>
      <c r="G42" s="2021"/>
      <c r="H42" s="2022"/>
      <c r="K42" s="1234"/>
      <c r="L42" s="1234"/>
      <c r="M42" s="1234"/>
      <c r="N42" s="1234"/>
      <c r="O42" s="1234"/>
      <c r="P42" s="1255"/>
      <c r="Q42" s="1255"/>
    </row>
    <row r="43" spans="1:17">
      <c r="C43" s="2020"/>
      <c r="D43" s="2021"/>
      <c r="E43" s="2021"/>
      <c r="F43" s="2021"/>
      <c r="G43" s="2021"/>
      <c r="H43" s="2022"/>
      <c r="K43" s="1237"/>
      <c r="L43" s="1234"/>
      <c r="M43" s="1234"/>
      <c r="N43" s="1237"/>
      <c r="O43" s="1237"/>
      <c r="P43" s="1237"/>
    </row>
    <row r="44" spans="1:17">
      <c r="C44" s="2020"/>
      <c r="D44" s="2021"/>
      <c r="E44" s="2021"/>
      <c r="F44" s="2021"/>
      <c r="G44" s="2021"/>
      <c r="H44" s="2022"/>
      <c r="L44" s="1246"/>
      <c r="M44" s="1246"/>
      <c r="O44" s="1240"/>
    </row>
    <row r="45" spans="1:17">
      <c r="C45" s="2020"/>
      <c r="D45" s="2021"/>
      <c r="E45" s="2021"/>
      <c r="F45" s="2021"/>
      <c r="G45" s="2021"/>
      <c r="H45" s="2022"/>
      <c r="L45" s="1246"/>
      <c r="M45" s="1246"/>
      <c r="O45" s="1240"/>
    </row>
    <row r="46" spans="1:17">
      <c r="C46" s="2020"/>
      <c r="D46" s="2021"/>
      <c r="E46" s="2021"/>
      <c r="F46" s="2021"/>
      <c r="G46" s="2021"/>
      <c r="H46" s="2022"/>
      <c r="L46" s="1246"/>
      <c r="M46" s="1246"/>
      <c r="O46" s="1240"/>
    </row>
    <row r="47" spans="1:17">
      <c r="C47" s="2020"/>
      <c r="D47" s="2021"/>
      <c r="E47" s="2021"/>
      <c r="F47" s="2021"/>
      <c r="G47" s="2021"/>
      <c r="H47" s="2022"/>
      <c r="L47" s="1246"/>
      <c r="M47" s="1246"/>
      <c r="O47" s="1240"/>
    </row>
    <row r="48" spans="1:17">
      <c r="C48" s="2020"/>
      <c r="D48" s="2021"/>
      <c r="E48" s="2021"/>
      <c r="F48" s="2021"/>
      <c r="G48" s="2021"/>
      <c r="H48" s="2022"/>
      <c r="L48" s="1246"/>
      <c r="M48" s="1246"/>
      <c r="O48" s="1240"/>
    </row>
    <row r="49" spans="3:15">
      <c r="C49" s="2020"/>
      <c r="D49" s="2021"/>
      <c r="E49" s="2021"/>
      <c r="F49" s="2021"/>
      <c r="G49" s="2021"/>
      <c r="H49" s="2022"/>
      <c r="L49" s="1246"/>
      <c r="M49" s="1246"/>
      <c r="O49" s="1240"/>
    </row>
    <row r="50" spans="3:15">
      <c r="C50" s="2020"/>
      <c r="D50" s="2021"/>
      <c r="E50" s="2021"/>
      <c r="F50" s="2021"/>
      <c r="G50" s="2021"/>
      <c r="H50" s="2022"/>
      <c r="L50" s="1246"/>
      <c r="M50" s="1246"/>
      <c r="O50" s="1240"/>
    </row>
    <row r="51" spans="3:15">
      <c r="C51" s="2020"/>
      <c r="D51" s="2021"/>
      <c r="E51" s="2021"/>
      <c r="F51" s="2021"/>
      <c r="G51" s="2021"/>
      <c r="H51" s="2022"/>
      <c r="L51" s="1246"/>
      <c r="M51" s="1246"/>
      <c r="O51" s="1240"/>
    </row>
    <row r="52" spans="3:15">
      <c r="C52" s="2020"/>
      <c r="D52" s="2021"/>
      <c r="E52" s="2021"/>
      <c r="F52" s="2021"/>
      <c r="G52" s="2021"/>
      <c r="H52" s="2022"/>
      <c r="L52" s="1246"/>
      <c r="M52" s="1246"/>
      <c r="O52" s="1240"/>
    </row>
    <row r="53" spans="3:15">
      <c r="C53" s="2020"/>
      <c r="D53" s="2021"/>
      <c r="E53" s="2021"/>
      <c r="F53" s="2021"/>
      <c r="G53" s="2021"/>
      <c r="H53" s="2022"/>
      <c r="L53" s="1246"/>
      <c r="M53" s="1246"/>
      <c r="O53" s="1240"/>
    </row>
    <row r="54" spans="3:15">
      <c r="C54" s="2020"/>
      <c r="D54" s="2021"/>
      <c r="E54" s="2021"/>
      <c r="F54" s="2021"/>
      <c r="G54" s="2021"/>
      <c r="H54" s="2022"/>
      <c r="L54" s="1246"/>
      <c r="M54" s="1246"/>
      <c r="O54" s="1240"/>
    </row>
    <row r="55" spans="3:15">
      <c r="C55" s="2020"/>
      <c r="D55" s="2021"/>
      <c r="E55" s="2021"/>
      <c r="F55" s="2021"/>
      <c r="G55" s="2021"/>
      <c r="H55" s="2022"/>
      <c r="L55" s="1246"/>
      <c r="M55" s="1246"/>
      <c r="O55" s="1240"/>
    </row>
    <row r="56" spans="3:15">
      <c r="C56" s="2020"/>
      <c r="D56" s="2021"/>
      <c r="E56" s="2021"/>
      <c r="F56" s="2021"/>
      <c r="G56" s="2021"/>
      <c r="H56" s="2022"/>
      <c r="L56" s="1246"/>
      <c r="M56" s="1246"/>
      <c r="O56" s="1240"/>
    </row>
    <row r="57" spans="3:15">
      <c r="C57" s="2020"/>
      <c r="D57" s="2021"/>
      <c r="E57" s="2021"/>
      <c r="F57" s="2021"/>
      <c r="G57" s="2021"/>
      <c r="H57" s="2022"/>
      <c r="L57" s="1246"/>
      <c r="M57" s="1246"/>
      <c r="O57" s="1240"/>
    </row>
    <row r="58" spans="3:15">
      <c r="C58" s="2020"/>
      <c r="D58" s="2021"/>
      <c r="E58" s="2021"/>
      <c r="F58" s="2021"/>
      <c r="G58" s="2021"/>
      <c r="H58" s="2022"/>
      <c r="L58" s="1246"/>
      <c r="M58" s="1246"/>
      <c r="O58" s="1240"/>
    </row>
    <row r="59" spans="3:15">
      <c r="C59" s="2020"/>
      <c r="D59" s="2021"/>
      <c r="E59" s="2021"/>
      <c r="F59" s="2021"/>
      <c r="G59" s="2021"/>
      <c r="H59" s="2022"/>
      <c r="L59" s="1246"/>
      <c r="M59" s="1246"/>
      <c r="O59" s="1240"/>
    </row>
    <row r="60" spans="3:15">
      <c r="C60" s="2020"/>
      <c r="D60" s="2021"/>
      <c r="E60" s="2021"/>
      <c r="F60" s="2021"/>
      <c r="G60" s="2021"/>
      <c r="H60" s="2022"/>
      <c r="L60" s="1246"/>
      <c r="M60" s="1246"/>
      <c r="O60" s="1240"/>
    </row>
    <row r="61" spans="3:15" ht="15" thickBot="1">
      <c r="C61" s="2023"/>
      <c r="D61" s="2024"/>
      <c r="E61" s="2024"/>
      <c r="F61" s="2024"/>
      <c r="G61" s="2024"/>
      <c r="H61" s="2025"/>
      <c r="L61" s="1246"/>
      <c r="M61" s="1246"/>
      <c r="O61" s="1240"/>
    </row>
    <row r="62" spans="3:15">
      <c r="H62" s="1200"/>
      <c r="L62" s="1246"/>
      <c r="M62" s="1246"/>
      <c r="O62" s="1240"/>
    </row>
    <row r="63" spans="3:15">
      <c r="H63" s="1200"/>
      <c r="L63" s="1246"/>
      <c r="M63" s="1246"/>
      <c r="O63" s="1240"/>
    </row>
    <row r="64" spans="3:15">
      <c r="H64" s="1200"/>
    </row>
    <row r="65" spans="11:18" ht="16.5" customHeight="1">
      <c r="K65" s="1246"/>
      <c r="L65" s="1246"/>
      <c r="M65" s="1262"/>
      <c r="N65" s="1262"/>
    </row>
    <row r="66" spans="11:18">
      <c r="K66" s="1246"/>
      <c r="L66" s="1246"/>
      <c r="M66" s="1262"/>
      <c r="N66" s="1262"/>
    </row>
    <row r="67" spans="11:18">
      <c r="K67" s="1246"/>
      <c r="L67" s="1246"/>
      <c r="M67" s="1262"/>
      <c r="N67" s="1262"/>
    </row>
    <row r="68" spans="11:18">
      <c r="K68" s="1246"/>
      <c r="L68" s="1246"/>
      <c r="M68" s="1262"/>
      <c r="N68" s="1262"/>
    </row>
    <row r="70" spans="11:18" ht="16.5" customHeight="1">
      <c r="K70" s="1234"/>
      <c r="L70" s="1234"/>
      <c r="M70" s="1234"/>
      <c r="N70" s="1234"/>
      <c r="O70" s="1234"/>
      <c r="P70" s="1234"/>
      <c r="Q70" s="1234"/>
      <c r="R70" s="1234"/>
    </row>
    <row r="71" spans="11:18" ht="16.5" customHeight="1">
      <c r="K71" s="1234"/>
      <c r="L71" s="1234"/>
      <c r="M71" s="1234"/>
      <c r="N71" s="1234"/>
      <c r="O71" s="1234"/>
      <c r="P71" s="1234"/>
      <c r="Q71" s="1234"/>
      <c r="R71" s="1234"/>
    </row>
    <row r="72" spans="11:18">
      <c r="K72" s="1234"/>
      <c r="L72" s="1234"/>
      <c r="M72" s="1234"/>
      <c r="N72" s="1234"/>
      <c r="O72" s="1238"/>
      <c r="P72" s="1238"/>
      <c r="Q72" s="1238"/>
      <c r="R72" s="1238"/>
    </row>
    <row r="73" spans="11:18">
      <c r="K73" s="1240"/>
      <c r="L73" s="1240"/>
      <c r="M73" s="1240"/>
      <c r="N73" s="1240"/>
      <c r="O73" s="1262"/>
      <c r="P73" s="1262"/>
      <c r="Q73" s="1262"/>
      <c r="R73" s="1262"/>
    </row>
    <row r="74" spans="11:18">
      <c r="K74" s="1240"/>
      <c r="L74" s="1240"/>
      <c r="M74" s="1240"/>
      <c r="N74" s="1240"/>
      <c r="O74" s="1262"/>
      <c r="P74" s="1262"/>
      <c r="Q74" s="1262"/>
      <c r="R74" s="1262"/>
    </row>
    <row r="75" spans="11:18">
      <c r="K75" s="1240"/>
      <c r="L75" s="1240"/>
      <c r="M75" s="1240"/>
      <c r="N75" s="1240"/>
      <c r="O75" s="1262"/>
      <c r="P75" s="1262"/>
      <c r="Q75" s="1262"/>
      <c r="R75" s="1262"/>
    </row>
    <row r="76" spans="11:18">
      <c r="K76" s="1240"/>
      <c r="L76" s="1240"/>
      <c r="M76" s="1240"/>
      <c r="N76" s="1240"/>
      <c r="O76" s="1262"/>
      <c r="P76" s="1262"/>
      <c r="Q76" s="1262"/>
      <c r="R76" s="1262"/>
    </row>
    <row r="77" spans="11:18">
      <c r="K77" s="1240"/>
      <c r="L77" s="1240"/>
      <c r="M77" s="1240"/>
      <c r="N77" s="1240"/>
      <c r="O77" s="1262"/>
      <c r="P77" s="1262"/>
      <c r="Q77" s="1262"/>
      <c r="R77" s="1262"/>
    </row>
    <row r="78" spans="11:18">
      <c r="K78" s="1240"/>
      <c r="L78" s="1240"/>
      <c r="M78" s="1240"/>
      <c r="N78" s="1240"/>
      <c r="O78" s="1262"/>
      <c r="P78" s="1262"/>
      <c r="Q78" s="1262"/>
      <c r="R78" s="1262"/>
    </row>
    <row r="79" spans="11:18">
      <c r="K79" s="1240"/>
      <c r="L79" s="1240"/>
      <c r="M79" s="1240"/>
      <c r="N79" s="1240"/>
      <c r="O79" s="1262"/>
      <c r="P79" s="1262"/>
      <c r="Q79" s="1262"/>
      <c r="R79" s="1262"/>
    </row>
    <row r="80" spans="11:18">
      <c r="K80" s="1240"/>
      <c r="L80" s="1240"/>
      <c r="M80" s="1240"/>
      <c r="N80" s="1240"/>
      <c r="O80" s="1262"/>
      <c r="P80" s="1262"/>
      <c r="Q80" s="1262"/>
      <c r="R80" s="1262"/>
    </row>
    <row r="81" spans="11:23">
      <c r="K81" s="1240"/>
      <c r="L81" s="1240"/>
      <c r="M81" s="1240"/>
      <c r="N81" s="1240"/>
      <c r="O81" s="1262"/>
      <c r="P81" s="1262"/>
      <c r="Q81" s="1262"/>
      <c r="R81" s="1262"/>
    </row>
    <row r="82" spans="11:23">
      <c r="K82" s="1240"/>
      <c r="L82" s="1240"/>
      <c r="M82" s="1240"/>
      <c r="N82" s="1240"/>
      <c r="O82" s="1262"/>
      <c r="P82" s="1262"/>
      <c r="Q82" s="1262"/>
      <c r="R82" s="1262"/>
    </row>
    <row r="83" spans="11:23">
      <c r="K83" s="1240"/>
      <c r="L83" s="1240"/>
      <c r="M83" s="1240"/>
      <c r="N83" s="1240"/>
      <c r="O83" s="1262"/>
      <c r="P83" s="1262"/>
      <c r="Q83" s="1262"/>
      <c r="R83" s="1262"/>
    </row>
    <row r="84" spans="11:23">
      <c r="K84" s="1240"/>
      <c r="L84" s="1240"/>
      <c r="M84" s="1240"/>
      <c r="N84" s="1240"/>
      <c r="O84" s="1262"/>
      <c r="P84" s="1262"/>
      <c r="Q84" s="1262"/>
      <c r="R84" s="1262"/>
    </row>
    <row r="85" spans="11:23">
      <c r="K85" s="1240"/>
      <c r="L85" s="1240"/>
      <c r="M85" s="1240"/>
      <c r="N85" s="1240"/>
      <c r="O85" s="1262"/>
      <c r="P85" s="1262"/>
      <c r="Q85" s="1262"/>
      <c r="R85" s="1262"/>
    </row>
    <row r="86" spans="11:23">
      <c r="K86" s="1240"/>
      <c r="L86" s="1240"/>
      <c r="M86" s="1240"/>
      <c r="N86" s="1240"/>
      <c r="O86" s="1262"/>
      <c r="P86" s="1262"/>
      <c r="Q86" s="1262"/>
      <c r="R86" s="1262"/>
    </row>
    <row r="87" spans="11:23">
      <c r="K87" s="1240"/>
      <c r="L87" s="1240"/>
      <c r="M87" s="1240"/>
      <c r="N87" s="1240"/>
      <c r="O87" s="1262"/>
      <c r="P87" s="1262"/>
      <c r="Q87" s="1262"/>
      <c r="R87" s="1262"/>
    </row>
    <row r="88" spans="11:23">
      <c r="K88" s="1240"/>
      <c r="L88" s="1240"/>
      <c r="M88" s="1240"/>
      <c r="N88" s="1240"/>
      <c r="O88" s="1262"/>
      <c r="P88" s="1262"/>
      <c r="Q88" s="1262"/>
      <c r="R88" s="1262"/>
    </row>
    <row r="89" spans="11:23">
      <c r="K89" s="1240"/>
      <c r="L89" s="1240"/>
      <c r="M89" s="1240"/>
      <c r="N89" s="1240"/>
      <c r="O89" s="1262"/>
      <c r="P89" s="1262"/>
      <c r="Q89" s="1262"/>
      <c r="R89" s="1262"/>
    </row>
    <row r="91" spans="11:23" ht="16.5" customHeight="1">
      <c r="K91" s="1234"/>
      <c r="L91" s="1234"/>
      <c r="M91" s="1234"/>
      <c r="N91" s="1234"/>
      <c r="O91" s="1234"/>
      <c r="P91" s="1234"/>
      <c r="Q91" s="1234"/>
      <c r="R91" s="1234"/>
      <c r="S91" s="1234"/>
      <c r="T91" s="1234"/>
      <c r="U91" s="1234"/>
      <c r="V91" s="1234"/>
      <c r="W91" s="1234"/>
    </row>
    <row r="92" spans="11:23">
      <c r="K92" s="1234"/>
      <c r="L92" s="1234"/>
      <c r="M92" s="1234"/>
      <c r="N92" s="1234"/>
      <c r="O92" s="1234"/>
      <c r="P92" s="1255"/>
      <c r="Q92" s="1255"/>
      <c r="R92" s="1234"/>
      <c r="S92" s="1234"/>
      <c r="T92" s="1234"/>
      <c r="U92" s="1234"/>
      <c r="V92" s="1234"/>
      <c r="W92" s="1234"/>
    </row>
    <row r="93" spans="11:23">
      <c r="K93" s="1238"/>
      <c r="L93" s="1238"/>
      <c r="M93" s="1234"/>
      <c r="N93" s="1234"/>
      <c r="O93" s="1234"/>
      <c r="P93" s="1238"/>
      <c r="Q93" s="1238"/>
      <c r="R93" s="1238"/>
      <c r="S93" s="1238"/>
      <c r="T93" s="1238"/>
      <c r="U93" s="1238"/>
      <c r="V93" s="1238"/>
      <c r="W93" s="1238"/>
    </row>
    <row r="94" spans="11:23">
      <c r="K94" s="1262"/>
      <c r="L94" s="1262"/>
      <c r="M94" s="1262"/>
      <c r="N94" s="1262"/>
      <c r="O94" s="1262"/>
    </row>
    <row r="95" spans="11:23">
      <c r="K95" s="1262"/>
      <c r="L95" s="1262"/>
      <c r="M95" s="1262"/>
      <c r="N95" s="1262"/>
      <c r="O95" s="1262"/>
    </row>
  </sheetData>
  <sheetProtection formatCells="0" formatColumns="0" formatRows="0" insertColumns="0" insertRows="0" insertHyperlinks="0" deleteColumns="0" deleteRows="0" sort="0" autoFilter="0" pivotTables="0"/>
  <mergeCells count="20">
    <mergeCell ref="B2:H2"/>
    <mergeCell ref="K2:R2"/>
    <mergeCell ref="K3:L3"/>
    <mergeCell ref="M3:R3"/>
    <mergeCell ref="B4:H4"/>
    <mergeCell ref="K4:L13"/>
    <mergeCell ref="M4:R13"/>
    <mergeCell ref="C6:H6"/>
    <mergeCell ref="B7:C7"/>
    <mergeCell ref="D9:H9"/>
    <mergeCell ref="B31:G31"/>
    <mergeCell ref="C33:F33"/>
    <mergeCell ref="B34:C36"/>
    <mergeCell ref="C41:H61"/>
    <mergeCell ref="B12:G12"/>
    <mergeCell ref="B17:G17"/>
    <mergeCell ref="B19:G19"/>
    <mergeCell ref="C21:H21"/>
    <mergeCell ref="B27:G27"/>
    <mergeCell ref="B29:G29"/>
  </mergeCells>
  <printOptions horizontalCentered="1"/>
  <pageMargins left="0.70866141732283472" right="0.70866141732283472" top="0.74803149606299213" bottom="0.74803149606299213" header="0.31496062992125984" footer="0.31496062992125984"/>
  <pageSetup scale="67"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14"/>
  <dimension ref="B1:F75"/>
  <sheetViews>
    <sheetView view="pageBreakPreview" topLeftCell="A47" zoomScale="80" zoomScaleNormal="100" zoomScaleSheetLayoutView="80" workbookViewId="0">
      <selection activeCell="B50" sqref="B50"/>
    </sheetView>
  </sheetViews>
  <sheetFormatPr baseColWidth="10" defaultColWidth="11.44140625" defaultRowHeight="15.9" customHeight="1"/>
  <cols>
    <col min="1" max="1" width="6" style="105" customWidth="1"/>
    <col min="2" max="2" width="72" style="6" bestFit="1" customWidth="1"/>
    <col min="3" max="3" width="15.5546875" style="6" customWidth="1"/>
    <col min="4" max="4" width="25.5546875" style="6" customWidth="1"/>
    <col min="5" max="5" width="6.44140625" style="105" customWidth="1"/>
    <col min="6" max="6" width="15.44140625" style="105" bestFit="1" customWidth="1"/>
    <col min="7" max="16384" width="11.44140625" style="105"/>
  </cols>
  <sheetData>
    <row r="1" spans="2:6" ht="15.9" customHeight="1" thickBot="1"/>
    <row r="2" spans="2:6" ht="15.9" customHeight="1">
      <c r="B2" s="1842" t="str">
        <f>+PRESUPUESTO!D2</f>
        <v>"MEJORAMIENTO VIAL MEDIANTE LA CONSTRUCCIÓN DE PAVIMENTO RÍGIDO DE LA PRIMERA ETAPA DE LA VÍA QUE COMUNICA A LA VEREDA PONDORES EN EL CORREGIMIENTO DE CONEJO, MUNICIPIO DE FONSECA - DEPARTAMENTO DE LA GUAJIRA."</v>
      </c>
      <c r="C2" s="1843"/>
      <c r="D2" s="1844"/>
    </row>
    <row r="3" spans="2:6" ht="56.25" customHeight="1" thickBot="1">
      <c r="B3" s="1845"/>
      <c r="C3" s="1846"/>
      <c r="D3" s="1847"/>
    </row>
    <row r="4" spans="2:6" ht="15.9" customHeight="1" thickBot="1">
      <c r="B4" s="105"/>
      <c r="C4" s="105"/>
      <c r="D4" s="105"/>
    </row>
    <row r="5" spans="2:6" ht="15.9" customHeight="1">
      <c r="B5" s="2070" t="s">
        <v>76</v>
      </c>
      <c r="C5" s="2071"/>
      <c r="D5" s="2072"/>
    </row>
    <row r="6" spans="2:6" ht="25.5" customHeight="1" thickBot="1">
      <c r="B6" s="2073"/>
      <c r="C6" s="2074"/>
      <c r="D6" s="2075"/>
    </row>
    <row r="7" spans="2:6" ht="15.9" customHeight="1" thickBot="1">
      <c r="B7" s="105"/>
      <c r="C7" s="105"/>
      <c r="D7" s="105"/>
    </row>
    <row r="8" spans="2:6" ht="15.9" customHeight="1">
      <c r="B8" s="2078" t="s">
        <v>12</v>
      </c>
      <c r="C8" s="2076" t="s">
        <v>44</v>
      </c>
      <c r="D8" s="2080" t="s">
        <v>63</v>
      </c>
    </row>
    <row r="9" spans="2:6" ht="15.9" customHeight="1">
      <c r="B9" s="2079"/>
      <c r="C9" s="2077"/>
      <c r="D9" s="2081"/>
    </row>
    <row r="10" spans="2:6" ht="15.9" customHeight="1">
      <c r="B10" s="886"/>
      <c r="C10" s="887"/>
      <c r="D10" s="888"/>
    </row>
    <row r="11" spans="2:6" ht="15.9" customHeight="1">
      <c r="B11" s="889" t="s">
        <v>77</v>
      </c>
      <c r="C11" s="890"/>
      <c r="D11" s="891"/>
    </row>
    <row r="12" spans="2:6" ht="15.9" customHeight="1">
      <c r="B12" s="892" t="s">
        <v>110</v>
      </c>
      <c r="C12" s="893" t="s">
        <v>0</v>
      </c>
      <c r="D12" s="894">
        <v>50718.62</v>
      </c>
    </row>
    <row r="13" spans="2:6" ht="15.9" customHeight="1">
      <c r="B13" s="892" t="s">
        <v>114</v>
      </c>
      <c r="C13" s="893" t="s">
        <v>35</v>
      </c>
      <c r="D13" s="894">
        <v>700</v>
      </c>
      <c r="F13" s="195">
        <f>33000/50</f>
        <v>660</v>
      </c>
    </row>
    <row r="14" spans="2:6" ht="15.9" customHeight="1">
      <c r="B14" s="892" t="s">
        <v>464</v>
      </c>
      <c r="C14" s="893" t="s">
        <v>0</v>
      </c>
      <c r="D14" s="894">
        <v>85000</v>
      </c>
    </row>
    <row r="15" spans="2:6" ht="15.9" customHeight="1">
      <c r="B15" s="892" t="s">
        <v>115</v>
      </c>
      <c r="C15" s="893" t="s">
        <v>0</v>
      </c>
      <c r="D15" s="894">
        <v>65000</v>
      </c>
    </row>
    <row r="16" spans="2:6" ht="13.2">
      <c r="B16" s="895" t="s">
        <v>547</v>
      </c>
      <c r="C16" s="893" t="s">
        <v>0</v>
      </c>
      <c r="D16" s="894">
        <v>75000</v>
      </c>
    </row>
    <row r="17" spans="2:6" ht="15.9" customHeight="1">
      <c r="B17" s="892" t="s">
        <v>78</v>
      </c>
      <c r="C17" s="893" t="s">
        <v>40</v>
      </c>
      <c r="D17" s="894">
        <v>192.9</v>
      </c>
    </row>
    <row r="18" spans="2:6" ht="15.9" customHeight="1">
      <c r="B18" s="892" t="s">
        <v>186</v>
      </c>
      <c r="C18" s="893" t="s">
        <v>0</v>
      </c>
      <c r="D18" s="894">
        <v>42000</v>
      </c>
    </row>
    <row r="19" spans="2:6" ht="15.9" customHeight="1">
      <c r="B19" s="895" t="s">
        <v>475</v>
      </c>
      <c r="C19" s="893" t="s">
        <v>417</v>
      </c>
      <c r="D19" s="894">
        <v>60000</v>
      </c>
      <c r="F19" s="736"/>
    </row>
    <row r="20" spans="2:6" ht="15.9" customHeight="1">
      <c r="B20" s="895" t="s">
        <v>744</v>
      </c>
      <c r="C20" s="893" t="s">
        <v>417</v>
      </c>
      <c r="D20" s="894">
        <v>31292.725640417098</v>
      </c>
    </row>
    <row r="21" spans="2:6" ht="15.9" customHeight="1">
      <c r="B21" s="895" t="s">
        <v>453</v>
      </c>
      <c r="C21" s="893" t="s">
        <v>417</v>
      </c>
      <c r="D21" s="894">
        <v>51806.380088648497</v>
      </c>
    </row>
    <row r="22" spans="2:6" ht="15.9" customHeight="1">
      <c r="B22" s="889" t="s">
        <v>81</v>
      </c>
      <c r="C22" s="890"/>
      <c r="D22" s="891"/>
    </row>
    <row r="23" spans="2:6" ht="15.9" customHeight="1">
      <c r="B23" s="892" t="s">
        <v>47</v>
      </c>
      <c r="C23" s="893" t="s">
        <v>44</v>
      </c>
      <c r="D23" s="894">
        <v>600</v>
      </c>
    </row>
    <row r="24" spans="2:6" ht="15.9" customHeight="1">
      <c r="B24" s="892" t="s">
        <v>58</v>
      </c>
      <c r="C24" s="893" t="s">
        <v>33</v>
      </c>
      <c r="D24" s="894">
        <v>18500</v>
      </c>
    </row>
    <row r="25" spans="2:6" ht="15.9" customHeight="1">
      <c r="B25" s="892" t="s">
        <v>555</v>
      </c>
      <c r="C25" s="893" t="s">
        <v>33</v>
      </c>
      <c r="D25" s="894">
        <v>7949.1121038601104</v>
      </c>
    </row>
    <row r="26" spans="2:6" ht="15.9" customHeight="1">
      <c r="B26" s="889" t="s">
        <v>82</v>
      </c>
      <c r="C26" s="890"/>
      <c r="D26" s="891"/>
    </row>
    <row r="27" spans="2:6" ht="15.9" customHeight="1">
      <c r="B27" s="892" t="s">
        <v>91</v>
      </c>
      <c r="C27" s="893" t="s">
        <v>48</v>
      </c>
      <c r="D27" s="894">
        <v>3500</v>
      </c>
    </row>
    <row r="28" spans="2:6" ht="15.9" customHeight="1">
      <c r="B28" s="896" t="s">
        <v>468</v>
      </c>
      <c r="C28" s="897" t="s">
        <v>102</v>
      </c>
      <c r="D28" s="898">
        <v>6541.0923174372601</v>
      </c>
    </row>
    <row r="29" spans="2:6" ht="15.9" customHeight="1">
      <c r="B29" s="896" t="s">
        <v>469</v>
      </c>
      <c r="C29" s="897" t="s">
        <v>471</v>
      </c>
      <c r="D29" s="898">
        <v>34301.424641850303</v>
      </c>
    </row>
    <row r="30" spans="2:6" ht="15.9" customHeight="1">
      <c r="B30" s="896" t="s">
        <v>470</v>
      </c>
      <c r="C30" s="897" t="s">
        <v>471</v>
      </c>
      <c r="D30" s="898">
        <v>71856.739077102102</v>
      </c>
    </row>
    <row r="31" spans="2:6" ht="15.9" customHeight="1">
      <c r="B31" s="896" t="s">
        <v>582</v>
      </c>
      <c r="C31" s="897" t="s">
        <v>471</v>
      </c>
      <c r="D31" s="898">
        <f>70064.4431373494</f>
        <v>70064.443137349401</v>
      </c>
    </row>
    <row r="32" spans="2:6" ht="15.9" customHeight="1">
      <c r="B32" s="896" t="s">
        <v>463</v>
      </c>
      <c r="C32" s="897" t="s">
        <v>434</v>
      </c>
      <c r="D32" s="899">
        <v>630000</v>
      </c>
    </row>
    <row r="33" spans="2:4" ht="15.9" customHeight="1">
      <c r="B33" s="889" t="s">
        <v>84</v>
      </c>
      <c r="C33" s="890"/>
      <c r="D33" s="891"/>
    </row>
    <row r="34" spans="2:4" ht="15.9" customHeight="1">
      <c r="B34" s="892" t="s">
        <v>556</v>
      </c>
      <c r="C34" s="893" t="s">
        <v>35</v>
      </c>
      <c r="D34" s="894">
        <v>8900</v>
      </c>
    </row>
    <row r="35" spans="2:4" ht="15.9" customHeight="1">
      <c r="B35" s="892" t="s">
        <v>97</v>
      </c>
      <c r="C35" s="893" t="s">
        <v>35</v>
      </c>
      <c r="D35" s="894">
        <v>10800</v>
      </c>
    </row>
    <row r="36" spans="2:4" ht="15.9" customHeight="1">
      <c r="B36" s="892" t="s">
        <v>581</v>
      </c>
      <c r="C36" s="893" t="s">
        <v>35</v>
      </c>
      <c r="D36" s="894">
        <v>7150</v>
      </c>
    </row>
    <row r="37" spans="2:4" ht="15.75" customHeight="1">
      <c r="B37" s="892" t="s">
        <v>707</v>
      </c>
      <c r="C37" s="893" t="s">
        <v>35</v>
      </c>
      <c r="D37" s="894">
        <v>7200</v>
      </c>
    </row>
    <row r="38" spans="2:4" ht="15.75" customHeight="1">
      <c r="B38" s="892" t="s">
        <v>557</v>
      </c>
      <c r="C38" s="893" t="s">
        <v>35</v>
      </c>
      <c r="D38" s="894">
        <v>7200</v>
      </c>
    </row>
    <row r="39" spans="2:4" ht="15.9" customHeight="1">
      <c r="B39" s="900" t="s">
        <v>135</v>
      </c>
      <c r="C39" s="901" t="s">
        <v>35</v>
      </c>
      <c r="D39" s="902">
        <v>6500</v>
      </c>
    </row>
    <row r="40" spans="2:4" ht="15.9" customHeight="1">
      <c r="B40" s="889" t="s">
        <v>83</v>
      </c>
      <c r="C40" s="890"/>
      <c r="D40" s="891"/>
    </row>
    <row r="41" spans="2:4" ht="15.9" customHeight="1">
      <c r="B41" s="892" t="s">
        <v>111</v>
      </c>
      <c r="C41" s="893" t="s">
        <v>44</v>
      </c>
      <c r="D41" s="894">
        <v>30500</v>
      </c>
    </row>
    <row r="42" spans="2:4" ht="15.9" customHeight="1">
      <c r="B42" s="892" t="s">
        <v>465</v>
      </c>
      <c r="C42" s="893" t="s">
        <v>44</v>
      </c>
      <c r="D42" s="894">
        <v>402000</v>
      </c>
    </row>
    <row r="43" spans="2:4" ht="15.9" customHeight="1">
      <c r="B43" s="892" t="s">
        <v>447</v>
      </c>
      <c r="C43" s="893" t="s">
        <v>44</v>
      </c>
      <c r="D43" s="903">
        <v>710000</v>
      </c>
    </row>
    <row r="44" spans="2:4" ht="15.9" customHeight="1">
      <c r="B44" s="892" t="s">
        <v>448</v>
      </c>
      <c r="C44" s="893" t="s">
        <v>442</v>
      </c>
      <c r="D44" s="903">
        <v>1663.08377625968</v>
      </c>
    </row>
    <row r="45" spans="2:4" ht="15.9" customHeight="1">
      <c r="B45" s="892" t="s">
        <v>561</v>
      </c>
      <c r="C45" s="893" t="s">
        <v>417</v>
      </c>
      <c r="D45" s="903">
        <v>385764.3</v>
      </c>
    </row>
    <row r="46" spans="2:4" ht="15.9" customHeight="1">
      <c r="B46" s="892" t="s">
        <v>554</v>
      </c>
      <c r="C46" s="893" t="s">
        <v>35</v>
      </c>
      <c r="D46" s="903">
        <v>17800</v>
      </c>
    </row>
    <row r="47" spans="2:4" ht="15.9" customHeight="1">
      <c r="B47" s="892" t="s">
        <v>449</v>
      </c>
      <c r="C47" s="893" t="s">
        <v>442</v>
      </c>
      <c r="D47" s="903">
        <v>4800</v>
      </c>
    </row>
    <row r="48" spans="2:4" ht="15.9" customHeight="1">
      <c r="B48" s="896" t="s">
        <v>473</v>
      </c>
      <c r="C48" s="897" t="s">
        <v>44</v>
      </c>
      <c r="D48" s="899">
        <v>143728.51</v>
      </c>
    </row>
    <row r="49" spans="2:4" ht="15.9" customHeight="1">
      <c r="B49" s="896" t="s">
        <v>474</v>
      </c>
      <c r="C49" s="897" t="s">
        <v>44</v>
      </c>
      <c r="D49" s="899">
        <v>143904.03098362</v>
      </c>
    </row>
    <row r="50" spans="2:4" ht="14.25" customHeight="1">
      <c r="B50" s="896" t="s">
        <v>466</v>
      </c>
      <c r="C50" s="897" t="s">
        <v>44</v>
      </c>
      <c r="D50" s="899">
        <v>140000</v>
      </c>
    </row>
    <row r="51" spans="2:4" ht="14.25" customHeight="1">
      <c r="B51" s="896" t="s">
        <v>550</v>
      </c>
      <c r="C51" s="897" t="s">
        <v>0</v>
      </c>
      <c r="D51" s="899">
        <v>7544.79</v>
      </c>
    </row>
    <row r="52" spans="2:4" ht="14.25" customHeight="1">
      <c r="B52" s="896" t="s">
        <v>681</v>
      </c>
      <c r="C52" s="897" t="s">
        <v>44</v>
      </c>
      <c r="D52" s="899">
        <v>7250</v>
      </c>
    </row>
    <row r="53" spans="2:4" ht="14.25" customHeight="1">
      <c r="B53" s="896" t="s">
        <v>682</v>
      </c>
      <c r="C53" s="897" t="s">
        <v>35</v>
      </c>
      <c r="D53" s="899">
        <v>7950</v>
      </c>
    </row>
    <row r="54" spans="2:4" ht="14.25" customHeight="1">
      <c r="B54" s="896"/>
      <c r="C54" s="897"/>
      <c r="D54" s="899"/>
    </row>
    <row r="55" spans="2:4" ht="14.25" customHeight="1">
      <c r="B55" s="896"/>
      <c r="C55" s="897"/>
      <c r="D55" s="899"/>
    </row>
    <row r="56" spans="2:4" ht="14.25" customHeight="1">
      <c r="B56" s="896"/>
      <c r="C56" s="897"/>
      <c r="D56" s="899"/>
    </row>
    <row r="57" spans="2:4" ht="14.25" customHeight="1">
      <c r="B57" s="896"/>
      <c r="C57" s="897"/>
      <c r="D57" s="899"/>
    </row>
    <row r="58" spans="2:4" ht="14.25" customHeight="1">
      <c r="B58" s="896"/>
      <c r="C58" s="897"/>
      <c r="D58" s="899"/>
    </row>
    <row r="59" spans="2:4" ht="14.25" customHeight="1">
      <c r="B59" s="896"/>
      <c r="C59" s="897"/>
      <c r="D59" s="899"/>
    </row>
    <row r="60" spans="2:4" ht="14.25" customHeight="1">
      <c r="B60" s="896"/>
      <c r="C60" s="897"/>
      <c r="D60" s="899"/>
    </row>
    <row r="61" spans="2:4" ht="14.25" customHeight="1">
      <c r="B61" s="896"/>
      <c r="C61" s="897"/>
      <c r="D61" s="899"/>
    </row>
    <row r="62" spans="2:4" ht="14.25" customHeight="1" thickBot="1">
      <c r="B62" s="904"/>
      <c r="C62" s="905"/>
      <c r="D62" s="906"/>
    </row>
    <row r="63" spans="2:4" ht="14.25" customHeight="1">
      <c r="B63" s="191"/>
      <c r="C63" s="571"/>
      <c r="D63" s="681"/>
    </row>
    <row r="64" spans="2:4" ht="14.25" customHeight="1">
      <c r="B64" s="191"/>
      <c r="C64" s="571"/>
      <c r="D64" s="681"/>
    </row>
    <row r="65" spans="2:5" ht="14.25" customHeight="1">
      <c r="B65" s="191"/>
      <c r="C65" s="571"/>
      <c r="D65" s="681"/>
    </row>
    <row r="66" spans="2:5" ht="14.25" customHeight="1">
      <c r="B66" s="105"/>
      <c r="C66" s="105"/>
      <c r="D66" s="105"/>
    </row>
    <row r="67" spans="2:5" ht="14.25" customHeight="1">
      <c r="B67" s="105"/>
      <c r="C67" s="117"/>
      <c r="D67" s="105"/>
    </row>
    <row r="68" spans="2:5" ht="15.9" customHeight="1">
      <c r="B68" s="127"/>
      <c r="C68" s="117"/>
      <c r="D68" s="105"/>
    </row>
    <row r="69" spans="2:5" ht="15.9" customHeight="1">
      <c r="B69" s="552" t="str">
        <f>+PRESUPUESTO!B52</f>
        <v>JESUS EDUARDO ROBLES SMITH</v>
      </c>
      <c r="C69" s="117"/>
      <c r="D69" s="105"/>
    </row>
    <row r="70" spans="2:5" ht="15.9" customHeight="1">
      <c r="B70" s="551" t="str">
        <f>+PRESUPUESTO!B53</f>
        <v>INGENIERO CIVIL</v>
      </c>
      <c r="C70" s="120"/>
      <c r="D70" s="105"/>
    </row>
    <row r="71" spans="2:5" ht="15.9" customHeight="1">
      <c r="B71" s="551" t="str">
        <f>+PRESUPUESTO!B54</f>
        <v>M.P. 25202-316144 CND</v>
      </c>
      <c r="C71" s="120"/>
      <c r="D71" s="105"/>
    </row>
    <row r="72" spans="2:5" ht="15.9" customHeight="1">
      <c r="B72" s="1848"/>
      <c r="C72" s="1848"/>
      <c r="D72" s="1848"/>
    </row>
    <row r="73" spans="2:5" ht="15.9" customHeight="1">
      <c r="B73" s="225"/>
      <c r="C73" s="338"/>
      <c r="D73" s="335"/>
      <c r="E73" s="120"/>
    </row>
    <row r="74" spans="2:5" ht="15.9" customHeight="1">
      <c r="B74" s="225"/>
      <c r="C74" s="335"/>
      <c r="D74" s="335"/>
      <c r="E74" s="120"/>
    </row>
    <row r="75" spans="2:5" ht="15.9" customHeight="1">
      <c r="B75" s="120"/>
      <c r="C75" s="120"/>
      <c r="D75" s="105"/>
    </row>
  </sheetData>
  <mergeCells count="6">
    <mergeCell ref="B2:D3"/>
    <mergeCell ref="B72:D72"/>
    <mergeCell ref="B5:D6"/>
    <mergeCell ref="C8:C9"/>
    <mergeCell ref="B8:B9"/>
    <mergeCell ref="D8:D9"/>
  </mergeCells>
  <phoneticPr fontId="76" type="noConversion"/>
  <printOptions horizontalCentered="1"/>
  <pageMargins left="0.59055118110236227" right="0.59055118110236227" top="0.98425196850393704" bottom="0.98425196850393704" header="0.59055118110236227" footer="0.59055118110236227"/>
  <pageSetup scale="51"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F41"/>
  <sheetViews>
    <sheetView view="pageBreakPreview" topLeftCell="A31" zoomScale="115" zoomScaleNormal="100" zoomScaleSheetLayoutView="115" workbookViewId="0">
      <selection activeCell="D13" sqref="D13"/>
    </sheetView>
  </sheetViews>
  <sheetFormatPr baseColWidth="10" defaultColWidth="11.44140625" defaultRowHeight="13.2"/>
  <cols>
    <col min="1" max="1" width="4.88671875" customWidth="1"/>
    <col min="2" max="2" width="42.88671875" customWidth="1"/>
    <col min="3" max="3" width="5.6640625" customWidth="1"/>
    <col min="4" max="4" width="12.109375" bestFit="1" customWidth="1"/>
    <col min="5" max="5" width="4.5546875" customWidth="1"/>
  </cols>
  <sheetData>
    <row r="1" spans="1:5" ht="13.8" thickBot="1">
      <c r="A1" s="105"/>
      <c r="B1" s="6"/>
      <c r="C1" s="6"/>
      <c r="D1" s="6"/>
      <c r="E1" s="105"/>
    </row>
    <row r="2" spans="1:5" ht="32.25" customHeight="1">
      <c r="A2" s="105"/>
      <c r="B2" s="2082" t="str">
        <f>+PRESUPUESTO!D2</f>
        <v>"MEJORAMIENTO VIAL MEDIANTE LA CONSTRUCCIÓN DE PAVIMENTO RÍGIDO DE LA PRIMERA ETAPA DE LA VÍA QUE COMUNICA A LA VEREDA PONDORES EN EL CORREGIMIENTO DE CONEJO, MUNICIPIO DE FONSECA - DEPARTAMENTO DE LA GUAJIRA."</v>
      </c>
      <c r="C2" s="2083"/>
      <c r="D2" s="2084"/>
      <c r="E2" s="105"/>
    </row>
    <row r="3" spans="1:5" ht="24.75" customHeight="1" thickBot="1">
      <c r="A3" s="105"/>
      <c r="B3" s="2085"/>
      <c r="C3" s="2086"/>
      <c r="D3" s="2087"/>
      <c r="E3" s="105"/>
    </row>
    <row r="4" spans="1:5" ht="13.8" thickBot="1">
      <c r="A4" s="105"/>
      <c r="B4" s="105"/>
      <c r="C4" s="105"/>
      <c r="D4" s="105"/>
      <c r="E4" s="105"/>
    </row>
    <row r="5" spans="1:5">
      <c r="A5" s="105"/>
      <c r="B5" s="1849" t="s">
        <v>409</v>
      </c>
      <c r="C5" s="1850"/>
      <c r="D5" s="1851"/>
      <c r="E5" s="105"/>
    </row>
    <row r="6" spans="1:5" ht="13.8" thickBot="1">
      <c r="A6" s="105"/>
      <c r="B6" s="1852"/>
      <c r="C6" s="1853"/>
      <c r="D6" s="1854"/>
      <c r="E6" s="105"/>
    </row>
    <row r="7" spans="1:5" ht="13.8" thickBot="1">
      <c r="A7" s="105"/>
      <c r="B7" s="105"/>
      <c r="C7" s="105"/>
      <c r="D7" s="105"/>
      <c r="E7" s="105"/>
    </row>
    <row r="8" spans="1:5">
      <c r="A8" s="105"/>
      <c r="B8" s="1857" t="s">
        <v>12</v>
      </c>
      <c r="C8" s="1855" t="s">
        <v>44</v>
      </c>
      <c r="D8" s="1859" t="s">
        <v>87</v>
      </c>
      <c r="E8" s="105"/>
    </row>
    <row r="9" spans="1:5" ht="13.8" thickBot="1">
      <c r="A9" s="105"/>
      <c r="B9" s="1858"/>
      <c r="C9" s="1856"/>
      <c r="D9" s="1860"/>
      <c r="E9" s="105"/>
    </row>
    <row r="10" spans="1:5" ht="13.8" thickTop="1">
      <c r="A10" s="105"/>
      <c r="B10" s="933" t="s">
        <v>568</v>
      </c>
      <c r="C10" s="196"/>
      <c r="D10" s="371"/>
      <c r="E10" s="105"/>
    </row>
    <row r="11" spans="1:5">
      <c r="A11" s="105"/>
      <c r="B11" s="1151" t="s">
        <v>429</v>
      </c>
      <c r="C11" s="932" t="s">
        <v>189</v>
      </c>
      <c r="D11" s="1012">
        <v>13</v>
      </c>
      <c r="E11" s="105"/>
    </row>
    <row r="12" spans="1:5">
      <c r="A12" s="105"/>
      <c r="B12" s="1151" t="s">
        <v>410</v>
      </c>
      <c r="C12" s="932" t="s">
        <v>189</v>
      </c>
      <c r="D12" s="1012">
        <f>89.7</f>
        <v>89.7</v>
      </c>
      <c r="E12" s="105"/>
    </row>
    <row r="13" spans="1:5">
      <c r="A13" s="105"/>
      <c r="B13" s="1151" t="s">
        <v>411</v>
      </c>
      <c r="C13" s="932" t="s">
        <v>189</v>
      </c>
      <c r="D13" s="1012">
        <f>+D12</f>
        <v>89.7</v>
      </c>
      <c r="E13" s="105"/>
    </row>
    <row r="14" spans="1:5">
      <c r="A14" s="105"/>
      <c r="B14" s="1151" t="s">
        <v>412</v>
      </c>
      <c r="C14" s="932" t="s">
        <v>189</v>
      </c>
      <c r="D14" s="1012">
        <f>+D13</f>
        <v>89.7</v>
      </c>
      <c r="E14" s="105"/>
    </row>
    <row r="15" spans="1:5">
      <c r="A15" s="105"/>
      <c r="B15" s="1151" t="s">
        <v>413</v>
      </c>
      <c r="C15" s="932" t="s">
        <v>189</v>
      </c>
      <c r="D15" s="1012">
        <v>15.6</v>
      </c>
      <c r="E15" s="105"/>
    </row>
    <row r="16" spans="1:5">
      <c r="A16" s="105"/>
      <c r="B16" s="1151" t="s">
        <v>746</v>
      </c>
      <c r="C16" s="932" t="s">
        <v>189</v>
      </c>
      <c r="D16" s="1012">
        <f>+D14</f>
        <v>89.7</v>
      </c>
      <c r="E16" s="105"/>
    </row>
    <row r="17" spans="1:6">
      <c r="A17" s="105"/>
      <c r="B17" s="1151" t="s">
        <v>744</v>
      </c>
      <c r="C17" s="932" t="s">
        <v>189</v>
      </c>
      <c r="D17" s="1012">
        <f>+D16</f>
        <v>89.7</v>
      </c>
      <c r="E17" s="105"/>
    </row>
    <row r="18" spans="1:6" ht="13.8" thickBot="1">
      <c r="A18" s="105"/>
      <c r="B18" s="1170" t="s">
        <v>37</v>
      </c>
      <c r="C18" s="1171" t="s">
        <v>88</v>
      </c>
      <c r="D18" s="1172">
        <v>15.6</v>
      </c>
      <c r="E18" s="105"/>
    </row>
    <row r="19" spans="1:6" ht="13.8" thickBot="1">
      <c r="A19" s="105"/>
      <c r="B19" s="105"/>
      <c r="C19" s="571"/>
      <c r="D19" s="572"/>
      <c r="E19" s="105"/>
    </row>
    <row r="20" spans="1:6">
      <c r="A20" s="105"/>
      <c r="B20" s="1287" t="s">
        <v>12</v>
      </c>
      <c r="C20" s="1284" t="s">
        <v>44</v>
      </c>
      <c r="D20" s="1285" t="s">
        <v>63</v>
      </c>
      <c r="E20" s="105"/>
    </row>
    <row r="21" spans="1:6">
      <c r="A21" s="105"/>
      <c r="B21" s="1155" t="s">
        <v>694</v>
      </c>
      <c r="C21" s="932" t="s">
        <v>695</v>
      </c>
      <c r="D21" s="1288">
        <v>1400</v>
      </c>
      <c r="E21" s="105"/>
    </row>
    <row r="22" spans="1:6">
      <c r="A22" s="105"/>
      <c r="B22" s="1155" t="s">
        <v>696</v>
      </c>
      <c r="C22" s="932" t="s">
        <v>695</v>
      </c>
      <c r="D22" s="1288">
        <v>1200</v>
      </c>
      <c r="E22" s="105"/>
    </row>
    <row r="23" spans="1:6">
      <c r="A23" s="105"/>
      <c r="B23" s="1155" t="s">
        <v>697</v>
      </c>
      <c r="C23" s="932" t="s">
        <v>695</v>
      </c>
      <c r="D23" s="1288">
        <v>1400</v>
      </c>
      <c r="E23" s="105"/>
      <c r="F23" s="1346"/>
    </row>
    <row r="24" spans="1:6">
      <c r="A24" s="105"/>
      <c r="B24" s="1155" t="s">
        <v>698</v>
      </c>
      <c r="C24" s="932" t="s">
        <v>695</v>
      </c>
      <c r="D24" s="1288">
        <v>1200</v>
      </c>
      <c r="E24" s="105"/>
    </row>
    <row r="25" spans="1:6">
      <c r="A25" s="105"/>
      <c r="B25" s="1155" t="s">
        <v>699</v>
      </c>
      <c r="C25" s="932" t="s">
        <v>695</v>
      </c>
      <c r="D25" s="1288">
        <v>1400</v>
      </c>
      <c r="E25" s="105"/>
    </row>
    <row r="26" spans="1:6">
      <c r="A26" s="105"/>
      <c r="B26" s="1155" t="s">
        <v>745</v>
      </c>
      <c r="C26" s="932" t="s">
        <v>695</v>
      </c>
      <c r="D26" s="1288">
        <f>+D25</f>
        <v>1400</v>
      </c>
      <c r="E26" s="105"/>
    </row>
    <row r="27" spans="1:6">
      <c r="A27" s="105"/>
      <c r="B27" s="1155" t="s">
        <v>700</v>
      </c>
      <c r="C27" s="932" t="s">
        <v>695</v>
      </c>
      <c r="D27" s="1288">
        <v>1400</v>
      </c>
      <c r="E27" s="105"/>
    </row>
    <row r="28" spans="1:6">
      <c r="A28" s="105"/>
      <c r="B28" s="1155" t="s">
        <v>701</v>
      </c>
      <c r="C28" s="932" t="s">
        <v>189</v>
      </c>
      <c r="D28" s="1288">
        <v>0.48</v>
      </c>
      <c r="E28" s="105"/>
    </row>
    <row r="29" spans="1:6" ht="13.8" thickBot="1">
      <c r="A29" s="105"/>
      <c r="B29" s="1289" t="s">
        <v>702</v>
      </c>
      <c r="C29" s="1171" t="s">
        <v>189</v>
      </c>
      <c r="D29" s="1290">
        <f>1</f>
        <v>1</v>
      </c>
      <c r="E29" s="105"/>
    </row>
    <row r="30" spans="1:6">
      <c r="A30" s="105"/>
      <c r="B30" s="105"/>
      <c r="C30" s="571"/>
      <c r="D30" s="572"/>
      <c r="E30" s="105"/>
    </row>
    <row r="31" spans="1:6">
      <c r="A31" s="105"/>
      <c r="B31" s="105"/>
      <c r="C31" s="571"/>
      <c r="D31" s="572"/>
      <c r="E31" s="105"/>
    </row>
    <row r="32" spans="1:6">
      <c r="A32" s="105"/>
      <c r="B32" s="105"/>
      <c r="C32" s="571"/>
      <c r="D32" s="572"/>
      <c r="E32" s="105"/>
    </row>
    <row r="33" spans="1:5">
      <c r="A33" s="105"/>
      <c r="B33" s="105"/>
      <c r="C33" s="571"/>
      <c r="D33" s="572"/>
      <c r="E33" s="105"/>
    </row>
    <row r="34" spans="1:5">
      <c r="A34" s="105"/>
      <c r="B34" s="105"/>
      <c r="C34" s="571"/>
      <c r="D34" s="572"/>
      <c r="E34" s="105"/>
    </row>
    <row r="35" spans="1:5">
      <c r="A35" s="105"/>
      <c r="B35" s="105"/>
      <c r="C35" s="571"/>
      <c r="D35" s="572"/>
      <c r="E35" s="105"/>
    </row>
    <row r="36" spans="1:5">
      <c r="A36" s="105"/>
      <c r="B36" s="105"/>
      <c r="C36" s="571"/>
      <c r="D36" s="572"/>
      <c r="E36" s="105"/>
    </row>
    <row r="37" spans="1:5">
      <c r="A37" s="105"/>
      <c r="B37" s="105"/>
      <c r="C37" s="105"/>
      <c r="D37" s="105"/>
      <c r="E37" s="105"/>
    </row>
    <row r="38" spans="1:5">
      <c r="A38" s="105"/>
      <c r="B38" s="126"/>
      <c r="C38" s="117"/>
      <c r="D38" s="105"/>
      <c r="E38" s="105"/>
    </row>
    <row r="39" spans="1:5">
      <c r="A39" s="105"/>
      <c r="B39" s="552" t="str">
        <f>+PRESUPUESTO!B52</f>
        <v>JESUS EDUARDO ROBLES SMITH</v>
      </c>
      <c r="C39" s="120"/>
      <c r="D39" s="105"/>
      <c r="E39" s="105"/>
    </row>
    <row r="40" spans="1:5">
      <c r="A40" s="105"/>
      <c r="B40" s="551" t="str">
        <f>+PRESUPUESTO!B53</f>
        <v>INGENIERO CIVIL</v>
      </c>
      <c r="C40" s="120"/>
      <c r="D40" s="105"/>
      <c r="E40" s="105"/>
    </row>
    <row r="41" spans="1:5">
      <c r="A41" s="105"/>
      <c r="B41" s="551" t="str">
        <f>+PRESUPUESTO!B54</f>
        <v>M.P. 25202-316144 CND</v>
      </c>
      <c r="C41" s="120"/>
      <c r="D41" s="105"/>
      <c r="E41" s="105"/>
    </row>
  </sheetData>
  <mergeCells count="5">
    <mergeCell ref="B2:D3"/>
    <mergeCell ref="B5:D6"/>
    <mergeCell ref="B8:B9"/>
    <mergeCell ref="C8:C9"/>
    <mergeCell ref="D8:D9"/>
  </mergeCells>
  <printOptions horizontalCentered="1" verticalCentered="1"/>
  <pageMargins left="0.70866141732283472" right="0.70866141732283472" top="0.74803149606299213" bottom="0.74803149606299213" header="0.31496062992125984" footer="0.31496062992125984"/>
  <pageSetup paperSize="9" orientation="portrait" r:id="rId1"/>
  <ignoredErrors>
    <ignoredError sqref="B2" unlockedFormula="1"/>
    <ignoredError sqref="D26" formula="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G134"/>
  <sheetViews>
    <sheetView view="pageBreakPreview" topLeftCell="A117" zoomScaleNormal="100" zoomScaleSheetLayoutView="100" workbookViewId="0">
      <selection activeCell="A10" sqref="A10"/>
    </sheetView>
  </sheetViews>
  <sheetFormatPr baseColWidth="10" defaultColWidth="9.109375" defaultRowHeight="13.2"/>
  <cols>
    <col min="1" max="1" width="20.5546875" style="945" customWidth="1"/>
    <col min="2" max="6" width="12.5546875" style="945" customWidth="1"/>
    <col min="7" max="7" width="15.5546875" style="945" customWidth="1"/>
    <col min="8" max="16384" width="9.109375" style="945"/>
  </cols>
  <sheetData>
    <row r="1" spans="1:7">
      <c r="A1" s="942"/>
      <c r="B1" s="943"/>
      <c r="C1" s="944"/>
      <c r="D1" s="942"/>
      <c r="E1" s="943"/>
      <c r="F1" s="943"/>
      <c r="G1" s="944"/>
    </row>
    <row r="2" spans="1:7">
      <c r="A2" s="1876"/>
      <c r="B2" s="1877"/>
      <c r="C2" s="1878"/>
      <c r="D2" s="946"/>
      <c r="E2" s="947"/>
      <c r="F2" s="947"/>
      <c r="G2" s="948"/>
    </row>
    <row r="3" spans="1:7">
      <c r="A3" s="1876"/>
      <c r="B3" s="1877"/>
      <c r="C3" s="1878"/>
      <c r="D3" s="1876" t="s">
        <v>51</v>
      </c>
      <c r="E3" s="1877"/>
      <c r="F3" s="1877"/>
      <c r="G3" s="1878"/>
    </row>
    <row r="4" spans="1:7">
      <c r="A4" s="1876"/>
      <c r="B4" s="1877"/>
      <c r="C4" s="1878"/>
      <c r="D4" s="946"/>
      <c r="E4" s="947"/>
      <c r="F4" s="947"/>
      <c r="G4" s="948"/>
    </row>
    <row r="5" spans="1:7" ht="13.8" thickBot="1">
      <c r="A5" s="949"/>
      <c r="B5" s="950"/>
      <c r="C5" s="951"/>
      <c r="D5" s="949"/>
      <c r="E5" s="950"/>
      <c r="F5" s="950"/>
      <c r="G5" s="951"/>
    </row>
    <row r="6" spans="1:7">
      <c r="A6" s="952"/>
      <c r="B6" s="952"/>
      <c r="C6" s="952"/>
      <c r="D6" s="952"/>
      <c r="E6" s="952"/>
      <c r="F6" s="952"/>
      <c r="G6" s="952"/>
    </row>
    <row r="7" spans="1:7">
      <c r="A7" s="1882" t="str">
        <f>+PRESUPUESTO!D2</f>
        <v>"MEJORAMIENTO VIAL MEDIANTE LA CONSTRUCCIÓN DE PAVIMENTO RÍGIDO DE LA PRIMERA ETAPA DE LA VÍA QUE COMUNICA A LA VEREDA PONDORES EN EL CORREGIMIENTO DE CONEJO, MUNICIPIO DE FONSECA - DEPARTAMENTO DE LA GUAJIRA."</v>
      </c>
      <c r="B7" s="1882"/>
      <c r="C7" s="1882"/>
      <c r="D7" s="1882"/>
      <c r="E7" s="1882"/>
      <c r="F7" s="953" t="s">
        <v>57</v>
      </c>
      <c r="G7" s="947"/>
    </row>
    <row r="8" spans="1:7">
      <c r="A8" s="1882"/>
      <c r="B8" s="1882"/>
      <c r="C8" s="1882"/>
      <c r="D8" s="1882"/>
      <c r="E8" s="1882"/>
      <c r="F8" s="947"/>
      <c r="G8" s="947"/>
    </row>
    <row r="9" spans="1:7">
      <c r="A9" s="954"/>
      <c r="B9" s="954"/>
      <c r="C9" s="954"/>
      <c r="D9" s="954"/>
      <c r="E9" s="954"/>
      <c r="F9" s="947"/>
      <c r="G9" s="947"/>
    </row>
    <row r="10" spans="1:7">
      <c r="A10" s="947" t="s">
        <v>117</v>
      </c>
      <c r="B10" s="947"/>
      <c r="C10" s="947"/>
      <c r="D10" s="947"/>
      <c r="E10" s="947"/>
      <c r="F10" s="1174" t="s">
        <v>28</v>
      </c>
      <c r="G10" s="1174" t="s">
        <v>0</v>
      </c>
    </row>
    <row r="11" spans="1:7">
      <c r="A11" s="952"/>
      <c r="B11" s="947"/>
      <c r="C11" s="952"/>
      <c r="D11" s="952"/>
      <c r="E11" s="952"/>
      <c r="F11" s="947"/>
      <c r="G11" s="947"/>
    </row>
    <row r="12" spans="1:7" ht="13.8" thickBot="1">
      <c r="A12" s="947" t="s">
        <v>16</v>
      </c>
      <c r="B12" s="952"/>
      <c r="C12" s="952"/>
      <c r="D12" s="952"/>
      <c r="E12" s="952"/>
      <c r="F12" s="952"/>
      <c r="G12" s="952"/>
    </row>
    <row r="13" spans="1:7">
      <c r="A13" s="2088" t="s">
        <v>21</v>
      </c>
      <c r="B13" s="2089"/>
      <c r="C13" s="2090"/>
      <c r="D13" s="955" t="s">
        <v>1</v>
      </c>
      <c r="E13" s="956" t="s">
        <v>8</v>
      </c>
      <c r="F13" s="955" t="s">
        <v>2</v>
      </c>
      <c r="G13" s="1861"/>
    </row>
    <row r="14" spans="1:7">
      <c r="A14" s="957" t="s">
        <v>50</v>
      </c>
      <c r="B14" s="958"/>
      <c r="C14" s="959"/>
      <c r="D14" s="960">
        <f>+Equ!D21</f>
        <v>15000</v>
      </c>
      <c r="E14" s="960">
        <f>1</f>
        <v>1</v>
      </c>
      <c r="F14" s="960">
        <f>+ROUND(D14/E14,0)</f>
        <v>15000</v>
      </c>
      <c r="G14" s="1862"/>
    </row>
    <row r="15" spans="1:7">
      <c r="A15" s="957" t="s">
        <v>52</v>
      </c>
      <c r="B15" s="958"/>
      <c r="C15" s="959"/>
      <c r="D15" s="960">
        <f>+Equ!D22</f>
        <v>7500</v>
      </c>
      <c r="E15" s="960">
        <f>1</f>
        <v>1</v>
      </c>
      <c r="F15" s="960">
        <f>+ROUND(D15/E15,0)</f>
        <v>7500</v>
      </c>
      <c r="G15" s="1862"/>
    </row>
    <row r="16" spans="1:7">
      <c r="A16" s="957" t="s">
        <v>49</v>
      </c>
      <c r="B16" s="961"/>
      <c r="C16" s="959"/>
      <c r="D16" s="960"/>
      <c r="E16" s="960"/>
      <c r="F16" s="960"/>
      <c r="G16" s="1862"/>
    </row>
    <row r="17" spans="1:7">
      <c r="A17" s="957"/>
      <c r="B17" s="958"/>
      <c r="C17" s="959"/>
      <c r="D17" s="960"/>
      <c r="E17" s="960"/>
      <c r="F17" s="960"/>
      <c r="G17" s="1862"/>
    </row>
    <row r="18" spans="1:7" ht="13.8" thickBot="1">
      <c r="A18" s="962"/>
      <c r="B18" s="963"/>
      <c r="C18" s="964"/>
      <c r="D18" s="965"/>
      <c r="E18" s="965"/>
      <c r="F18" s="965"/>
      <c r="G18" s="1894"/>
    </row>
    <row r="19" spans="1:7" ht="13.8" thickBot="1">
      <c r="A19" s="952"/>
      <c r="B19" s="952"/>
      <c r="C19" s="952"/>
      <c r="D19" s="952"/>
      <c r="E19" s="952"/>
      <c r="F19" s="952" t="s">
        <v>3</v>
      </c>
      <c r="G19" s="966">
        <f>SUM(F14:F18)</f>
        <v>22500</v>
      </c>
    </row>
    <row r="20" spans="1:7" ht="13.8" thickBot="1">
      <c r="A20" s="947" t="s">
        <v>17</v>
      </c>
      <c r="B20" s="952"/>
      <c r="C20" s="952"/>
      <c r="D20" s="952"/>
      <c r="E20" s="952"/>
      <c r="F20" s="952"/>
      <c r="G20" s="967"/>
    </row>
    <row r="21" spans="1:7">
      <c r="A21" s="968" t="s">
        <v>21</v>
      </c>
      <c r="B21" s="955" t="s">
        <v>4</v>
      </c>
      <c r="C21" s="969" t="s">
        <v>5</v>
      </c>
      <c r="D21" s="955" t="s">
        <v>6</v>
      </c>
      <c r="E21" s="955" t="s">
        <v>56</v>
      </c>
      <c r="F21" s="955" t="s">
        <v>2</v>
      </c>
      <c r="G21" s="1861"/>
    </row>
    <row r="22" spans="1:7">
      <c r="A22" s="970" t="s">
        <v>37</v>
      </c>
      <c r="B22" s="971" t="s">
        <v>102</v>
      </c>
      <c r="C22" s="960">
        <f>+Sum!D13</f>
        <v>700</v>
      </c>
      <c r="D22" s="960">
        <f>305</f>
        <v>305</v>
      </c>
      <c r="E22" s="972">
        <v>0.03</v>
      </c>
      <c r="F22" s="960">
        <f>+ROUND((C22*D22)+(C22*D22*E22),0)</f>
        <v>219905</v>
      </c>
      <c r="G22" s="1862"/>
    </row>
    <row r="23" spans="1:7">
      <c r="A23" s="957" t="s">
        <v>113</v>
      </c>
      <c r="B23" s="971" t="s">
        <v>0</v>
      </c>
      <c r="C23" s="960">
        <f>+Sum!D14</f>
        <v>85000</v>
      </c>
      <c r="D23" s="960">
        <v>0.84</v>
      </c>
      <c r="E23" s="972">
        <v>0.04</v>
      </c>
      <c r="F23" s="960">
        <f>+ROUND((C23*D23)+(C23*D23*E23),0)</f>
        <v>74256</v>
      </c>
      <c r="G23" s="1862"/>
    </row>
    <row r="24" spans="1:7">
      <c r="A24" s="957" t="s">
        <v>38</v>
      </c>
      <c r="B24" s="971" t="s">
        <v>0</v>
      </c>
      <c r="C24" s="960">
        <f>+Sum!D15</f>
        <v>65000</v>
      </c>
      <c r="D24" s="960">
        <v>0.63</v>
      </c>
      <c r="E24" s="972">
        <v>0.03</v>
      </c>
      <c r="F24" s="960">
        <f>+ROUND((C24*D24)+(C24*D24*E24),0)</f>
        <v>42179</v>
      </c>
      <c r="G24" s="1862"/>
    </row>
    <row r="25" spans="1:7">
      <c r="A25" s="957" t="s">
        <v>78</v>
      </c>
      <c r="B25" s="971" t="s">
        <v>109</v>
      </c>
      <c r="C25" s="960">
        <f>+Sum!D17</f>
        <v>192.9</v>
      </c>
      <c r="D25" s="960">
        <v>185</v>
      </c>
      <c r="E25" s="972">
        <v>0.02</v>
      </c>
      <c r="F25" s="960">
        <f>+ROUND((C25*D25)+(C25*D25*E25),0)</f>
        <v>36400</v>
      </c>
      <c r="G25" s="1862"/>
    </row>
    <row r="26" spans="1:7">
      <c r="A26" s="973" t="s">
        <v>119</v>
      </c>
      <c r="B26" s="974" t="s">
        <v>33</v>
      </c>
      <c r="C26" s="975">
        <f>+Sum!D25</f>
        <v>7949.1121038601104</v>
      </c>
      <c r="D26" s="975">
        <v>1</v>
      </c>
      <c r="E26" s="976">
        <v>0.03</v>
      </c>
      <c r="F26" s="960">
        <f>+ROUND((C26*D26)+(C26*D26*E26),0)</f>
        <v>8188</v>
      </c>
      <c r="G26" s="1862"/>
    </row>
    <row r="27" spans="1:7" ht="13.8" thickBot="1">
      <c r="A27" s="962"/>
      <c r="B27" s="977"/>
      <c r="C27" s="965"/>
      <c r="D27" s="965"/>
      <c r="E27" s="965"/>
      <c r="F27" s="965"/>
      <c r="G27" s="1894"/>
    </row>
    <row r="28" spans="1:7" ht="13.8" thickBot="1">
      <c r="A28" s="952"/>
      <c r="B28" s="952"/>
      <c r="C28" s="952"/>
      <c r="D28" s="952"/>
      <c r="E28" s="952"/>
      <c r="F28" s="952" t="s">
        <v>3</v>
      </c>
      <c r="G28" s="978">
        <f>SUM(F22:F27)</f>
        <v>380928</v>
      </c>
    </row>
    <row r="29" spans="1:7" ht="13.8" thickBot="1">
      <c r="A29" s="947" t="s">
        <v>18</v>
      </c>
      <c r="B29" s="952"/>
      <c r="C29" s="952"/>
      <c r="D29" s="952"/>
      <c r="E29" s="952"/>
      <c r="F29" s="952"/>
      <c r="G29" s="967"/>
    </row>
    <row r="30" spans="1:7">
      <c r="A30" s="979" t="s">
        <v>23</v>
      </c>
      <c r="B30" s="955" t="s">
        <v>46</v>
      </c>
      <c r="C30" s="955" t="s">
        <v>36</v>
      </c>
      <c r="D30" s="969" t="s">
        <v>26</v>
      </c>
      <c r="E30" s="955" t="s">
        <v>25</v>
      </c>
      <c r="F30" s="955" t="s">
        <v>2</v>
      </c>
      <c r="G30" s="1861"/>
    </row>
    <row r="31" spans="1:7">
      <c r="A31" s="970" t="s">
        <v>37</v>
      </c>
      <c r="B31" s="980">
        <f>+D22</f>
        <v>305</v>
      </c>
      <c r="C31" s="980">
        <f>+Transporte!D18</f>
        <v>15.6</v>
      </c>
      <c r="D31" s="981">
        <f>+B31*C31</f>
        <v>4758</v>
      </c>
      <c r="E31" s="960">
        <f>+Transporte!D29</f>
        <v>1</v>
      </c>
      <c r="F31" s="960">
        <f>ROUND(E31*D31,0)</f>
        <v>4758</v>
      </c>
      <c r="G31" s="1862"/>
    </row>
    <row r="32" spans="1:7">
      <c r="A32" s="970" t="s">
        <v>113</v>
      </c>
      <c r="B32" s="980">
        <f>+D23</f>
        <v>0.84</v>
      </c>
      <c r="C32" s="980">
        <f>+Transporte!D14</f>
        <v>89.7</v>
      </c>
      <c r="D32" s="981">
        <f>+B32*C32</f>
        <v>75.347999999999999</v>
      </c>
      <c r="E32" s="960">
        <f>+Transporte!D27</f>
        <v>1400</v>
      </c>
      <c r="F32" s="960">
        <f>ROUND(E32*D32,0)</f>
        <v>105487</v>
      </c>
      <c r="G32" s="1862"/>
    </row>
    <row r="33" spans="1:7">
      <c r="A33" s="957" t="s">
        <v>38</v>
      </c>
      <c r="B33" s="980">
        <f>+D24</f>
        <v>0.63</v>
      </c>
      <c r="C33" s="980">
        <f>+Transporte!D13</f>
        <v>89.7</v>
      </c>
      <c r="D33" s="981">
        <f>+B33*C33</f>
        <v>56.511000000000003</v>
      </c>
      <c r="E33" s="960">
        <f>+Transporte!D22</f>
        <v>1200</v>
      </c>
      <c r="F33" s="960">
        <f>ROUND(E33*D33,0)</f>
        <v>67813</v>
      </c>
      <c r="G33" s="1862"/>
    </row>
    <row r="34" spans="1:7" ht="13.8" thickBot="1">
      <c r="A34" s="962"/>
      <c r="B34" s="982"/>
      <c r="C34" s="982"/>
      <c r="D34" s="965"/>
      <c r="E34" s="965"/>
      <c r="F34" s="965"/>
      <c r="G34" s="1894"/>
    </row>
    <row r="35" spans="1:7" ht="13.8" thickBot="1">
      <c r="A35" s="952"/>
      <c r="B35" s="952"/>
      <c r="C35" s="952"/>
      <c r="D35" s="952"/>
      <c r="E35" s="952"/>
      <c r="F35" s="983" t="s">
        <v>3</v>
      </c>
      <c r="G35" s="978">
        <f>SUM(F31:F34)</f>
        <v>178058</v>
      </c>
    </row>
    <row r="36" spans="1:7" ht="13.8" thickBot="1">
      <c r="A36" s="947" t="s">
        <v>19</v>
      </c>
      <c r="B36" s="952"/>
      <c r="C36" s="952"/>
      <c r="D36" s="952"/>
      <c r="E36" s="952"/>
      <c r="F36" s="952"/>
      <c r="G36" s="967"/>
    </row>
    <row r="37" spans="1:7">
      <c r="A37" s="984" t="s">
        <v>24</v>
      </c>
      <c r="B37" s="955" t="s">
        <v>7</v>
      </c>
      <c r="C37" s="955" t="s">
        <v>43</v>
      </c>
      <c r="D37" s="985" t="s">
        <v>27</v>
      </c>
      <c r="E37" s="955" t="s">
        <v>8</v>
      </c>
      <c r="F37" s="955" t="s">
        <v>2</v>
      </c>
      <c r="G37" s="1861"/>
    </row>
    <row r="38" spans="1:7">
      <c r="A38" s="957" t="s">
        <v>116</v>
      </c>
      <c r="B38" s="960">
        <f>+FP!S51*2</f>
        <v>378131.33533333335</v>
      </c>
      <c r="C38" s="972">
        <f>+FP!T47</f>
        <v>1.6529</v>
      </c>
      <c r="D38" s="986">
        <f>C38*B38</f>
        <v>625013.28417246672</v>
      </c>
      <c r="E38" s="986">
        <v>8</v>
      </c>
      <c r="F38" s="986">
        <f>ROUND(D38/E38,0)</f>
        <v>78127</v>
      </c>
      <c r="G38" s="1862"/>
    </row>
    <row r="39" spans="1:7">
      <c r="A39" s="957" t="s">
        <v>150</v>
      </c>
      <c r="B39" s="960">
        <f>+FP!U51*6</f>
        <v>310169.21740000002</v>
      </c>
      <c r="C39" s="972">
        <f>+FP!V47</f>
        <v>1.8281000000000001</v>
      </c>
      <c r="D39" s="986">
        <f>C39*B39</f>
        <v>567020.34632894001</v>
      </c>
      <c r="E39" s="986">
        <f>+E38</f>
        <v>8</v>
      </c>
      <c r="F39" s="986">
        <f>ROUND(D39/E39,0)</f>
        <v>70878</v>
      </c>
      <c r="G39" s="1862"/>
    </row>
    <row r="40" spans="1:7">
      <c r="A40" s="957"/>
      <c r="B40" s="987"/>
      <c r="C40" s="986"/>
      <c r="D40" s="986"/>
      <c r="E40" s="988"/>
      <c r="F40" s="986"/>
      <c r="G40" s="1862"/>
    </row>
    <row r="41" spans="1:7" ht="13.8" thickBot="1">
      <c r="A41" s="962"/>
      <c r="B41" s="982"/>
      <c r="C41" s="965"/>
      <c r="D41" s="989"/>
      <c r="E41" s="989"/>
      <c r="F41" s="989"/>
      <c r="G41" s="1894"/>
    </row>
    <row r="42" spans="1:7" ht="13.8" thickBot="1">
      <c r="A42" s="952"/>
      <c r="B42" s="952"/>
      <c r="C42" s="952"/>
      <c r="D42" s="157"/>
      <c r="E42" s="157"/>
      <c r="F42" s="952" t="s">
        <v>3</v>
      </c>
      <c r="G42" s="169">
        <f>SUM(F38:F41)</f>
        <v>149005</v>
      </c>
    </row>
    <row r="43" spans="1:7" ht="13.8" thickBot="1">
      <c r="A43" s="952"/>
      <c r="B43" s="952"/>
      <c r="C43" s="952"/>
      <c r="D43" s="952"/>
      <c r="E43" s="952"/>
      <c r="F43" s="952"/>
      <c r="G43" s="967"/>
    </row>
    <row r="44" spans="1:7" ht="13.8" thickBot="1">
      <c r="A44" s="952"/>
      <c r="B44" s="952"/>
      <c r="C44" s="952"/>
      <c r="D44" s="947" t="s">
        <v>10</v>
      </c>
      <c r="E44" s="952"/>
      <c r="F44" s="952"/>
      <c r="G44" s="170">
        <f>ROUND(G19+G28+G35+G42,0)</f>
        <v>730491</v>
      </c>
    </row>
    <row r="45" spans="1:7" ht="13.8" thickBot="1">
      <c r="A45" s="952"/>
      <c r="B45" s="952"/>
      <c r="C45" s="952"/>
      <c r="D45" s="952"/>
      <c r="E45" s="952"/>
      <c r="F45" s="952"/>
      <c r="G45" s="967"/>
    </row>
    <row r="46" spans="1:7">
      <c r="A46" s="942"/>
      <c r="B46" s="943"/>
      <c r="C46" s="944"/>
      <c r="D46" s="942"/>
      <c r="E46" s="943"/>
      <c r="F46" s="943"/>
      <c r="G46" s="944"/>
    </row>
    <row r="47" spans="1:7">
      <c r="A47" s="1876"/>
      <c r="B47" s="1877"/>
      <c r="C47" s="1878"/>
      <c r="D47" s="946"/>
      <c r="E47" s="947"/>
      <c r="F47" s="947"/>
      <c r="G47" s="948"/>
    </row>
    <row r="48" spans="1:7">
      <c r="A48" s="1876"/>
      <c r="B48" s="1877"/>
      <c r="C48" s="1878"/>
      <c r="D48" s="1876" t="s">
        <v>51</v>
      </c>
      <c r="E48" s="1877"/>
      <c r="F48" s="1877"/>
      <c r="G48" s="1878"/>
    </row>
    <row r="49" spans="1:7">
      <c r="A49" s="1876"/>
      <c r="B49" s="1877"/>
      <c r="C49" s="1878"/>
      <c r="D49" s="946"/>
      <c r="E49" s="947"/>
      <c r="F49" s="947"/>
      <c r="G49" s="948"/>
    </row>
    <row r="50" spans="1:7" ht="13.8" thickBot="1">
      <c r="A50" s="949"/>
      <c r="B50" s="950"/>
      <c r="C50" s="951"/>
      <c r="D50" s="949"/>
      <c r="E50" s="950"/>
      <c r="F50" s="950"/>
      <c r="G50" s="951"/>
    </row>
    <row r="51" spans="1:7">
      <c r="A51" s="952"/>
      <c r="B51" s="952"/>
      <c r="C51" s="952"/>
      <c r="D51" s="952"/>
      <c r="E51" s="952"/>
      <c r="F51" s="952"/>
      <c r="G51" s="952"/>
    </row>
    <row r="52" spans="1:7">
      <c r="A52" s="1882" t="str">
        <f>+A7</f>
        <v>"MEJORAMIENTO VIAL MEDIANTE LA CONSTRUCCIÓN DE PAVIMENTO RÍGIDO DE LA PRIMERA ETAPA DE LA VÍA QUE COMUNICA A LA VEREDA PONDORES EN EL CORREGIMIENTO DE CONEJO, MUNICIPIO DE FONSECA - DEPARTAMENTO DE LA GUAJIRA."</v>
      </c>
      <c r="B52" s="1882"/>
      <c r="C52" s="1882"/>
      <c r="D52" s="1882"/>
      <c r="E52" s="1882"/>
      <c r="F52" s="953" t="s">
        <v>57</v>
      </c>
      <c r="G52" s="947"/>
    </row>
    <row r="53" spans="1:7">
      <c r="A53" s="1882"/>
      <c r="B53" s="1882"/>
      <c r="C53" s="1882"/>
      <c r="D53" s="1882"/>
      <c r="E53" s="1882"/>
      <c r="F53" s="947"/>
      <c r="G53" s="947"/>
    </row>
    <row r="54" spans="1:7">
      <c r="A54" s="954"/>
      <c r="B54" s="954"/>
      <c r="C54" s="954"/>
      <c r="D54" s="954"/>
      <c r="E54" s="954"/>
      <c r="F54" s="947"/>
      <c r="G54" s="947"/>
    </row>
    <row r="55" spans="1:7">
      <c r="A55" s="947" t="s">
        <v>112</v>
      </c>
      <c r="B55" s="947"/>
      <c r="C55" s="947"/>
      <c r="D55" s="947"/>
      <c r="E55" s="947"/>
      <c r="F55" s="953" t="s">
        <v>28</v>
      </c>
      <c r="G55" s="947" t="s">
        <v>0</v>
      </c>
    </row>
    <row r="56" spans="1:7">
      <c r="A56" s="952"/>
      <c r="B56" s="947"/>
      <c r="C56" s="952"/>
      <c r="D56" s="952"/>
      <c r="E56" s="952"/>
      <c r="F56" s="947"/>
      <c r="G56" s="947"/>
    </row>
    <row r="57" spans="1:7" ht="13.8" thickBot="1">
      <c r="A57" s="947" t="s">
        <v>16</v>
      </c>
      <c r="B57" s="952"/>
      <c r="C57" s="952"/>
      <c r="D57" s="952"/>
      <c r="E57" s="952"/>
      <c r="F57" s="952"/>
      <c r="G57" s="952"/>
    </row>
    <row r="58" spans="1:7">
      <c r="A58" s="2088" t="s">
        <v>21</v>
      </c>
      <c r="B58" s="2089"/>
      <c r="C58" s="2090"/>
      <c r="D58" s="955" t="s">
        <v>1</v>
      </c>
      <c r="E58" s="956" t="s">
        <v>8</v>
      </c>
      <c r="F58" s="955" t="s">
        <v>2</v>
      </c>
      <c r="G58" s="1861"/>
    </row>
    <row r="59" spans="1:7">
      <c r="A59" s="957" t="s">
        <v>50</v>
      </c>
      <c r="B59" s="958"/>
      <c r="C59" s="959"/>
      <c r="D59" s="960">
        <f>+D14</f>
        <v>15000</v>
      </c>
      <c r="E59" s="960">
        <v>1</v>
      </c>
      <c r="F59" s="960">
        <f>+ROUND(D59/E59,0)</f>
        <v>15000</v>
      </c>
      <c r="G59" s="1862"/>
    </row>
    <row r="60" spans="1:7">
      <c r="A60" s="957" t="s">
        <v>52</v>
      </c>
      <c r="B60" s="958"/>
      <c r="C60" s="959"/>
      <c r="D60" s="960">
        <f>+D15</f>
        <v>7500</v>
      </c>
      <c r="E60" s="960">
        <v>2</v>
      </c>
      <c r="F60" s="960">
        <f>+ROUND(D60/E60,0)</f>
        <v>3750</v>
      </c>
      <c r="G60" s="1862"/>
    </row>
    <row r="61" spans="1:7">
      <c r="A61" s="957" t="s">
        <v>49</v>
      </c>
      <c r="B61" s="961"/>
      <c r="C61" s="959"/>
      <c r="D61" s="960"/>
      <c r="E61" s="960"/>
      <c r="F61" s="960"/>
      <c r="G61" s="1862"/>
    </row>
    <row r="62" spans="1:7">
      <c r="A62" s="957"/>
      <c r="B62" s="958"/>
      <c r="C62" s="959"/>
      <c r="D62" s="960"/>
      <c r="E62" s="960"/>
      <c r="F62" s="960"/>
      <c r="G62" s="1862"/>
    </row>
    <row r="63" spans="1:7" ht="13.8" thickBot="1">
      <c r="A63" s="962"/>
      <c r="B63" s="963"/>
      <c r="C63" s="964"/>
      <c r="D63" s="965"/>
      <c r="E63" s="965"/>
      <c r="F63" s="965"/>
      <c r="G63" s="1894"/>
    </row>
    <row r="64" spans="1:7" ht="13.8" thickBot="1">
      <c r="A64" s="952"/>
      <c r="B64" s="952"/>
      <c r="C64" s="952"/>
      <c r="D64" s="952"/>
      <c r="E64" s="952"/>
      <c r="F64" s="952" t="s">
        <v>3</v>
      </c>
      <c r="G64" s="966">
        <f>SUM(F59:F63)</f>
        <v>18750</v>
      </c>
    </row>
    <row r="65" spans="1:7" ht="13.8" thickBot="1">
      <c r="A65" s="947" t="s">
        <v>17</v>
      </c>
      <c r="B65" s="952"/>
      <c r="C65" s="952"/>
      <c r="D65" s="952"/>
      <c r="E65" s="952"/>
      <c r="F65" s="952"/>
      <c r="G65" s="967"/>
    </row>
    <row r="66" spans="1:7">
      <c r="A66" s="968" t="s">
        <v>21</v>
      </c>
      <c r="B66" s="955" t="s">
        <v>4</v>
      </c>
      <c r="C66" s="969" t="s">
        <v>5</v>
      </c>
      <c r="D66" s="955" t="s">
        <v>6</v>
      </c>
      <c r="E66" s="955" t="s">
        <v>56</v>
      </c>
      <c r="F66" s="955" t="s">
        <v>2</v>
      </c>
      <c r="G66" s="1861"/>
    </row>
    <row r="67" spans="1:7">
      <c r="A67" s="970" t="s">
        <v>37</v>
      </c>
      <c r="B67" s="971" t="s">
        <v>102</v>
      </c>
      <c r="C67" s="960">
        <f>+C22</f>
        <v>700</v>
      </c>
      <c r="D67" s="960">
        <v>380</v>
      </c>
      <c r="E67" s="972">
        <v>0.03</v>
      </c>
      <c r="F67" s="960">
        <f>+ROUND((C67*D67)+(C67*D67*E67),0)</f>
        <v>273980</v>
      </c>
      <c r="G67" s="1862"/>
    </row>
    <row r="68" spans="1:7">
      <c r="A68" s="957" t="s">
        <v>113</v>
      </c>
      <c r="B68" s="971" t="s">
        <v>0</v>
      </c>
      <c r="C68" s="960">
        <f>+C23</f>
        <v>85000</v>
      </c>
      <c r="D68" s="960">
        <v>0.9</v>
      </c>
      <c r="E68" s="972">
        <v>0.04</v>
      </c>
      <c r="F68" s="960">
        <f>+ROUND((C68*D68)+(C68*D68*E68),0)</f>
        <v>79560</v>
      </c>
      <c r="G68" s="1862"/>
    </row>
    <row r="69" spans="1:7">
      <c r="A69" s="957" t="s">
        <v>38</v>
      </c>
      <c r="B69" s="971" t="s">
        <v>0</v>
      </c>
      <c r="C69" s="960">
        <f>+C24</f>
        <v>65000</v>
      </c>
      <c r="D69" s="960">
        <v>0.52</v>
      </c>
      <c r="E69" s="972">
        <v>0.03</v>
      </c>
      <c r="F69" s="960">
        <f>+ROUND((C69*D69)+(C69*D69*E69),0)</f>
        <v>34814</v>
      </c>
      <c r="G69" s="1862"/>
    </row>
    <row r="70" spans="1:7">
      <c r="A70" s="957" t="s">
        <v>78</v>
      </c>
      <c r="B70" s="971" t="s">
        <v>109</v>
      </c>
      <c r="C70" s="960">
        <f>+C25</f>
        <v>192.9</v>
      </c>
      <c r="D70" s="960">
        <v>170</v>
      </c>
      <c r="E70" s="972">
        <v>0.02</v>
      </c>
      <c r="F70" s="960">
        <f>+ROUND((C70*D70)+(C70*D70*E70),0)</f>
        <v>33449</v>
      </c>
      <c r="G70" s="1862"/>
    </row>
    <row r="71" spans="1:7">
      <c r="A71" s="973" t="s">
        <v>119</v>
      </c>
      <c r="B71" s="974" t="s">
        <v>33</v>
      </c>
      <c r="C71" s="960">
        <f t="shared" ref="C71" si="0">+C26</f>
        <v>7949.1121038601104</v>
      </c>
      <c r="D71" s="975">
        <v>1</v>
      </c>
      <c r="E71" s="976">
        <v>0.03</v>
      </c>
      <c r="F71" s="960">
        <f>+ROUND((C71*D71)+(C71*D71*E71),0)</f>
        <v>8188</v>
      </c>
      <c r="G71" s="1862"/>
    </row>
    <row r="72" spans="1:7" ht="13.8" thickBot="1">
      <c r="A72" s="962"/>
      <c r="B72" s="977"/>
      <c r="C72" s="965"/>
      <c r="D72" s="965"/>
      <c r="E72" s="965"/>
      <c r="F72" s="965"/>
      <c r="G72" s="1894"/>
    </row>
    <row r="73" spans="1:7" ht="13.8" thickBot="1">
      <c r="A73" s="952"/>
      <c r="B73" s="952"/>
      <c r="C73" s="952"/>
      <c r="D73" s="952"/>
      <c r="E73" s="952"/>
      <c r="F73" s="952" t="s">
        <v>3</v>
      </c>
      <c r="G73" s="978">
        <f>SUM(F67:F72)</f>
        <v>429991</v>
      </c>
    </row>
    <row r="74" spans="1:7" ht="13.8" thickBot="1">
      <c r="A74" s="947" t="s">
        <v>18</v>
      </c>
      <c r="B74" s="952"/>
      <c r="C74" s="952"/>
      <c r="D74" s="952"/>
      <c r="E74" s="952"/>
      <c r="F74" s="952"/>
      <c r="G74" s="967"/>
    </row>
    <row r="75" spans="1:7">
      <c r="A75" s="979" t="s">
        <v>23</v>
      </c>
      <c r="B75" s="955" t="s">
        <v>46</v>
      </c>
      <c r="C75" s="955" t="s">
        <v>36</v>
      </c>
      <c r="D75" s="969" t="s">
        <v>26</v>
      </c>
      <c r="E75" s="955" t="s">
        <v>25</v>
      </c>
      <c r="F75" s="955" t="s">
        <v>2</v>
      </c>
      <c r="G75" s="1861"/>
    </row>
    <row r="76" spans="1:7">
      <c r="A76" s="970" t="s">
        <v>37</v>
      </c>
      <c r="B76" s="980">
        <f>+D67</f>
        <v>380</v>
      </c>
      <c r="C76" s="980">
        <f>+Transporte!D18</f>
        <v>15.6</v>
      </c>
      <c r="D76" s="981">
        <f>+B76*C76</f>
        <v>5928</v>
      </c>
      <c r="E76" s="960">
        <f>+E31</f>
        <v>1</v>
      </c>
      <c r="F76" s="960">
        <f>ROUND(E76*D76,0)</f>
        <v>5928</v>
      </c>
      <c r="G76" s="1862"/>
    </row>
    <row r="77" spans="1:7">
      <c r="A77" s="970" t="s">
        <v>113</v>
      </c>
      <c r="B77" s="980">
        <f>+D68</f>
        <v>0.9</v>
      </c>
      <c r="C77" s="980">
        <f>+C32</f>
        <v>89.7</v>
      </c>
      <c r="D77" s="981">
        <f>+B77*C77</f>
        <v>80.73</v>
      </c>
      <c r="E77" s="960">
        <f>+E32</f>
        <v>1400</v>
      </c>
      <c r="F77" s="960">
        <f>ROUND(E77*D77,0)</f>
        <v>113022</v>
      </c>
      <c r="G77" s="1862"/>
    </row>
    <row r="78" spans="1:7">
      <c r="A78" s="957" t="s">
        <v>38</v>
      </c>
      <c r="B78" s="980">
        <f>+D69</f>
        <v>0.52</v>
      </c>
      <c r="C78" s="980">
        <f>+C77</f>
        <v>89.7</v>
      </c>
      <c r="D78" s="981">
        <f>+B78*C78</f>
        <v>46.644000000000005</v>
      </c>
      <c r="E78" s="960">
        <f>+E33</f>
        <v>1200</v>
      </c>
      <c r="F78" s="960">
        <f>ROUND(E78*D78,0)</f>
        <v>55973</v>
      </c>
      <c r="G78" s="1862"/>
    </row>
    <row r="79" spans="1:7" ht="13.8" thickBot="1">
      <c r="A79" s="962"/>
      <c r="B79" s="982"/>
      <c r="C79" s="982"/>
      <c r="D79" s="965"/>
      <c r="E79" s="965"/>
      <c r="F79" s="965"/>
      <c r="G79" s="1894"/>
    </row>
    <row r="80" spans="1:7" ht="13.8" thickBot="1">
      <c r="A80" s="952"/>
      <c r="B80" s="952"/>
      <c r="C80" s="952"/>
      <c r="D80" s="952"/>
      <c r="E80" s="952"/>
      <c r="F80" s="983" t="s">
        <v>3</v>
      </c>
      <c r="G80" s="978">
        <f>SUM(F76:F79)</f>
        <v>174923</v>
      </c>
    </row>
    <row r="81" spans="1:7" ht="13.8" thickBot="1">
      <c r="A81" s="947" t="s">
        <v>19</v>
      </c>
      <c r="B81" s="952"/>
      <c r="C81" s="952"/>
      <c r="D81" s="952"/>
      <c r="E81" s="952"/>
      <c r="F81" s="952"/>
      <c r="G81" s="967"/>
    </row>
    <row r="82" spans="1:7">
      <c r="A82" s="984" t="s">
        <v>24</v>
      </c>
      <c r="B82" s="955" t="s">
        <v>7</v>
      </c>
      <c r="C82" s="955" t="s">
        <v>43</v>
      </c>
      <c r="D82" s="985" t="s">
        <v>27</v>
      </c>
      <c r="E82" s="955" t="s">
        <v>8</v>
      </c>
      <c r="F82" s="955" t="s">
        <v>2</v>
      </c>
      <c r="G82" s="1861"/>
    </row>
    <row r="83" spans="1:7">
      <c r="A83" s="957" t="s">
        <v>116</v>
      </c>
      <c r="B83" s="960">
        <f>FP!S51*2</f>
        <v>378131.33533333335</v>
      </c>
      <c r="C83" s="972">
        <f>+FP!T47</f>
        <v>1.6529</v>
      </c>
      <c r="D83" s="986">
        <f>C83*B83</f>
        <v>625013.28417246672</v>
      </c>
      <c r="E83" s="986">
        <v>8.1999999999999993</v>
      </c>
      <c r="F83" s="986">
        <f>ROUND(D83/E83,0)</f>
        <v>76221</v>
      </c>
      <c r="G83" s="1862"/>
    </row>
    <row r="84" spans="1:7">
      <c r="A84" s="957" t="s">
        <v>150</v>
      </c>
      <c r="B84" s="960">
        <f>+FP!U51*6</f>
        <v>310169.21740000002</v>
      </c>
      <c r="C84" s="972">
        <f>+FP!V47</f>
        <v>1.8281000000000001</v>
      </c>
      <c r="D84" s="986">
        <f>C84*B84</f>
        <v>567020.34632894001</v>
      </c>
      <c r="E84" s="986">
        <v>8.1999999999999993</v>
      </c>
      <c r="F84" s="986">
        <f>ROUND(D84/E84,0)</f>
        <v>69149</v>
      </c>
      <c r="G84" s="1862"/>
    </row>
    <row r="85" spans="1:7">
      <c r="A85" s="957"/>
      <c r="B85" s="987"/>
      <c r="C85" s="986"/>
      <c r="D85" s="986"/>
      <c r="E85" s="988"/>
      <c r="F85" s="986"/>
      <c r="G85" s="1862"/>
    </row>
    <row r="86" spans="1:7" ht="13.8" thickBot="1">
      <c r="A86" s="962"/>
      <c r="B86" s="982"/>
      <c r="C86" s="965"/>
      <c r="D86" s="989"/>
      <c r="E86" s="989"/>
      <c r="F86" s="989"/>
      <c r="G86" s="1894"/>
    </row>
    <row r="87" spans="1:7" ht="13.8" thickBot="1">
      <c r="A87" s="952"/>
      <c r="B87" s="952"/>
      <c r="C87" s="952"/>
      <c r="D87" s="157"/>
      <c r="E87" s="157"/>
      <c r="F87" s="952" t="s">
        <v>3</v>
      </c>
      <c r="G87" s="169">
        <f>SUM(F83:F86)</f>
        <v>145370</v>
      </c>
    </row>
    <row r="88" spans="1:7" ht="13.8" thickBot="1">
      <c r="A88" s="952"/>
      <c r="B88" s="952"/>
      <c r="C88" s="952"/>
      <c r="D88" s="952"/>
      <c r="E88" s="952"/>
      <c r="F88" s="952"/>
      <c r="G88" s="967"/>
    </row>
    <row r="89" spans="1:7" ht="13.8" thickBot="1">
      <c r="A89" s="952"/>
      <c r="B89" s="952"/>
      <c r="C89" s="952"/>
      <c r="D89" s="947" t="s">
        <v>10</v>
      </c>
      <c r="E89" s="952"/>
      <c r="F89" s="952"/>
      <c r="G89" s="170">
        <f>ROUND(G64+G73+G80+G87,0)</f>
        <v>769034</v>
      </c>
    </row>
    <row r="90" spans="1:7">
      <c r="A90" s="942"/>
      <c r="B90" s="943"/>
      <c r="C90" s="944"/>
      <c r="D90" s="942"/>
      <c r="E90" s="943"/>
      <c r="F90" s="943"/>
      <c r="G90" s="944"/>
    </row>
    <row r="91" spans="1:7">
      <c r="A91" s="1876"/>
      <c r="B91" s="1877"/>
      <c r="C91" s="1878"/>
      <c r="D91" s="946"/>
      <c r="E91" s="947"/>
      <c r="F91" s="947"/>
      <c r="G91" s="948"/>
    </row>
    <row r="92" spans="1:7">
      <c r="A92" s="1876"/>
      <c r="B92" s="1877"/>
      <c r="C92" s="1878"/>
      <c r="D92" s="1876" t="s">
        <v>51</v>
      </c>
      <c r="E92" s="1877"/>
      <c r="F92" s="1877"/>
      <c r="G92" s="1878"/>
    </row>
    <row r="93" spans="1:7">
      <c r="A93" s="1876"/>
      <c r="B93" s="1877"/>
      <c r="C93" s="1878"/>
      <c r="D93" s="946"/>
      <c r="E93" s="947"/>
      <c r="F93" s="947"/>
      <c r="G93" s="948"/>
    </row>
    <row r="94" spans="1:7" ht="13.8" thickBot="1">
      <c r="A94" s="949"/>
      <c r="B94" s="950"/>
      <c r="C94" s="951"/>
      <c r="D94" s="949"/>
      <c r="E94" s="950"/>
      <c r="F94" s="950"/>
      <c r="G94" s="951"/>
    </row>
    <row r="95" spans="1:7">
      <c r="A95" s="952"/>
      <c r="B95" s="952"/>
      <c r="C95" s="952"/>
      <c r="D95" s="952"/>
      <c r="E95" s="952"/>
      <c r="F95" s="952"/>
      <c r="G95" s="952"/>
    </row>
    <row r="96" spans="1:7">
      <c r="A96" s="1882" t="str">
        <f>+A52</f>
        <v>"MEJORAMIENTO VIAL MEDIANTE LA CONSTRUCCIÓN DE PAVIMENTO RÍGIDO DE LA PRIMERA ETAPA DE LA VÍA QUE COMUNICA A LA VEREDA PONDORES EN EL CORREGIMIENTO DE CONEJO, MUNICIPIO DE FONSECA - DEPARTAMENTO DE LA GUAJIRA."</v>
      </c>
      <c r="B96" s="1882"/>
      <c r="C96" s="1882"/>
      <c r="D96" s="1882"/>
      <c r="E96" s="1882"/>
      <c r="F96" s="953" t="s">
        <v>57</v>
      </c>
      <c r="G96" s="947"/>
    </row>
    <row r="97" spans="1:7">
      <c r="A97" s="1882"/>
      <c r="B97" s="1882"/>
      <c r="C97" s="1882"/>
      <c r="D97" s="1882"/>
      <c r="E97" s="1882"/>
      <c r="F97" s="947"/>
      <c r="G97" s="947"/>
    </row>
    <row r="98" spans="1:7">
      <c r="A98" s="954"/>
      <c r="B98" s="954"/>
      <c r="C98" s="954"/>
      <c r="D98" s="954"/>
      <c r="E98" s="954"/>
      <c r="F98" s="947"/>
      <c r="G98" s="947"/>
    </row>
    <row r="99" spans="1:7">
      <c r="A99" s="947" t="s">
        <v>563</v>
      </c>
      <c r="B99" s="947"/>
      <c r="C99" s="947"/>
      <c r="D99" s="947"/>
      <c r="E99" s="947"/>
      <c r="F99" s="953" t="s">
        <v>28</v>
      </c>
      <c r="G99" s="947" t="s">
        <v>0</v>
      </c>
    </row>
    <row r="100" spans="1:7">
      <c r="A100" s="952"/>
      <c r="B100" s="947"/>
      <c r="C100" s="952"/>
      <c r="D100" s="952"/>
      <c r="E100" s="952"/>
      <c r="F100" s="947"/>
      <c r="G100" s="947"/>
    </row>
    <row r="101" spans="1:7" ht="13.8" thickBot="1">
      <c r="A101" s="947" t="s">
        <v>16</v>
      </c>
      <c r="B101" s="952"/>
      <c r="C101" s="952"/>
      <c r="D101" s="952"/>
      <c r="E101" s="952"/>
      <c r="F101" s="952"/>
      <c r="G101" s="952"/>
    </row>
    <row r="102" spans="1:7">
      <c r="A102" s="2088" t="s">
        <v>21</v>
      </c>
      <c r="B102" s="2089"/>
      <c r="C102" s="2090"/>
      <c r="D102" s="955" t="s">
        <v>1</v>
      </c>
      <c r="E102" s="956" t="s">
        <v>8</v>
      </c>
      <c r="F102" s="955" t="s">
        <v>2</v>
      </c>
      <c r="G102" s="1861"/>
    </row>
    <row r="103" spans="1:7">
      <c r="A103" s="957" t="s">
        <v>50</v>
      </c>
      <c r="B103" s="958"/>
      <c r="C103" s="959"/>
      <c r="D103" s="960">
        <f>+D14</f>
        <v>15000</v>
      </c>
      <c r="E103" s="960">
        <v>1</v>
      </c>
      <c r="F103" s="960">
        <f>+ROUND(D103/E103,0)</f>
        <v>15000</v>
      </c>
      <c r="G103" s="1862"/>
    </row>
    <row r="104" spans="1:7">
      <c r="A104" s="957" t="s">
        <v>52</v>
      </c>
      <c r="B104" s="958"/>
      <c r="C104" s="959"/>
      <c r="D104" s="960">
        <f>+D15</f>
        <v>7500</v>
      </c>
      <c r="E104" s="960">
        <v>2</v>
      </c>
      <c r="F104" s="960">
        <f>+ROUND(D104/E104,0)</f>
        <v>3750</v>
      </c>
      <c r="G104" s="1862"/>
    </row>
    <row r="105" spans="1:7">
      <c r="A105" s="957" t="s">
        <v>49</v>
      </c>
      <c r="B105" s="961"/>
      <c r="C105" s="959"/>
      <c r="D105" s="960"/>
      <c r="E105" s="960"/>
      <c r="F105" s="960"/>
      <c r="G105" s="1862"/>
    </row>
    <row r="106" spans="1:7">
      <c r="A106" s="957"/>
      <c r="B106" s="958"/>
      <c r="C106" s="959"/>
      <c r="D106" s="960"/>
      <c r="E106" s="960"/>
      <c r="F106" s="960"/>
      <c r="G106" s="1862"/>
    </row>
    <row r="107" spans="1:7" ht="13.8" thickBot="1">
      <c r="A107" s="962"/>
      <c r="B107" s="963"/>
      <c r="C107" s="964"/>
      <c r="D107" s="965"/>
      <c r="E107" s="965"/>
      <c r="F107" s="965"/>
      <c r="G107" s="1894"/>
    </row>
    <row r="108" spans="1:7" ht="13.8" thickBot="1">
      <c r="A108" s="952"/>
      <c r="B108" s="952"/>
      <c r="C108" s="952"/>
      <c r="D108" s="952"/>
      <c r="E108" s="952"/>
      <c r="F108" s="952" t="s">
        <v>3</v>
      </c>
      <c r="G108" s="966">
        <f>SUM(F103:F107)</f>
        <v>18750</v>
      </c>
    </row>
    <row r="109" spans="1:7" ht="13.8" thickBot="1">
      <c r="A109" s="947" t="s">
        <v>17</v>
      </c>
      <c r="B109" s="952"/>
      <c r="C109" s="952"/>
      <c r="D109" s="952"/>
      <c r="E109" s="952"/>
      <c r="F109" s="952"/>
      <c r="G109" s="967"/>
    </row>
    <row r="110" spans="1:7">
      <c r="A110" s="968" t="s">
        <v>21</v>
      </c>
      <c r="B110" s="955" t="s">
        <v>4</v>
      </c>
      <c r="C110" s="969" t="s">
        <v>5</v>
      </c>
      <c r="D110" s="955" t="s">
        <v>6</v>
      </c>
      <c r="E110" s="955" t="s">
        <v>56</v>
      </c>
      <c r="F110" s="955" t="s">
        <v>2</v>
      </c>
      <c r="G110" s="1861"/>
    </row>
    <row r="111" spans="1:7">
      <c r="A111" s="970" t="s">
        <v>37</v>
      </c>
      <c r="B111" s="971" t="s">
        <v>102</v>
      </c>
      <c r="C111" s="960">
        <f>+C22</f>
        <v>700</v>
      </c>
      <c r="D111" s="960">
        <v>455</v>
      </c>
      <c r="E111" s="972">
        <v>0.03</v>
      </c>
      <c r="F111" s="960">
        <f>+ROUND((C111*D111)+(C111*D111*E111),0)</f>
        <v>328055</v>
      </c>
      <c r="G111" s="1862"/>
    </row>
    <row r="112" spans="1:7">
      <c r="A112" s="957" t="s">
        <v>113</v>
      </c>
      <c r="B112" s="971" t="s">
        <v>0</v>
      </c>
      <c r="C112" s="960">
        <f>+C23</f>
        <v>85000</v>
      </c>
      <c r="D112" s="960">
        <v>0.67</v>
      </c>
      <c r="E112" s="972">
        <v>0.04</v>
      </c>
      <c r="F112" s="960">
        <f>+ROUND((C112*D112)+(C112*D112*E112),0)</f>
        <v>59228</v>
      </c>
      <c r="G112" s="1862"/>
    </row>
    <row r="113" spans="1:7">
      <c r="A113" s="957" t="s">
        <v>38</v>
      </c>
      <c r="B113" s="971" t="s">
        <v>0</v>
      </c>
      <c r="C113" s="960">
        <f>+C24</f>
        <v>65000</v>
      </c>
      <c r="D113" s="960">
        <v>0.67</v>
      </c>
      <c r="E113" s="972">
        <v>0.03</v>
      </c>
      <c r="F113" s="960">
        <f>+ROUND((C113*D113)+(C113*D113*E113),0)</f>
        <v>44857</v>
      </c>
      <c r="G113" s="1862"/>
    </row>
    <row r="114" spans="1:7">
      <c r="A114" s="957" t="s">
        <v>78</v>
      </c>
      <c r="B114" s="971" t="s">
        <v>109</v>
      </c>
      <c r="C114" s="960">
        <f>+C25</f>
        <v>192.9</v>
      </c>
      <c r="D114" s="960">
        <v>190</v>
      </c>
      <c r="E114" s="972">
        <v>0.02</v>
      </c>
      <c r="F114" s="960">
        <f>+ROUND((C114*D114)+(C114*D114*E114),0)</f>
        <v>37384</v>
      </c>
      <c r="G114" s="1862"/>
    </row>
    <row r="115" spans="1:7">
      <c r="A115" s="973" t="s">
        <v>119</v>
      </c>
      <c r="B115" s="974" t="s">
        <v>33</v>
      </c>
      <c r="C115" s="960">
        <f>+Sum!D24</f>
        <v>18500</v>
      </c>
      <c r="D115" s="975">
        <f>4.6</f>
        <v>4.5999999999999996</v>
      </c>
      <c r="E115" s="976">
        <v>0.03</v>
      </c>
      <c r="F115" s="960">
        <f>+ROUND((C115*D115)+(C115*D115*E115),0)</f>
        <v>87653</v>
      </c>
      <c r="G115" s="1862"/>
    </row>
    <row r="116" spans="1:7" ht="13.8" thickBot="1">
      <c r="A116" s="962"/>
      <c r="B116" s="977"/>
      <c r="C116" s="965"/>
      <c r="D116" s="965"/>
      <c r="E116" s="965"/>
      <c r="F116" s="965"/>
      <c r="G116" s="1894"/>
    </row>
    <row r="117" spans="1:7" ht="13.8" thickBot="1">
      <c r="A117" s="952"/>
      <c r="B117" s="952"/>
      <c r="C117" s="952"/>
      <c r="D117" s="952"/>
      <c r="E117" s="952"/>
      <c r="F117" s="952" t="s">
        <v>3</v>
      </c>
      <c r="G117" s="978">
        <f>SUM(F111:F116)</f>
        <v>557177</v>
      </c>
    </row>
    <row r="118" spans="1:7" ht="13.8" thickBot="1">
      <c r="A118" s="947" t="s">
        <v>18</v>
      </c>
      <c r="B118" s="952"/>
      <c r="C118" s="952"/>
      <c r="D118" s="952"/>
      <c r="E118" s="952"/>
      <c r="F118" s="952"/>
      <c r="G118" s="967"/>
    </row>
    <row r="119" spans="1:7">
      <c r="A119" s="979" t="s">
        <v>23</v>
      </c>
      <c r="B119" s="955" t="s">
        <v>46</v>
      </c>
      <c r="C119" s="955" t="s">
        <v>36</v>
      </c>
      <c r="D119" s="969" t="s">
        <v>26</v>
      </c>
      <c r="E119" s="955" t="s">
        <v>25</v>
      </c>
      <c r="F119" s="955" t="s">
        <v>2</v>
      </c>
      <c r="G119" s="1861"/>
    </row>
    <row r="120" spans="1:7">
      <c r="A120" s="970" t="s">
        <v>37</v>
      </c>
      <c r="B120" s="980">
        <f>+D111</f>
        <v>455</v>
      </c>
      <c r="C120" s="980">
        <f>+Transporte!D18</f>
        <v>15.6</v>
      </c>
      <c r="D120" s="981">
        <f>+B120*C120</f>
        <v>7098</v>
      </c>
      <c r="E120" s="960">
        <f>+E31</f>
        <v>1</v>
      </c>
      <c r="F120" s="960">
        <f>ROUND(E120*D120,0)</f>
        <v>7098</v>
      </c>
      <c r="G120" s="1862"/>
    </row>
    <row r="121" spans="1:7">
      <c r="A121" s="970" t="s">
        <v>113</v>
      </c>
      <c r="B121" s="980">
        <f>+D112</f>
        <v>0.67</v>
      </c>
      <c r="C121" s="980">
        <f>+Transporte!D14</f>
        <v>89.7</v>
      </c>
      <c r="D121" s="981">
        <f>+B121*C121</f>
        <v>60.099000000000004</v>
      </c>
      <c r="E121" s="960">
        <f>+E32</f>
        <v>1400</v>
      </c>
      <c r="F121" s="960">
        <f>ROUND(E121*D121,0)</f>
        <v>84139</v>
      </c>
      <c r="G121" s="1862"/>
    </row>
    <row r="122" spans="1:7">
      <c r="A122" s="957" t="s">
        <v>38</v>
      </c>
      <c r="B122" s="980">
        <f>+D113</f>
        <v>0.67</v>
      </c>
      <c r="C122" s="980">
        <f>+Transporte!D13</f>
        <v>89.7</v>
      </c>
      <c r="D122" s="981">
        <f>+B122*C122</f>
        <v>60.099000000000004</v>
      </c>
      <c r="E122" s="960">
        <f>+E33</f>
        <v>1200</v>
      </c>
      <c r="F122" s="960">
        <f>ROUND(E122*D122,0)</f>
        <v>72119</v>
      </c>
      <c r="G122" s="1862"/>
    </row>
    <row r="123" spans="1:7" ht="13.8" thickBot="1">
      <c r="A123" s="962"/>
      <c r="B123" s="982"/>
      <c r="C123" s="982"/>
      <c r="D123" s="965"/>
      <c r="E123" s="965"/>
      <c r="F123" s="965"/>
      <c r="G123" s="1894"/>
    </row>
    <row r="124" spans="1:7" ht="13.8" thickBot="1">
      <c r="A124" s="952"/>
      <c r="B124" s="952"/>
      <c r="C124" s="952"/>
      <c r="D124" s="952"/>
      <c r="E124" s="952"/>
      <c r="F124" s="983" t="s">
        <v>3</v>
      </c>
      <c r="G124" s="978">
        <f>SUM(F120:F123)</f>
        <v>163356</v>
      </c>
    </row>
    <row r="125" spans="1:7" ht="13.8" thickBot="1">
      <c r="A125" s="947" t="s">
        <v>19</v>
      </c>
      <c r="B125" s="952"/>
      <c r="C125" s="952"/>
      <c r="D125" s="952"/>
      <c r="E125" s="952"/>
      <c r="F125" s="952"/>
      <c r="G125" s="967"/>
    </row>
    <row r="126" spans="1:7">
      <c r="A126" s="984" t="s">
        <v>24</v>
      </c>
      <c r="B126" s="955" t="s">
        <v>7</v>
      </c>
      <c r="C126" s="955" t="s">
        <v>43</v>
      </c>
      <c r="D126" s="985" t="s">
        <v>27</v>
      </c>
      <c r="E126" s="955" t="s">
        <v>8</v>
      </c>
      <c r="F126" s="955" t="s">
        <v>2</v>
      </c>
      <c r="G126" s="1861"/>
    </row>
    <row r="127" spans="1:7">
      <c r="A127" s="957" t="s">
        <v>116</v>
      </c>
      <c r="B127" s="960">
        <f>+B38</f>
        <v>378131.33533333335</v>
      </c>
      <c r="C127" s="972">
        <f>+C38</f>
        <v>1.6529</v>
      </c>
      <c r="D127" s="986">
        <f>C127*B127</f>
        <v>625013.28417246672</v>
      </c>
      <c r="E127" s="986">
        <v>8</v>
      </c>
      <c r="F127" s="986">
        <f>ROUND(D127/E127,0)</f>
        <v>78127</v>
      </c>
      <c r="G127" s="1862"/>
    </row>
    <row r="128" spans="1:7">
      <c r="A128" s="957" t="s">
        <v>150</v>
      </c>
      <c r="B128" s="960">
        <f>+B39</f>
        <v>310169.21740000002</v>
      </c>
      <c r="C128" s="972">
        <f>+C39</f>
        <v>1.8281000000000001</v>
      </c>
      <c r="D128" s="986">
        <f>C128*B128</f>
        <v>567020.34632894001</v>
      </c>
      <c r="E128" s="986">
        <f>+E127</f>
        <v>8</v>
      </c>
      <c r="F128" s="986">
        <f>ROUND(D128/E128,0)</f>
        <v>70878</v>
      </c>
      <c r="G128" s="1862"/>
    </row>
    <row r="129" spans="1:7">
      <c r="A129" s="957"/>
      <c r="B129" s="987"/>
      <c r="C129" s="986"/>
      <c r="D129" s="986"/>
      <c r="E129" s="988"/>
      <c r="F129" s="986"/>
      <c r="G129" s="1862"/>
    </row>
    <row r="130" spans="1:7" ht="13.8" thickBot="1">
      <c r="A130" s="962"/>
      <c r="B130" s="982"/>
      <c r="C130" s="965"/>
      <c r="D130" s="989"/>
      <c r="E130" s="989"/>
      <c r="F130" s="989"/>
      <c r="G130" s="1894"/>
    </row>
    <row r="131" spans="1:7" ht="13.8" thickBot="1">
      <c r="A131" s="952"/>
      <c r="B131" s="952"/>
      <c r="C131" s="952"/>
      <c r="D131" s="157"/>
      <c r="E131" s="157"/>
      <c r="F131" s="952" t="s">
        <v>3</v>
      </c>
      <c r="G131" s="169">
        <f>SUM(F127:F130)</f>
        <v>149005</v>
      </c>
    </row>
    <row r="132" spans="1:7" ht="13.8" thickBot="1">
      <c r="A132" s="952"/>
      <c r="B132" s="952"/>
      <c r="C132" s="952"/>
      <c r="D132" s="952"/>
      <c r="E132" s="952"/>
      <c r="F132" s="952"/>
      <c r="G132" s="967"/>
    </row>
    <row r="133" spans="1:7" ht="13.8" thickBot="1">
      <c r="A133" s="952"/>
      <c r="B133" s="952"/>
      <c r="C133" s="952"/>
      <c r="D133" s="947" t="s">
        <v>10</v>
      </c>
      <c r="E133" s="952"/>
      <c r="F133" s="952"/>
      <c r="G133" s="170">
        <f>ROUND(G108+G117+G124+G131,0)</f>
        <v>888288</v>
      </c>
    </row>
    <row r="134" spans="1:7">
      <c r="A134" s="952"/>
      <c r="B134" s="952"/>
      <c r="C134" s="952"/>
      <c r="D134" s="952"/>
      <c r="E134" s="952"/>
      <c r="F134" s="952"/>
      <c r="G134" s="967"/>
    </row>
  </sheetData>
  <mergeCells count="30">
    <mergeCell ref="A13:C13"/>
    <mergeCell ref="G13:G18"/>
    <mergeCell ref="A2:C2"/>
    <mergeCell ref="A3:C3"/>
    <mergeCell ref="D3:G3"/>
    <mergeCell ref="A4:C4"/>
    <mergeCell ref="A7:E8"/>
    <mergeCell ref="G21:G27"/>
    <mergeCell ref="G30:G34"/>
    <mergeCell ref="G37:G41"/>
    <mergeCell ref="A47:C47"/>
    <mergeCell ref="A48:C48"/>
    <mergeCell ref="D48:G48"/>
    <mergeCell ref="A96:E97"/>
    <mergeCell ref="A49:C49"/>
    <mergeCell ref="A52:E53"/>
    <mergeCell ref="A58:C58"/>
    <mergeCell ref="G58:G63"/>
    <mergeCell ref="G66:G72"/>
    <mergeCell ref="G75:G79"/>
    <mergeCell ref="G82:G86"/>
    <mergeCell ref="A91:C91"/>
    <mergeCell ref="A92:C92"/>
    <mergeCell ref="D92:G92"/>
    <mergeCell ref="A93:C93"/>
    <mergeCell ref="A102:C102"/>
    <mergeCell ref="G102:G107"/>
    <mergeCell ref="G110:G116"/>
    <mergeCell ref="G119:G123"/>
    <mergeCell ref="G126:G130"/>
  </mergeCells>
  <pageMargins left="0.7" right="0.7" top="0.75" bottom="0.75" header="0.3" footer="0.3"/>
  <pageSetup scale="91" orientation="portrait" horizontalDpi="4294967292" verticalDpi="360" r:id="rId1"/>
  <rowBreaks count="2" manualBreakCount="2">
    <brk id="45" max="16383" man="1"/>
    <brk id="89" max="16383" man="1"/>
  </rowBreaks>
  <ignoredErrors>
    <ignoredError sqref="D77:D78" formula="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42"/>
  <sheetViews>
    <sheetView view="pageBreakPreview" zoomScale="85" zoomScaleNormal="100" zoomScaleSheetLayoutView="85" workbookViewId="0">
      <selection activeCell="G36" sqref="G36"/>
    </sheetView>
  </sheetViews>
  <sheetFormatPr baseColWidth="10" defaultColWidth="9.109375" defaultRowHeight="13.2"/>
  <cols>
    <col min="1" max="1" width="5.5546875" customWidth="1"/>
    <col min="2" max="2" width="6.109375" bestFit="1" customWidth="1"/>
    <col min="3" max="3" width="36" customWidth="1"/>
    <col min="4" max="4" width="14" customWidth="1"/>
    <col min="5" max="5" width="18.109375" customWidth="1"/>
    <col min="6" max="6" width="13.88671875" customWidth="1"/>
    <col min="7" max="7" width="17.44140625" customWidth="1"/>
    <col min="8" max="8" width="17.88671875" customWidth="1"/>
    <col min="9" max="9" width="6.5546875" customWidth="1"/>
  </cols>
  <sheetData>
    <row r="1" spans="1:8" ht="15" thickBot="1">
      <c r="A1" s="756"/>
      <c r="B1" s="214"/>
      <c r="C1" s="757"/>
      <c r="D1" s="757"/>
      <c r="E1" s="214"/>
      <c r="F1" s="214"/>
      <c r="G1" s="214"/>
      <c r="H1" s="758"/>
    </row>
    <row r="2" spans="1:8" ht="34.5" customHeight="1" thickBot="1">
      <c r="A2" s="756"/>
      <c r="B2" s="2110" t="str">
        <f>+PRESUPUESTO!D2</f>
        <v>"MEJORAMIENTO VIAL MEDIANTE LA CONSTRUCCIÓN DE PAVIMENTO RÍGIDO DE LA PRIMERA ETAPA DE LA VÍA QUE COMUNICA A LA VEREDA PONDORES EN EL CORREGIMIENTO DE CONEJO, MUNICIPIO DE FONSECA - DEPARTAMENTO DE LA GUAJIRA."</v>
      </c>
      <c r="C2" s="2111"/>
      <c r="D2" s="2111"/>
      <c r="E2" s="2111"/>
      <c r="F2" s="2111"/>
      <c r="G2" s="2111"/>
      <c r="H2" s="2112"/>
    </row>
    <row r="3" spans="1:8" ht="18" thickBot="1">
      <c r="A3" s="756"/>
      <c r="B3" s="275"/>
      <c r="C3" s="759"/>
      <c r="D3" s="759"/>
      <c r="E3" s="275"/>
      <c r="F3" s="275"/>
      <c r="G3" s="275"/>
      <c r="H3" s="760"/>
    </row>
    <row r="4" spans="1:8" ht="23.4" thickBot="1">
      <c r="A4" s="756"/>
      <c r="B4" s="2113" t="s">
        <v>484</v>
      </c>
      <c r="C4" s="2114"/>
      <c r="D4" s="2114"/>
      <c r="E4" s="2114"/>
      <c r="F4" s="2114"/>
      <c r="G4" s="2114"/>
      <c r="H4" s="2115"/>
    </row>
    <row r="5" spans="1:8" ht="15" thickBot="1">
      <c r="A5" s="756"/>
      <c r="B5" s="761"/>
      <c r="C5" s="762"/>
      <c r="D5" s="762"/>
      <c r="E5" s="275"/>
      <c r="F5" s="275"/>
      <c r="G5" s="275"/>
      <c r="H5" s="760"/>
    </row>
    <row r="6" spans="1:8" ht="14.4">
      <c r="A6" s="756"/>
      <c r="B6" s="763" t="s">
        <v>485</v>
      </c>
      <c r="C6" s="2116" t="s">
        <v>486</v>
      </c>
      <c r="D6" s="2117"/>
      <c r="E6" s="2117"/>
      <c r="F6" s="2117"/>
      <c r="G6" s="2117"/>
      <c r="H6" s="2118"/>
    </row>
    <row r="7" spans="1:8" ht="14.4">
      <c r="A7" s="756"/>
      <c r="B7" s="2119" t="s">
        <v>200</v>
      </c>
      <c r="C7" s="2120"/>
      <c r="D7" s="764" t="s">
        <v>193</v>
      </c>
      <c r="E7" s="764" t="s">
        <v>194</v>
      </c>
      <c r="F7" s="764" t="s">
        <v>196</v>
      </c>
      <c r="G7" s="764" t="s">
        <v>146</v>
      </c>
      <c r="H7" s="765" t="s">
        <v>197</v>
      </c>
    </row>
    <row r="8" spans="1:8" ht="41.4">
      <c r="A8" s="756"/>
      <c r="B8" s="766" t="s">
        <v>487</v>
      </c>
      <c r="C8" s="767" t="s">
        <v>488</v>
      </c>
      <c r="D8" s="767" t="s">
        <v>489</v>
      </c>
      <c r="E8" s="767" t="s">
        <v>490</v>
      </c>
      <c r="F8" s="767" t="s">
        <v>491</v>
      </c>
      <c r="G8" s="768" t="s">
        <v>492</v>
      </c>
      <c r="H8" s="769" t="s">
        <v>493</v>
      </c>
    </row>
    <row r="9" spans="1:8" ht="14.4">
      <c r="A9" s="756"/>
      <c r="B9" s="770" t="s">
        <v>485</v>
      </c>
      <c r="C9" s="771" t="s">
        <v>494</v>
      </c>
      <c r="D9" s="2121"/>
      <c r="E9" s="2122"/>
      <c r="F9" s="2122"/>
      <c r="G9" s="2122"/>
      <c r="H9" s="2123"/>
    </row>
    <row r="10" spans="1:8" ht="14.4">
      <c r="A10" s="756"/>
      <c r="B10" s="772">
        <v>1.1000000000000001</v>
      </c>
      <c r="C10" s="773" t="s">
        <v>495</v>
      </c>
      <c r="D10" s="774">
        <v>1</v>
      </c>
      <c r="E10" s="775">
        <v>7500000</v>
      </c>
      <c r="F10" s="776">
        <f>+FM!I39</f>
        <v>1.9929333333333332</v>
      </c>
      <c r="G10" s="777">
        <v>0.02</v>
      </c>
      <c r="H10" s="778">
        <f>ROUND(E10*F10*G10,2)</f>
        <v>298940</v>
      </c>
    </row>
    <row r="11" spans="1:8" ht="14.4">
      <c r="A11" s="756"/>
      <c r="B11" s="772"/>
      <c r="C11" s="773"/>
      <c r="D11" s="774"/>
      <c r="E11" s="775"/>
      <c r="F11" s="776"/>
      <c r="G11" s="776"/>
      <c r="H11" s="778"/>
    </row>
    <row r="12" spans="1:8" ht="14.4">
      <c r="A12" s="756"/>
      <c r="B12" s="2107" t="s">
        <v>496</v>
      </c>
      <c r="C12" s="2108"/>
      <c r="D12" s="2108"/>
      <c r="E12" s="2108"/>
      <c r="F12" s="2108"/>
      <c r="G12" s="2109"/>
      <c r="H12" s="779">
        <f>ROUND(SUM(H10:H11),2)</f>
        <v>298940</v>
      </c>
    </row>
    <row r="13" spans="1:8" ht="41.4">
      <c r="A13" s="756"/>
      <c r="B13" s="780" t="s">
        <v>497</v>
      </c>
      <c r="C13" s="781" t="s">
        <v>498</v>
      </c>
      <c r="D13" s="782" t="s">
        <v>6</v>
      </c>
      <c r="E13" s="767" t="s">
        <v>490</v>
      </c>
      <c r="F13" s="767" t="s">
        <v>491</v>
      </c>
      <c r="G13" s="768" t="s">
        <v>492</v>
      </c>
      <c r="H13" s="769" t="s">
        <v>499</v>
      </c>
    </row>
    <row r="14" spans="1:8" ht="14.4">
      <c r="A14" s="756"/>
      <c r="B14" s="772">
        <v>2.1</v>
      </c>
      <c r="C14" s="783" t="s">
        <v>500</v>
      </c>
      <c r="D14" s="774">
        <v>1</v>
      </c>
      <c r="E14" s="775" t="e">
        <f>+#REF!</f>
        <v>#REF!</v>
      </c>
      <c r="F14" s="776">
        <f>+F10</f>
        <v>1.9929333333333332</v>
      </c>
      <c r="G14" s="777">
        <f>+G10</f>
        <v>0.02</v>
      </c>
      <c r="H14" s="784" t="e">
        <f>ROUND(E14*F14*G14*D14,2)</f>
        <v>#REF!</v>
      </c>
    </row>
    <row r="15" spans="1:8" ht="14.4">
      <c r="A15" s="756"/>
      <c r="B15" s="785">
        <v>2.2000000000000002</v>
      </c>
      <c r="C15" s="783" t="s">
        <v>348</v>
      </c>
      <c r="D15" s="774">
        <v>1</v>
      </c>
      <c r="E15" s="775" t="e">
        <f>+#REF!</f>
        <v>#REF!</v>
      </c>
      <c r="F15" s="776">
        <f>+F10</f>
        <v>1.9929333333333332</v>
      </c>
      <c r="G15" s="777">
        <f>+G14</f>
        <v>0.02</v>
      </c>
      <c r="H15" s="784" t="e">
        <f>ROUND(E15*F15*G15*D15,2)</f>
        <v>#REF!</v>
      </c>
    </row>
    <row r="16" spans="1:8" ht="14.4">
      <c r="A16" s="756"/>
      <c r="B16" s="785">
        <v>2.2999999999999998</v>
      </c>
      <c r="C16" s="783" t="s">
        <v>501</v>
      </c>
      <c r="D16" s="774">
        <v>2</v>
      </c>
      <c r="E16" s="775" t="e">
        <f>+#REF!</f>
        <v>#REF!</v>
      </c>
      <c r="F16" s="776">
        <f>+F14</f>
        <v>1.9929333333333332</v>
      </c>
      <c r="G16" s="777">
        <f>+G15</f>
        <v>0.02</v>
      </c>
      <c r="H16" s="784" t="e">
        <f>ROUND(E16*F16*G16*D16,2)</f>
        <v>#REF!</v>
      </c>
    </row>
    <row r="17" spans="1:8" ht="14.4">
      <c r="A17" s="756"/>
      <c r="B17" s="2093" t="s">
        <v>502</v>
      </c>
      <c r="C17" s="2094"/>
      <c r="D17" s="2094"/>
      <c r="E17" s="2094"/>
      <c r="F17" s="2094"/>
      <c r="G17" s="2095"/>
      <c r="H17" s="784" t="e">
        <f>ROUND(H14+H15+H16,2)</f>
        <v>#REF!</v>
      </c>
    </row>
    <row r="18" spans="1:8" ht="14.4">
      <c r="A18" s="756"/>
      <c r="B18" s="786"/>
      <c r="C18" s="787"/>
      <c r="D18" s="787"/>
      <c r="E18" s="787"/>
      <c r="F18" s="787"/>
      <c r="G18" s="787"/>
      <c r="H18" s="788"/>
    </row>
    <row r="19" spans="1:8" ht="15" thickBot="1">
      <c r="A19" s="756"/>
      <c r="B19" s="2096" t="s">
        <v>503</v>
      </c>
      <c r="C19" s="2097"/>
      <c r="D19" s="2097"/>
      <c r="E19" s="2097"/>
      <c r="F19" s="2097"/>
      <c r="G19" s="2098"/>
      <c r="H19" s="802" t="e">
        <f>ROUND(H12+H17,2)</f>
        <v>#REF!</v>
      </c>
    </row>
    <row r="20" spans="1:8" ht="15" thickBot="1">
      <c r="A20" s="756"/>
      <c r="B20" s="787"/>
      <c r="C20" s="787"/>
      <c r="D20" s="787"/>
      <c r="E20" s="787"/>
      <c r="F20" s="787"/>
      <c r="G20" s="787"/>
      <c r="H20" s="789"/>
    </row>
    <row r="21" spans="1:8" ht="14.4">
      <c r="A21" s="756"/>
      <c r="B21" s="763" t="s">
        <v>504</v>
      </c>
      <c r="C21" s="2099" t="s">
        <v>505</v>
      </c>
      <c r="D21" s="2099"/>
      <c r="E21" s="2099"/>
      <c r="F21" s="2099"/>
      <c r="G21" s="2099"/>
      <c r="H21" s="2100"/>
    </row>
    <row r="22" spans="1:8" ht="36">
      <c r="A22" s="756"/>
      <c r="B22" s="766" t="s">
        <v>487</v>
      </c>
      <c r="C22" s="767" t="s">
        <v>506</v>
      </c>
      <c r="D22" s="767" t="s">
        <v>15</v>
      </c>
      <c r="E22" s="767" t="s">
        <v>507</v>
      </c>
      <c r="F22" s="790" t="s">
        <v>508</v>
      </c>
      <c r="G22" s="767"/>
      <c r="H22" s="769" t="s">
        <v>223</v>
      </c>
    </row>
    <row r="23" spans="1:8" ht="82.8">
      <c r="A23" s="756"/>
      <c r="B23" s="772">
        <v>3.1</v>
      </c>
      <c r="C23" s="783" t="s">
        <v>509</v>
      </c>
      <c r="D23" s="774">
        <v>1</v>
      </c>
      <c r="E23" s="791">
        <v>5700000</v>
      </c>
      <c r="F23" s="777">
        <f>+F26</f>
        <v>0.02</v>
      </c>
      <c r="G23" s="776"/>
      <c r="H23" s="792">
        <f>ROUND(E23*F23*D23,2)</f>
        <v>114000</v>
      </c>
    </row>
    <row r="24" spans="1:8" ht="14.4">
      <c r="A24" s="756"/>
      <c r="B24" s="772">
        <v>3.2</v>
      </c>
      <c r="C24" s="783" t="s">
        <v>510</v>
      </c>
      <c r="D24" s="774">
        <v>1</v>
      </c>
      <c r="E24" s="791">
        <f>+INTERVENTORIA!H30</f>
        <v>0</v>
      </c>
      <c r="F24" s="777">
        <f>+G16</f>
        <v>0.02</v>
      </c>
      <c r="G24" s="776"/>
      <c r="H24" s="792">
        <f t="shared" ref="H24:H27" si="0">ROUND(E24*F24*D24,2)</f>
        <v>0</v>
      </c>
    </row>
    <row r="25" spans="1:8" ht="27.6">
      <c r="A25" s="756"/>
      <c r="B25" s="772">
        <v>3.3</v>
      </c>
      <c r="C25" s="783" t="s">
        <v>347</v>
      </c>
      <c r="D25" s="774">
        <v>1</v>
      </c>
      <c r="E25" s="791">
        <f>+INTERVENTORIA!H29</f>
        <v>7000000</v>
      </c>
      <c r="F25" s="777">
        <f>+F24</f>
        <v>0.02</v>
      </c>
      <c r="G25" s="776"/>
      <c r="H25" s="792">
        <f t="shared" si="0"/>
        <v>140000</v>
      </c>
    </row>
    <row r="26" spans="1:8" ht="14.4">
      <c r="A26" s="756"/>
      <c r="B26" s="772">
        <v>3.4</v>
      </c>
      <c r="C26" s="783" t="s">
        <v>511</v>
      </c>
      <c r="D26" s="774">
        <v>2</v>
      </c>
      <c r="E26" s="791">
        <f>+INTERVENTORIA!H23</f>
        <v>150000</v>
      </c>
      <c r="F26" s="777">
        <f>+F25</f>
        <v>0.02</v>
      </c>
      <c r="G26" s="776"/>
      <c r="H26" s="792">
        <f t="shared" si="0"/>
        <v>6000</v>
      </c>
    </row>
    <row r="27" spans="1:8" ht="14.4">
      <c r="A27" s="756"/>
      <c r="B27" s="772">
        <v>3.5</v>
      </c>
      <c r="C27" s="783" t="s">
        <v>512</v>
      </c>
      <c r="D27" s="774">
        <v>1</v>
      </c>
      <c r="E27" s="791">
        <f>+INTERVENTORIA!H31</f>
        <v>241237.7272773108</v>
      </c>
      <c r="F27" s="777">
        <f>+F23</f>
        <v>0.02</v>
      </c>
      <c r="G27" s="776"/>
      <c r="H27" s="792">
        <f t="shared" si="0"/>
        <v>4824.75</v>
      </c>
    </row>
    <row r="28" spans="1:8" ht="15" thickBot="1">
      <c r="A28" s="756"/>
      <c r="B28" s="2101" t="s">
        <v>513</v>
      </c>
      <c r="C28" s="2102"/>
      <c r="D28" s="2102"/>
      <c r="E28" s="2102"/>
      <c r="F28" s="2102"/>
      <c r="G28" s="2102"/>
      <c r="H28" s="803">
        <f>ROUND(SUM(H23:H27),2)</f>
        <v>264824.75</v>
      </c>
    </row>
    <row r="29" spans="1:8" ht="15" thickBot="1">
      <c r="A29" s="756"/>
      <c r="B29" s="793"/>
      <c r="C29" s="793"/>
      <c r="D29" s="793"/>
      <c r="E29" s="793"/>
      <c r="F29" s="793"/>
      <c r="G29" s="793"/>
      <c r="H29" s="794"/>
    </row>
    <row r="30" spans="1:8" ht="15" thickBot="1">
      <c r="A30" s="756"/>
      <c r="B30" s="2103" t="s">
        <v>514</v>
      </c>
      <c r="C30" s="2104"/>
      <c r="D30" s="2104"/>
      <c r="E30" s="2104"/>
      <c r="F30" s="2104"/>
      <c r="G30" s="2104"/>
      <c r="H30" s="795" t="e">
        <f>ROUND(H28+H19,2)</f>
        <v>#REF!</v>
      </c>
    </row>
    <row r="31" spans="1:8" ht="15" thickBot="1">
      <c r="A31" s="756"/>
      <c r="B31" s="796"/>
      <c r="C31" s="796"/>
      <c r="D31" s="796"/>
      <c r="E31" s="796"/>
      <c r="F31" s="796"/>
      <c r="G31" s="796"/>
      <c r="H31" s="797"/>
    </row>
    <row r="32" spans="1:8" ht="15" thickBot="1">
      <c r="A32" s="756"/>
      <c r="B32" s="2105" t="s">
        <v>515</v>
      </c>
      <c r="C32" s="2106"/>
      <c r="D32" s="2106"/>
      <c r="E32" s="2106"/>
      <c r="F32" s="2106"/>
      <c r="G32" s="2106"/>
      <c r="H32" s="798" t="e">
        <f>+ROUND(H30,0)</f>
        <v>#REF!</v>
      </c>
    </row>
    <row r="33" spans="1:8" ht="13.8">
      <c r="A33" s="799"/>
      <c r="B33" s="799"/>
      <c r="C33" s="799"/>
      <c r="D33" s="799"/>
      <c r="E33" s="799"/>
      <c r="F33" s="799"/>
      <c r="G33" s="799"/>
      <c r="H33" s="799"/>
    </row>
    <row r="34" spans="1:8" ht="13.8">
      <c r="A34" s="799"/>
      <c r="B34" s="799"/>
      <c r="C34" s="799"/>
      <c r="D34" s="799"/>
      <c r="E34" s="799"/>
      <c r="F34" s="799"/>
      <c r="G34" s="799"/>
      <c r="H34" s="799"/>
    </row>
    <row r="35" spans="1:8" ht="13.8">
      <c r="A35" s="799"/>
      <c r="B35" s="799"/>
      <c r="C35" s="2091" t="s">
        <v>516</v>
      </c>
      <c r="D35" s="2091"/>
      <c r="E35" s="2091"/>
      <c r="F35" s="2091"/>
      <c r="G35" s="777">
        <v>17.911000000000001</v>
      </c>
      <c r="H35" s="799"/>
    </row>
    <row r="36" spans="1:8" ht="13.8">
      <c r="A36" s="799"/>
      <c r="B36" s="799"/>
      <c r="C36" s="2092" t="s">
        <v>517</v>
      </c>
      <c r="D36" s="2092"/>
      <c r="E36" s="2092"/>
      <c r="F36" s="2092"/>
      <c r="G36" s="800">
        <f>(SUM(G35:G35))</f>
        <v>17.911000000000001</v>
      </c>
      <c r="H36" s="799"/>
    </row>
    <row r="37" spans="1:8" ht="13.8">
      <c r="A37" s="799"/>
      <c r="B37" s="799"/>
      <c r="C37" s="799"/>
      <c r="D37" s="799"/>
      <c r="E37" s="799"/>
      <c r="F37" s="760"/>
      <c r="G37" s="760"/>
      <c r="H37" s="760"/>
    </row>
    <row r="38" spans="1:8" ht="13.8">
      <c r="A38" s="799"/>
      <c r="B38" s="799"/>
      <c r="C38" s="799"/>
      <c r="D38" s="799"/>
      <c r="E38" s="799"/>
      <c r="F38" s="799"/>
      <c r="G38" s="799"/>
      <c r="H38" s="799"/>
    </row>
    <row r="39" spans="1:8" ht="14.4">
      <c r="A39" s="756"/>
      <c r="B39" s="275"/>
      <c r="C39" s="277"/>
      <c r="D39" s="762"/>
      <c r="E39" s="275"/>
      <c r="F39" s="275"/>
      <c r="G39" s="275"/>
      <c r="H39" s="760"/>
    </row>
    <row r="40" spans="1:8" ht="15.6">
      <c r="A40" s="756"/>
      <c r="B40" s="552"/>
      <c r="C40" s="437"/>
      <c r="D40" s="801"/>
      <c r="E40" s="105"/>
      <c r="F40" s="275"/>
      <c r="G40" s="275"/>
      <c r="H40" s="760"/>
    </row>
    <row r="41" spans="1:8" ht="15.6">
      <c r="A41" s="756"/>
      <c r="B41" s="569" t="s">
        <v>479</v>
      </c>
      <c r="C41" s="225"/>
      <c r="D41" s="278"/>
      <c r="E41" s="105"/>
      <c r="F41" s="275"/>
      <c r="G41" s="275"/>
      <c r="H41" s="760"/>
    </row>
    <row r="42" spans="1:8" ht="15.6">
      <c r="A42" s="756"/>
      <c r="B42" s="443" t="s">
        <v>480</v>
      </c>
      <c r="C42" s="223"/>
      <c r="D42" s="199"/>
      <c r="E42" s="6"/>
      <c r="F42" s="214"/>
      <c r="G42" s="214"/>
      <c r="H42" s="758"/>
    </row>
  </sheetData>
  <mergeCells count="14">
    <mergeCell ref="B12:G12"/>
    <mergeCell ref="B2:H2"/>
    <mergeCell ref="B4:H4"/>
    <mergeCell ref="C6:H6"/>
    <mergeCell ref="B7:C7"/>
    <mergeCell ref="D9:H9"/>
    <mergeCell ref="C35:F35"/>
    <mergeCell ref="C36:F36"/>
    <mergeCell ref="B17:G17"/>
    <mergeCell ref="B19:G19"/>
    <mergeCell ref="C21:H21"/>
    <mergeCell ref="B28:G28"/>
    <mergeCell ref="B30:G30"/>
    <mergeCell ref="B32:G32"/>
  </mergeCells>
  <pageMargins left="0.7" right="0.7" top="0.75" bottom="0.75" header="0.3" footer="0.3"/>
  <pageSetup scale="67"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7">
    <tabColor theme="8"/>
  </sheetPr>
  <dimension ref="A1:G55"/>
  <sheetViews>
    <sheetView workbookViewId="0"/>
  </sheetViews>
  <sheetFormatPr baseColWidth="10" defaultColWidth="11.44140625" defaultRowHeight="14.4" customHeight="1"/>
  <cols>
    <col min="1" max="1" width="20.5546875" style="61" customWidth="1"/>
    <col min="2" max="6" width="12.5546875" style="61" customWidth="1"/>
    <col min="7" max="7" width="15.5546875" style="61" customWidth="1"/>
    <col min="8" max="16384" width="11.44140625" style="61"/>
  </cols>
  <sheetData>
    <row r="1" spans="1:7" ht="14.4" customHeight="1">
      <c r="A1" s="58"/>
      <c r="B1" s="59"/>
      <c r="C1" s="60"/>
      <c r="D1" s="58"/>
      <c r="E1" s="59"/>
      <c r="F1" s="59"/>
      <c r="G1" s="60"/>
    </row>
    <row r="2" spans="1:7" ht="14.4" customHeight="1">
      <c r="A2" s="2138" t="s">
        <v>53</v>
      </c>
      <c r="B2" s="2139"/>
      <c r="C2" s="2140"/>
      <c r="D2" s="62"/>
      <c r="E2" s="63"/>
      <c r="F2" s="63"/>
      <c r="G2" s="64"/>
    </row>
    <row r="3" spans="1:7" ht="14.4" customHeight="1">
      <c r="A3" s="2138" t="s">
        <v>13</v>
      </c>
      <c r="B3" s="2139"/>
      <c r="C3" s="2140"/>
      <c r="D3" s="2138" t="s">
        <v>51</v>
      </c>
      <c r="E3" s="2139"/>
      <c r="F3" s="2139"/>
      <c r="G3" s="2140"/>
    </row>
    <row r="4" spans="1:7" ht="14.4" customHeight="1">
      <c r="A4" s="2138" t="s">
        <v>60</v>
      </c>
      <c r="B4" s="2139"/>
      <c r="C4" s="2140"/>
      <c r="D4" s="62"/>
      <c r="E4" s="63"/>
      <c r="F4" s="63"/>
      <c r="G4" s="64"/>
    </row>
    <row r="5" spans="1:7" ht="14.4" customHeight="1" thickBot="1">
      <c r="A5" s="65"/>
      <c r="B5" s="66"/>
      <c r="C5" s="67"/>
      <c r="D5" s="65"/>
      <c r="E5" s="66"/>
      <c r="F5" s="66"/>
      <c r="G5" s="67"/>
    </row>
    <row r="7" spans="1:7" ht="14.4" customHeight="1">
      <c r="A7" s="63" t="str">
        <f>+'APU-Básicos'!A7</f>
        <v>"MEJORAMIENTO VIAL MEDIANTE LA CONSTRUCCIÓN DE PAVIMENTO RÍGIDO DE LA PRIMERA ETAPA DE LA VÍA QUE COMUNICA A LA VEREDA PONDORES EN EL CORREGIMIENTO DE CONEJO, MUNICIPIO DE FONSECA - DEPARTAMENTO DE LA GUAJIRA."</v>
      </c>
      <c r="B7" s="63"/>
      <c r="C7" s="63"/>
      <c r="D7" s="63"/>
      <c r="E7" s="63"/>
      <c r="F7" s="63" t="s">
        <v>67</v>
      </c>
      <c r="G7" s="63"/>
    </row>
    <row r="8" spans="1:7" ht="14.4" customHeight="1">
      <c r="A8" s="63"/>
      <c r="B8" s="63"/>
      <c r="C8" s="63"/>
      <c r="D8" s="63"/>
      <c r="E8" s="63"/>
      <c r="F8" s="63"/>
      <c r="G8" s="63"/>
    </row>
    <row r="9" spans="1:7" ht="14.4" customHeight="1">
      <c r="A9" s="63" t="s">
        <v>70</v>
      </c>
      <c r="B9" s="63"/>
      <c r="C9" s="63"/>
      <c r="D9" s="63"/>
      <c r="E9" s="63"/>
      <c r="F9" s="63" t="s">
        <v>28</v>
      </c>
      <c r="G9" s="63" t="s">
        <v>0</v>
      </c>
    </row>
    <row r="10" spans="1:7" ht="14.4" customHeight="1">
      <c r="A10" s="63"/>
      <c r="B10" s="63"/>
      <c r="C10" s="63"/>
      <c r="D10" s="63"/>
      <c r="E10" s="63"/>
      <c r="F10" s="63"/>
      <c r="G10" s="63"/>
    </row>
    <row r="11" spans="1:7" ht="14.4" customHeight="1" thickBot="1">
      <c r="A11" s="63" t="s">
        <v>16</v>
      </c>
    </row>
    <row r="12" spans="1:7" ht="14.4" customHeight="1">
      <c r="A12" s="2124" t="s">
        <v>21</v>
      </c>
      <c r="B12" s="2141"/>
      <c r="C12" s="2125"/>
      <c r="D12" s="69" t="s">
        <v>1</v>
      </c>
      <c r="E12" s="70" t="s">
        <v>8</v>
      </c>
      <c r="F12" s="69" t="s">
        <v>2</v>
      </c>
      <c r="G12" s="2126"/>
    </row>
    <row r="13" spans="1:7" ht="14.4" customHeight="1">
      <c r="A13" s="21" t="s">
        <v>14</v>
      </c>
      <c r="B13" s="22"/>
      <c r="C13" s="23"/>
      <c r="D13" s="5">
        <v>100000</v>
      </c>
      <c r="E13" s="5">
        <v>50</v>
      </c>
      <c r="F13" s="5">
        <f>ROUND(D13/E13,0)</f>
        <v>2000</v>
      </c>
      <c r="G13" s="2127"/>
    </row>
    <row r="14" spans="1:7" ht="14.4" customHeight="1">
      <c r="A14" s="21" t="s">
        <v>54</v>
      </c>
      <c r="B14" s="22"/>
      <c r="C14" s="23"/>
      <c r="D14" s="5">
        <v>80000</v>
      </c>
      <c r="E14" s="5">
        <f>E13</f>
        <v>50</v>
      </c>
      <c r="F14" s="5">
        <f>ROUND(D14/E14,0)</f>
        <v>1600</v>
      </c>
      <c r="G14" s="2127"/>
    </row>
    <row r="15" spans="1:7" ht="14.4" customHeight="1">
      <c r="A15" s="34" t="s">
        <v>55</v>
      </c>
      <c r="B15" s="96"/>
      <c r="C15" s="54"/>
      <c r="D15" s="5">
        <v>50000</v>
      </c>
      <c r="E15" s="5">
        <f>E13</f>
        <v>50</v>
      </c>
      <c r="F15" s="5">
        <f>ROUND(D15/E15,0)</f>
        <v>1000</v>
      </c>
      <c r="G15" s="2127"/>
    </row>
    <row r="16" spans="1:7" ht="14.4" customHeight="1">
      <c r="A16" s="21" t="s">
        <v>68</v>
      </c>
      <c r="B16" s="97">
        <v>0.1</v>
      </c>
      <c r="C16" s="23"/>
      <c r="D16" s="5"/>
      <c r="E16" s="5"/>
      <c r="F16" s="5">
        <f>G42*B16</f>
        <v>462.5</v>
      </c>
      <c r="G16" s="2127"/>
    </row>
    <row r="17" spans="1:7" ht="14.4" customHeight="1" thickBot="1">
      <c r="A17" s="71"/>
      <c r="B17" s="72"/>
      <c r="C17" s="73"/>
      <c r="D17" s="74"/>
      <c r="E17" s="74"/>
      <c r="F17" s="74"/>
      <c r="G17" s="2128"/>
    </row>
    <row r="18" spans="1:7" ht="14.4" customHeight="1" thickBot="1">
      <c r="F18" s="61" t="s">
        <v>3</v>
      </c>
      <c r="G18" s="79">
        <f>SUM(F13:F17)</f>
        <v>5062.5</v>
      </c>
    </row>
    <row r="19" spans="1:7" ht="14.4" customHeight="1" thickBot="1">
      <c r="A19" s="63" t="s">
        <v>17</v>
      </c>
      <c r="G19" s="76"/>
    </row>
    <row r="20" spans="1:7" ht="14.4" customHeight="1">
      <c r="A20" s="2124" t="s">
        <v>21</v>
      </c>
      <c r="B20" s="2125"/>
      <c r="C20" s="69" t="s">
        <v>4</v>
      </c>
      <c r="D20" s="77" t="s">
        <v>5</v>
      </c>
      <c r="E20" s="69" t="s">
        <v>6</v>
      </c>
      <c r="F20" s="69" t="s">
        <v>2</v>
      </c>
      <c r="G20" s="2126"/>
    </row>
    <row r="21" spans="1:7" ht="14.4" customHeight="1">
      <c r="A21" s="2" t="s">
        <v>39</v>
      </c>
      <c r="B21" s="95"/>
      <c r="C21" s="78" t="s">
        <v>40</v>
      </c>
      <c r="D21" s="3">
        <v>20</v>
      </c>
      <c r="E21" s="3">
        <v>30</v>
      </c>
      <c r="F21" s="3">
        <f>ROUND(E21*D21,0)</f>
        <v>600</v>
      </c>
      <c r="G21" s="2127"/>
    </row>
    <row r="22" spans="1:7" ht="14.4" customHeight="1">
      <c r="A22" s="2" t="s">
        <v>69</v>
      </c>
      <c r="B22" s="95"/>
      <c r="C22" s="78" t="s">
        <v>0</v>
      </c>
      <c r="D22" s="3">
        <v>12000</v>
      </c>
      <c r="E22" s="3">
        <v>1.35</v>
      </c>
      <c r="F22" s="3">
        <f>+D22*E22</f>
        <v>16200.000000000002</v>
      </c>
      <c r="G22" s="2127"/>
    </row>
    <row r="23" spans="1:7" ht="14.4" customHeight="1">
      <c r="A23" s="2"/>
      <c r="B23" s="95"/>
      <c r="C23" s="78"/>
      <c r="D23" s="3"/>
      <c r="E23" s="3"/>
      <c r="F23" s="3"/>
      <c r="G23" s="2127"/>
    </row>
    <row r="24" spans="1:7" ht="14.4" customHeight="1">
      <c r="A24" s="2"/>
      <c r="B24" s="4"/>
      <c r="C24" s="87"/>
      <c r="D24" s="3"/>
      <c r="E24" s="3"/>
      <c r="F24" s="3"/>
      <c r="G24" s="2127"/>
    </row>
    <row r="25" spans="1:7" ht="14.4" customHeight="1" thickBot="1">
      <c r="A25" s="71"/>
      <c r="B25" s="73"/>
      <c r="C25" s="84"/>
      <c r="D25" s="74"/>
      <c r="E25" s="74"/>
      <c r="F25" s="74"/>
      <c r="G25" s="2128"/>
    </row>
    <row r="26" spans="1:7" ht="14.4" customHeight="1" thickBot="1">
      <c r="F26" s="61" t="s">
        <v>3</v>
      </c>
      <c r="G26" s="75">
        <f>SUM(F21:F25)</f>
        <v>16800</v>
      </c>
    </row>
    <row r="27" spans="1:7" ht="14.4" customHeight="1" thickBot="1">
      <c r="A27" s="63" t="s">
        <v>18</v>
      </c>
      <c r="G27" s="76"/>
    </row>
    <row r="28" spans="1:7" ht="14.4" customHeight="1">
      <c r="A28" s="80" t="s">
        <v>23</v>
      </c>
      <c r="B28" s="69" t="s">
        <v>46</v>
      </c>
      <c r="C28" s="69" t="s">
        <v>36</v>
      </c>
      <c r="D28" s="77" t="s">
        <v>26</v>
      </c>
      <c r="E28" s="69" t="s">
        <v>25</v>
      </c>
      <c r="F28" s="69" t="s">
        <v>2</v>
      </c>
      <c r="G28" s="2126"/>
    </row>
    <row r="29" spans="1:7" ht="14.4" customHeight="1">
      <c r="A29" s="2" t="s">
        <v>59</v>
      </c>
      <c r="B29" s="82">
        <f>+E22</f>
        <v>1.35</v>
      </c>
      <c r="C29" s="81">
        <v>20</v>
      </c>
      <c r="D29" s="82">
        <f>C29*B29</f>
        <v>27</v>
      </c>
      <c r="E29" s="3" t="e">
        <f>+#REF!</f>
        <v>#REF!</v>
      </c>
      <c r="F29" s="3" t="e">
        <f>ROUND(E29*D29,0)</f>
        <v>#REF!</v>
      </c>
      <c r="G29" s="2127"/>
    </row>
    <row r="30" spans="1:7" ht="14.4" customHeight="1">
      <c r="A30" s="2"/>
      <c r="B30" s="81"/>
      <c r="C30" s="81"/>
      <c r="D30" s="82"/>
      <c r="E30" s="3"/>
      <c r="F30" s="3"/>
      <c r="G30" s="2127"/>
    </row>
    <row r="31" spans="1:7" ht="14.4" customHeight="1">
      <c r="A31" s="2"/>
      <c r="B31" s="81"/>
      <c r="C31" s="81"/>
      <c r="D31" s="98"/>
      <c r="E31" s="3"/>
      <c r="F31" s="99"/>
      <c r="G31" s="2127"/>
    </row>
    <row r="32" spans="1:7" ht="14.4" customHeight="1">
      <c r="A32" s="2"/>
      <c r="B32" s="83"/>
      <c r="C32" s="83"/>
      <c r="D32" s="100"/>
      <c r="E32" s="3"/>
      <c r="F32" s="99"/>
      <c r="G32" s="2127"/>
    </row>
    <row r="33" spans="1:7" ht="14.4" customHeight="1" thickBot="1">
      <c r="A33" s="65"/>
      <c r="B33" s="101"/>
      <c r="C33" s="101"/>
      <c r="D33" s="102"/>
      <c r="E33" s="103"/>
      <c r="F33" s="102"/>
      <c r="G33" s="2128"/>
    </row>
    <row r="34" spans="1:7" ht="14.4" customHeight="1" thickBot="1">
      <c r="F34" s="61" t="s">
        <v>3</v>
      </c>
      <c r="G34" s="75" t="e">
        <f>SUM(F29:F33)</f>
        <v>#REF!</v>
      </c>
    </row>
    <row r="35" spans="1:7" ht="14.4" customHeight="1" thickBot="1">
      <c r="A35" s="63" t="s">
        <v>19</v>
      </c>
      <c r="G35" s="76"/>
    </row>
    <row r="36" spans="1:7" ht="14.4" customHeight="1">
      <c r="A36" s="68" t="s">
        <v>24</v>
      </c>
      <c r="B36" s="69" t="s">
        <v>7</v>
      </c>
      <c r="C36" s="69" t="s">
        <v>43</v>
      </c>
      <c r="D36" s="85" t="s">
        <v>27</v>
      </c>
      <c r="E36" s="69" t="s">
        <v>8</v>
      </c>
      <c r="F36" s="69" t="s">
        <v>2</v>
      </c>
      <c r="G36" s="2126"/>
    </row>
    <row r="37" spans="1:7" ht="14.4" customHeight="1">
      <c r="A37" s="2" t="s">
        <v>34</v>
      </c>
      <c r="B37" s="3">
        <f>25000*2</f>
        <v>50000</v>
      </c>
      <c r="C37" s="86">
        <v>1.85</v>
      </c>
      <c r="D37" s="1">
        <f>C37*B37</f>
        <v>92500</v>
      </c>
      <c r="E37" s="1">
        <v>20</v>
      </c>
      <c r="F37" s="1">
        <f>ROUND(D37/E37,0)</f>
        <v>4625</v>
      </c>
      <c r="G37" s="2127"/>
    </row>
    <row r="38" spans="1:7" ht="14.4" customHeight="1">
      <c r="A38" s="2"/>
      <c r="B38" s="3"/>
      <c r="C38" s="86"/>
      <c r="D38" s="1"/>
      <c r="E38" s="1"/>
      <c r="F38" s="1"/>
      <c r="G38" s="2127"/>
    </row>
    <row r="39" spans="1:7" ht="14.4" customHeight="1">
      <c r="A39" s="2"/>
      <c r="B39" s="3"/>
      <c r="C39" s="86"/>
      <c r="D39" s="1"/>
      <c r="E39" s="1"/>
      <c r="F39" s="1"/>
      <c r="G39" s="2127"/>
    </row>
    <row r="40" spans="1:7" ht="14.4" customHeight="1">
      <c r="A40" s="2"/>
      <c r="B40" s="87"/>
      <c r="C40" s="1"/>
      <c r="D40" s="1"/>
      <c r="E40" s="88"/>
      <c r="F40" s="1"/>
      <c r="G40" s="2127"/>
    </row>
    <row r="41" spans="1:7" ht="14.4" customHeight="1" thickBot="1">
      <c r="A41" s="71"/>
      <c r="B41" s="84"/>
      <c r="C41" s="74"/>
      <c r="D41" s="89"/>
      <c r="E41" s="89"/>
      <c r="F41" s="89"/>
      <c r="G41" s="2128"/>
    </row>
    <row r="42" spans="1:7" ht="14.4" customHeight="1" thickBot="1">
      <c r="D42" s="90"/>
      <c r="E42" s="90"/>
      <c r="F42" s="61" t="s">
        <v>3</v>
      </c>
      <c r="G42" s="104">
        <f>SUM(F37:F41)</f>
        <v>4625</v>
      </c>
    </row>
    <row r="43" spans="1:7" ht="14.4" customHeight="1" thickBot="1">
      <c r="G43" s="76"/>
    </row>
    <row r="44" spans="1:7" ht="14.4" customHeight="1" thickBot="1">
      <c r="D44" s="63" t="s">
        <v>10</v>
      </c>
      <c r="G44" s="92" t="e">
        <f>ROUND(G18+G26+G34+G42,0)</f>
        <v>#REF!</v>
      </c>
    </row>
    <row r="45" spans="1:7" ht="14.4" customHeight="1">
      <c r="G45" s="76"/>
    </row>
    <row r="46" spans="1:7" ht="14.4" customHeight="1" thickBot="1">
      <c r="A46" s="63" t="s">
        <v>20</v>
      </c>
      <c r="G46" s="76"/>
    </row>
    <row r="47" spans="1:7" ht="14.4" customHeight="1">
      <c r="A47" s="2129" t="s">
        <v>21</v>
      </c>
      <c r="B47" s="2130"/>
      <c r="C47" s="2130"/>
      <c r="D47" s="2131"/>
      <c r="E47" s="93" t="s">
        <v>11</v>
      </c>
      <c r="F47" s="93" t="s">
        <v>22</v>
      </c>
      <c r="G47" s="2126"/>
    </row>
    <row r="48" spans="1:7" ht="14.4" customHeight="1">
      <c r="A48" s="2132" t="s">
        <v>30</v>
      </c>
      <c r="B48" s="2133"/>
      <c r="C48" s="2133"/>
      <c r="D48" s="2134"/>
      <c r="E48" s="50">
        <v>0.22</v>
      </c>
      <c r="F48" s="3" t="e">
        <f>ROUND(G44*E48,0)</f>
        <v>#REF!</v>
      </c>
      <c r="G48" s="2127"/>
    </row>
    <row r="49" spans="1:7" ht="14.4" customHeight="1">
      <c r="A49" s="2132" t="s">
        <v>32</v>
      </c>
      <c r="B49" s="2133"/>
      <c r="C49" s="2133"/>
      <c r="D49" s="2134"/>
      <c r="E49" s="50">
        <v>0.03</v>
      </c>
      <c r="F49" s="3" t="e">
        <f>ROUND(G44*E49,0)</f>
        <v>#REF!</v>
      </c>
      <c r="G49" s="2127"/>
    </row>
    <row r="50" spans="1:7" ht="14.4" customHeight="1" thickBot="1">
      <c r="A50" s="2135" t="s">
        <v>31</v>
      </c>
      <c r="B50" s="2136"/>
      <c r="C50" s="2136"/>
      <c r="D50" s="2137"/>
      <c r="E50" s="51">
        <v>0.05</v>
      </c>
      <c r="F50" s="74" t="e">
        <f>ROUND(G44*E50,0)</f>
        <v>#REF!</v>
      </c>
      <c r="G50" s="2127"/>
    </row>
    <row r="51" spans="1:7" ht="14.4" customHeight="1" thickBot="1">
      <c r="F51" s="61" t="s">
        <v>3</v>
      </c>
      <c r="G51" s="91" t="e">
        <f>ROUND(SUM(F48:F50),)</f>
        <v>#REF!</v>
      </c>
    </row>
    <row r="52" spans="1:7" ht="14.4" customHeight="1" thickBot="1">
      <c r="A52" s="6" t="s">
        <v>72</v>
      </c>
      <c r="G52" s="76"/>
    </row>
    <row r="53" spans="1:7" ht="14.4" customHeight="1" thickBot="1">
      <c r="A53" s="6"/>
      <c r="D53" s="63" t="s">
        <v>29</v>
      </c>
      <c r="G53" s="94" t="e">
        <f>ROUND(G44+G51,0)</f>
        <v>#REF!</v>
      </c>
    </row>
    <row r="54" spans="1:7" ht="14.4" customHeight="1">
      <c r="A54" s="13" t="s">
        <v>74</v>
      </c>
    </row>
    <row r="55" spans="1:7" ht="14.4" customHeight="1">
      <c r="A55" s="6" t="s">
        <v>73</v>
      </c>
    </row>
  </sheetData>
  <mergeCells count="15">
    <mergeCell ref="A2:C2"/>
    <mergeCell ref="A3:C3"/>
    <mergeCell ref="D3:G3"/>
    <mergeCell ref="A4:C4"/>
    <mergeCell ref="A12:C12"/>
    <mergeCell ref="G12:G17"/>
    <mergeCell ref="A20:B20"/>
    <mergeCell ref="G20:G25"/>
    <mergeCell ref="G28:G33"/>
    <mergeCell ref="G36:G41"/>
    <mergeCell ref="A47:D47"/>
    <mergeCell ref="G47:G50"/>
    <mergeCell ref="A48:D48"/>
    <mergeCell ref="A49:D49"/>
    <mergeCell ref="A50:D50"/>
  </mergeCells>
  <printOptions horizontalCentered="1" verticalCentered="1"/>
  <pageMargins left="0.78740157480314965" right="0.59055118110236227" top="0.98425196850393704" bottom="0.78740157480314965" header="0.59055118110236227" footer="0.39370078740157483"/>
  <pageSetup scale="85" orientation="portrait" r:id="rId1"/>
  <headerFooter alignWithMargins="0">
    <oddFooter>&amp;R&amp;"Tahoma,Negrita"&amp;8ÍTEM 230.2</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vt:i4>
      </vt:variant>
      <vt:variant>
        <vt:lpstr>Rangos con nombre</vt:lpstr>
      </vt:variant>
      <vt:variant>
        <vt:i4>23</vt:i4>
      </vt:variant>
    </vt:vector>
  </HeadingPairs>
  <TitlesOfParts>
    <vt:vector size="56" baseType="lpstr">
      <vt:lpstr>PRESUPUESTO</vt:lpstr>
      <vt:lpstr>SOCIAL</vt:lpstr>
      <vt:lpstr>AIU</vt:lpstr>
      <vt:lpstr>CRONOGRAMA Y FC</vt:lpstr>
      <vt:lpstr>CANTIDADES</vt:lpstr>
      <vt:lpstr>CORTE Y RELL</vt:lpstr>
      <vt:lpstr>INTERVENTORIA</vt:lpstr>
      <vt:lpstr>Loc</vt:lpstr>
      <vt:lpstr>APU-Básicos</vt:lpstr>
      <vt:lpstr>1,01(2)</vt:lpstr>
      <vt:lpstr>1,02(2)</vt:lpstr>
      <vt:lpstr>Replanteo</vt:lpstr>
      <vt:lpstr>ENSAYOS</vt:lpstr>
      <vt:lpstr>Equ</vt:lpstr>
      <vt:lpstr>1,1</vt:lpstr>
      <vt:lpstr>1,2</vt:lpstr>
      <vt:lpstr>1,3</vt:lpstr>
      <vt:lpstr>2,1</vt:lpstr>
      <vt:lpstr>2,2</vt:lpstr>
      <vt:lpstr>2,3</vt:lpstr>
      <vt:lpstr>3,1</vt:lpstr>
      <vt:lpstr>3,2</vt:lpstr>
      <vt:lpstr>3,3</vt:lpstr>
      <vt:lpstr>FP</vt:lpstr>
      <vt:lpstr>FM</vt:lpstr>
      <vt:lpstr>PAGA</vt:lpstr>
      <vt:lpstr>PMT</vt:lpstr>
      <vt:lpstr>CARACTERIZACION </vt:lpstr>
      <vt:lpstr>Sum</vt:lpstr>
      <vt:lpstr>Transporte</vt:lpstr>
      <vt:lpstr>Apu Basicos</vt:lpstr>
      <vt:lpstr>CARACTERIZACION</vt:lpstr>
      <vt:lpstr>230.2</vt:lpstr>
      <vt:lpstr>'1,2'!Área_de_impresión</vt:lpstr>
      <vt:lpstr>'2,3'!Área_de_impresión</vt:lpstr>
      <vt:lpstr>AIU!Área_de_impresión</vt:lpstr>
      <vt:lpstr>'APU-Básicos'!Área_de_impresión</vt:lpstr>
      <vt:lpstr>CANTIDADES!Área_de_impresión</vt:lpstr>
      <vt:lpstr>CARACTERIZACION!Área_de_impresión</vt:lpstr>
      <vt:lpstr>'CARACTERIZACION '!Área_de_impresión</vt:lpstr>
      <vt:lpstr>'CORTE Y RELL'!Área_de_impresión</vt:lpstr>
      <vt:lpstr>'CRONOGRAMA Y FC'!Área_de_impresión</vt:lpstr>
      <vt:lpstr>Equ!Área_de_impresión</vt:lpstr>
      <vt:lpstr>FM!Área_de_impresión</vt:lpstr>
      <vt:lpstr>FP!Área_de_impresión</vt:lpstr>
      <vt:lpstr>INTERVENTORIA!Área_de_impresión</vt:lpstr>
      <vt:lpstr>PAGA!Área_de_impresión</vt:lpstr>
      <vt:lpstr>PMT!Área_de_impresión</vt:lpstr>
      <vt:lpstr>PRESUPUESTO!Área_de_impresión</vt:lpstr>
      <vt:lpstr>SOCIAL!Área_de_impresión</vt:lpstr>
      <vt:lpstr>Sum!Área_de_impresión</vt:lpstr>
      <vt:lpstr>Transporte!Área_de_impresión</vt:lpstr>
      <vt:lpstr>AIU!Títulos_a_imprimir</vt:lpstr>
      <vt:lpstr>Loc!Títulos_a_imprimir</vt:lpstr>
      <vt:lpstr>PRESUPUESTO!Títulos_a_imprimir</vt:lpstr>
      <vt:lpstr>SOCIAL!Títulos_a_imprimir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Municipio de San Bernardo</dc:title>
  <dc:creator>PERSONAL</dc:creator>
  <cp:lastModifiedBy>erwin alfonso jaraba castilla</cp:lastModifiedBy>
  <cp:lastPrinted>2021-09-07T15:36:14Z</cp:lastPrinted>
  <dcterms:created xsi:type="dcterms:W3CDTF">1997-06-24T02:01:37Z</dcterms:created>
  <dcterms:modified xsi:type="dcterms:W3CDTF">2025-11-11T17:01:54Z</dcterms:modified>
</cp:coreProperties>
</file>