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PAE CAUCA\2026\PROYECTO PAE 2026\DOCUMENTOS\DOCUMENTOS SUBSANACIÓN\DOCUMENTOS FINALES VF\"/>
    </mc:Choice>
  </mc:AlternateContent>
  <xr:revisionPtr revIDLastSave="0" documentId="13_ncr:1_{05AE4D4C-9183-4383-9A19-98ED8BC4B3C0}" xr6:coauthVersionLast="47" xr6:coauthVersionMax="47" xr10:uidLastSave="{00000000-0000-0000-0000-000000000000}"/>
  <bookViews>
    <workbookView xWindow="16344" yWindow="-48" windowWidth="23136" windowHeight="12456" tabRatio="593" xr2:uid="{00000000-000D-0000-FFFF-FFFF00000000}"/>
  </bookViews>
  <sheets>
    <sheet name="PRESUPUESTO " sheetId="16" r:id="rId1"/>
    <sheet name="1,1 SUMINISTRAR COM. PRE UNI. " sheetId="17" r:id="rId2"/>
    <sheet name="1,1COMPLPORZONA" sheetId="12" r:id="rId3"/>
    <sheet name="1,2 SUMINISTRAR CANASTA R.E " sheetId="18" r:id="rId4"/>
    <sheet name="1.3 SEGUMIENTO MyC" sheetId="19" r:id="rId5"/>
  </sheets>
  <definedNames>
    <definedName name="_xlnm._FilterDatabase" localSheetId="2" hidden="1">'1,1COMPLPORZONA'!$A$3:$W$153</definedName>
    <definedName name="_xlnm._FilterDatabase" localSheetId="4" hidden="1">'1.3 SEGUMIENTO MyC'!$C$22:$P$22</definedName>
    <definedName name="_xlnm._FilterDatabase" localSheetId="0" hidden="1">'PRESUPUESTO '!$A$53:$I$177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6" i="17" l="1"/>
  <c r="O142" i="17"/>
  <c r="U136" i="17"/>
  <c r="U142" i="17"/>
  <c r="J19" i="16"/>
  <c r="I19" i="16"/>
  <c r="R11" i="12" l="1"/>
  <c r="S11" i="12"/>
  <c r="T11" i="12"/>
  <c r="U11" i="12"/>
  <c r="V11" i="12"/>
  <c r="R12" i="12"/>
  <c r="S12" i="12"/>
  <c r="T12" i="12"/>
  <c r="U12" i="12"/>
  <c r="V12" i="12"/>
  <c r="R13" i="12"/>
  <c r="S13" i="12"/>
  <c r="T13" i="12"/>
  <c r="U13" i="12"/>
  <c r="V13" i="12"/>
  <c r="R14" i="12"/>
  <c r="S14" i="12"/>
  <c r="T14" i="12"/>
  <c r="U14" i="12"/>
  <c r="V14" i="12"/>
  <c r="R15" i="12"/>
  <c r="S15" i="12"/>
  <c r="T15" i="12"/>
  <c r="U15" i="12"/>
  <c r="V15" i="12"/>
  <c r="R16" i="12"/>
  <c r="S16" i="12"/>
  <c r="T16" i="12"/>
  <c r="U16" i="12"/>
  <c r="V16" i="12"/>
  <c r="R17" i="12"/>
  <c r="S17" i="12"/>
  <c r="T17" i="12"/>
  <c r="U17" i="12"/>
  <c r="V17" i="12"/>
  <c r="R18" i="12"/>
  <c r="S18" i="12"/>
  <c r="T18" i="12"/>
  <c r="U18" i="12"/>
  <c r="V18" i="12"/>
  <c r="R19" i="12"/>
  <c r="S19" i="12"/>
  <c r="T19" i="12"/>
  <c r="U19" i="12"/>
  <c r="V19" i="12"/>
  <c r="R20" i="12"/>
  <c r="S20" i="12"/>
  <c r="T20" i="12"/>
  <c r="U20" i="12"/>
  <c r="V20" i="12"/>
  <c r="R21" i="12"/>
  <c r="S21" i="12"/>
  <c r="T21" i="12"/>
  <c r="U21" i="12"/>
  <c r="V21" i="12"/>
  <c r="R22" i="12"/>
  <c r="S22" i="12"/>
  <c r="T22" i="12"/>
  <c r="U22" i="12"/>
  <c r="V22" i="12"/>
  <c r="R23" i="12"/>
  <c r="S23" i="12"/>
  <c r="T23" i="12"/>
  <c r="U23" i="12"/>
  <c r="V23" i="12"/>
  <c r="R24" i="12"/>
  <c r="S24" i="12"/>
  <c r="T24" i="12"/>
  <c r="U24" i="12"/>
  <c r="V24" i="12"/>
  <c r="R25" i="12"/>
  <c r="S25" i="12"/>
  <c r="T25" i="12"/>
  <c r="U25" i="12"/>
  <c r="V25" i="12"/>
  <c r="R26" i="12"/>
  <c r="S26" i="12"/>
  <c r="T26" i="12"/>
  <c r="U26" i="12"/>
  <c r="V26" i="12"/>
  <c r="R27" i="12"/>
  <c r="S27" i="12"/>
  <c r="T27" i="12"/>
  <c r="U27" i="12"/>
  <c r="V27" i="12"/>
  <c r="R28" i="12"/>
  <c r="S28" i="12"/>
  <c r="T28" i="12"/>
  <c r="U28" i="12"/>
  <c r="V28" i="12"/>
  <c r="R29" i="12"/>
  <c r="S29" i="12"/>
  <c r="T29" i="12"/>
  <c r="U29" i="12"/>
  <c r="V29" i="12"/>
  <c r="R30" i="12"/>
  <c r="S30" i="12"/>
  <c r="T30" i="12"/>
  <c r="U30" i="12"/>
  <c r="V30" i="12"/>
  <c r="R31" i="12"/>
  <c r="S31" i="12"/>
  <c r="T31" i="12"/>
  <c r="U31" i="12"/>
  <c r="V31" i="12"/>
  <c r="R32" i="12"/>
  <c r="S32" i="12"/>
  <c r="T32" i="12"/>
  <c r="U32" i="12"/>
  <c r="V32" i="12"/>
  <c r="R33" i="12"/>
  <c r="S33" i="12"/>
  <c r="T33" i="12"/>
  <c r="U33" i="12"/>
  <c r="V33" i="12"/>
  <c r="R34" i="12"/>
  <c r="S34" i="12"/>
  <c r="T34" i="12"/>
  <c r="U34" i="12"/>
  <c r="V34" i="12"/>
  <c r="R35" i="12"/>
  <c r="S35" i="12"/>
  <c r="T35" i="12"/>
  <c r="U35" i="12"/>
  <c r="V35" i="12"/>
  <c r="R36" i="12"/>
  <c r="S36" i="12"/>
  <c r="T36" i="12"/>
  <c r="U36" i="12"/>
  <c r="V36" i="12"/>
  <c r="R37" i="12"/>
  <c r="S37" i="12"/>
  <c r="T37" i="12"/>
  <c r="U37" i="12"/>
  <c r="V37" i="12"/>
  <c r="R38" i="12"/>
  <c r="S38" i="12"/>
  <c r="T38" i="12"/>
  <c r="U38" i="12"/>
  <c r="V38" i="12"/>
  <c r="R39" i="12"/>
  <c r="S39" i="12"/>
  <c r="T39" i="12"/>
  <c r="U39" i="12"/>
  <c r="V39" i="12"/>
  <c r="R40" i="12"/>
  <c r="S40" i="12"/>
  <c r="T40" i="12"/>
  <c r="U40" i="12"/>
  <c r="V40" i="12"/>
  <c r="R41" i="12"/>
  <c r="S41" i="12"/>
  <c r="T41" i="12"/>
  <c r="U41" i="12"/>
  <c r="V41" i="12"/>
  <c r="R42" i="12"/>
  <c r="S42" i="12"/>
  <c r="T42" i="12"/>
  <c r="U42" i="12"/>
  <c r="V42" i="12"/>
  <c r="R43" i="12"/>
  <c r="S43" i="12"/>
  <c r="T43" i="12"/>
  <c r="U43" i="12"/>
  <c r="V43" i="12"/>
  <c r="R44" i="12"/>
  <c r="S44" i="12"/>
  <c r="T44" i="12"/>
  <c r="U44" i="12"/>
  <c r="V44" i="12"/>
  <c r="R45" i="12"/>
  <c r="S45" i="12"/>
  <c r="T45" i="12"/>
  <c r="U45" i="12"/>
  <c r="V45" i="12"/>
  <c r="R46" i="12"/>
  <c r="S46" i="12"/>
  <c r="T46" i="12"/>
  <c r="U46" i="12"/>
  <c r="V46" i="12"/>
  <c r="R47" i="12"/>
  <c r="S47" i="12"/>
  <c r="T47" i="12"/>
  <c r="U47" i="12"/>
  <c r="V47" i="12"/>
  <c r="R48" i="12"/>
  <c r="S48" i="12"/>
  <c r="T48" i="12"/>
  <c r="U48" i="12"/>
  <c r="V48" i="12"/>
  <c r="R49" i="12"/>
  <c r="S49" i="12"/>
  <c r="T49" i="12"/>
  <c r="U49" i="12"/>
  <c r="V49" i="12"/>
  <c r="R50" i="12"/>
  <c r="S50" i="12"/>
  <c r="T50" i="12"/>
  <c r="U50" i="12"/>
  <c r="V50" i="12"/>
  <c r="R51" i="12"/>
  <c r="S51" i="12"/>
  <c r="T51" i="12"/>
  <c r="U51" i="12"/>
  <c r="V51" i="12"/>
  <c r="R52" i="12"/>
  <c r="S52" i="12"/>
  <c r="T52" i="12"/>
  <c r="U52" i="12"/>
  <c r="V52" i="12"/>
  <c r="R53" i="12"/>
  <c r="S53" i="12"/>
  <c r="T53" i="12"/>
  <c r="U53" i="12"/>
  <c r="V53" i="12"/>
  <c r="R54" i="12"/>
  <c r="S54" i="12"/>
  <c r="T54" i="12"/>
  <c r="U54" i="12"/>
  <c r="V54" i="12"/>
  <c r="R55" i="12"/>
  <c r="S55" i="12"/>
  <c r="T55" i="12"/>
  <c r="U55" i="12"/>
  <c r="V55" i="12"/>
  <c r="R56" i="12"/>
  <c r="S56" i="12"/>
  <c r="T56" i="12"/>
  <c r="U56" i="12"/>
  <c r="V56" i="12"/>
  <c r="R57" i="12"/>
  <c r="S57" i="12"/>
  <c r="T57" i="12"/>
  <c r="U57" i="12"/>
  <c r="V57" i="12"/>
  <c r="R58" i="12"/>
  <c r="S58" i="12"/>
  <c r="T58" i="12"/>
  <c r="U58" i="12"/>
  <c r="V58" i="12"/>
  <c r="R59" i="12"/>
  <c r="S59" i="12"/>
  <c r="T59" i="12"/>
  <c r="U59" i="12"/>
  <c r="V59" i="12"/>
  <c r="R60" i="12"/>
  <c r="S60" i="12"/>
  <c r="T60" i="12"/>
  <c r="U60" i="12"/>
  <c r="V60" i="12"/>
  <c r="R61" i="12"/>
  <c r="S61" i="12"/>
  <c r="T61" i="12"/>
  <c r="U61" i="12"/>
  <c r="V61" i="12"/>
  <c r="R62" i="12"/>
  <c r="S62" i="12"/>
  <c r="T62" i="12"/>
  <c r="U62" i="12"/>
  <c r="V62" i="12"/>
  <c r="R63" i="12"/>
  <c r="S63" i="12"/>
  <c r="T63" i="12"/>
  <c r="U63" i="12"/>
  <c r="V63" i="12"/>
  <c r="R64" i="12"/>
  <c r="S64" i="12"/>
  <c r="T64" i="12"/>
  <c r="U64" i="12"/>
  <c r="V64" i="12"/>
  <c r="R65" i="12"/>
  <c r="S65" i="12"/>
  <c r="T65" i="12"/>
  <c r="U65" i="12"/>
  <c r="V65" i="12"/>
  <c r="R66" i="12"/>
  <c r="S66" i="12"/>
  <c r="T66" i="12"/>
  <c r="U66" i="12"/>
  <c r="V66" i="12"/>
  <c r="R67" i="12"/>
  <c r="S67" i="12"/>
  <c r="T67" i="12"/>
  <c r="U67" i="12"/>
  <c r="V67" i="12"/>
  <c r="R68" i="12"/>
  <c r="S68" i="12"/>
  <c r="T68" i="12"/>
  <c r="U68" i="12"/>
  <c r="V68" i="12"/>
  <c r="R69" i="12"/>
  <c r="S69" i="12"/>
  <c r="T69" i="12"/>
  <c r="U69" i="12"/>
  <c r="V69" i="12"/>
  <c r="R70" i="12"/>
  <c r="S70" i="12"/>
  <c r="T70" i="12"/>
  <c r="U70" i="12"/>
  <c r="V70" i="12"/>
  <c r="R71" i="12"/>
  <c r="S71" i="12"/>
  <c r="T71" i="12"/>
  <c r="U71" i="12"/>
  <c r="V71" i="12"/>
  <c r="R72" i="12"/>
  <c r="S72" i="12"/>
  <c r="T72" i="12"/>
  <c r="U72" i="12"/>
  <c r="V72" i="12"/>
  <c r="R73" i="12"/>
  <c r="S73" i="12"/>
  <c r="T73" i="12"/>
  <c r="U73" i="12"/>
  <c r="V73" i="12"/>
  <c r="R74" i="12"/>
  <c r="S74" i="12"/>
  <c r="T74" i="12"/>
  <c r="U74" i="12"/>
  <c r="V74" i="12"/>
  <c r="R75" i="12"/>
  <c r="S75" i="12"/>
  <c r="T75" i="12"/>
  <c r="U75" i="12"/>
  <c r="V75" i="12"/>
  <c r="R76" i="12"/>
  <c r="S76" i="12"/>
  <c r="T76" i="12"/>
  <c r="U76" i="12"/>
  <c r="V76" i="12"/>
  <c r="R77" i="12"/>
  <c r="S77" i="12"/>
  <c r="T77" i="12"/>
  <c r="U77" i="12"/>
  <c r="V77" i="12"/>
  <c r="R78" i="12"/>
  <c r="S78" i="12"/>
  <c r="T78" i="12"/>
  <c r="U78" i="12"/>
  <c r="V78" i="12"/>
  <c r="R79" i="12"/>
  <c r="S79" i="12"/>
  <c r="T79" i="12"/>
  <c r="U79" i="12"/>
  <c r="V79" i="12"/>
  <c r="R80" i="12"/>
  <c r="S80" i="12"/>
  <c r="T80" i="12"/>
  <c r="U80" i="12"/>
  <c r="V80" i="12"/>
  <c r="R81" i="12"/>
  <c r="S81" i="12"/>
  <c r="T81" i="12"/>
  <c r="U81" i="12"/>
  <c r="V81" i="12"/>
  <c r="R82" i="12"/>
  <c r="S82" i="12"/>
  <c r="T82" i="12"/>
  <c r="U82" i="12"/>
  <c r="V82" i="12"/>
  <c r="R83" i="12"/>
  <c r="S83" i="12"/>
  <c r="T83" i="12"/>
  <c r="U83" i="12"/>
  <c r="V83" i="12"/>
  <c r="R84" i="12"/>
  <c r="S84" i="12"/>
  <c r="T84" i="12"/>
  <c r="U84" i="12"/>
  <c r="V84" i="12"/>
  <c r="R85" i="12"/>
  <c r="S85" i="12"/>
  <c r="T85" i="12"/>
  <c r="U85" i="12"/>
  <c r="V85" i="12"/>
  <c r="R86" i="12"/>
  <c r="S86" i="12"/>
  <c r="T86" i="12"/>
  <c r="U86" i="12"/>
  <c r="V86" i="12"/>
  <c r="R87" i="12"/>
  <c r="S87" i="12"/>
  <c r="T87" i="12"/>
  <c r="U87" i="12"/>
  <c r="V87" i="12"/>
  <c r="R88" i="12"/>
  <c r="S88" i="12"/>
  <c r="T88" i="12"/>
  <c r="U88" i="12"/>
  <c r="V88" i="12"/>
  <c r="R89" i="12"/>
  <c r="S89" i="12"/>
  <c r="T89" i="12"/>
  <c r="U89" i="12"/>
  <c r="V89" i="12"/>
  <c r="R90" i="12"/>
  <c r="S90" i="12"/>
  <c r="T90" i="12"/>
  <c r="U90" i="12"/>
  <c r="V90" i="12"/>
  <c r="R91" i="12"/>
  <c r="S91" i="12"/>
  <c r="T91" i="12"/>
  <c r="U91" i="12"/>
  <c r="V91" i="12"/>
  <c r="R92" i="12"/>
  <c r="S92" i="12"/>
  <c r="T92" i="12"/>
  <c r="U92" i="12"/>
  <c r="V92" i="12"/>
  <c r="R93" i="12"/>
  <c r="S93" i="12"/>
  <c r="T93" i="12"/>
  <c r="U93" i="12"/>
  <c r="V93" i="12"/>
  <c r="R94" i="12"/>
  <c r="S94" i="12"/>
  <c r="T94" i="12"/>
  <c r="U94" i="12"/>
  <c r="V94" i="12"/>
  <c r="R95" i="12"/>
  <c r="S95" i="12"/>
  <c r="T95" i="12"/>
  <c r="U95" i="12"/>
  <c r="V95" i="12"/>
  <c r="R96" i="12"/>
  <c r="S96" i="12"/>
  <c r="T96" i="12"/>
  <c r="U96" i="12"/>
  <c r="V96" i="12"/>
  <c r="R97" i="12"/>
  <c r="S97" i="12"/>
  <c r="T97" i="12"/>
  <c r="U97" i="12"/>
  <c r="V97" i="12"/>
  <c r="R98" i="12"/>
  <c r="S98" i="12"/>
  <c r="T98" i="12"/>
  <c r="U98" i="12"/>
  <c r="V98" i="12"/>
  <c r="R99" i="12"/>
  <c r="S99" i="12"/>
  <c r="T99" i="12"/>
  <c r="U99" i="12"/>
  <c r="V99" i="12"/>
  <c r="R100" i="12"/>
  <c r="S100" i="12"/>
  <c r="T100" i="12"/>
  <c r="U100" i="12"/>
  <c r="V100" i="12"/>
  <c r="R101" i="12"/>
  <c r="S101" i="12"/>
  <c r="T101" i="12"/>
  <c r="U101" i="12"/>
  <c r="V101" i="12"/>
  <c r="R102" i="12"/>
  <c r="S102" i="12"/>
  <c r="T102" i="12"/>
  <c r="U102" i="12"/>
  <c r="V102" i="12"/>
  <c r="R103" i="12"/>
  <c r="S103" i="12"/>
  <c r="T103" i="12"/>
  <c r="U103" i="12"/>
  <c r="V103" i="12"/>
  <c r="R104" i="12"/>
  <c r="S104" i="12"/>
  <c r="T104" i="12"/>
  <c r="U104" i="12"/>
  <c r="V104" i="12"/>
  <c r="R105" i="12"/>
  <c r="S105" i="12"/>
  <c r="T105" i="12"/>
  <c r="U105" i="12"/>
  <c r="V105" i="12"/>
  <c r="R106" i="12"/>
  <c r="S106" i="12"/>
  <c r="T106" i="12"/>
  <c r="U106" i="12"/>
  <c r="V106" i="12"/>
  <c r="R107" i="12"/>
  <c r="S107" i="12"/>
  <c r="T107" i="12"/>
  <c r="U107" i="12"/>
  <c r="V107" i="12"/>
  <c r="R108" i="12"/>
  <c r="S108" i="12"/>
  <c r="T108" i="12"/>
  <c r="U108" i="12"/>
  <c r="V108" i="12"/>
  <c r="R109" i="12"/>
  <c r="S109" i="12"/>
  <c r="T109" i="12"/>
  <c r="U109" i="12"/>
  <c r="V109" i="12"/>
  <c r="R110" i="12"/>
  <c r="S110" i="12"/>
  <c r="T110" i="12"/>
  <c r="U110" i="12"/>
  <c r="V110" i="12"/>
  <c r="R111" i="12"/>
  <c r="S111" i="12"/>
  <c r="T111" i="12"/>
  <c r="U111" i="12"/>
  <c r="V111" i="12"/>
  <c r="R112" i="12"/>
  <c r="S112" i="12"/>
  <c r="T112" i="12"/>
  <c r="U112" i="12"/>
  <c r="V112" i="12"/>
  <c r="R113" i="12"/>
  <c r="S113" i="12"/>
  <c r="T113" i="12"/>
  <c r="U113" i="12"/>
  <c r="V113" i="12"/>
  <c r="R114" i="12"/>
  <c r="S114" i="12"/>
  <c r="T114" i="12"/>
  <c r="U114" i="12"/>
  <c r="V114" i="12"/>
  <c r="R115" i="12"/>
  <c r="S115" i="12"/>
  <c r="T115" i="12"/>
  <c r="U115" i="12"/>
  <c r="V115" i="12"/>
  <c r="R116" i="12"/>
  <c r="S116" i="12"/>
  <c r="T116" i="12"/>
  <c r="U116" i="12"/>
  <c r="V116" i="12"/>
  <c r="R117" i="12"/>
  <c r="S117" i="12"/>
  <c r="T117" i="12"/>
  <c r="U117" i="12"/>
  <c r="V117" i="12"/>
  <c r="R118" i="12"/>
  <c r="S118" i="12"/>
  <c r="T118" i="12"/>
  <c r="U118" i="12"/>
  <c r="V118" i="12"/>
  <c r="R119" i="12"/>
  <c r="S119" i="12"/>
  <c r="T119" i="12"/>
  <c r="U119" i="12"/>
  <c r="V119" i="12"/>
  <c r="R120" i="12"/>
  <c r="S120" i="12"/>
  <c r="T120" i="12"/>
  <c r="U120" i="12"/>
  <c r="V120" i="12"/>
  <c r="R121" i="12"/>
  <c r="S121" i="12"/>
  <c r="T121" i="12"/>
  <c r="U121" i="12"/>
  <c r="V121" i="12"/>
  <c r="R122" i="12"/>
  <c r="S122" i="12"/>
  <c r="T122" i="12"/>
  <c r="U122" i="12"/>
  <c r="V122" i="12"/>
  <c r="R123" i="12"/>
  <c r="S123" i="12"/>
  <c r="T123" i="12"/>
  <c r="U123" i="12"/>
  <c r="V123" i="12"/>
  <c r="R124" i="12"/>
  <c r="S124" i="12"/>
  <c r="T124" i="12"/>
  <c r="U124" i="12"/>
  <c r="V124" i="12"/>
  <c r="R125" i="12"/>
  <c r="S125" i="12"/>
  <c r="T125" i="12"/>
  <c r="U125" i="12"/>
  <c r="V125" i="12"/>
  <c r="R126" i="12"/>
  <c r="S126" i="12"/>
  <c r="T126" i="12"/>
  <c r="U126" i="12"/>
  <c r="V126" i="12"/>
  <c r="R127" i="12"/>
  <c r="S127" i="12"/>
  <c r="T127" i="12"/>
  <c r="U127" i="12"/>
  <c r="V127" i="12"/>
  <c r="R128" i="12"/>
  <c r="S128" i="12"/>
  <c r="T128" i="12"/>
  <c r="U128" i="12"/>
  <c r="V128" i="12"/>
  <c r="R129" i="12"/>
  <c r="S129" i="12"/>
  <c r="T129" i="12"/>
  <c r="U129" i="12"/>
  <c r="V129" i="12"/>
  <c r="R130" i="12"/>
  <c r="S130" i="12"/>
  <c r="T130" i="12"/>
  <c r="U130" i="12"/>
  <c r="V130" i="12"/>
  <c r="R131" i="12"/>
  <c r="S131" i="12"/>
  <c r="T131" i="12"/>
  <c r="U131" i="12"/>
  <c r="V131" i="12"/>
  <c r="R132" i="12"/>
  <c r="S132" i="12"/>
  <c r="T132" i="12"/>
  <c r="U132" i="12"/>
  <c r="V132" i="12"/>
  <c r="R133" i="12"/>
  <c r="S133" i="12"/>
  <c r="T133" i="12"/>
  <c r="U133" i="12"/>
  <c r="V133" i="12"/>
  <c r="R134" i="12"/>
  <c r="S134" i="12"/>
  <c r="T134" i="12"/>
  <c r="U134" i="12"/>
  <c r="V134" i="12"/>
  <c r="R135" i="12"/>
  <c r="S135" i="12"/>
  <c r="T135" i="12"/>
  <c r="U135" i="12"/>
  <c r="V135" i="12"/>
  <c r="R136" i="12"/>
  <c r="S136" i="12"/>
  <c r="T136" i="12"/>
  <c r="U136" i="12"/>
  <c r="V136" i="12"/>
  <c r="R5" i="12"/>
  <c r="S5" i="12"/>
  <c r="T5" i="12"/>
  <c r="U5" i="12"/>
  <c r="V5" i="12"/>
  <c r="R6" i="12"/>
  <c r="S6" i="12"/>
  <c r="T6" i="12"/>
  <c r="U6" i="12"/>
  <c r="V6" i="12"/>
  <c r="R7" i="12"/>
  <c r="S7" i="12"/>
  <c r="T7" i="12"/>
  <c r="U7" i="12"/>
  <c r="V7" i="12"/>
  <c r="R8" i="12"/>
  <c r="S8" i="12"/>
  <c r="T8" i="12"/>
  <c r="U8" i="12"/>
  <c r="V8" i="12"/>
  <c r="R9" i="12"/>
  <c r="S9" i="12"/>
  <c r="T9" i="12"/>
  <c r="U9" i="12"/>
  <c r="V9" i="12"/>
  <c r="R10" i="12"/>
  <c r="S10" i="12"/>
  <c r="T10" i="12"/>
  <c r="U10" i="12"/>
  <c r="V10" i="12"/>
  <c r="Q6" i="12"/>
  <c r="J155" i="17"/>
  <c r="E155" i="17"/>
  <c r="E142" i="17"/>
  <c r="Z129" i="17"/>
  <c r="U129" i="17"/>
  <c r="O129" i="17"/>
  <c r="E129" i="17"/>
  <c r="Z117" i="17"/>
  <c r="U117" i="17"/>
  <c r="O117" i="17"/>
  <c r="E117" i="17"/>
  <c r="Z105" i="17"/>
  <c r="U105" i="17"/>
  <c r="O105" i="17"/>
  <c r="J105" i="17"/>
  <c r="E105" i="17"/>
  <c r="AE93" i="17"/>
  <c r="Z93" i="17"/>
  <c r="O93" i="17"/>
  <c r="J93" i="17"/>
  <c r="E93" i="17"/>
  <c r="AO80" i="17"/>
  <c r="AJ80" i="17"/>
  <c r="U80" i="17"/>
  <c r="O80" i="17"/>
  <c r="E80" i="17"/>
  <c r="AA130" i="17" l="1"/>
  <c r="V130" i="17"/>
  <c r="P130" i="17"/>
  <c r="F130" i="17"/>
  <c r="V118" i="17"/>
  <c r="AA106" i="17"/>
  <c r="V106" i="17"/>
  <c r="P106" i="17"/>
  <c r="AF94" i="17"/>
  <c r="P94" i="17"/>
  <c r="F94" i="17"/>
  <c r="AK81" i="17"/>
  <c r="P81" i="17"/>
  <c r="U93" i="17"/>
  <c r="F143" i="17"/>
  <c r="C143" i="17"/>
  <c r="P143" i="17"/>
  <c r="AA118" i="17"/>
  <c r="K156" i="17"/>
  <c r="F156" i="17"/>
  <c r="V143" i="17"/>
  <c r="F19" i="16"/>
  <c r="P118" i="17"/>
  <c r="F118" i="17"/>
  <c r="F106" i="17"/>
  <c r="AF90" i="17"/>
  <c r="AF91" i="17"/>
  <c r="AF89" i="17"/>
  <c r="AA94" i="17"/>
  <c r="K94" i="17"/>
  <c r="AP81" i="17"/>
  <c r="V81" i="17"/>
  <c r="N157" i="12"/>
  <c r="F81" i="17" l="1"/>
  <c r="U56" i="17"/>
  <c r="U55" i="17"/>
  <c r="U54" i="17"/>
  <c r="U53" i="17"/>
  <c r="U45" i="17"/>
  <c r="U44" i="17"/>
  <c r="U43" i="17"/>
  <c r="U42" i="17"/>
  <c r="U34" i="17"/>
  <c r="U33" i="17"/>
  <c r="U32" i="17"/>
  <c r="U31" i="17"/>
  <c r="U22" i="17"/>
  <c r="U21" i="17"/>
  <c r="U20" i="17"/>
  <c r="U12" i="17"/>
  <c r="U11" i="17"/>
  <c r="U10" i="17"/>
  <c r="U9" i="17"/>
  <c r="K56" i="17"/>
  <c r="K55" i="17"/>
  <c r="K54" i="17"/>
  <c r="K53" i="17"/>
  <c r="K45" i="17"/>
  <c r="K44" i="17"/>
  <c r="K43" i="17"/>
  <c r="K42" i="17"/>
  <c r="K34" i="17"/>
  <c r="K32" i="17"/>
  <c r="K31" i="17"/>
  <c r="K23" i="17"/>
  <c r="K11" i="17"/>
  <c r="K22" i="17"/>
  <c r="K21" i="17"/>
  <c r="K20" i="17"/>
  <c r="K12" i="17"/>
  <c r="K9" i="17"/>
  <c r="Q145" i="17"/>
  <c r="V145" i="17"/>
  <c r="L15" i="12" l="1"/>
  <c r="N139" i="17"/>
  <c r="J142" i="17"/>
  <c r="J129" i="17"/>
  <c r="J117" i="17"/>
  <c r="N92" i="17"/>
  <c r="I76" i="17"/>
  <c r="I92" i="17"/>
  <c r="AE80" i="17"/>
  <c r="Z80" i="17"/>
  <c r="T76" i="17"/>
  <c r="J80" i="17"/>
  <c r="L55" i="12" s="1"/>
  <c r="M55" i="12" s="1"/>
  <c r="N55" i="12" s="1"/>
  <c r="O55" i="12" s="1"/>
  <c r="P55" i="12" s="1"/>
  <c r="D77" i="17"/>
  <c r="S68" i="17"/>
  <c r="P64" i="12" s="1"/>
  <c r="R68" i="17"/>
  <c r="O64" i="12" s="1"/>
  <c r="Q68" i="17"/>
  <c r="N64" i="12" s="1"/>
  <c r="P68" i="17"/>
  <c r="M64" i="12" s="1"/>
  <c r="O68" i="17"/>
  <c r="L64" i="12" s="1"/>
  <c r="I68" i="17"/>
  <c r="P40" i="12" s="1"/>
  <c r="H68" i="17"/>
  <c r="O40" i="12" s="1"/>
  <c r="G68" i="17"/>
  <c r="N40" i="12" s="1"/>
  <c r="F68" i="17"/>
  <c r="M40" i="12" s="1"/>
  <c r="E68" i="17"/>
  <c r="L40" i="12" s="1"/>
  <c r="T67" i="17"/>
  <c r="J67" i="17"/>
  <c r="T66" i="17"/>
  <c r="J66" i="17"/>
  <c r="T65" i="17"/>
  <c r="J65" i="17"/>
  <c r="T64" i="17"/>
  <c r="J64" i="17"/>
  <c r="T63" i="17"/>
  <c r="J63" i="17"/>
  <c r="T62" i="17"/>
  <c r="J62" i="17"/>
  <c r="S57" i="17"/>
  <c r="P8" i="12" s="1"/>
  <c r="R57" i="17"/>
  <c r="O8" i="12" s="1"/>
  <c r="Q57" i="17"/>
  <c r="N8" i="12" s="1"/>
  <c r="P57" i="17"/>
  <c r="M8" i="12" s="1"/>
  <c r="O57" i="17"/>
  <c r="L8" i="12" s="1"/>
  <c r="I57" i="17"/>
  <c r="P7" i="12" s="1"/>
  <c r="H57" i="17"/>
  <c r="O7" i="12" s="1"/>
  <c r="G57" i="17"/>
  <c r="N7" i="12" s="1"/>
  <c r="F57" i="17"/>
  <c r="M7" i="12" s="1"/>
  <c r="E57" i="17"/>
  <c r="L7" i="12" s="1"/>
  <c r="T56" i="17"/>
  <c r="J56" i="17"/>
  <c r="T55" i="17"/>
  <c r="J55" i="17"/>
  <c r="T54" i="17"/>
  <c r="J54" i="17"/>
  <c r="T53" i="17"/>
  <c r="J53" i="17"/>
  <c r="T52" i="17"/>
  <c r="J52" i="17"/>
  <c r="T51" i="17"/>
  <c r="J51" i="17"/>
  <c r="S46" i="17"/>
  <c r="P17" i="12" s="1"/>
  <c r="R46" i="17"/>
  <c r="O17" i="12" s="1"/>
  <c r="Q46" i="17"/>
  <c r="N17" i="12" s="1"/>
  <c r="P46" i="17"/>
  <c r="M17" i="12" s="1"/>
  <c r="O46" i="17"/>
  <c r="L17" i="12" s="1"/>
  <c r="I46" i="17"/>
  <c r="P16" i="12" s="1"/>
  <c r="H46" i="17"/>
  <c r="O16" i="12" s="1"/>
  <c r="G46" i="17"/>
  <c r="N16" i="12" s="1"/>
  <c r="F46" i="17"/>
  <c r="M16" i="12" s="1"/>
  <c r="E46" i="17"/>
  <c r="L16" i="12" s="1"/>
  <c r="T45" i="17"/>
  <c r="J45" i="17"/>
  <c r="T44" i="17"/>
  <c r="J44" i="17"/>
  <c r="T43" i="17"/>
  <c r="J43" i="17"/>
  <c r="T42" i="17"/>
  <c r="J42" i="17"/>
  <c r="T41" i="17"/>
  <c r="J41" i="17"/>
  <c r="T40" i="17"/>
  <c r="J40" i="17"/>
  <c r="S35" i="17"/>
  <c r="P5" i="12" s="1"/>
  <c r="R35" i="17"/>
  <c r="O5" i="12" s="1"/>
  <c r="Q35" i="17"/>
  <c r="N5" i="12" s="1"/>
  <c r="P35" i="17"/>
  <c r="M5" i="12" s="1"/>
  <c r="O35" i="17"/>
  <c r="L5" i="12" s="1"/>
  <c r="I35" i="17"/>
  <c r="P4" i="12" s="1"/>
  <c r="H35" i="17"/>
  <c r="O4" i="12" s="1"/>
  <c r="G35" i="17"/>
  <c r="N4" i="12" s="1"/>
  <c r="F35" i="17"/>
  <c r="M4" i="12" s="1"/>
  <c r="E35" i="17"/>
  <c r="L4" i="12" s="1"/>
  <c r="T34" i="17"/>
  <c r="J34" i="17"/>
  <c r="T33" i="17"/>
  <c r="J33" i="17"/>
  <c r="T32" i="17"/>
  <c r="J32" i="17"/>
  <c r="T31" i="17"/>
  <c r="J31" i="17"/>
  <c r="T30" i="17"/>
  <c r="J30" i="17"/>
  <c r="T29" i="17"/>
  <c r="J29" i="17"/>
  <c r="S24" i="17"/>
  <c r="P43" i="12" s="1"/>
  <c r="P127" i="12" s="1"/>
  <c r="R24" i="17"/>
  <c r="O43" i="12" s="1"/>
  <c r="O127" i="12" s="1"/>
  <c r="Q24" i="17"/>
  <c r="N43" i="12" s="1"/>
  <c r="N127" i="12" s="1"/>
  <c r="P24" i="17"/>
  <c r="M43" i="12" s="1"/>
  <c r="M127" i="12" s="1"/>
  <c r="O24" i="17"/>
  <c r="L43" i="12" s="1"/>
  <c r="L127" i="12" s="1"/>
  <c r="I24" i="17"/>
  <c r="P41" i="12" s="1"/>
  <c r="H24" i="17"/>
  <c r="O41" i="12" s="1"/>
  <c r="G24" i="17"/>
  <c r="N41" i="12" s="1"/>
  <c r="F24" i="17"/>
  <c r="M41" i="12" s="1"/>
  <c r="E24" i="17"/>
  <c r="L41" i="12" s="1"/>
  <c r="T23" i="17"/>
  <c r="U23" i="17" s="1"/>
  <c r="J23" i="17"/>
  <c r="T22" i="17"/>
  <c r="J22" i="17"/>
  <c r="T21" i="17"/>
  <c r="J21" i="17"/>
  <c r="T20" i="17"/>
  <c r="J20" i="17"/>
  <c r="T19" i="17"/>
  <c r="J19" i="17"/>
  <c r="T18" i="17"/>
  <c r="J18" i="17"/>
  <c r="S13" i="17"/>
  <c r="P22" i="12" s="1"/>
  <c r="R13" i="17"/>
  <c r="O22" i="12" s="1"/>
  <c r="Q13" i="17"/>
  <c r="N22" i="12" s="1"/>
  <c r="P13" i="17"/>
  <c r="O13" i="17"/>
  <c r="L22" i="12" s="1"/>
  <c r="I13" i="17"/>
  <c r="P21" i="12" s="1"/>
  <c r="H13" i="17"/>
  <c r="O21" i="12" s="1"/>
  <c r="G13" i="17"/>
  <c r="N21" i="12" s="1"/>
  <c r="F13" i="17"/>
  <c r="M21" i="12" s="1"/>
  <c r="E13" i="17"/>
  <c r="L21" i="12" s="1"/>
  <c r="T12" i="17"/>
  <c r="J12" i="17"/>
  <c r="T11" i="17"/>
  <c r="J11" i="17"/>
  <c r="T10" i="17"/>
  <c r="J10" i="17"/>
  <c r="K10" i="17" s="1"/>
  <c r="T9" i="17"/>
  <c r="J9" i="17"/>
  <c r="T8" i="17"/>
  <c r="J8" i="17"/>
  <c r="T7" i="17"/>
  <c r="J7" i="17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K216" i="16" s="1"/>
  <c r="J217" i="16"/>
  <c r="J218" i="16"/>
  <c r="J219" i="16"/>
  <c r="K219" i="16" s="1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K232" i="16" s="1"/>
  <c r="J233" i="16"/>
  <c r="J234" i="16"/>
  <c r="J235" i="16"/>
  <c r="J236" i="16"/>
  <c r="J237" i="16"/>
  <c r="J238" i="16"/>
  <c r="J239" i="16"/>
  <c r="J240" i="16"/>
  <c r="J241" i="16"/>
  <c r="K241" i="16" s="1"/>
  <c r="J242" i="16"/>
  <c r="J243" i="16"/>
  <c r="J203" i="16"/>
  <c r="I204" i="16"/>
  <c r="I205" i="16"/>
  <c r="I206" i="16"/>
  <c r="K206" i="16" s="1"/>
  <c r="I207" i="16"/>
  <c r="I208" i="16"/>
  <c r="K208" i="16" s="1"/>
  <c r="I209" i="16"/>
  <c r="K209" i="16" s="1"/>
  <c r="I210" i="16"/>
  <c r="K210" i="16" s="1"/>
  <c r="I211" i="16"/>
  <c r="I212" i="16"/>
  <c r="I213" i="16"/>
  <c r="I214" i="16"/>
  <c r="K214" i="16" s="1"/>
  <c r="I215" i="16"/>
  <c r="I216" i="16"/>
  <c r="I217" i="16"/>
  <c r="K217" i="16" s="1"/>
  <c r="I218" i="16"/>
  <c r="K218" i="16" s="1"/>
  <c r="I219" i="16"/>
  <c r="I220" i="16"/>
  <c r="I221" i="16"/>
  <c r="I222" i="16"/>
  <c r="I223" i="16"/>
  <c r="I224" i="16"/>
  <c r="I225" i="16"/>
  <c r="K225" i="16" s="1"/>
  <c r="I226" i="16"/>
  <c r="K226" i="16" s="1"/>
  <c r="I227" i="16"/>
  <c r="I228" i="16"/>
  <c r="I229" i="16"/>
  <c r="I230" i="16"/>
  <c r="I231" i="16"/>
  <c r="K231" i="16" s="1"/>
  <c r="I232" i="16"/>
  <c r="I233" i="16"/>
  <c r="I234" i="16"/>
  <c r="K234" i="16" s="1"/>
  <c r="I235" i="16"/>
  <c r="I236" i="16"/>
  <c r="I237" i="16"/>
  <c r="I238" i="16"/>
  <c r="I239" i="16"/>
  <c r="I240" i="16"/>
  <c r="K240" i="16" s="1"/>
  <c r="I241" i="16"/>
  <c r="I242" i="16"/>
  <c r="K242" i="16" s="1"/>
  <c r="I243" i="16"/>
  <c r="I203" i="16"/>
  <c r="D245" i="16"/>
  <c r="K238" i="16"/>
  <c r="K237" i="16"/>
  <c r="K236" i="16"/>
  <c r="K233" i="16"/>
  <c r="K230" i="16"/>
  <c r="K229" i="16"/>
  <c r="K228" i="16"/>
  <c r="K224" i="16"/>
  <c r="K223" i="16"/>
  <c r="K222" i="16"/>
  <c r="K221" i="16"/>
  <c r="K220" i="16"/>
  <c r="K215" i="16"/>
  <c r="K213" i="16"/>
  <c r="K212" i="16"/>
  <c r="K207" i="16"/>
  <c r="K205" i="16"/>
  <c r="K204" i="16"/>
  <c r="N88" i="17" l="1"/>
  <c r="N89" i="17"/>
  <c r="N87" i="17"/>
  <c r="N116" i="12"/>
  <c r="N110" i="12"/>
  <c r="N37" i="12"/>
  <c r="N85" i="12"/>
  <c r="N69" i="12"/>
  <c r="P136" i="12"/>
  <c r="P89" i="12"/>
  <c r="P75" i="12"/>
  <c r="D141" i="17"/>
  <c r="L44" i="12"/>
  <c r="L35" i="12"/>
  <c r="L115" i="12"/>
  <c r="L67" i="12"/>
  <c r="L36" i="12"/>
  <c r="L109" i="12"/>
  <c r="L84" i="12"/>
  <c r="L68" i="12"/>
  <c r="O69" i="12"/>
  <c r="O37" i="12"/>
  <c r="O85" i="12"/>
  <c r="O110" i="12"/>
  <c r="O116" i="12"/>
  <c r="N57" i="12"/>
  <c r="N56" i="12"/>
  <c r="N126" i="12"/>
  <c r="N42" i="12"/>
  <c r="P123" i="12"/>
  <c r="P99" i="12"/>
  <c r="P95" i="12"/>
  <c r="P50" i="12"/>
  <c r="P47" i="12"/>
  <c r="P93" i="12"/>
  <c r="P81" i="12"/>
  <c r="P51" i="12"/>
  <c r="M119" i="12"/>
  <c r="M104" i="12"/>
  <c r="M62" i="12"/>
  <c r="M24" i="12"/>
  <c r="M33" i="12"/>
  <c r="M29" i="12"/>
  <c r="L12" i="12"/>
  <c r="L10" i="12"/>
  <c r="L9" i="12"/>
  <c r="L14" i="12"/>
  <c r="L121" i="12"/>
  <c r="L79" i="12"/>
  <c r="L59" i="12"/>
  <c r="L39" i="12"/>
  <c r="O122" i="12"/>
  <c r="O80" i="12"/>
  <c r="O60" i="12"/>
  <c r="O13" i="12"/>
  <c r="O11" i="12"/>
  <c r="N135" i="12"/>
  <c r="N63" i="12"/>
  <c r="N88" i="12"/>
  <c r="N74" i="12"/>
  <c r="N101" i="17"/>
  <c r="L30" i="12"/>
  <c r="D124" i="17"/>
  <c r="L86" i="12"/>
  <c r="I140" i="17"/>
  <c r="L45" i="12"/>
  <c r="M36" i="12"/>
  <c r="M67" i="12"/>
  <c r="M35" i="12"/>
  <c r="M115" i="12"/>
  <c r="M109" i="12"/>
  <c r="M68" i="12"/>
  <c r="M84" i="12"/>
  <c r="P116" i="12"/>
  <c r="P110" i="12"/>
  <c r="P85" i="12"/>
  <c r="P69" i="12"/>
  <c r="P37" i="12"/>
  <c r="O126" i="12"/>
  <c r="O42" i="12"/>
  <c r="O57" i="12"/>
  <c r="O56" i="12"/>
  <c r="L82" i="12"/>
  <c r="L52" i="12"/>
  <c r="L94" i="12"/>
  <c r="L48" i="12"/>
  <c r="L96" i="12"/>
  <c r="L124" i="12"/>
  <c r="L100" i="12"/>
  <c r="N29" i="12"/>
  <c r="N24" i="12"/>
  <c r="N62" i="12"/>
  <c r="N33" i="12"/>
  <c r="N119" i="12"/>
  <c r="N104" i="12"/>
  <c r="M12" i="12"/>
  <c r="M10" i="12"/>
  <c r="M9" i="12"/>
  <c r="M39" i="12"/>
  <c r="M121" i="12"/>
  <c r="M79" i="12"/>
  <c r="M59" i="12"/>
  <c r="M14" i="12"/>
  <c r="P13" i="12"/>
  <c r="P11" i="12"/>
  <c r="P60" i="12"/>
  <c r="P80" i="12"/>
  <c r="P122" i="12"/>
  <c r="O135" i="12"/>
  <c r="O88" i="12"/>
  <c r="O74" i="12"/>
  <c r="O63" i="12"/>
  <c r="D88" i="17"/>
  <c r="L105" i="12"/>
  <c r="T101" i="17"/>
  <c r="L46" i="12"/>
  <c r="I126" i="17"/>
  <c r="L111" i="12"/>
  <c r="M42" i="12"/>
  <c r="M126" i="12"/>
  <c r="M57" i="12"/>
  <c r="M56" i="12"/>
  <c r="L31" i="12"/>
  <c r="L28" i="12"/>
  <c r="L23" i="12"/>
  <c r="L118" i="12"/>
  <c r="L61" i="12"/>
  <c r="L103" i="12"/>
  <c r="L32" i="12"/>
  <c r="L102" i="12"/>
  <c r="N12" i="12"/>
  <c r="N10" i="12"/>
  <c r="N9" i="12"/>
  <c r="N121" i="12"/>
  <c r="N79" i="12"/>
  <c r="N14" i="12"/>
  <c r="N59" i="12"/>
  <c r="N39" i="12"/>
  <c r="I91" i="17"/>
  <c r="L70" i="12"/>
  <c r="Y104" i="17"/>
  <c r="L106" i="12"/>
  <c r="T140" i="17"/>
  <c r="O68" i="12"/>
  <c r="O67" i="12"/>
  <c r="O36" i="12"/>
  <c r="O84" i="12"/>
  <c r="O35" i="12"/>
  <c r="O115" i="12"/>
  <c r="O109" i="12"/>
  <c r="N96" i="12"/>
  <c r="N94" i="12"/>
  <c r="N82" i="12"/>
  <c r="N100" i="12"/>
  <c r="N52" i="12"/>
  <c r="N48" i="12"/>
  <c r="N124" i="12"/>
  <c r="M31" i="12"/>
  <c r="M28" i="12"/>
  <c r="M23" i="12"/>
  <c r="M32" i="12"/>
  <c r="M118" i="12"/>
  <c r="M103" i="12"/>
  <c r="M102" i="12"/>
  <c r="M61" i="12"/>
  <c r="P119" i="12"/>
  <c r="P104" i="12"/>
  <c r="P62" i="12"/>
  <c r="P33" i="12"/>
  <c r="P29" i="12"/>
  <c r="P24" i="12"/>
  <c r="O12" i="12"/>
  <c r="O10" i="12"/>
  <c r="O9" i="12"/>
  <c r="O14" i="12"/>
  <c r="O121" i="12"/>
  <c r="O79" i="12"/>
  <c r="O39" i="12"/>
  <c r="O59" i="12"/>
  <c r="L136" i="12"/>
  <c r="L89" i="12"/>
  <c r="L75" i="12"/>
  <c r="I77" i="17"/>
  <c r="N91" i="17"/>
  <c r="L65" i="12"/>
  <c r="D112" i="17"/>
  <c r="L90" i="12"/>
  <c r="T128" i="17"/>
  <c r="L78" i="12"/>
  <c r="I154" i="17"/>
  <c r="L58" i="12"/>
  <c r="N80" i="12"/>
  <c r="N60" i="12"/>
  <c r="N13" i="12"/>
  <c r="N11" i="12"/>
  <c r="N122" i="12"/>
  <c r="N67" i="12"/>
  <c r="N36" i="12"/>
  <c r="N35" i="12"/>
  <c r="N84" i="12"/>
  <c r="N115" i="12"/>
  <c r="N109" i="12"/>
  <c r="N68" i="12"/>
  <c r="M94" i="12"/>
  <c r="M82" i="12"/>
  <c r="M52" i="12"/>
  <c r="M100" i="12"/>
  <c r="M48" i="12"/>
  <c r="M96" i="12"/>
  <c r="M124" i="12"/>
  <c r="N128" i="17"/>
  <c r="L38" i="12"/>
  <c r="P84" i="12"/>
  <c r="P68" i="12"/>
  <c r="P67" i="12"/>
  <c r="P115" i="12"/>
  <c r="P36" i="12"/>
  <c r="P35" i="12"/>
  <c r="P109" i="12"/>
  <c r="L123" i="12"/>
  <c r="L99" i="12"/>
  <c r="L95" i="12"/>
  <c r="L47" i="12"/>
  <c r="L93" i="12"/>
  <c r="L81" i="12"/>
  <c r="L51" i="12"/>
  <c r="L50" i="12"/>
  <c r="O100" i="12"/>
  <c r="O96" i="12"/>
  <c r="O124" i="12"/>
  <c r="O94" i="12"/>
  <c r="O82" i="12"/>
  <c r="O52" i="12"/>
  <c r="O48" i="12"/>
  <c r="N31" i="12"/>
  <c r="N28" i="12"/>
  <c r="N23" i="12"/>
  <c r="N61" i="12"/>
  <c r="N118" i="12"/>
  <c r="N103" i="12"/>
  <c r="N102" i="12"/>
  <c r="N32" i="12"/>
  <c r="P12" i="12"/>
  <c r="P10" i="12"/>
  <c r="P9" i="12"/>
  <c r="P39" i="12"/>
  <c r="P121" i="12"/>
  <c r="P14" i="12"/>
  <c r="P79" i="12"/>
  <c r="P59" i="12"/>
  <c r="M136" i="12"/>
  <c r="M89" i="12"/>
  <c r="M75" i="12"/>
  <c r="I79" i="17"/>
  <c r="I115" i="17"/>
  <c r="L91" i="12"/>
  <c r="Y128" i="17"/>
  <c r="L72" i="12"/>
  <c r="O62" i="12"/>
  <c r="O33" i="12"/>
  <c r="O29" i="12"/>
  <c r="O24" i="12"/>
  <c r="O119" i="12"/>
  <c r="O104" i="12"/>
  <c r="D139" i="17"/>
  <c r="O123" i="12"/>
  <c r="O99" i="12"/>
  <c r="O95" i="12"/>
  <c r="O93" i="12"/>
  <c r="O50" i="12"/>
  <c r="O81" i="12"/>
  <c r="O47" i="12"/>
  <c r="O51" i="12"/>
  <c r="L119" i="12"/>
  <c r="L104" i="12"/>
  <c r="L62" i="12"/>
  <c r="L33" i="12"/>
  <c r="L29" i="12"/>
  <c r="L24" i="12"/>
  <c r="M135" i="12"/>
  <c r="M88" i="12"/>
  <c r="M74" i="12"/>
  <c r="M63" i="12"/>
  <c r="Y116" i="17"/>
  <c r="L133" i="12"/>
  <c r="P57" i="12"/>
  <c r="P56" i="12"/>
  <c r="P42" i="12"/>
  <c r="P126" i="12"/>
  <c r="P74" i="12"/>
  <c r="P63" i="12"/>
  <c r="P135" i="12"/>
  <c r="P88" i="12"/>
  <c r="L37" i="12"/>
  <c r="L85" i="12"/>
  <c r="L69" i="12"/>
  <c r="L116" i="12"/>
  <c r="L110" i="12"/>
  <c r="M123" i="12"/>
  <c r="M99" i="12"/>
  <c r="M95" i="12"/>
  <c r="M93" i="12"/>
  <c r="M81" i="12"/>
  <c r="M50" i="12"/>
  <c r="M51" i="12"/>
  <c r="M47" i="12"/>
  <c r="P124" i="12"/>
  <c r="P100" i="12"/>
  <c r="P96" i="12"/>
  <c r="P48" i="12"/>
  <c r="P94" i="12"/>
  <c r="P82" i="12"/>
  <c r="P52" i="12"/>
  <c r="O31" i="12"/>
  <c r="O28" i="12"/>
  <c r="O23" i="12"/>
  <c r="O118" i="12"/>
  <c r="O32" i="12"/>
  <c r="O103" i="12"/>
  <c r="O102" i="12"/>
  <c r="O61" i="12"/>
  <c r="L122" i="12"/>
  <c r="L80" i="12"/>
  <c r="L60" i="12"/>
  <c r="L13" i="12"/>
  <c r="L11" i="12"/>
  <c r="N75" i="12"/>
  <c r="N89" i="12"/>
  <c r="N136" i="12"/>
  <c r="N116" i="17"/>
  <c r="L18" i="12"/>
  <c r="T13" i="17"/>
  <c r="N10" i="17" s="1"/>
  <c r="M22" i="12"/>
  <c r="L57" i="12"/>
  <c r="L56" i="12"/>
  <c r="L42" i="12"/>
  <c r="L126" i="12"/>
  <c r="N123" i="12"/>
  <c r="N99" i="12"/>
  <c r="N95" i="12"/>
  <c r="N50" i="12"/>
  <c r="N93" i="12"/>
  <c r="N47" i="12"/>
  <c r="N81" i="12"/>
  <c r="N51" i="12"/>
  <c r="P31" i="12"/>
  <c r="P28" i="12"/>
  <c r="P23" i="12"/>
  <c r="P32" i="12"/>
  <c r="P118" i="12"/>
  <c r="P61" i="12"/>
  <c r="P103" i="12"/>
  <c r="P102" i="12"/>
  <c r="M11" i="12"/>
  <c r="M60" i="12"/>
  <c r="M13" i="12"/>
  <c r="M122" i="12"/>
  <c r="M80" i="12"/>
  <c r="L135" i="12"/>
  <c r="L88" i="12"/>
  <c r="L74" i="12"/>
  <c r="L63" i="12"/>
  <c r="O136" i="12"/>
  <c r="O89" i="12"/>
  <c r="O75" i="12"/>
  <c r="D100" i="17"/>
  <c r="L34" i="12"/>
  <c r="T116" i="17"/>
  <c r="L132" i="12"/>
  <c r="I139" i="17"/>
  <c r="N136" i="17"/>
  <c r="N141" i="17"/>
  <c r="I141" i="17"/>
  <c r="I137" i="17"/>
  <c r="D137" i="17"/>
  <c r="T123" i="17"/>
  <c r="T124" i="17"/>
  <c r="T125" i="17"/>
  <c r="T127" i="17"/>
  <c r="N124" i="17"/>
  <c r="N111" i="17"/>
  <c r="T112" i="17"/>
  <c r="T114" i="17"/>
  <c r="N112" i="17"/>
  <c r="N114" i="17"/>
  <c r="N115" i="17"/>
  <c r="D114" i="17"/>
  <c r="Y92" i="17"/>
  <c r="L108" i="12"/>
  <c r="T68" i="17"/>
  <c r="N67" i="17" s="1"/>
  <c r="T46" i="17"/>
  <c r="N45" i="17" s="1"/>
  <c r="T137" i="17"/>
  <c r="T136" i="17"/>
  <c r="T139" i="17"/>
  <c r="T138" i="17"/>
  <c r="N140" i="17"/>
  <c r="N138" i="17"/>
  <c r="I78" i="17"/>
  <c r="I74" i="17"/>
  <c r="I89" i="17"/>
  <c r="I75" i="17"/>
  <c r="I90" i="17"/>
  <c r="N90" i="17"/>
  <c r="T74" i="17"/>
  <c r="L49" i="12"/>
  <c r="Y74" i="17"/>
  <c r="L54" i="12"/>
  <c r="AD79" i="17"/>
  <c r="L83" i="12"/>
  <c r="I87" i="17"/>
  <c r="T99" i="17"/>
  <c r="N137" i="17"/>
  <c r="T78" i="17"/>
  <c r="T103" i="17"/>
  <c r="N125" i="17"/>
  <c r="N99" i="17"/>
  <c r="N100" i="17"/>
  <c r="N104" i="17"/>
  <c r="T111" i="17"/>
  <c r="D136" i="17"/>
  <c r="D138" i="17"/>
  <c r="D140" i="17"/>
  <c r="N102" i="17"/>
  <c r="T102" i="17"/>
  <c r="D75" i="17"/>
  <c r="L6" i="12"/>
  <c r="M6" i="12" s="1"/>
  <c r="N6" i="12" s="1"/>
  <c r="O6" i="12" s="1"/>
  <c r="P6" i="12" s="1"/>
  <c r="I88" i="17"/>
  <c r="T100" i="17"/>
  <c r="T104" i="17"/>
  <c r="T126" i="17"/>
  <c r="I136" i="17"/>
  <c r="I138" i="17"/>
  <c r="I150" i="17"/>
  <c r="I152" i="17"/>
  <c r="T75" i="17"/>
  <c r="M15" i="12"/>
  <c r="N15" i="12" s="1"/>
  <c r="O15" i="12" s="1"/>
  <c r="P15" i="12" s="1"/>
  <c r="Y75" i="17"/>
  <c r="Y78" i="17"/>
  <c r="Y79" i="17"/>
  <c r="Y76" i="17"/>
  <c r="Y77" i="17"/>
  <c r="T79" i="17"/>
  <c r="T77" i="17"/>
  <c r="T24" i="17"/>
  <c r="N21" i="17" s="1"/>
  <c r="I149" i="17"/>
  <c r="I151" i="17"/>
  <c r="I153" i="17"/>
  <c r="J13" i="17"/>
  <c r="D10" i="17" s="1"/>
  <c r="J24" i="17"/>
  <c r="D19" i="17" s="1"/>
  <c r="I124" i="17"/>
  <c r="N126" i="17"/>
  <c r="T35" i="17"/>
  <c r="N33" i="17" s="1"/>
  <c r="J57" i="17"/>
  <c r="D52" i="17" s="1"/>
  <c r="J68" i="17"/>
  <c r="D67" i="17" s="1"/>
  <c r="I112" i="17"/>
  <c r="I127" i="17"/>
  <c r="T141" i="17"/>
  <c r="I125" i="17"/>
  <c r="N127" i="17"/>
  <c r="I114" i="17"/>
  <c r="J35" i="17"/>
  <c r="D32" i="17" s="1"/>
  <c r="J46" i="17"/>
  <c r="D45" i="17" s="1"/>
  <c r="N103" i="17"/>
  <c r="I113" i="17"/>
  <c r="T115" i="17"/>
  <c r="I123" i="17"/>
  <c r="I128" i="17"/>
  <c r="N113" i="17"/>
  <c r="I116" i="17"/>
  <c r="N123" i="17"/>
  <c r="D126" i="17"/>
  <c r="T57" i="17"/>
  <c r="N52" i="17" s="1"/>
  <c r="I111" i="17"/>
  <c r="T113" i="17"/>
  <c r="AD76" i="17"/>
  <c r="Y89" i="17"/>
  <c r="Y101" i="17"/>
  <c r="Y113" i="17"/>
  <c r="Y125" i="17"/>
  <c r="D102" i="17"/>
  <c r="D74" i="17"/>
  <c r="AD78" i="17"/>
  <c r="D87" i="17"/>
  <c r="Y91" i="17"/>
  <c r="D99" i="17"/>
  <c r="Y103" i="17"/>
  <c r="D111" i="17"/>
  <c r="Y115" i="17"/>
  <c r="D123" i="17"/>
  <c r="Y127" i="17"/>
  <c r="D90" i="17"/>
  <c r="AD75" i="17"/>
  <c r="D79" i="17"/>
  <c r="Y88" i="17"/>
  <c r="D92" i="17"/>
  <c r="Y100" i="17"/>
  <c r="D104" i="17"/>
  <c r="Y112" i="17"/>
  <c r="D116" i="17"/>
  <c r="Y124" i="17"/>
  <c r="D128" i="17"/>
  <c r="D76" i="17"/>
  <c r="D89" i="17"/>
  <c r="D101" i="17"/>
  <c r="D113" i="17"/>
  <c r="D125" i="17"/>
  <c r="AD77" i="17"/>
  <c r="Y90" i="17"/>
  <c r="Y102" i="17"/>
  <c r="Y114" i="17"/>
  <c r="Y126" i="17"/>
  <c r="AD74" i="17"/>
  <c r="D78" i="17"/>
  <c r="Y87" i="17"/>
  <c r="D91" i="17"/>
  <c r="Y99" i="17"/>
  <c r="D103" i="17"/>
  <c r="Y111" i="17"/>
  <c r="D115" i="17"/>
  <c r="Y123" i="17"/>
  <c r="D127" i="17"/>
  <c r="K243" i="16"/>
  <c r="K235" i="16"/>
  <c r="K211" i="16"/>
  <c r="K239" i="16"/>
  <c r="K227" i="16"/>
  <c r="K203" i="16"/>
  <c r="K244" i="16" s="1"/>
  <c r="H245" i="16" s="1"/>
  <c r="N93" i="17" l="1"/>
  <c r="N8" i="17"/>
  <c r="N12" i="17"/>
  <c r="N64" i="17"/>
  <c r="I93" i="17"/>
  <c r="I80" i="17"/>
  <c r="N7" i="17"/>
  <c r="N11" i="17"/>
  <c r="N65" i="17"/>
  <c r="N9" i="17"/>
  <c r="M18" i="12"/>
  <c r="N18" i="12"/>
  <c r="O18" i="12"/>
  <c r="P18" i="12"/>
  <c r="N129" i="12"/>
  <c r="M129" i="12"/>
  <c r="L129" i="12"/>
  <c r="P58" i="12"/>
  <c r="M58" i="12"/>
  <c r="O129" i="12"/>
  <c r="O58" i="12"/>
  <c r="N58" i="12"/>
  <c r="P129" i="12"/>
  <c r="P132" i="12"/>
  <c r="N132" i="12"/>
  <c r="O132" i="12"/>
  <c r="M132" i="12"/>
  <c r="T129" i="17"/>
  <c r="Y80" i="17"/>
  <c r="M110" i="12"/>
  <c r="M85" i="12"/>
  <c r="M69" i="12"/>
  <c r="M37" i="12"/>
  <c r="M116" i="12"/>
  <c r="O133" i="12"/>
  <c r="N133" i="12"/>
  <c r="M133" i="12"/>
  <c r="P133" i="12"/>
  <c r="M65" i="12"/>
  <c r="O65" i="12"/>
  <c r="P65" i="12"/>
  <c r="N65" i="12"/>
  <c r="O105" i="12"/>
  <c r="P105" i="12"/>
  <c r="N105" i="12"/>
  <c r="M105" i="12"/>
  <c r="P45" i="12"/>
  <c r="N45" i="12"/>
  <c r="M45" i="12"/>
  <c r="O45" i="12"/>
  <c r="N129" i="17"/>
  <c r="T105" i="17"/>
  <c r="M134" i="12"/>
  <c r="N134" i="12"/>
  <c r="N112" i="12"/>
  <c r="M112" i="12"/>
  <c r="L134" i="12"/>
  <c r="P86" i="12"/>
  <c r="L112" i="12"/>
  <c r="O134" i="12"/>
  <c r="M86" i="12"/>
  <c r="O86" i="12"/>
  <c r="P112" i="12"/>
  <c r="P134" i="12"/>
  <c r="O112" i="12"/>
  <c r="N86" i="12"/>
  <c r="P72" i="12"/>
  <c r="O72" i="12"/>
  <c r="M72" i="12"/>
  <c r="N72" i="12"/>
  <c r="M77" i="12"/>
  <c r="M92" i="12"/>
  <c r="P92" i="12"/>
  <c r="L92" i="12"/>
  <c r="N125" i="12"/>
  <c r="O73" i="12"/>
  <c r="N73" i="12"/>
  <c r="M125" i="12"/>
  <c r="M73" i="12"/>
  <c r="P125" i="12"/>
  <c r="P73" i="12"/>
  <c r="O125" i="12"/>
  <c r="M38" i="12"/>
  <c r="O38" i="12"/>
  <c r="P38" i="12"/>
  <c r="L73" i="12"/>
  <c r="L125" i="12"/>
  <c r="O77" i="12"/>
  <c r="N92" i="12"/>
  <c r="O92" i="12"/>
  <c r="L77" i="12"/>
  <c r="N77" i="12"/>
  <c r="N38" i="12"/>
  <c r="P77" i="12"/>
  <c r="N63" i="17"/>
  <c r="O78" i="12"/>
  <c r="P78" i="12"/>
  <c r="M78" i="12"/>
  <c r="N78" i="12"/>
  <c r="M106" i="12"/>
  <c r="O106" i="12"/>
  <c r="P106" i="12"/>
  <c r="N106" i="12"/>
  <c r="P111" i="12"/>
  <c r="O111" i="12"/>
  <c r="N111" i="12"/>
  <c r="M111" i="12"/>
  <c r="M30" i="12"/>
  <c r="O30" i="12"/>
  <c r="P30" i="12"/>
  <c r="N30" i="12"/>
  <c r="M44" i="12"/>
  <c r="N44" i="12"/>
  <c r="O44" i="12"/>
  <c r="P44" i="12"/>
  <c r="N66" i="17"/>
  <c r="P34" i="12"/>
  <c r="M34" i="12"/>
  <c r="O34" i="12"/>
  <c r="N34" i="12"/>
  <c r="P91" i="12"/>
  <c r="O91" i="12"/>
  <c r="M91" i="12"/>
  <c r="N91" i="12"/>
  <c r="N62" i="17"/>
  <c r="M90" i="12"/>
  <c r="O90" i="12"/>
  <c r="N90" i="12"/>
  <c r="P90" i="12"/>
  <c r="P70" i="12"/>
  <c r="O70" i="12"/>
  <c r="N70" i="12"/>
  <c r="M70" i="12"/>
  <c r="O46" i="12"/>
  <c r="P46" i="12"/>
  <c r="N46" i="12"/>
  <c r="M46" i="12"/>
  <c r="I142" i="17"/>
  <c r="D142" i="17"/>
  <c r="T117" i="17"/>
  <c r="N117" i="17"/>
  <c r="P108" i="12"/>
  <c r="O108" i="12"/>
  <c r="N108" i="12"/>
  <c r="M108" i="12"/>
  <c r="N32" i="17"/>
  <c r="N30" i="17"/>
  <c r="N29" i="17"/>
  <c r="N51" i="17"/>
  <c r="N53" i="17"/>
  <c r="N55" i="17"/>
  <c r="D54" i="17"/>
  <c r="N44" i="17"/>
  <c r="N40" i="17"/>
  <c r="N43" i="17"/>
  <c r="N41" i="17"/>
  <c r="N42" i="17"/>
  <c r="D43" i="17"/>
  <c r="N31" i="17"/>
  <c r="N34" i="17"/>
  <c r="D31" i="17"/>
  <c r="D34" i="17"/>
  <c r="D11" i="17"/>
  <c r="N105" i="17"/>
  <c r="N78" i="17"/>
  <c r="N79" i="17"/>
  <c r="N74" i="17"/>
  <c r="N77" i="17"/>
  <c r="N75" i="17"/>
  <c r="N76" i="17"/>
  <c r="O54" i="12"/>
  <c r="N98" i="12"/>
  <c r="L98" i="12"/>
  <c r="N54" i="12"/>
  <c r="M98" i="12"/>
  <c r="P98" i="12"/>
  <c r="M54" i="12"/>
  <c r="O98" i="12"/>
  <c r="P54" i="12"/>
  <c r="L117" i="12"/>
  <c r="N53" i="12"/>
  <c r="O49" i="12"/>
  <c r="O117" i="12"/>
  <c r="O53" i="12"/>
  <c r="P97" i="12"/>
  <c r="M53" i="12"/>
  <c r="N97" i="12"/>
  <c r="P49" i="12"/>
  <c r="P117" i="12"/>
  <c r="M97" i="12"/>
  <c r="L97" i="12"/>
  <c r="N117" i="12"/>
  <c r="M49" i="12"/>
  <c r="O97" i="12"/>
  <c r="L53" i="12"/>
  <c r="N49" i="12"/>
  <c r="P53" i="12"/>
  <c r="M117" i="12"/>
  <c r="P101" i="12"/>
  <c r="M83" i="12"/>
  <c r="O101" i="12"/>
  <c r="L101" i="12"/>
  <c r="O83" i="12"/>
  <c r="N101" i="12"/>
  <c r="M101" i="12"/>
  <c r="P83" i="12"/>
  <c r="N83" i="12"/>
  <c r="T80" i="17"/>
  <c r="D62" i="17"/>
  <c r="D66" i="17"/>
  <c r="D65" i="17"/>
  <c r="N23" i="17"/>
  <c r="I117" i="17"/>
  <c r="D53" i="17"/>
  <c r="N19" i="17"/>
  <c r="D63" i="17"/>
  <c r="D64" i="17"/>
  <c r="D30" i="17"/>
  <c r="D56" i="17"/>
  <c r="N20" i="17"/>
  <c r="N22" i="17"/>
  <c r="D55" i="17"/>
  <c r="D51" i="17"/>
  <c r="N18" i="17"/>
  <c r="D22" i="17"/>
  <c r="D18" i="17"/>
  <c r="D20" i="17"/>
  <c r="D21" i="17"/>
  <c r="D23" i="17"/>
  <c r="D7" i="17"/>
  <c r="D12" i="17"/>
  <c r="D9" i="17"/>
  <c r="D8" i="17"/>
  <c r="D41" i="17"/>
  <c r="D33" i="17"/>
  <c r="D44" i="17"/>
  <c r="D29" i="17"/>
  <c r="D105" i="17"/>
  <c r="D40" i="17"/>
  <c r="N54" i="17"/>
  <c r="N56" i="17"/>
  <c r="AD80" i="17"/>
  <c r="D42" i="17"/>
  <c r="Y129" i="17"/>
  <c r="I129" i="17"/>
  <c r="D129" i="17"/>
  <c r="D93" i="17"/>
  <c r="Y93" i="17"/>
  <c r="Y117" i="17"/>
  <c r="Y105" i="17"/>
  <c r="D80" i="17"/>
  <c r="D117" i="17"/>
  <c r="K25" i="19"/>
  <c r="K26" i="19"/>
  <c r="K27" i="19"/>
  <c r="K28" i="19"/>
  <c r="K29" i="19"/>
  <c r="L29" i="19" s="1"/>
  <c r="K30" i="19"/>
  <c r="L30" i="19" s="1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L55" i="19" s="1"/>
  <c r="K56" i="19"/>
  <c r="K57" i="19"/>
  <c r="K58" i="19"/>
  <c r="K59" i="19"/>
  <c r="K60" i="19"/>
  <c r="K61" i="19"/>
  <c r="K62" i="19"/>
  <c r="K63" i="19"/>
  <c r="L63" i="19" s="1"/>
  <c r="K64" i="19"/>
  <c r="K24" i="19"/>
  <c r="J25" i="19"/>
  <c r="J26" i="19"/>
  <c r="J27" i="19"/>
  <c r="J28" i="19"/>
  <c r="L28" i="19" s="1"/>
  <c r="J29" i="19"/>
  <c r="J30" i="19"/>
  <c r="J31" i="19"/>
  <c r="L31" i="19" s="1"/>
  <c r="J32" i="19"/>
  <c r="J33" i="19"/>
  <c r="J34" i="19"/>
  <c r="J35" i="19"/>
  <c r="J36" i="19"/>
  <c r="L36" i="19" s="1"/>
  <c r="J37" i="19"/>
  <c r="L37" i="19" s="1"/>
  <c r="J38" i="19"/>
  <c r="J39" i="19"/>
  <c r="L39" i="19" s="1"/>
  <c r="J40" i="19"/>
  <c r="J41" i="19"/>
  <c r="J42" i="19"/>
  <c r="J43" i="19"/>
  <c r="J44" i="19"/>
  <c r="J45" i="19"/>
  <c r="L45" i="19" s="1"/>
  <c r="J46" i="19"/>
  <c r="J47" i="19"/>
  <c r="L47" i="19" s="1"/>
  <c r="J48" i="19"/>
  <c r="J49" i="19"/>
  <c r="J50" i="19"/>
  <c r="J51" i="19"/>
  <c r="J52" i="19"/>
  <c r="J53" i="19"/>
  <c r="L53" i="19" s="1"/>
  <c r="J54" i="19"/>
  <c r="L54" i="19" s="1"/>
  <c r="J55" i="19"/>
  <c r="J56" i="19"/>
  <c r="J57" i="19"/>
  <c r="J58" i="19"/>
  <c r="J59" i="19"/>
  <c r="J60" i="19"/>
  <c r="J61" i="19"/>
  <c r="L61" i="19" s="1"/>
  <c r="J62" i="19"/>
  <c r="L62" i="19" s="1"/>
  <c r="J63" i="19"/>
  <c r="J64" i="19"/>
  <c r="J24" i="19"/>
  <c r="E66" i="19"/>
  <c r="L60" i="19"/>
  <c r="L59" i="19"/>
  <c r="L58" i="19"/>
  <c r="L57" i="19"/>
  <c r="L52" i="19"/>
  <c r="L51" i="19"/>
  <c r="L50" i="19"/>
  <c r="L49" i="19"/>
  <c r="L46" i="19"/>
  <c r="L44" i="19"/>
  <c r="L43" i="19"/>
  <c r="L42" i="19"/>
  <c r="L41" i="19"/>
  <c r="L38" i="19"/>
  <c r="L35" i="19"/>
  <c r="L34" i="19"/>
  <c r="L33" i="19"/>
  <c r="L27" i="19"/>
  <c r="L26" i="19"/>
  <c r="L25" i="19"/>
  <c r="L24" i="19"/>
  <c r="N80" i="17" l="1"/>
  <c r="L64" i="19"/>
  <c r="L56" i="19"/>
  <c r="L48" i="19"/>
  <c r="L40" i="19"/>
  <c r="L32" i="19"/>
  <c r="L65" i="19"/>
  <c r="I66" i="19" s="1"/>
  <c r="D154" i="17" l="1"/>
  <c r="L128" i="12"/>
  <c r="D149" i="17"/>
  <c r="D150" i="17"/>
  <c r="D152" i="17"/>
  <c r="D153" i="17"/>
  <c r="D151" i="17"/>
  <c r="P128" i="12" l="1"/>
  <c r="O128" i="12"/>
  <c r="N128" i="12"/>
  <c r="M128" i="12"/>
  <c r="F11" i="16"/>
  <c r="Q136" i="12" l="1"/>
  <c r="Q135" i="12"/>
  <c r="Q134" i="12"/>
  <c r="Q133" i="12"/>
  <c r="Q132" i="12"/>
  <c r="Q131" i="12"/>
  <c r="Q130" i="12"/>
  <c r="Q129" i="12"/>
  <c r="Q128" i="12"/>
  <c r="Q127" i="12"/>
  <c r="Q126" i="12"/>
  <c r="Q125" i="12"/>
  <c r="Q124" i="12"/>
  <c r="Q123" i="12"/>
  <c r="Q122" i="12"/>
  <c r="Q121" i="12"/>
  <c r="Q120" i="12"/>
  <c r="Q119" i="12"/>
  <c r="Q118" i="12"/>
  <c r="Q117" i="12"/>
  <c r="Q116" i="12"/>
  <c r="Q115" i="12"/>
  <c r="Q114" i="12"/>
  <c r="Q113" i="12"/>
  <c r="Q112" i="12"/>
  <c r="Q111" i="12"/>
  <c r="Q110" i="12"/>
  <c r="Q109" i="12"/>
  <c r="Q108" i="12"/>
  <c r="Q107" i="12"/>
  <c r="Q106" i="12"/>
  <c r="Q105" i="12"/>
  <c r="Q104" i="12"/>
  <c r="Q103" i="12"/>
  <c r="Q102" i="12"/>
  <c r="Q101" i="12"/>
  <c r="Q100" i="12"/>
  <c r="Q99" i="12"/>
  <c r="Q98" i="12"/>
  <c r="Q97" i="12"/>
  <c r="Q96" i="12"/>
  <c r="Q95" i="12"/>
  <c r="Q94" i="12"/>
  <c r="Q93" i="12"/>
  <c r="Q92" i="12"/>
  <c r="Q91" i="12"/>
  <c r="Q90" i="12"/>
  <c r="Q89" i="12"/>
  <c r="Q88" i="12"/>
  <c r="Q87" i="12"/>
  <c r="Q86" i="12"/>
  <c r="Q85" i="12"/>
  <c r="Q84" i="12"/>
  <c r="Q83" i="12"/>
  <c r="Q82" i="12"/>
  <c r="Q81" i="12"/>
  <c r="Q80" i="12"/>
  <c r="Q79" i="12"/>
  <c r="Q78" i="12"/>
  <c r="Q77" i="12"/>
  <c r="Q76" i="12"/>
  <c r="Q75" i="12"/>
  <c r="Q74" i="12"/>
  <c r="Q73" i="12"/>
  <c r="Q72" i="12"/>
  <c r="Q71" i="12"/>
  <c r="Q70" i="12"/>
  <c r="Q69" i="12"/>
  <c r="Q68" i="12"/>
  <c r="Q67" i="12"/>
  <c r="Q66" i="12"/>
  <c r="Q65" i="12"/>
  <c r="Q64" i="12"/>
  <c r="Q63" i="12"/>
  <c r="Q62" i="12"/>
  <c r="Q61" i="12"/>
  <c r="Q60" i="12"/>
  <c r="Q59" i="12"/>
  <c r="Q58" i="12"/>
  <c r="Q57" i="12"/>
  <c r="Q56" i="12"/>
  <c r="Q55" i="12"/>
  <c r="Q54" i="12"/>
  <c r="Q53" i="12"/>
  <c r="Q52" i="12"/>
  <c r="Q51" i="12"/>
  <c r="Q50" i="12"/>
  <c r="Q49" i="12"/>
  <c r="Q48" i="12"/>
  <c r="Q47" i="12"/>
  <c r="Q46" i="12"/>
  <c r="Q45" i="12"/>
  <c r="Q44" i="12"/>
  <c r="Q43" i="12"/>
  <c r="Q42" i="12"/>
  <c r="Q41" i="12"/>
  <c r="Q40" i="12"/>
  <c r="Q39" i="12"/>
  <c r="Q38" i="12"/>
  <c r="Q37" i="12"/>
  <c r="Q36" i="12"/>
  <c r="Q35" i="12"/>
  <c r="Q34" i="12"/>
  <c r="Q33" i="12"/>
  <c r="Q32" i="12"/>
  <c r="Q31" i="12"/>
  <c r="Q30" i="12"/>
  <c r="Q29" i="12"/>
  <c r="Q28" i="12"/>
  <c r="Q27" i="12"/>
  <c r="Q26" i="12"/>
  <c r="Q25" i="12"/>
  <c r="Q24" i="12"/>
  <c r="Q23" i="12"/>
  <c r="Q22" i="12"/>
  <c r="Q21" i="12"/>
  <c r="Q20" i="12"/>
  <c r="Q19" i="12"/>
  <c r="Q18" i="12"/>
  <c r="Q17" i="12"/>
  <c r="Q16" i="12"/>
  <c r="Q15" i="12"/>
  <c r="Q14" i="12"/>
  <c r="Q13" i="12"/>
  <c r="Q12" i="12"/>
  <c r="Q11" i="12"/>
  <c r="Q10" i="12"/>
  <c r="Q9" i="12"/>
  <c r="Q8" i="12"/>
  <c r="Q7" i="12"/>
  <c r="Q5" i="12"/>
  <c r="Q137" i="12" l="1"/>
  <c r="E23" i="16" s="1"/>
  <c r="E45" i="16" s="1"/>
  <c r="F132" i="16" l="1"/>
  <c r="F128" i="16"/>
  <c r="F120" i="16"/>
  <c r="F112" i="16"/>
  <c r="F104" i="16"/>
  <c r="F96" i="16"/>
  <c r="F88" i="16"/>
  <c r="F80" i="16"/>
  <c r="F72" i="16"/>
  <c r="F64" i="16"/>
  <c r="F56" i="16"/>
  <c r="F127" i="16"/>
  <c r="F119" i="16"/>
  <c r="F111" i="16"/>
  <c r="F103" i="16"/>
  <c r="F95" i="16"/>
  <c r="F87" i="16"/>
  <c r="F79" i="16"/>
  <c r="F71" i="16"/>
  <c r="F63" i="16"/>
  <c r="F55" i="16"/>
  <c r="F121" i="16"/>
  <c r="F113" i="16"/>
  <c r="F105" i="16"/>
  <c r="F97" i="16"/>
  <c r="F89" i="16"/>
  <c r="F81" i="16"/>
  <c r="F73" i="16"/>
  <c r="F65" i="16"/>
  <c r="F57" i="16"/>
  <c r="F135" i="16"/>
  <c r="F126" i="16"/>
  <c r="F118" i="16"/>
  <c r="F110" i="16"/>
  <c r="F102" i="16"/>
  <c r="F94" i="16"/>
  <c r="F86" i="16"/>
  <c r="F78" i="16"/>
  <c r="F70" i="16"/>
  <c r="F62" i="16"/>
  <c r="F54" i="16"/>
  <c r="F134" i="16"/>
  <c r="F125" i="16"/>
  <c r="F117" i="16"/>
  <c r="F109" i="16"/>
  <c r="F101" i="16"/>
  <c r="F93" i="16"/>
  <c r="F85" i="16"/>
  <c r="F77" i="16"/>
  <c r="F69" i="16"/>
  <c r="F61" i="16"/>
  <c r="F66" i="16"/>
  <c r="F133" i="16"/>
  <c r="F124" i="16"/>
  <c r="F116" i="16"/>
  <c r="F108" i="16"/>
  <c r="F100" i="16"/>
  <c r="F92" i="16"/>
  <c r="F84" i="16"/>
  <c r="F76" i="16"/>
  <c r="F68" i="16"/>
  <c r="F60" i="16"/>
  <c r="F82" i="16"/>
  <c r="F131" i="16"/>
  <c r="F123" i="16"/>
  <c r="F115" i="16"/>
  <c r="F107" i="16"/>
  <c r="F99" i="16"/>
  <c r="F91" i="16"/>
  <c r="F83" i="16"/>
  <c r="F75" i="16"/>
  <c r="F67" i="16"/>
  <c r="F59" i="16"/>
  <c r="F122" i="16"/>
  <c r="F114" i="16"/>
  <c r="F106" i="16"/>
  <c r="F98" i="16"/>
  <c r="F90" i="16"/>
  <c r="F74" i="16"/>
  <c r="F58" i="16"/>
  <c r="G23" i="16"/>
  <c r="E38" i="16"/>
  <c r="G38" i="16" s="1"/>
  <c r="E30" i="16"/>
  <c r="G30" i="16" s="1"/>
  <c r="E37" i="16"/>
  <c r="G37" i="16" s="1"/>
  <c r="E29" i="16"/>
  <c r="G29" i="16" s="1"/>
  <c r="E44" i="16"/>
  <c r="G44" i="16" s="1"/>
  <c r="E36" i="16"/>
  <c r="G36" i="16" s="1"/>
  <c r="E28" i="16"/>
  <c r="G28" i="16" s="1"/>
  <c r="E43" i="16"/>
  <c r="G43" i="16" s="1"/>
  <c r="E35" i="16"/>
  <c r="G35" i="16" s="1"/>
  <c r="E27" i="16"/>
  <c r="G27" i="16" s="1"/>
  <c r="E32" i="16"/>
  <c r="G32" i="16" s="1"/>
  <c r="E42" i="16"/>
  <c r="G42" i="16" s="1"/>
  <c r="E34" i="16"/>
  <c r="G34" i="16" s="1"/>
  <c r="E26" i="16"/>
  <c r="G26" i="16" s="1"/>
  <c r="E40" i="16"/>
  <c r="G40" i="16" s="1"/>
  <c r="E41" i="16"/>
  <c r="G41" i="16" s="1"/>
  <c r="E33" i="16"/>
  <c r="G33" i="16" s="1"/>
  <c r="E25" i="16"/>
  <c r="G25" i="16" s="1"/>
  <c r="E24" i="16"/>
  <c r="G24" i="16" s="1"/>
  <c r="E39" i="16"/>
  <c r="G39" i="16" s="1"/>
  <c r="E31" i="16"/>
  <c r="G31" i="16" s="1"/>
  <c r="G45" i="16" l="1"/>
  <c r="AI79" i="17" l="1"/>
  <c r="L120" i="12"/>
  <c r="AN79" i="17"/>
  <c r="L25" i="12"/>
  <c r="AD92" i="17"/>
  <c r="L76" i="12"/>
  <c r="AD87" i="17"/>
  <c r="AD88" i="17"/>
  <c r="AD89" i="17"/>
  <c r="AD90" i="17"/>
  <c r="AD91" i="17"/>
  <c r="AN74" i="17"/>
  <c r="AN75" i="17"/>
  <c r="AN78" i="17"/>
  <c r="AN76" i="17"/>
  <c r="AN77" i="17"/>
  <c r="AI75" i="17"/>
  <c r="AI74" i="17"/>
  <c r="AI76" i="17"/>
  <c r="AI77" i="17"/>
  <c r="AI78" i="17"/>
  <c r="P76" i="12" l="1"/>
  <c r="N76" i="12"/>
  <c r="M76" i="12"/>
  <c r="O76" i="12"/>
  <c r="O130" i="12"/>
  <c r="M130" i="12"/>
  <c r="M120" i="12"/>
  <c r="P120" i="12"/>
  <c r="N130" i="12"/>
  <c r="L130" i="12"/>
  <c r="P130" i="12"/>
  <c r="N120" i="12"/>
  <c r="O120" i="12"/>
  <c r="L26" i="12"/>
  <c r="P26" i="12"/>
  <c r="P25" i="12"/>
  <c r="M26" i="12"/>
  <c r="N25" i="12"/>
  <c r="N26" i="12"/>
  <c r="O26" i="12"/>
  <c r="O25" i="12"/>
  <c r="M25" i="12"/>
  <c r="AD93" i="17"/>
  <c r="AN80" i="17"/>
  <c r="AI80" i="17"/>
  <c r="W51" i="12" l="1"/>
  <c r="E49" i="16" l="1"/>
  <c r="F17" i="16" s="1"/>
  <c r="J133" i="12" l="1"/>
  <c r="J132" i="12"/>
  <c r="J131" i="12"/>
  <c r="J129" i="12"/>
  <c r="J126" i="12"/>
  <c r="J112" i="12"/>
  <c r="J108" i="12"/>
  <c r="J107" i="12"/>
  <c r="J106" i="12"/>
  <c r="J105" i="12"/>
  <c r="J103" i="12"/>
  <c r="K103" i="12" s="1"/>
  <c r="J104" i="12"/>
  <c r="J91" i="12"/>
  <c r="K91" i="12" s="1"/>
  <c r="K133" i="12" l="1"/>
  <c r="E173" i="16"/>
  <c r="F173" i="16" s="1"/>
  <c r="K131" i="12"/>
  <c r="E171" i="16"/>
  <c r="F171" i="16" s="1"/>
  <c r="K132" i="12"/>
  <c r="E172" i="16"/>
  <c r="F172" i="16" s="1"/>
  <c r="K126" i="12"/>
  <c r="E166" i="16"/>
  <c r="F166" i="16" s="1"/>
  <c r="K129" i="12"/>
  <c r="E169" i="16"/>
  <c r="F169" i="16" s="1"/>
  <c r="K112" i="12"/>
  <c r="E152" i="16"/>
  <c r="F152" i="16" s="1"/>
  <c r="K108" i="12"/>
  <c r="E148" i="16"/>
  <c r="F148" i="16" s="1"/>
  <c r="K107" i="12"/>
  <c r="E147" i="16"/>
  <c r="F147" i="16" s="1"/>
  <c r="K106" i="12"/>
  <c r="E146" i="16"/>
  <c r="F146" i="16" s="1"/>
  <c r="K104" i="12"/>
  <c r="E144" i="16"/>
  <c r="F144" i="16" s="1"/>
  <c r="K105" i="12"/>
  <c r="E145" i="16"/>
  <c r="F145" i="16" s="1"/>
  <c r="W136" i="12"/>
  <c r="G176" i="16" s="1"/>
  <c r="W128" i="12"/>
  <c r="G168" i="16" s="1"/>
  <c r="W120" i="12"/>
  <c r="G160" i="16" s="1"/>
  <c r="W112" i="12"/>
  <c r="G152" i="16" s="1"/>
  <c r="W104" i="12"/>
  <c r="G144" i="16" s="1"/>
  <c r="W96" i="12"/>
  <c r="G137" i="16" s="1"/>
  <c r="W88" i="12"/>
  <c r="G129" i="16" s="1"/>
  <c r="W80" i="12"/>
  <c r="G121" i="16" s="1"/>
  <c r="W72" i="12"/>
  <c r="G113" i="16" s="1"/>
  <c r="W64" i="12"/>
  <c r="G106" i="16" s="1"/>
  <c r="W56" i="12"/>
  <c r="W48" i="12"/>
  <c r="G92" i="16" s="1"/>
  <c r="W40" i="12"/>
  <c r="G85" i="16" s="1"/>
  <c r="W32" i="12"/>
  <c r="W24" i="12"/>
  <c r="G72" i="16" s="1"/>
  <c r="W133" i="12"/>
  <c r="G173" i="16" s="1"/>
  <c r="W125" i="12"/>
  <c r="G165" i="16" s="1"/>
  <c r="W117" i="12"/>
  <c r="G157" i="16" s="1"/>
  <c r="W109" i="12"/>
  <c r="G149" i="16" s="1"/>
  <c r="W101" i="12"/>
  <c r="G142" i="16" s="1"/>
  <c r="W93" i="12"/>
  <c r="G134" i="16" s="1"/>
  <c r="W85" i="12"/>
  <c r="G126" i="16" s="1"/>
  <c r="W77" i="12"/>
  <c r="G118" i="16" s="1"/>
  <c r="W69" i="12"/>
  <c r="G110" i="16" s="1"/>
  <c r="W61" i="12"/>
  <c r="G103" i="16" s="1"/>
  <c r="W53" i="12"/>
  <c r="G96" i="16" s="1"/>
  <c r="W45" i="12"/>
  <c r="G89" i="16" s="1"/>
  <c r="W37" i="12"/>
  <c r="G82" i="16" s="1"/>
  <c r="W29" i="12"/>
  <c r="G76" i="16" s="1"/>
  <c r="W21" i="12"/>
  <c r="G69" i="16" s="1"/>
  <c r="W13" i="12"/>
  <c r="G62" i="16" s="1"/>
  <c r="W8" i="12"/>
  <c r="G58" i="16" s="1"/>
  <c r="W16" i="12"/>
  <c r="G64" i="16" s="1"/>
  <c r="W5" i="12"/>
  <c r="G55" i="16" s="1"/>
  <c r="W99" i="12"/>
  <c r="G140" i="16" s="1"/>
  <c r="W83" i="12"/>
  <c r="G124" i="16" s="1"/>
  <c r="W43" i="12"/>
  <c r="W27" i="12"/>
  <c r="G74" i="16" s="1"/>
  <c r="W134" i="12"/>
  <c r="G174" i="16" s="1"/>
  <c r="W110" i="12"/>
  <c r="G150" i="16" s="1"/>
  <c r="W78" i="12"/>
  <c r="G119" i="16" s="1"/>
  <c r="W62" i="12"/>
  <c r="G104" i="16" s="1"/>
  <c r="W54" i="12"/>
  <c r="G97" i="16" s="1"/>
  <c r="W22" i="12"/>
  <c r="G70" i="16" s="1"/>
  <c r="W33" i="12"/>
  <c r="G79" i="16" s="1"/>
  <c r="W25" i="12"/>
  <c r="W17" i="12"/>
  <c r="G65" i="16" s="1"/>
  <c r="W7" i="12"/>
  <c r="G57" i="16" s="1"/>
  <c r="W116" i="12"/>
  <c r="G156" i="16" s="1"/>
  <c r="W92" i="12"/>
  <c r="G133" i="16" s="1"/>
  <c r="W60" i="12"/>
  <c r="G102" i="16" s="1"/>
  <c r="W44" i="12"/>
  <c r="G88" i="16" s="1"/>
  <c r="W28" i="12"/>
  <c r="G75" i="16" s="1"/>
  <c r="W12" i="12"/>
  <c r="W135" i="12"/>
  <c r="G175" i="16" s="1"/>
  <c r="W127" i="12"/>
  <c r="G167" i="16" s="1"/>
  <c r="W119" i="12"/>
  <c r="G159" i="16" s="1"/>
  <c r="W111" i="12"/>
  <c r="G151" i="16" s="1"/>
  <c r="W103" i="12"/>
  <c r="W95" i="12"/>
  <c r="G136" i="16" s="1"/>
  <c r="W87" i="12"/>
  <c r="G128" i="16" s="1"/>
  <c r="W79" i="12"/>
  <c r="G120" i="16" s="1"/>
  <c r="W71" i="12"/>
  <c r="G112" i="16" s="1"/>
  <c r="W63" i="12"/>
  <c r="G105" i="16" s="1"/>
  <c r="W55" i="12"/>
  <c r="G98" i="16" s="1"/>
  <c r="W47" i="12"/>
  <c r="G91" i="16" s="1"/>
  <c r="W39" i="12"/>
  <c r="G84" i="16" s="1"/>
  <c r="W31" i="12"/>
  <c r="W23" i="12"/>
  <c r="G71" i="16" s="1"/>
  <c r="W131" i="12"/>
  <c r="G171" i="16" s="1"/>
  <c r="W75" i="12"/>
  <c r="G116" i="16" s="1"/>
  <c r="W59" i="12"/>
  <c r="G101" i="16" s="1"/>
  <c r="W118" i="12"/>
  <c r="G158" i="16" s="1"/>
  <c r="W86" i="12"/>
  <c r="G127" i="16" s="1"/>
  <c r="W70" i="12"/>
  <c r="G111" i="16" s="1"/>
  <c r="W46" i="12"/>
  <c r="G90" i="16" s="1"/>
  <c r="W14" i="12"/>
  <c r="W6" i="12"/>
  <c r="G56" i="16" s="1"/>
  <c r="W97" i="12"/>
  <c r="G138" i="16" s="1"/>
  <c r="W89" i="12"/>
  <c r="G130" i="16" s="1"/>
  <c r="W81" i="12"/>
  <c r="G122" i="16" s="1"/>
  <c r="W65" i="12"/>
  <c r="G107" i="16" s="1"/>
  <c r="W57" i="12"/>
  <c r="W49" i="12"/>
  <c r="G93" i="16" s="1"/>
  <c r="W9" i="12"/>
  <c r="W132" i="12"/>
  <c r="G172" i="16" s="1"/>
  <c r="W108" i="12"/>
  <c r="G148" i="16" s="1"/>
  <c r="W68" i="12"/>
  <c r="W36" i="12"/>
  <c r="W20" i="12"/>
  <c r="G68" i="16" s="1"/>
  <c r="W15" i="12"/>
  <c r="W130" i="12"/>
  <c r="G170" i="16" s="1"/>
  <c r="W122" i="12"/>
  <c r="G162" i="16" s="1"/>
  <c r="W114" i="12"/>
  <c r="W106" i="12"/>
  <c r="G146" i="16" s="1"/>
  <c r="W98" i="12"/>
  <c r="G139" i="16" s="1"/>
  <c r="W90" i="12"/>
  <c r="G131" i="16" s="1"/>
  <c r="W82" i="12"/>
  <c r="G123" i="16" s="1"/>
  <c r="W74" i="12"/>
  <c r="G115" i="16" s="1"/>
  <c r="W58" i="12"/>
  <c r="G100" i="16" s="1"/>
  <c r="W50" i="12"/>
  <c r="G94" i="16" s="1"/>
  <c r="W42" i="12"/>
  <c r="W34" i="12"/>
  <c r="G80" i="16" s="1"/>
  <c r="W26" i="12"/>
  <c r="W18" i="12"/>
  <c r="G66" i="16" s="1"/>
  <c r="W10" i="12"/>
  <c r="W123" i="12"/>
  <c r="G163" i="16" s="1"/>
  <c r="W115" i="12"/>
  <c r="G155" i="16" s="1"/>
  <c r="W91" i="12"/>
  <c r="G132" i="16" s="1"/>
  <c r="W67" i="12"/>
  <c r="W35" i="12"/>
  <c r="W11" i="12"/>
  <c r="G60" i="16" s="1"/>
  <c r="W126" i="12"/>
  <c r="G166" i="16" s="1"/>
  <c r="W102" i="12"/>
  <c r="W94" i="12"/>
  <c r="G135" i="16" s="1"/>
  <c r="W38" i="12"/>
  <c r="G83" i="16" s="1"/>
  <c r="W30" i="12"/>
  <c r="G77" i="16" s="1"/>
  <c r="W129" i="12"/>
  <c r="G169" i="16" s="1"/>
  <c r="W121" i="12"/>
  <c r="G161" i="16" s="1"/>
  <c r="W113" i="12"/>
  <c r="G153" i="16" s="1"/>
  <c r="W105" i="12"/>
  <c r="G145" i="16" s="1"/>
  <c r="W73" i="12"/>
  <c r="G114" i="16" s="1"/>
  <c r="W41" i="12"/>
  <c r="W124" i="12"/>
  <c r="G164" i="16" s="1"/>
  <c r="W100" i="12"/>
  <c r="G141" i="16" s="1"/>
  <c r="W76" i="12"/>
  <c r="G117" i="16" s="1"/>
  <c r="W52" i="12"/>
  <c r="G95" i="16" s="1"/>
  <c r="E84" i="12"/>
  <c r="W84" i="12" s="1"/>
  <c r="G125" i="16" s="1"/>
  <c r="G61" i="16" l="1"/>
  <c r="F44" i="16"/>
  <c r="G63" i="16"/>
  <c r="G78" i="16"/>
  <c r="F26" i="16"/>
  <c r="G154" i="16"/>
  <c r="G143" i="16"/>
  <c r="G109" i="16"/>
  <c r="G81" i="16"/>
  <c r="G99" i="16"/>
  <c r="G86" i="16"/>
  <c r="F28" i="16"/>
  <c r="G87" i="16"/>
  <c r="G73" i="16"/>
  <c r="G59" i="16"/>
  <c r="F43" i="16"/>
  <c r="F42" i="16"/>
  <c r="F41" i="16"/>
  <c r="F40" i="16"/>
  <c r="F36" i="16"/>
  <c r="F37" i="16"/>
  <c r="F35" i="16"/>
  <c r="F34" i="16"/>
  <c r="F33" i="16"/>
  <c r="F32" i="16"/>
  <c r="F31" i="16"/>
  <c r="F29" i="16"/>
  <c r="F27" i="16"/>
  <c r="F25" i="16"/>
  <c r="F24" i="16"/>
  <c r="F23" i="16"/>
  <c r="J82" i="12"/>
  <c r="K82" i="12" s="1"/>
  <c r="J77" i="12" l="1"/>
  <c r="K77" i="12" s="1"/>
  <c r="J72" i="12"/>
  <c r="K72" i="12" s="1"/>
  <c r="J73" i="12"/>
  <c r="K73" i="12" s="1"/>
  <c r="J68" i="12"/>
  <c r="K68" i="12" s="1"/>
  <c r="J64" i="12" l="1"/>
  <c r="K64" i="12" s="1"/>
  <c r="J63" i="12"/>
  <c r="K63" i="12" s="1"/>
  <c r="J57" i="12" l="1"/>
  <c r="K57" i="12" s="1"/>
  <c r="J55" i="12" l="1"/>
  <c r="K55" i="12" s="1"/>
  <c r="J51" i="12"/>
  <c r="K51" i="12" s="1"/>
  <c r="J42" i="12"/>
  <c r="K42" i="12" s="1"/>
  <c r="J36" i="12"/>
  <c r="K36" i="12" s="1"/>
  <c r="J32" i="12"/>
  <c r="K32" i="12" s="1"/>
  <c r="J26" i="12"/>
  <c r="K26" i="12" s="1"/>
  <c r="J19" i="12"/>
  <c r="K19" i="12" s="1"/>
  <c r="J14" i="12"/>
  <c r="K14" i="12" s="1"/>
  <c r="J10" i="12"/>
  <c r="K10" i="12" s="1"/>
  <c r="J4" i="12"/>
  <c r="J5" i="12"/>
  <c r="K5" i="12" s="1"/>
  <c r="J7" i="12"/>
  <c r="J8" i="12"/>
  <c r="K8" i="12" s="1"/>
  <c r="J9" i="12"/>
  <c r="K9" i="12" s="1"/>
  <c r="J11" i="12"/>
  <c r="K11" i="12" s="1"/>
  <c r="J12" i="12"/>
  <c r="K12" i="12" s="1"/>
  <c r="J13" i="12"/>
  <c r="K13" i="12" s="1"/>
  <c r="J15" i="12"/>
  <c r="K15" i="12" s="1"/>
  <c r="J16" i="12"/>
  <c r="K16" i="12" s="1"/>
  <c r="J17" i="12"/>
  <c r="K17" i="12" s="1"/>
  <c r="J18" i="12"/>
  <c r="K18" i="12" s="1"/>
  <c r="J20" i="12"/>
  <c r="K20" i="12" s="1"/>
  <c r="J21" i="12"/>
  <c r="K21" i="12" s="1"/>
  <c r="J22" i="12"/>
  <c r="K22" i="12" s="1"/>
  <c r="J23" i="12"/>
  <c r="K23" i="12" s="1"/>
  <c r="J24" i="12"/>
  <c r="K24" i="12" s="1"/>
  <c r="J25" i="12"/>
  <c r="K25" i="12" s="1"/>
  <c r="J27" i="12"/>
  <c r="K27" i="12" s="1"/>
  <c r="J28" i="12"/>
  <c r="K28" i="12" s="1"/>
  <c r="J29" i="12"/>
  <c r="K29" i="12" s="1"/>
  <c r="J30" i="12"/>
  <c r="K30" i="12" s="1"/>
  <c r="J31" i="12"/>
  <c r="K31" i="12" s="1"/>
  <c r="J33" i="12"/>
  <c r="K33" i="12" s="1"/>
  <c r="J34" i="12"/>
  <c r="K34" i="12" s="1"/>
  <c r="J35" i="12"/>
  <c r="K35" i="12" s="1"/>
  <c r="J37" i="12"/>
  <c r="K37" i="12" s="1"/>
  <c r="J38" i="12"/>
  <c r="K38" i="12" s="1"/>
  <c r="J39" i="12"/>
  <c r="K39" i="12" s="1"/>
  <c r="J40" i="12"/>
  <c r="K40" i="12" s="1"/>
  <c r="J41" i="12"/>
  <c r="K41" i="12" s="1"/>
  <c r="J43" i="12"/>
  <c r="K43" i="12" s="1"/>
  <c r="J44" i="12"/>
  <c r="K44" i="12" s="1"/>
  <c r="J45" i="12"/>
  <c r="K45" i="12" s="1"/>
  <c r="J46" i="12"/>
  <c r="K46" i="12" s="1"/>
  <c r="J47" i="12"/>
  <c r="K47" i="12" s="1"/>
  <c r="J48" i="12"/>
  <c r="K48" i="12" s="1"/>
  <c r="J49" i="12"/>
  <c r="K49" i="12" s="1"/>
  <c r="J50" i="12"/>
  <c r="K50" i="12" s="1"/>
  <c r="J52" i="12"/>
  <c r="K52" i="12" s="1"/>
  <c r="J53" i="12"/>
  <c r="K53" i="12" s="1"/>
  <c r="J54" i="12"/>
  <c r="K54" i="12" s="1"/>
  <c r="J56" i="12"/>
  <c r="K56" i="12" s="1"/>
  <c r="J58" i="12"/>
  <c r="K58" i="12" s="1"/>
  <c r="J59" i="12"/>
  <c r="K59" i="12" s="1"/>
  <c r="J60" i="12"/>
  <c r="K60" i="12" s="1"/>
  <c r="J61" i="12"/>
  <c r="K61" i="12" s="1"/>
  <c r="J62" i="12"/>
  <c r="K62" i="12" s="1"/>
  <c r="J65" i="12"/>
  <c r="K65" i="12" s="1"/>
  <c r="J66" i="12"/>
  <c r="K66" i="12" s="1"/>
  <c r="J67" i="12"/>
  <c r="K67" i="12" s="1"/>
  <c r="J69" i="12"/>
  <c r="K69" i="12" s="1"/>
  <c r="J70" i="12"/>
  <c r="K70" i="12" s="1"/>
  <c r="J71" i="12"/>
  <c r="K71" i="12" s="1"/>
  <c r="J74" i="12"/>
  <c r="K74" i="12" s="1"/>
  <c r="J75" i="12"/>
  <c r="K75" i="12" s="1"/>
  <c r="J76" i="12"/>
  <c r="K76" i="12" s="1"/>
  <c r="J78" i="12"/>
  <c r="K78" i="12" s="1"/>
  <c r="J79" i="12"/>
  <c r="K79" i="12" s="1"/>
  <c r="J80" i="12"/>
  <c r="K80" i="12" s="1"/>
  <c r="J81" i="12"/>
  <c r="K81" i="12" s="1"/>
  <c r="J83" i="12"/>
  <c r="K83" i="12" s="1"/>
  <c r="J84" i="12"/>
  <c r="K84" i="12" s="1"/>
  <c r="J85" i="12"/>
  <c r="K85" i="12" s="1"/>
  <c r="J86" i="12"/>
  <c r="K86" i="12" s="1"/>
  <c r="J87" i="12"/>
  <c r="K87" i="12" s="1"/>
  <c r="J88" i="12"/>
  <c r="J89" i="12"/>
  <c r="J90" i="12"/>
  <c r="K90" i="12" s="1"/>
  <c r="J92" i="12"/>
  <c r="K92" i="12" s="1"/>
  <c r="J93" i="12"/>
  <c r="K93" i="12" s="1"/>
  <c r="J94" i="12"/>
  <c r="K94" i="12" s="1"/>
  <c r="J95" i="12"/>
  <c r="J96" i="12"/>
  <c r="J97" i="12"/>
  <c r="J98" i="12"/>
  <c r="J99" i="12"/>
  <c r="J100" i="12"/>
  <c r="J101" i="12"/>
  <c r="J102" i="12"/>
  <c r="J109" i="12"/>
  <c r="J110" i="12"/>
  <c r="J111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7" i="12"/>
  <c r="J128" i="12"/>
  <c r="J130" i="12"/>
  <c r="J134" i="12"/>
  <c r="J135" i="12"/>
  <c r="J136" i="12"/>
  <c r="J6" i="12"/>
  <c r="K6" i="12" s="1"/>
  <c r="K7" i="12" l="1"/>
  <c r="J154" i="12"/>
  <c r="K89" i="12"/>
  <c r="E130" i="16"/>
  <c r="F130" i="16" s="1"/>
  <c r="K88" i="12"/>
  <c r="E129" i="16"/>
  <c r="F129" i="16" s="1"/>
  <c r="K136" i="12"/>
  <c r="E176" i="16"/>
  <c r="F176" i="16" s="1"/>
  <c r="K135" i="12"/>
  <c r="E175" i="16"/>
  <c r="F175" i="16" s="1"/>
  <c r="K134" i="12"/>
  <c r="E174" i="16"/>
  <c r="F174" i="16" s="1"/>
  <c r="K130" i="12"/>
  <c r="E170" i="16"/>
  <c r="F170" i="16" s="1"/>
  <c r="K128" i="12"/>
  <c r="E168" i="16"/>
  <c r="F168" i="16" s="1"/>
  <c r="K127" i="12"/>
  <c r="E167" i="16"/>
  <c r="F167" i="16" s="1"/>
  <c r="K125" i="12"/>
  <c r="E165" i="16"/>
  <c r="F165" i="16" s="1"/>
  <c r="K124" i="12"/>
  <c r="E164" i="16"/>
  <c r="F164" i="16" s="1"/>
  <c r="K123" i="12"/>
  <c r="E163" i="16"/>
  <c r="F163" i="16" s="1"/>
  <c r="K122" i="12"/>
  <c r="E162" i="16"/>
  <c r="F162" i="16" s="1"/>
  <c r="K121" i="12"/>
  <c r="E161" i="16"/>
  <c r="F161" i="16" s="1"/>
  <c r="K118" i="12"/>
  <c r="E158" i="16"/>
  <c r="F158" i="16" s="1"/>
  <c r="K119" i="12"/>
  <c r="E159" i="16"/>
  <c r="F159" i="16" s="1"/>
  <c r="K120" i="12"/>
  <c r="E160" i="16"/>
  <c r="F160" i="16" s="1"/>
  <c r="K117" i="12"/>
  <c r="E157" i="16"/>
  <c r="F157" i="16" s="1"/>
  <c r="K115" i="12"/>
  <c r="E155" i="16"/>
  <c r="F155" i="16" s="1"/>
  <c r="K116" i="12"/>
  <c r="E156" i="16"/>
  <c r="F156" i="16" s="1"/>
  <c r="K110" i="12"/>
  <c r="E150" i="16"/>
  <c r="F150" i="16" s="1"/>
  <c r="K109" i="12"/>
  <c r="E149" i="16"/>
  <c r="F149" i="16" s="1"/>
  <c r="K114" i="12"/>
  <c r="E154" i="16"/>
  <c r="F154" i="16" s="1"/>
  <c r="K113" i="12"/>
  <c r="E153" i="16"/>
  <c r="F153" i="16" s="1"/>
  <c r="K111" i="12"/>
  <c r="E151" i="16"/>
  <c r="F151" i="16" s="1"/>
  <c r="K102" i="12"/>
  <c r="E143" i="16"/>
  <c r="F143" i="16" s="1"/>
  <c r="K101" i="12"/>
  <c r="E142" i="16"/>
  <c r="F142" i="16" s="1"/>
  <c r="K100" i="12"/>
  <c r="E141" i="16"/>
  <c r="F141" i="16" s="1"/>
  <c r="K99" i="12"/>
  <c r="E140" i="16"/>
  <c r="F140" i="16" s="1"/>
  <c r="K96" i="12"/>
  <c r="E137" i="16"/>
  <c r="F137" i="16" s="1"/>
  <c r="K95" i="12"/>
  <c r="E136" i="16"/>
  <c r="K98" i="12"/>
  <c r="E139" i="16"/>
  <c r="F139" i="16" s="1"/>
  <c r="K97" i="12"/>
  <c r="E138" i="16"/>
  <c r="F138" i="16" s="1"/>
  <c r="J137" i="12"/>
  <c r="E177" i="16" l="1"/>
  <c r="F136" i="16"/>
  <c r="F177" i="16" s="1"/>
  <c r="E16" i="19"/>
  <c r="H15" i="19"/>
  <c r="H14" i="19"/>
  <c r="H13" i="19"/>
  <c r="H12" i="19"/>
  <c r="H11" i="19"/>
  <c r="H10" i="19"/>
  <c r="H9" i="19"/>
  <c r="H8" i="19"/>
  <c r="H7" i="19"/>
  <c r="H6" i="19"/>
  <c r="H5" i="19"/>
  <c r="H4" i="19"/>
  <c r="H16" i="19" l="1"/>
  <c r="C194" i="16" l="1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D45" i="16"/>
  <c r="I137" i="12"/>
  <c r="G137" i="12"/>
  <c r="F137" i="12"/>
  <c r="E137" i="12"/>
  <c r="V4" i="12"/>
  <c r="U4" i="12"/>
  <c r="T4" i="12"/>
  <c r="S4" i="12"/>
  <c r="R4" i="12"/>
  <c r="K4" i="12"/>
  <c r="K137" i="12" s="1"/>
  <c r="F194" i="16" l="1"/>
  <c r="F18" i="16" s="1"/>
  <c r="W4" i="12"/>
  <c r="H137" i="12"/>
  <c r="F30" i="16" l="1"/>
  <c r="G54" i="16"/>
  <c r="L19" i="12" l="1"/>
  <c r="N19" i="12" s="1"/>
  <c r="I99" i="17"/>
  <c r="I103" i="17"/>
  <c r="I104" i="17"/>
  <c r="I102" i="17"/>
  <c r="I100" i="17"/>
  <c r="K106" i="17"/>
  <c r="I101" i="17"/>
  <c r="P107" i="12" l="1"/>
  <c r="I105" i="17"/>
  <c r="O107" i="12"/>
  <c r="P19" i="12"/>
  <c r="M107" i="12"/>
  <c r="M19" i="12"/>
  <c r="N107" i="12"/>
  <c r="L107" i="12"/>
  <c r="O19" i="12"/>
  <c r="W107" i="12" l="1"/>
  <c r="G147" i="16" s="1"/>
  <c r="W19" i="12"/>
  <c r="F38" i="16" l="1"/>
  <c r="G67" i="16"/>
  <c r="L66" i="12" l="1"/>
  <c r="T87" i="17"/>
  <c r="T92" i="17"/>
  <c r="T90" i="17"/>
  <c r="T89" i="17"/>
  <c r="T91" i="17"/>
  <c r="V94" i="17"/>
  <c r="T88" i="17"/>
  <c r="T93" i="17" l="1"/>
  <c r="R137" i="12"/>
  <c r="O66" i="12"/>
  <c r="N66" i="12"/>
  <c r="T137" i="12" s="1"/>
  <c r="M66" i="12"/>
  <c r="S137" i="12" s="1"/>
  <c r="P66" i="12"/>
  <c r="V137" i="12" s="1"/>
  <c r="U137" i="12" l="1"/>
  <c r="U154" i="12"/>
  <c r="W66" i="12"/>
  <c r="W137" i="12" l="1"/>
  <c r="F16" i="16" s="1"/>
  <c r="G16" i="16" s="1"/>
  <c r="F39" i="16"/>
  <c r="F45" i="16" s="1"/>
  <c r="G108" i="16"/>
  <c r="G177" i="16" s="1"/>
  <c r="W154" i="12"/>
  <c r="H9" i="16" l="1"/>
</calcChain>
</file>

<file path=xl/sharedStrings.xml><?xml version="1.0" encoding="utf-8"?>
<sst xmlns="http://schemas.openxmlformats.org/spreadsheetml/2006/main" count="2026" uniqueCount="295">
  <si>
    <t>MUNICIPIO</t>
  </si>
  <si>
    <t>ALMAGUER</t>
  </si>
  <si>
    <t>ARGELIA</t>
  </si>
  <si>
    <t>BALBOA</t>
  </si>
  <si>
    <t>BOLIVAR</t>
  </si>
  <si>
    <t>BUENOS AIRES</t>
  </si>
  <si>
    <t>CAJIBIO</t>
  </si>
  <si>
    <t>CALDONO</t>
  </si>
  <si>
    <t>CALOTO</t>
  </si>
  <si>
    <t>CORINTO</t>
  </si>
  <si>
    <t>EL TAMBO</t>
  </si>
  <si>
    <t>FLORENCIA</t>
  </si>
  <si>
    <t>GUACHENE</t>
  </si>
  <si>
    <t>GUAPI</t>
  </si>
  <si>
    <t>INZA</t>
  </si>
  <si>
    <t>JAMBALO</t>
  </si>
  <si>
    <t>LA SIERRA</t>
  </si>
  <si>
    <t>LA VEGA</t>
  </si>
  <si>
    <t>LOPEZ DE MICAY</t>
  </si>
  <si>
    <t>MERCADERES</t>
  </si>
  <si>
    <t>MIRANDA</t>
  </si>
  <si>
    <t>MORALES</t>
  </si>
  <si>
    <t>PADILLA</t>
  </si>
  <si>
    <t>PAEZ</t>
  </si>
  <si>
    <t>PIAMONTE</t>
  </si>
  <si>
    <t>PIENDAMO</t>
  </si>
  <si>
    <t>PUERTO TEJADA</t>
  </si>
  <si>
    <t>PURACE</t>
  </si>
  <si>
    <t>ROSAS</t>
  </si>
  <si>
    <t>SAN SEBASTIAN</t>
  </si>
  <si>
    <t>SANTA ROSA</t>
  </si>
  <si>
    <t>SILVIA</t>
  </si>
  <si>
    <t>SOTARA</t>
  </si>
  <si>
    <t>SUAREZ</t>
  </si>
  <si>
    <t>SUCRE</t>
  </si>
  <si>
    <t>TIMBIO</t>
  </si>
  <si>
    <t>TORIBIO</t>
  </si>
  <si>
    <t>TOTORO</t>
  </si>
  <si>
    <t>VILLARICA</t>
  </si>
  <si>
    <t>Cupos</t>
  </si>
  <si>
    <t xml:space="preserve">Valor individual </t>
  </si>
  <si>
    <t xml:space="preserve">Plazo en días </t>
  </si>
  <si>
    <t>Subtotal</t>
  </si>
  <si>
    <t xml:space="preserve">Total </t>
  </si>
  <si>
    <t xml:space="preserve">ENTIDAD APORTANTE </t>
  </si>
  <si>
    <t xml:space="preserve">PRE INVERSION - INVERSION </t>
  </si>
  <si>
    <t>DEPARTAMENTO</t>
  </si>
  <si>
    <t xml:space="preserve">OTROS </t>
  </si>
  <si>
    <t xml:space="preserve">Cantidad </t>
  </si>
  <si>
    <t>SubTotal</t>
  </si>
  <si>
    <t xml:space="preserve">EQUIPO PAE </t>
  </si>
  <si>
    <t xml:space="preserve">TOTAL </t>
  </si>
  <si>
    <t>Plazo en meses</t>
  </si>
  <si>
    <t xml:space="preserve">APOYO A LA SUPERVISION </t>
  </si>
  <si>
    <t>TOTALES</t>
  </si>
  <si>
    <t>FUENTES DE RECURSOS</t>
  </si>
  <si>
    <t>MODALIDAD</t>
  </si>
  <si>
    <t>COSTA</t>
  </si>
  <si>
    <t>MAYORITARIA</t>
  </si>
  <si>
    <t>ZONA</t>
  </si>
  <si>
    <t>POBLACIÓN</t>
  </si>
  <si>
    <t>INDIGENA</t>
  </si>
  <si>
    <t>PATIA</t>
  </si>
  <si>
    <t>SUBTOTALES</t>
  </si>
  <si>
    <t>PERFILES -CARGOS</t>
  </si>
  <si>
    <t>AREA</t>
  </si>
  <si>
    <t>MACIZO</t>
  </si>
  <si>
    <t>SUR</t>
  </si>
  <si>
    <t>NORTE</t>
  </si>
  <si>
    <t>CENTRO</t>
  </si>
  <si>
    <t>ORIENTE</t>
  </si>
  <si>
    <t>PRESUPUESTO DE RECURSOS POR ZONA</t>
  </si>
  <si>
    <t>PRESUPUESTO MANO DE OBRA CALIFICADA
 (PROFESIONALES EQUIPO PAE Y PROFESIONALE DE APOYO A LA SUPERVISIÓN)</t>
  </si>
  <si>
    <t>PRESUPUESTO GASTOS DE DESPLAZAMIENTO – HOSPEDAJE VISITAS DE SEGUIMIENTO EN CAMPO</t>
  </si>
  <si>
    <t>SGP MUNICIPIOS - ALIMENTACIÓN ESCOLAR</t>
  </si>
  <si>
    <t>NACION (GIRO DE RECURSOS UAPA)</t>
  </si>
  <si>
    <t>FUENTE</t>
  </si>
  <si>
    <t>SGP-ALIMENTACIÓN ESCOLAR - PGN/UAPA</t>
  </si>
  <si>
    <t>PGN/UAPA</t>
  </si>
  <si>
    <t>TIPO/MODALIDAD DE COMPLEMENTO</t>
  </si>
  <si>
    <t>GRADOS</t>
  </si>
  <si>
    <t>TOTAL</t>
  </si>
  <si>
    <t>LÓPEZ</t>
  </si>
  <si>
    <t>TIMBIQUÍ</t>
  </si>
  <si>
    <t>PTO TEJADA</t>
  </si>
  <si>
    <t>VILLA RICA</t>
  </si>
  <si>
    <t>GRADO
 1,2,3</t>
  </si>
  <si>
    <t>GRADO
 4, 5</t>
  </si>
  <si>
    <t>DIAS DE
 EJECUCUÓN</t>
  </si>
  <si>
    <t>CAA</t>
  </si>
  <si>
    <t>CAJM-T PS, CAJM-T RI, CCT</t>
  </si>
  <si>
    <t>CAJM-TPS.</t>
  </si>
  <si>
    <t>SANTANDER DE Q.</t>
  </si>
  <si>
    <t>INDIGENA-CRIC</t>
  </si>
  <si>
    <t>INDIGENA-GUAMBIA</t>
  </si>
  <si>
    <t>No de complemento</t>
  </si>
  <si>
    <t>BENEF./
CUPOS</t>
  </si>
  <si>
    <t>No COMPL. A ENTREGAR</t>
  </si>
  <si>
    <t>GRADO
0</t>
  </si>
  <si>
    <t>GRADO
6, 7, 8, 9
9 A 13 AÑOS</t>
  </si>
  <si>
    <t>GRADO
10, 11</t>
  </si>
  <si>
    <t>GRADO
 0</t>
  </si>
  <si>
    <t>GRADO
 1-2-3</t>
  </si>
  <si>
    <t>GRADO
 4-5</t>
  </si>
  <si>
    <t>GRADO
 6-7-8-9</t>
  </si>
  <si>
    <t>GRADO
 10-11</t>
  </si>
  <si>
    <t>CAJM-TPS, CAJM-T RI, CCT</t>
  </si>
  <si>
    <t>No COMPL. 
A ENTREGAR</t>
  </si>
  <si>
    <t>CAJM-TPS, CAJM-TRI, CCT</t>
  </si>
  <si>
    <t>SUMINSITRO DE CANASTAS DE ALIMENTOS EN RECESO ESCOLAR</t>
  </si>
  <si>
    <t>BENEFICIARIOS</t>
  </si>
  <si>
    <t>VALOR CANASTA</t>
  </si>
  <si>
    <t>VALOS ASIGNADO</t>
  </si>
  <si>
    <t xml:space="preserve">PRESUPUESTO </t>
  </si>
  <si>
    <t>COMPONENTES</t>
  </si>
  <si>
    <t>%</t>
  </si>
  <si>
    <t>PRE
ESCOLAR</t>
  </si>
  <si>
    <t>SECUN.</t>
  </si>
  <si>
    <t>MEDIA 
Y COMPLEM.</t>
  </si>
  <si>
    <t>ALIMENTOS</t>
  </si>
  <si>
    <t>RECURSO HUMANO</t>
  </si>
  <si>
    <t>COMBUSTIBLE/
SERVICIOS PÚBLICOS</t>
  </si>
  <si>
    <t>TRANSPORTE</t>
  </si>
  <si>
    <t>SANEAMIENTO</t>
  </si>
  <si>
    <t>GASTOS ADMINISTRATIVOS Recurso Humano (personal administrativo, supervisores, coordinador, auxiliares), papeleria, polizas, Capacitación, certificación de aptitud, dotación de personal, etc.</t>
  </si>
  <si>
    <t>SUBTOTAL</t>
  </si>
  <si>
    <t>SANEAMIENTO (Plan de saneamiento, muestreo microbiologíco)</t>
  </si>
  <si>
    <t>COMBUSTIBLE</t>
  </si>
  <si>
    <t>ALMUERZO-CENTRO</t>
  </si>
  <si>
    <t>ALMUERZO-COSTA</t>
  </si>
  <si>
    <t>ALMUERZO-MACIZO</t>
  </si>
  <si>
    <t>ALMUERZO-NORTE</t>
  </si>
  <si>
    <t>ALMUERZO-SUR</t>
  </si>
  <si>
    <t>ALMUERZO 2025</t>
  </si>
  <si>
    <t>MENUS  2025</t>
  </si>
  <si>
    <t>PORCENTAJE</t>
  </si>
  <si>
    <t>GRUPO DE 9 A 13 AÑOS</t>
  </si>
  <si>
    <t>GASTOS ADMINISTRATIVOS Recurso Humano (personal administrativo, supervisores, coordinador, auxiliares), papeleria,, Capacitación, certificación de aptitud, dotación.etc.</t>
  </si>
  <si>
    <t>Tecnólogo en áreas administrativas, gestión documental, gestión empresarial, archivo o afines.</t>
  </si>
  <si>
    <t>Técnico en áreas administrativas, gestión documental, gestión empresarial, archivo o afines.</t>
  </si>
  <si>
    <t>PERFIL/CARGOS</t>
  </si>
  <si>
    <t xml:space="preserve">Ingeniero de Alimentos y/o Agroindutrial Equipo PAE  Eje de Calidad e Inocuidad Programa de Alimentación Escolar.
</t>
  </si>
  <si>
    <t>ACTIVIDADES</t>
  </si>
  <si>
    <t>DISTRIBUCIÓN DE RECURSOS POR ACTIVIDAD.</t>
  </si>
  <si>
    <t>Mano de obra calificada</t>
  </si>
  <si>
    <t xml:space="preserve">Apoyo a la Coordinación del Programa de Alimentación Escolar-PAE.
</t>
  </si>
  <si>
    <t xml:space="preserve">Nutricionista Equipo PAE Eje Alimentación Saludable y Sostenible Programa de Alimentación Escolar.
</t>
  </si>
  <si>
    <t xml:space="preserve">Contador Equipo PAE  Eje Financiero Programa de Alimentación Escolar.
</t>
  </si>
  <si>
    <t xml:space="preserve">Abogado Equipo PAE Eje de Transparencia Programa de Alimentación Escolar.
</t>
  </si>
  <si>
    <t xml:space="preserve">Abogado Apoyo a la Supervisión Eje de Transparencia Programa de Alimentación Escolar.
</t>
  </si>
  <si>
    <t xml:space="preserve">Profesional de Apoyo a la Supervisión Componente Cobertura-Eje de Cobertura programa de Alimentación Escolar.
</t>
  </si>
  <si>
    <t>Técnico en áreas dministrativas, gestión documental, gestión empresarial, archivo o afines.</t>
  </si>
  <si>
    <t xml:space="preserve">Profesional de Apoyo a la supervisión Componente Técnico de Campo-Eje de Calidad e Inocuidad Programa de Alimentación Escolar.
</t>
  </si>
  <si>
    <t xml:space="preserve">Profesional de Apoyo a la Supervisión Componente Técnico -Eje de Calidad e Inocuidad Programa de Alimentación Escolar.
</t>
  </si>
  <si>
    <t xml:space="preserve">Profesional de Apoyo a la Supervisión componente Financiero Programa de Alimentación Escolar. 
</t>
  </si>
  <si>
    <t xml:space="preserve">PROFESIONALES DE APOYO A LA SUPERVISION </t>
  </si>
  <si>
    <t>RI</t>
  </si>
  <si>
    <t>CAJM-T PS, CAJM-T, CCT</t>
  </si>
  <si>
    <t>COMPLEMENTO 2026</t>
  </si>
  <si>
    <t>NORTE CONSEJOS COMUNITARIOS</t>
  </si>
  <si>
    <t>ALMUERZO-CONSEJOS COMUNITARIOS</t>
  </si>
  <si>
    <t>INDIGENA-UT-CRIC</t>
  </si>
  <si>
    <t>CON.COM-NORTE</t>
  </si>
  <si>
    <t>INDIGENA-PMY-CRIC</t>
  </si>
  <si>
    <t>INDIGENA-GUACHICONO-CRIC</t>
  </si>
  <si>
    <t>INDIGENA-AZBESCAC-CRIC</t>
  </si>
  <si>
    <t>CAJM-T PS, CAJM-T,  CCT</t>
  </si>
  <si>
    <t>INDIGENA-CILIA-CRIC</t>
  </si>
  <si>
    <t>INDIGENA-TOTOGUAMPA-CRIC</t>
  </si>
  <si>
    <t>INDIGENA-KOKONUCO-CRIC</t>
  </si>
  <si>
    <t>INDIGENA-CANOAS-CRIC</t>
  </si>
  <si>
    <t>INDIGENA-CONCEPCION-CRIC</t>
  </si>
  <si>
    <t>INDIGENA-GUADUALITO-CRIC</t>
  </si>
  <si>
    <t>INDIGENA-MUNCHIQUE-CRIC</t>
  </si>
  <si>
    <t>INDIGENA-KIZGO-CRIC</t>
  </si>
  <si>
    <t>INDIGENA-PROYECTO NASA-CRIC</t>
  </si>
  <si>
    <t>INDIGENA-AGUA CLARITA-CRIC</t>
  </si>
  <si>
    <t>INDIGENA-TOTORO-CRIC</t>
  </si>
  <si>
    <t>INDIGENA-HUELLAS-CRIC</t>
  </si>
  <si>
    <t>MENUS  2026</t>
  </si>
  <si>
    <t>COMPLEMENTO ALIMENTARIO POBLACION INDIGENA
PUEBLO MAYOR YANACONA</t>
  </si>
  <si>
    <t>COMPLEMENTO ALIMENTARIO POBLACION INDIGENA
ALMAGUER-CAQUIONA (PUEBLO MAYOR YANACONA)</t>
  </si>
  <si>
    <t>COMPLEMENTO ALIMENTARIO POBLACION INDIGENA  CANOAS SANTANDER DE QULICHAO (NASA)</t>
  </si>
  <si>
    <t>COMPLEMENTO ALIMENTARIO POBLACION INDIGENA  CHIMBORAZO-MORALES(NASA)</t>
  </si>
  <si>
    <t>COMPLEMENTO ALIMENTARIO POBLACION INDIGENA  CILIA LA CALERA MIRANDA(NASA)</t>
  </si>
  <si>
    <t>COMPLEMENTO ALMUERZO POBLACION INDIGENA  CILIA LA CALERA MIRANDA(NASA)</t>
  </si>
  <si>
    <t>COMPLEMENTO ALIMENTARIO POBLACION INDIGENA  R.I. PAEZ DE CORINTO (NASA)</t>
  </si>
  <si>
    <t>COMPLEMENTO ALIMENTARIO POBLACION INDIGENA  GUADUALITO SANTANDER DE QULICHAO (NASA)</t>
  </si>
  <si>
    <t>COMPLEMENTO ALIMENTARIO POBLACION INDIGENA  HUELLAS -CALOTO (NASA)</t>
  </si>
  <si>
    <t>COMPLEMENTO ALIMENTARIO POBLACION INDIGENA  R.I. JAMBALO  (NASA)</t>
  </si>
  <si>
    <t>COMPLEMENTO ALIMENTARIO POBLACION INDIGENA  R.I. KOKONUKO (NASA)</t>
  </si>
  <si>
    <t>COMPLEMENTO ALMUERZO POBLACION INDIGENA  R.I. KOKONUKO (NASA)</t>
  </si>
  <si>
    <t>CON. COMUNITARIOS</t>
  </si>
  <si>
    <t>INDIGENA- CAQUIONA-CRIC</t>
  </si>
  <si>
    <t>INDIGENA- DELICIAS-CRIC</t>
  </si>
  <si>
    <t>INDIGENA-GUADUALTIO-CRIC</t>
  </si>
  <si>
    <t>INDIGENA--UKAWES-CRIC</t>
  </si>
  <si>
    <t>INDIGENA-PAEZ-DE CORINTO-CRIC</t>
  </si>
  <si>
    <t>CONSEJO COMUNITARIO</t>
  </si>
  <si>
    <t>INDIGENA-CHIMBORAZO-CRIC</t>
  </si>
  <si>
    <t>INDIGENA-HONDURAS--CRIC</t>
  </si>
  <si>
    <t>INDIGENA-NASA CXHACXCHA-CRIC</t>
  </si>
  <si>
    <t>INDIGENA-UT-SANTAMARTHA-CRIC</t>
  </si>
  <si>
    <t>PROMEDIO</t>
  </si>
  <si>
    <t>COMPLEMENTO ALIMENTARIO POBLACION INDIGENA  A.S. TOTOGUAMPA</t>
  </si>
  <si>
    <t>COMPLEMENTO ALIMENTARIO POBLACION INDIGENA  R.I. KIZGO</t>
  </si>
  <si>
    <t xml:space="preserve">COMPLEMENTO ALMUERZO POBLACION 
ASOCIACION JUAN TAMA-INDIGENA-CRIC </t>
  </si>
  <si>
    <t xml:space="preserve">COMPLEMENTO ALIMENTARIO  POBLACION 
ASOCIACION JUAN TAMA-INDIGENA-CRIC </t>
  </si>
  <si>
    <t>COMPLEMENTO ALIMENTARIO POBLACION INDIGENA  UNION TEMPORAL PAEZ-PURACE.-TIMBIO-EL TAMBO-MORALES</t>
  </si>
  <si>
    <t>COMPLEMENTO ALMUERZO POBLACION INDIGENA  UNION TEMPORAL PAEZ-PURACE.-TIMBIO-EL TAMBO-MORALES</t>
  </si>
  <si>
    <t>COMPLEMENTO ALIMENTARIO POBLACION INDIGENA  PUEBLO TOTOROEZ</t>
  </si>
  <si>
    <t>COMPLEMENTO ALMUERZO POBLACION INDIGENA  PUEBLO TOTOROEZ</t>
  </si>
  <si>
    <t>COMPLEMENTO ALIMENTARIO POBLACION INDIGENA  R.I. LA CONCEPCIÓN</t>
  </si>
  <si>
    <t>COMPLEMENTO ALIMENTARIO POBLACION INDIGENA  R.I. LAS DELICIAS STANDER DE QUILICHAO</t>
  </si>
  <si>
    <t>COMPLEMENTO ALIMENTARIO POBLACION INDIGENA  R.I. HONDURAS</t>
  </si>
  <si>
    <t>PRESUPUESTO DE RECURSOS POR POBLACIÓN Y MUNICIPIO</t>
  </si>
  <si>
    <t>COMPLEMENTO  POBLACION INDIGENA UKAWES</t>
  </si>
  <si>
    <t>COMPLEMENTO POBLACION INDIGENA ASOCIACION NASA CXHA CXHA</t>
  </si>
  <si>
    <t>COMBUSTIBLE/SERVICIOS PÚBLICOS</t>
  </si>
  <si>
    <t>GASTOS ADMINISTRATIVOS Recurso Humano (personal administrativo, supervisores, coordinador, auxiliares), papelería, Capacitación, certificación de aptitud, dotación. etc.</t>
  </si>
  <si>
    <t>COMPLEMENTO ALMUERZO POBLACION INDIGENA PUEBLO GUAMBIANO</t>
  </si>
  <si>
    <t>COMPLEMENTO ALIMENARIO POBLACION INDIGENA PUEBLO GUAMBIANO</t>
  </si>
  <si>
    <t>COMPLEMENTO ALMUERZO POBLACION INDIGENA
GUACHICONO (PUEBLO MAYOR YANACONA)</t>
  </si>
  <si>
    <t>COMPLEMENTO ALMENTARIO POBLACION INDIGENA R.I. MUNCHIQUE</t>
  </si>
  <si>
    <t>IND.-CAQUIONA-CRIC</t>
  </si>
  <si>
    <t>IND.-PMY-CRIC</t>
  </si>
  <si>
    <t>IND.-DELICIAS-CRC</t>
  </si>
  <si>
    <t>IND.-GUADUALITO-CRIC</t>
  </si>
  <si>
    <t>IND.-GUAMBIA</t>
  </si>
  <si>
    <t>IND.-UKAWE-CRIC</t>
  </si>
  <si>
    <t>IND.-HUELLAS-CRIC</t>
  </si>
  <si>
    <t>IND.- PAEZ DE CORINTO-CRIC</t>
  </si>
  <si>
    <t>IND.-UT-CRIC</t>
  </si>
  <si>
    <t>IND.-JUAN TAMA-CRIC</t>
  </si>
  <si>
    <t>IND.-JAMBALO-CRIC</t>
  </si>
  <si>
    <t>IND.-GUACHICONO-CRIC</t>
  </si>
  <si>
    <t>IND.-AZBESCAC-CRIC</t>
  </si>
  <si>
    <t>IND.-CILIA-CRIC</t>
  </si>
  <si>
    <t>IND.-CHIMBRAZO-CRIC</t>
  </si>
  <si>
    <t>IND.-HONDURAS-CRIC</t>
  </si>
  <si>
    <t>IND.-NASA CXHACXHA-CRIC</t>
  </si>
  <si>
    <t>IND.-UT SANTA MARTHA CRIC</t>
  </si>
  <si>
    <t>IND.-TOTOGUAMPA-CRIC</t>
  </si>
  <si>
    <t>IND.-KOKONUCO-CRIC</t>
  </si>
  <si>
    <t>IND.-CANOAS-CRIC</t>
  </si>
  <si>
    <t>IND.-CONCEPCION-CRIC</t>
  </si>
  <si>
    <t>IND.-MUNCHIQUE-CRIC</t>
  </si>
  <si>
    <t>IND.-KIZGO-CRIC</t>
  </si>
  <si>
    <t>IND.-PROYECTO NASA-CRIC</t>
  </si>
  <si>
    <t>IND.-AGUA CLARITA-CRIC</t>
  </si>
  <si>
    <t>IND.-TOTORO-CRIC</t>
  </si>
  <si>
    <t>Gastos de transporte y Hospedaje</t>
  </si>
  <si>
    <t xml:space="preserve">COMPLEMENTO ALIMENTARIO AGUA CLARITA </t>
  </si>
  <si>
    <t>COMPLEMENTO ALMUERZO POBLACION INDIGENA
PUEBLO MAYOR YANACONA</t>
  </si>
  <si>
    <t>COMPLEMENTO ALIMENTARIO POBLACION INDIGENA ASOCIACION PROYECTO NASA</t>
  </si>
  <si>
    <t>COMPLEMENTO ALIMENTARIO AS AZBESCAC</t>
  </si>
  <si>
    <t xml:space="preserve"> </t>
  </si>
  <si>
    <t>SMLMV 2025</t>
  </si>
  <si>
    <t>SUBREGIÓN</t>
  </si>
  <si>
    <t>MUNICIPIOS</t>
  </si>
  <si>
    <t>NUMERO DE DIAS SIN PERNOCTAR</t>
  </si>
  <si>
    <t>NUMERO DE DIAS PERNOCTADOS</t>
  </si>
  <si>
    <t>NO PERNOCTADO</t>
  </si>
  <si>
    <t>PERNOCTADO</t>
  </si>
  <si>
    <t>VALOR SIN PERNOCTAR</t>
  </si>
  <si>
    <t>VALOR PERNOCTADO</t>
  </si>
  <si>
    <t>VALOR TOTAL</t>
  </si>
  <si>
    <t>PURACÉ</t>
  </si>
  <si>
    <t>SOTARÁ</t>
  </si>
  <si>
    <t>COSTA PACIFICA</t>
  </si>
  <si>
    <t xml:space="preserve">ALMAGUER </t>
  </si>
  <si>
    <t>SAN SEBASTIÁN</t>
  </si>
  <si>
    <t>GUACHENÉ</t>
  </si>
  <si>
    <t xml:space="preserve">MIRANDA </t>
  </si>
  <si>
    <t>SANTANDER Q</t>
  </si>
  <si>
    <t xml:space="preserve">TORIBIO </t>
  </si>
  <si>
    <t>INZÁ</t>
  </si>
  <si>
    <t>TOTORÓ</t>
  </si>
  <si>
    <t>PATÍA</t>
  </si>
  <si>
    <t>Transporte</t>
  </si>
  <si>
    <t>Gastos de permanencia</t>
  </si>
  <si>
    <t>GASTOS DE PERMANENCIA ACTIVIDAD</t>
  </si>
  <si>
    <t xml:space="preserve">Para la elaboración del presupuesto para gastos de desplazamiento se tuvieron en cuenta los rubros de manutención para cada visita y se pondero el gasto de desplazamiento teniendo en cuenta que esta se debe realizar a diferentes sedes educativas que se ubican en la zona urbana y rural de los 41 municipios no certificados, el recurso presupuestado se tiene proyectado agotarlo en un 100% y de ser necesario por disponiblidad de recursos se apropiaran para incrementar el presupuesto el rubro en el proyecto. </t>
  </si>
  <si>
    <t>1. Suministrar complementos alimentarios en los EE oficiales priorizados de los 41 municipios no certificados</t>
  </si>
  <si>
    <t>2. Suministra canastas de alimentos en receso escolar</t>
  </si>
  <si>
    <t>3. Seguimiento, Monitoreo y control  a la ejecución</t>
  </si>
  <si>
    <t>SUMINISTRAR CANASTAS DE ALIMENTOS EN RECESO ESCOLAR</t>
  </si>
  <si>
    <t>COSTO UNITARIO COMPLEMENTOS POR ZONA DE OPERACIÓN</t>
  </si>
  <si>
    <t>PRESUPUESTO COSTO UNITARO DE COMPLEMENTO POR ZONA, MUNIICIPIO, POBLACIÓN A ATENDER Y DIAS DE EJECUCIÓN</t>
  </si>
  <si>
    <t>Ruber</t>
  </si>
  <si>
    <t>COMPLEMENTO ALIMENTARIO POBLACION INDIGENA
 SANTA MARTHA (PUEBLO MAYOR YANACONA)</t>
  </si>
  <si>
    <t>Jose B.</t>
  </si>
  <si>
    <t>James</t>
  </si>
  <si>
    <t>RECURSO HUMANO (SIN FORMALIZAR)</t>
  </si>
  <si>
    <t>COMPLEMENTO ALIMENTARIO POBLACION INDIGENA
GUACHICONO (PUEBLO MAYOR YANACONA)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</si>
</sst>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5" formatCode="&quot;$&quot;\ #,##0;\-&quot;$&quot;\ #,##0"/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#,##0;[Red]#,##0"/>
    <numFmt numFmtId="166" formatCode="_(* #,##0_);_(* \(#,##0\);_(* &quot;-&quot;_);_(@_)"/>
    <numFmt numFmtId="167" formatCode="&quot;$&quot;\ #,##0;[Red]&quot;$&quot;\ #,##0"/>
    <numFmt numFmtId="168" formatCode="&quot;$&quot;\ #,##0"/>
    <numFmt numFmtId="169" formatCode="#,##0_ ;\-#,##0\ "/>
    <numFmt numFmtId="170" formatCode="&quot;$&quot;\ #,##0.00;[Red]&quot;$&quot;\ #,##0.00"/>
    <numFmt numFmtId="171" formatCode="&quot;$&quot;\ #,##0.00"/>
    <numFmt numFmtId="172" formatCode="&quot;$&quot;\ #,##0.0"/>
    <numFmt numFmtId="173" formatCode="0.0%"/>
    <numFmt numFmtId="174" formatCode="_-&quot;$&quot;\ * #,##0_-;\-&quot;$&quot;\ * #,##0_-;_-&quot;$&quot;\ 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sz val="26"/>
      <color theme="1"/>
      <name val="Arial"/>
      <family val="2"/>
    </font>
    <font>
      <b/>
      <sz val="14"/>
      <color theme="1"/>
      <name val="Arial Narrow"/>
      <family val="2"/>
    </font>
    <font>
      <b/>
      <sz val="10"/>
      <color rgb="FF000000"/>
      <name val="Arial Narrow"/>
      <family val="2"/>
    </font>
    <font>
      <b/>
      <sz val="20"/>
      <color theme="1"/>
      <name val="Arial Narrow"/>
      <family val="2"/>
    </font>
    <font>
      <b/>
      <sz val="18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sz val="12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8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168" fontId="4" fillId="0" borderId="0" xfId="0" applyNumberFormat="1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168" fontId="4" fillId="0" borderId="1" xfId="0" applyNumberFormat="1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5" fontId="4" fillId="0" borderId="1" xfId="1" applyNumberFormat="1" applyFont="1" applyFill="1" applyBorder="1" applyAlignment="1">
      <alignment vertical="center"/>
    </xf>
    <xf numFmtId="168" fontId="3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169" fontId="4" fillId="0" borderId="1" xfId="1" applyNumberFormat="1" applyFont="1" applyFill="1" applyBorder="1" applyAlignment="1">
      <alignment vertical="center"/>
    </xf>
    <xf numFmtId="171" fontId="5" fillId="0" borderId="1" xfId="0" applyNumberFormat="1" applyFont="1" applyBorder="1" applyAlignment="1">
      <alignment horizontal="right" vertical="center"/>
    </xf>
    <xf numFmtId="165" fontId="3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71" fontId="4" fillId="0" borderId="1" xfId="0" applyNumberFormat="1" applyFont="1" applyBorder="1" applyAlignment="1">
      <alignment vertical="center"/>
    </xf>
    <xf numFmtId="170" fontId="3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44" fontId="3" fillId="0" borderId="0" xfId="2" applyFont="1" applyAlignment="1">
      <alignment horizontal="center" vertical="center"/>
    </xf>
    <xf numFmtId="171" fontId="10" fillId="0" borderId="1" xfId="0" applyNumberFormat="1" applyFont="1" applyBorder="1" applyAlignment="1">
      <alignment vertical="center"/>
    </xf>
    <xf numFmtId="3" fontId="9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171" fontId="10" fillId="4" borderId="1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165" fontId="3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3" fontId="3" fillId="0" borderId="1" xfId="0" applyNumberFormat="1" applyFont="1" applyBorder="1" applyAlignment="1">
      <alignment horizontal="center" vertical="center"/>
    </xf>
    <xf numFmtId="5" fontId="3" fillId="0" borderId="1" xfId="1" applyNumberFormat="1" applyFont="1" applyFill="1" applyBorder="1" applyAlignment="1">
      <alignment vertical="center"/>
    </xf>
    <xf numFmtId="169" fontId="3" fillId="0" borderId="1" xfId="1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vertical="center"/>
    </xf>
    <xf numFmtId="8" fontId="4" fillId="0" borderId="1" xfId="0" applyNumberFormat="1" applyFont="1" applyBorder="1" applyAlignment="1">
      <alignment horizontal="center" vertical="center"/>
    </xf>
    <xf numFmtId="171" fontId="0" fillId="0" borderId="0" xfId="0" applyNumberFormat="1"/>
    <xf numFmtId="3" fontId="9" fillId="0" borderId="7" xfId="0" applyNumberFormat="1" applyFont="1" applyBorder="1" applyAlignment="1">
      <alignment vertical="center"/>
    </xf>
    <xf numFmtId="3" fontId="9" fillId="0" borderId="5" xfId="0" applyNumberFormat="1" applyFont="1" applyBorder="1" applyAlignment="1">
      <alignment vertical="center"/>
    </xf>
    <xf numFmtId="44" fontId="0" fillId="0" borderId="0" xfId="2" applyFont="1" applyAlignment="1">
      <alignment vertical="center"/>
    </xf>
    <xf numFmtId="173" fontId="9" fillId="4" borderId="1" xfId="3" applyNumberFormat="1" applyFont="1" applyFill="1" applyBorder="1" applyAlignment="1">
      <alignment horizontal="right" vertical="center"/>
    </xf>
    <xf numFmtId="0" fontId="22" fillId="0" borderId="0" xfId="0" applyFont="1"/>
    <xf numFmtId="0" fontId="4" fillId="0" borderId="1" xfId="0" applyFont="1" applyBorder="1" applyAlignment="1">
      <alignment horizontal="justify" vertical="top" wrapText="1"/>
    </xf>
    <xf numFmtId="44" fontId="22" fillId="0" borderId="0" xfId="2" applyFont="1" applyAlignment="1">
      <alignment horizontal="justify" vertical="center"/>
    </xf>
    <xf numFmtId="44" fontId="0" fillId="0" borderId="0" xfId="0" applyNumberFormat="1"/>
    <xf numFmtId="10" fontId="0" fillId="0" borderId="0" xfId="3" applyNumberFormat="1" applyFont="1" applyAlignment="1">
      <alignment vertical="center"/>
    </xf>
    <xf numFmtId="0" fontId="9" fillId="0" borderId="1" xfId="0" applyFont="1" applyBorder="1" applyAlignment="1">
      <alignment horizontal="justify" vertical="justify" wrapText="1"/>
    </xf>
    <xf numFmtId="0" fontId="9" fillId="0" borderId="0" xfId="0" applyFont="1" applyAlignment="1">
      <alignment horizontal="justify" vertical="justify" wrapText="1"/>
    </xf>
    <xf numFmtId="171" fontId="0" fillId="0" borderId="0" xfId="0" applyNumberForma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/>
    </xf>
    <xf numFmtId="0" fontId="19" fillId="4" borderId="14" xfId="0" applyFont="1" applyFill="1" applyBorder="1" applyAlignment="1">
      <alignment vertical="center"/>
    </xf>
    <xf numFmtId="0" fontId="3" fillId="4" borderId="14" xfId="0" applyFont="1" applyFill="1" applyBorder="1" applyAlignment="1">
      <alignment vertical="center" wrapText="1"/>
    </xf>
    <xf numFmtId="0" fontId="19" fillId="4" borderId="14" xfId="0" applyFont="1" applyFill="1" applyBorder="1"/>
    <xf numFmtId="1" fontId="4" fillId="0" borderId="1" xfId="0" applyNumberFormat="1" applyFont="1" applyBorder="1" applyAlignment="1">
      <alignment horizontal="center" vertical="center" wrapText="1"/>
    </xf>
    <xf numFmtId="7" fontId="4" fillId="0" borderId="1" xfId="1" applyNumberFormat="1" applyFont="1" applyFill="1" applyBorder="1" applyAlignment="1">
      <alignment vertical="center"/>
    </xf>
    <xf numFmtId="3" fontId="4" fillId="4" borderId="1" xfId="0" applyNumberFormat="1" applyFont="1" applyFill="1" applyBorder="1" applyAlignment="1">
      <alignment vertical="center"/>
    </xf>
    <xf numFmtId="5" fontId="0" fillId="0" borderId="0" xfId="0" applyNumberFormat="1"/>
    <xf numFmtId="3" fontId="4" fillId="4" borderId="3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44" fontId="3" fillId="0" borderId="1" xfId="2" applyFont="1" applyBorder="1" applyAlignment="1">
      <alignment vertical="center"/>
    </xf>
    <xf numFmtId="171" fontId="9" fillId="4" borderId="1" xfId="0" applyNumberFormat="1" applyFont="1" applyFill="1" applyBorder="1" applyAlignment="1">
      <alignment vertical="center"/>
    </xf>
    <xf numFmtId="0" fontId="0" fillId="4" borderId="0" xfId="0" applyFill="1"/>
    <xf numFmtId="0" fontId="17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171" fontId="21" fillId="4" borderId="1" xfId="0" applyNumberFormat="1" applyFont="1" applyFill="1" applyBorder="1" applyAlignment="1">
      <alignment vertical="center"/>
    </xf>
    <xf numFmtId="9" fontId="10" fillId="4" borderId="1" xfId="3" applyFont="1" applyFill="1" applyBorder="1" applyAlignment="1">
      <alignment vertical="center"/>
    </xf>
    <xf numFmtId="0" fontId="17" fillId="4" borderId="0" xfId="0" applyFont="1" applyFill="1" applyAlignment="1">
      <alignment horizontal="center"/>
    </xf>
    <xf numFmtId="173" fontId="9" fillId="4" borderId="1" xfId="3" applyNumberFormat="1" applyFont="1" applyFill="1" applyBorder="1" applyAlignment="1">
      <alignment horizontal="center" vertical="center"/>
    </xf>
    <xf numFmtId="9" fontId="10" fillId="4" borderId="1" xfId="3" applyFont="1" applyFill="1" applyBorder="1" applyAlignment="1">
      <alignment horizontal="center" vertical="center"/>
    </xf>
    <xf numFmtId="7" fontId="4" fillId="4" borderId="1" xfId="1" applyNumberFormat="1" applyFont="1" applyFill="1" applyBorder="1" applyAlignment="1">
      <alignment vertical="center"/>
    </xf>
    <xf numFmtId="0" fontId="4" fillId="4" borderId="1" xfId="0" applyFont="1" applyFill="1" applyBorder="1"/>
    <xf numFmtId="0" fontId="5" fillId="7" borderId="1" xfId="0" applyFont="1" applyFill="1" applyBorder="1" applyAlignment="1">
      <alignment vertical="center"/>
    </xf>
    <xf numFmtId="10" fontId="5" fillId="7" borderId="1" xfId="0" applyNumberFormat="1" applyFont="1" applyFill="1" applyBorder="1" applyAlignment="1">
      <alignment horizontal="center" vertical="center"/>
    </xf>
    <xf numFmtId="8" fontId="5" fillId="7" borderId="1" xfId="0" applyNumberFormat="1" applyFont="1" applyFill="1" applyBorder="1" applyAlignment="1">
      <alignment horizontal="right" vertical="center"/>
    </xf>
    <xf numFmtId="9" fontId="2" fillId="7" borderId="1" xfId="0" applyNumberFormat="1" applyFont="1" applyFill="1" applyBorder="1" applyAlignment="1">
      <alignment horizontal="center" vertical="center"/>
    </xf>
    <xf numFmtId="8" fontId="2" fillId="7" borderId="1" xfId="0" applyNumberFormat="1" applyFont="1" applyFill="1" applyBorder="1" applyAlignment="1">
      <alignment horizontal="right" vertical="center"/>
    </xf>
    <xf numFmtId="10" fontId="5" fillId="7" borderId="1" xfId="3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Border="1" applyAlignment="1">
      <alignment vertical="center"/>
    </xf>
    <xf numFmtId="168" fontId="12" fillId="0" borderId="1" xfId="0" applyNumberFormat="1" applyFont="1" applyBorder="1" applyAlignment="1">
      <alignment vertical="center"/>
    </xf>
    <xf numFmtId="171" fontId="2" fillId="0" borderId="1" xfId="0" applyNumberFormat="1" applyFont="1" applyBorder="1" applyAlignment="1">
      <alignment horizontal="right" vertical="center"/>
    </xf>
    <xf numFmtId="10" fontId="0" fillId="0" borderId="1" xfId="3" applyNumberFormat="1" applyFont="1" applyBorder="1"/>
    <xf numFmtId="0" fontId="0" fillId="0" borderId="1" xfId="0" applyBorder="1"/>
    <xf numFmtId="4" fontId="21" fillId="0" borderId="1" xfId="0" applyNumberFormat="1" applyFont="1" applyBorder="1"/>
    <xf numFmtId="171" fontId="0" fillId="0" borderId="1" xfId="0" applyNumberFormat="1" applyBorder="1"/>
    <xf numFmtId="171" fontId="0" fillId="0" borderId="1" xfId="1" applyNumberFormat="1" applyFont="1" applyBorder="1"/>
    <xf numFmtId="10" fontId="0" fillId="0" borderId="1" xfId="3" applyNumberFormat="1" applyFont="1" applyBorder="1" applyAlignment="1">
      <alignment vertical="center"/>
    </xf>
    <xf numFmtId="171" fontId="0" fillId="0" borderId="1" xfId="1" applyNumberFormat="1" applyFont="1" applyBorder="1" applyAlignment="1">
      <alignment vertical="center"/>
    </xf>
    <xf numFmtId="171" fontId="9" fillId="6" borderId="1" xfId="0" applyNumberFormat="1" applyFont="1" applyFill="1" applyBorder="1" applyAlignment="1">
      <alignment vertical="center"/>
    </xf>
    <xf numFmtId="171" fontId="9" fillId="8" borderId="1" xfId="0" applyNumberFormat="1" applyFont="1" applyFill="1" applyBorder="1" applyAlignment="1">
      <alignment vertical="center"/>
    </xf>
    <xf numFmtId="8" fontId="0" fillId="4" borderId="0" xfId="0" applyNumberFormat="1" applyFill="1"/>
    <xf numFmtId="171" fontId="4" fillId="0" borderId="1" xfId="0" applyNumberFormat="1" applyFont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>
      <alignment horizontal="right" vertical="center"/>
    </xf>
    <xf numFmtId="168" fontId="0" fillId="0" borderId="0" xfId="0" applyNumberFormat="1"/>
    <xf numFmtId="0" fontId="17" fillId="2" borderId="1" xfId="0" applyFont="1" applyFill="1" applyBorder="1" applyAlignment="1">
      <alignment horizontal="center" vertical="center" wrapText="1"/>
    </xf>
    <xf numFmtId="10" fontId="4" fillId="0" borderId="0" xfId="3" applyNumberFormat="1" applyFont="1"/>
    <xf numFmtId="9" fontId="0" fillId="0" borderId="0" xfId="3" applyFont="1"/>
    <xf numFmtId="0" fontId="0" fillId="0" borderId="1" xfId="0" applyBorder="1" applyAlignment="1">
      <alignment horizontal="justify" vertical="top" wrapText="1"/>
    </xf>
    <xf numFmtId="167" fontId="7" fillId="0" borderId="14" xfId="0" applyNumberFormat="1" applyFont="1" applyBorder="1"/>
    <xf numFmtId="1" fontId="26" fillId="0" borderId="0" xfId="0" applyNumberFormat="1" applyFont="1" applyAlignment="1">
      <alignment vertical="center"/>
    </xf>
    <xf numFmtId="4" fontId="26" fillId="0" borderId="0" xfId="0" applyNumberFormat="1" applyFont="1" applyAlignment="1">
      <alignment vertical="center"/>
    </xf>
    <xf numFmtId="1" fontId="26" fillId="4" borderId="0" xfId="2" applyNumberFormat="1" applyFont="1" applyFill="1" applyBorder="1" applyAlignment="1">
      <alignment horizontal="right" vertical="center"/>
    </xf>
    <xf numFmtId="167" fontId="7" fillId="4" borderId="14" xfId="0" applyNumberFormat="1" applyFont="1" applyFill="1" applyBorder="1"/>
    <xf numFmtId="167" fontId="6" fillId="0" borderId="14" xfId="0" applyNumberFormat="1" applyFont="1" applyBorder="1" applyAlignment="1">
      <alignment vertical="center"/>
    </xf>
    <xf numFmtId="4" fontId="0" fillId="0" borderId="0" xfId="0" applyNumberFormat="1"/>
    <xf numFmtId="0" fontId="0" fillId="0" borderId="14" xfId="0" applyBorder="1"/>
    <xf numFmtId="165" fontId="6" fillId="4" borderId="14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0" fillId="4" borderId="14" xfId="0" applyFont="1" applyFill="1" applyBorder="1" applyAlignment="1">
      <alignment vertical="center" wrapText="1"/>
    </xf>
    <xf numFmtId="0" fontId="27" fillId="4" borderId="4" xfId="0" applyFont="1" applyFill="1" applyBorder="1" applyAlignment="1">
      <alignment horizontal="center" vertical="center" wrapText="1"/>
    </xf>
    <xf numFmtId="3" fontId="27" fillId="4" borderId="4" xfId="0" applyNumberFormat="1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 wrapText="1"/>
    </xf>
    <xf numFmtId="174" fontId="28" fillId="4" borderId="2" xfId="2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 wrapText="1"/>
    </xf>
    <xf numFmtId="168" fontId="29" fillId="4" borderId="1" xfId="0" applyNumberFormat="1" applyFont="1" applyFill="1" applyBorder="1" applyAlignment="1">
      <alignment horizontal="right" vertical="center" wrapText="1"/>
    </xf>
    <xf numFmtId="9" fontId="29" fillId="4" borderId="1" xfId="3" applyFont="1" applyFill="1" applyBorder="1" applyAlignment="1">
      <alignment horizontal="center" vertical="center" wrapText="1"/>
    </xf>
    <xf numFmtId="9" fontId="30" fillId="4" borderId="1" xfId="4" applyNumberFormat="1" applyFont="1" applyFill="1" applyBorder="1" applyAlignment="1">
      <alignment horizontal="center" vertical="center" wrapText="1"/>
    </xf>
    <xf numFmtId="168" fontId="30" fillId="4" borderId="1" xfId="4" applyNumberFormat="1" applyFont="1" applyFill="1" applyBorder="1" applyAlignment="1">
      <alignment horizontal="right" vertical="center" wrapText="1"/>
    </xf>
    <xf numFmtId="5" fontId="29" fillId="4" borderId="1" xfId="2" applyNumberFormat="1" applyFont="1" applyFill="1" applyBorder="1" applyAlignment="1">
      <alignment vertical="center" wrapText="1"/>
    </xf>
    <xf numFmtId="9" fontId="29" fillId="4" borderId="1" xfId="0" applyNumberFormat="1" applyFont="1" applyFill="1" applyBorder="1" applyAlignment="1">
      <alignment horizontal="center" vertical="center"/>
    </xf>
    <xf numFmtId="0" fontId="29" fillId="4" borderId="3" xfId="0" applyFont="1" applyFill="1" applyBorder="1" applyAlignment="1">
      <alignment horizontal="center" vertical="center"/>
    </xf>
    <xf numFmtId="5" fontId="29" fillId="4" borderId="1" xfId="2" applyNumberFormat="1" applyFont="1" applyFill="1" applyBorder="1" applyAlignment="1">
      <alignment horizontal="right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/>
    </xf>
    <xf numFmtId="168" fontId="31" fillId="4" borderId="1" xfId="0" applyNumberFormat="1" applyFont="1" applyFill="1" applyBorder="1" applyAlignment="1">
      <alignment horizontal="right" vertical="center" wrapText="1"/>
    </xf>
    <xf numFmtId="0" fontId="31" fillId="4" borderId="1" xfId="0" applyFont="1" applyFill="1" applyBorder="1" applyAlignment="1">
      <alignment horizontal="center" vertical="center"/>
    </xf>
    <xf numFmtId="9" fontId="31" fillId="4" borderId="1" xfId="4" applyNumberFormat="1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9" fontId="31" fillId="4" borderId="1" xfId="0" applyNumberFormat="1" applyFont="1" applyFill="1" applyBorder="1" applyAlignment="1">
      <alignment horizontal="center" vertical="center"/>
    </xf>
    <xf numFmtId="0" fontId="28" fillId="4" borderId="6" xfId="0" applyFont="1" applyFill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8" fillId="4" borderId="5" xfId="0" applyFont="1" applyFill="1" applyBorder="1" applyAlignment="1">
      <alignment horizontal="center" vertical="center"/>
    </xf>
    <xf numFmtId="174" fontId="28" fillId="4" borderId="1" xfId="2" applyNumberFormat="1" applyFont="1" applyFill="1" applyBorder="1" applyAlignment="1">
      <alignment horizontal="right" vertical="center"/>
    </xf>
    <xf numFmtId="3" fontId="27" fillId="8" borderId="4" xfId="0" applyNumberFormat="1" applyFont="1" applyFill="1" applyBorder="1" applyAlignment="1">
      <alignment vertical="center"/>
    </xf>
    <xf numFmtId="3" fontId="27" fillId="9" borderId="1" xfId="0" applyNumberFormat="1" applyFont="1" applyFill="1" applyBorder="1" applyAlignment="1">
      <alignment vertical="center"/>
    </xf>
    <xf numFmtId="3" fontId="27" fillId="4" borderId="0" xfId="0" applyNumberFormat="1" applyFont="1" applyFill="1" applyAlignment="1">
      <alignment horizontal="center"/>
    </xf>
    <xf numFmtId="174" fontId="31" fillId="0" borderId="0" xfId="2" applyNumberFormat="1" applyFont="1"/>
    <xf numFmtId="171" fontId="4" fillId="0" borderId="0" xfId="0" applyNumberFormat="1" applyFont="1" applyAlignment="1">
      <alignment vertical="center"/>
    </xf>
    <xf numFmtId="0" fontId="18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justify" vertical="center" wrapText="1"/>
    </xf>
    <xf numFmtId="0" fontId="18" fillId="4" borderId="6" xfId="0" applyFont="1" applyFill="1" applyBorder="1" applyAlignment="1">
      <alignment horizontal="left" vertical="center"/>
    </xf>
    <xf numFmtId="0" fontId="18" fillId="4" borderId="5" xfId="0" applyFont="1" applyFill="1" applyBorder="1" applyAlignment="1">
      <alignment horizontal="left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171" fontId="0" fillId="4" borderId="0" xfId="0" applyNumberFormat="1" applyFill="1"/>
    <xf numFmtId="0" fontId="18" fillId="4" borderId="0" xfId="0" applyFont="1" applyFill="1" applyAlignment="1">
      <alignment horizontal="center" vertical="center"/>
    </xf>
    <xf numFmtId="10" fontId="0" fillId="4" borderId="0" xfId="3" applyNumberFormat="1" applyFont="1" applyFill="1" applyBorder="1"/>
    <xf numFmtId="0" fontId="18" fillId="4" borderId="0" xfId="0" applyFont="1" applyFill="1" applyAlignment="1">
      <alignment horizontal="left" vertical="center"/>
    </xf>
    <xf numFmtId="171" fontId="0" fillId="4" borderId="0" xfId="1" applyNumberFormat="1" applyFont="1" applyFill="1" applyBorder="1"/>
    <xf numFmtId="10" fontId="0" fillId="4" borderId="0" xfId="3" applyNumberFormat="1" applyFont="1" applyFill="1" applyBorder="1" applyAlignment="1">
      <alignment vertical="center"/>
    </xf>
    <xf numFmtId="171" fontId="0" fillId="4" borderId="0" xfId="1" applyNumberFormat="1" applyFont="1" applyFill="1" applyBorder="1" applyAlignment="1">
      <alignment vertical="center"/>
    </xf>
    <xf numFmtId="4" fontId="21" fillId="4" borderId="0" xfId="0" applyNumberFormat="1" applyFont="1" applyFill="1"/>
    <xf numFmtId="172" fontId="14" fillId="6" borderId="1" xfId="0" applyNumberFormat="1" applyFont="1" applyFill="1" applyBorder="1" applyAlignment="1">
      <alignment horizontal="center" vertical="center"/>
    </xf>
    <xf numFmtId="171" fontId="10" fillId="4" borderId="0" xfId="0" applyNumberFormat="1" applyFont="1" applyFill="1" applyAlignment="1">
      <alignment vertical="center"/>
    </xf>
    <xf numFmtId="171" fontId="9" fillId="4" borderId="6" xfId="0" applyNumberFormat="1" applyFont="1" applyFill="1" applyBorder="1" applyAlignment="1">
      <alignment vertical="center"/>
    </xf>
    <xf numFmtId="171" fontId="10" fillId="4" borderId="6" xfId="0" applyNumberFormat="1" applyFont="1" applyFill="1" applyBorder="1" applyAlignment="1">
      <alignment vertical="center"/>
    </xf>
    <xf numFmtId="0" fontId="10" fillId="4" borderId="8" xfId="0" applyFont="1" applyFill="1" applyBorder="1" applyAlignment="1">
      <alignment vertical="center" wrapText="1"/>
    </xf>
    <xf numFmtId="0" fontId="0" fillId="4" borderId="3" xfId="0" applyFill="1" applyBorder="1"/>
    <xf numFmtId="0" fontId="19" fillId="4" borderId="3" xfId="0" applyFont="1" applyFill="1" applyBorder="1" applyAlignment="1">
      <alignment horizontal="center"/>
    </xf>
    <xf numFmtId="171" fontId="9" fillId="4" borderId="3" xfId="0" applyNumberFormat="1" applyFont="1" applyFill="1" applyBorder="1" applyAlignment="1">
      <alignment vertical="center"/>
    </xf>
    <xf numFmtId="171" fontId="10" fillId="4" borderId="3" xfId="0" applyNumberFormat="1" applyFont="1" applyFill="1" applyBorder="1" applyAlignment="1">
      <alignment vertical="center"/>
    </xf>
    <xf numFmtId="0" fontId="10" fillId="4" borderId="3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171" fontId="9" fillId="8" borderId="6" xfId="0" applyNumberFormat="1" applyFont="1" applyFill="1" applyBorder="1" applyAlignment="1">
      <alignment vertical="center"/>
    </xf>
    <xf numFmtId="172" fontId="14" fillId="6" borderId="1" xfId="0" applyNumberFormat="1" applyFont="1" applyFill="1" applyBorder="1" applyAlignment="1">
      <alignment vertical="center"/>
    </xf>
    <xf numFmtId="171" fontId="9" fillId="6" borderId="6" xfId="0" applyNumberFormat="1" applyFont="1" applyFill="1" applyBorder="1" applyAlignment="1">
      <alignment vertical="center"/>
    </xf>
    <xf numFmtId="172" fontId="14" fillId="6" borderId="1" xfId="0" applyNumberFormat="1" applyFont="1" applyFill="1" applyBorder="1" applyAlignment="1">
      <alignment horizontal="right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8" fontId="5" fillId="6" borderId="1" xfId="0" applyNumberFormat="1" applyFont="1" applyFill="1" applyBorder="1" applyAlignment="1">
      <alignment horizontal="right" vertical="center"/>
    </xf>
    <xf numFmtId="171" fontId="10" fillId="6" borderId="1" xfId="0" applyNumberFormat="1" applyFont="1" applyFill="1" applyBorder="1" applyAlignment="1">
      <alignment vertical="center"/>
    </xf>
    <xf numFmtId="171" fontId="0" fillId="6" borderId="1" xfId="1" applyNumberFormat="1" applyFont="1" applyFill="1" applyBorder="1"/>
    <xf numFmtId="172" fontId="9" fillId="6" borderId="1" xfId="0" applyNumberFormat="1" applyFont="1" applyFill="1" applyBorder="1" applyAlignment="1">
      <alignment vertical="center"/>
    </xf>
    <xf numFmtId="172" fontId="9" fillId="6" borderId="1" xfId="0" applyNumberFormat="1" applyFont="1" applyFill="1" applyBorder="1" applyAlignment="1">
      <alignment horizontal="center" vertical="center"/>
    </xf>
    <xf numFmtId="9" fontId="10" fillId="4" borderId="0" xfId="3" applyFont="1" applyFill="1" applyBorder="1" applyAlignment="1">
      <alignment horizontal="center" vertical="center"/>
    </xf>
    <xf numFmtId="171" fontId="10" fillId="6" borderId="6" xfId="0" applyNumberFormat="1" applyFont="1" applyFill="1" applyBorder="1" applyAlignment="1">
      <alignment vertical="center"/>
    </xf>
    <xf numFmtId="171" fontId="10" fillId="6" borderId="0" xfId="0" applyNumberFormat="1" applyFont="1" applyFill="1" applyAlignment="1">
      <alignment vertical="center"/>
    </xf>
    <xf numFmtId="0" fontId="8" fillId="4" borderId="0" xfId="0" applyFont="1" applyFill="1" applyAlignment="1">
      <alignment horizontal="left" vertical="center"/>
    </xf>
    <xf numFmtId="0" fontId="5" fillId="7" borderId="0" xfId="0" applyFont="1" applyFill="1" applyAlignment="1">
      <alignment horizontal="center" vertical="center"/>
    </xf>
    <xf numFmtId="9" fontId="2" fillId="7" borderId="0" xfId="0" applyNumberFormat="1" applyFont="1" applyFill="1" applyAlignment="1">
      <alignment horizontal="center" vertical="center"/>
    </xf>
    <xf numFmtId="8" fontId="2" fillId="7" borderId="0" xfId="0" applyNumberFormat="1" applyFont="1" applyFill="1" applyAlignment="1">
      <alignment horizontal="right" vertical="center"/>
    </xf>
    <xf numFmtId="4" fontId="0" fillId="4" borderId="0" xfId="0" applyNumberFormat="1" applyFill="1"/>
    <xf numFmtId="168" fontId="3" fillId="0" borderId="0" xfId="0" applyNumberFormat="1" applyFont="1" applyAlignment="1">
      <alignment horizontal="right"/>
    </xf>
    <xf numFmtId="170" fontId="3" fillId="0" borderId="0" xfId="0" applyNumberFormat="1" applyFont="1" applyAlignment="1">
      <alignment horizontal="right"/>
    </xf>
    <xf numFmtId="44" fontId="0" fillId="0" borderId="0" xfId="2" applyFont="1"/>
    <xf numFmtId="171" fontId="4" fillId="0" borderId="0" xfId="3" applyNumberFormat="1" applyFont="1" applyAlignment="1">
      <alignment vertical="center"/>
    </xf>
    <xf numFmtId="168" fontId="3" fillId="0" borderId="0" xfId="0" applyNumberFormat="1" applyFont="1" applyAlignment="1">
      <alignment horizontal="right" vertical="center"/>
    </xf>
    <xf numFmtId="44" fontId="3" fillId="0" borderId="0" xfId="2" applyFont="1" applyAlignment="1">
      <alignment horizontal="right"/>
    </xf>
    <xf numFmtId="173" fontId="10" fillId="4" borderId="1" xfId="3" applyNumberFormat="1" applyFont="1" applyFill="1" applyBorder="1" applyAlignment="1">
      <alignment horizontal="center" vertical="center"/>
    </xf>
    <xf numFmtId="0" fontId="21" fillId="4" borderId="0" xfId="0" applyFont="1" applyFill="1"/>
    <xf numFmtId="171" fontId="3" fillId="0" borderId="0" xfId="0" applyNumberFormat="1" applyFont="1" applyAlignment="1">
      <alignment horizontal="center"/>
    </xf>
    <xf numFmtId="9" fontId="5" fillId="7" borderId="1" xfId="0" applyNumberFormat="1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17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horizontal="left" vertical="center"/>
    </xf>
    <xf numFmtId="165" fontId="4" fillId="0" borderId="5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8" fontId="29" fillId="4" borderId="6" xfId="0" applyNumberFormat="1" applyFont="1" applyFill="1" applyBorder="1" applyAlignment="1">
      <alignment horizontal="center" vertical="center" wrapText="1"/>
    </xf>
    <xf numFmtId="168" fontId="29" fillId="4" borderId="5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1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justify" vertical="center" wrapText="1"/>
    </xf>
    <xf numFmtId="0" fontId="18" fillId="4" borderId="1" xfId="0" applyFont="1" applyFill="1" applyBorder="1" applyAlignment="1">
      <alignment horizontal="left" vertical="center"/>
    </xf>
    <xf numFmtId="0" fontId="19" fillId="4" borderId="14" xfId="0" applyFont="1" applyFill="1" applyBorder="1" applyAlignment="1">
      <alignment horizontal="center"/>
    </xf>
    <xf numFmtId="0" fontId="19" fillId="4" borderId="0" xfId="0" applyFont="1" applyFill="1" applyAlignment="1">
      <alignment horizont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4" borderId="14" xfId="0" applyFont="1" applyFill="1" applyBorder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4" xfId="0" applyFont="1" applyFill="1" applyBorder="1" applyAlignment="1">
      <alignment horizontal="justify" vertical="center" wrapText="1"/>
    </xf>
    <xf numFmtId="0" fontId="18" fillId="4" borderId="0" xfId="0" applyFont="1" applyFill="1" applyAlignment="1">
      <alignment horizontal="justify" vertical="center" wrapText="1"/>
    </xf>
    <xf numFmtId="0" fontId="19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/>
    </xf>
    <xf numFmtId="0" fontId="19" fillId="8" borderId="7" xfId="0" applyFont="1" applyFill="1" applyBorder="1" applyAlignment="1">
      <alignment horizontal="center"/>
    </xf>
    <xf numFmtId="0" fontId="19" fillId="8" borderId="5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18" fillId="4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33" fillId="4" borderId="0" xfId="0" applyFont="1" applyFill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44" fontId="0" fillId="4" borderId="12" xfId="2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8" fillId="4" borderId="6" xfId="0" applyFont="1" applyFill="1" applyBorder="1" applyAlignment="1">
      <alignment horizontal="left" vertical="center"/>
    </xf>
    <xf numFmtId="0" fontId="18" fillId="4" borderId="5" xfId="0" applyFont="1" applyFill="1" applyBorder="1" applyAlignment="1">
      <alignment horizontal="left" vertical="center"/>
    </xf>
    <xf numFmtId="0" fontId="18" fillId="4" borderId="6" xfId="0" applyFont="1" applyFill="1" applyBorder="1" applyAlignment="1">
      <alignment horizontal="justify" vertical="center" wrapText="1"/>
    </xf>
    <xf numFmtId="0" fontId="18" fillId="4" borderId="5" xfId="0" applyFont="1" applyFill="1" applyBorder="1" applyAlignment="1">
      <alignment horizontal="justify" vertical="center" wrapText="1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5" fillId="7" borderId="6" xfId="0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6" xfId="0" applyFont="1" applyFill="1" applyBorder="1" applyAlignment="1">
      <alignment horizontal="justify" vertical="center" wrapText="1"/>
    </xf>
    <xf numFmtId="0" fontId="5" fillId="7" borderId="5" xfId="0" applyFont="1" applyFill="1" applyBorder="1" applyAlignment="1">
      <alignment horizontal="justify" vertical="center" wrapText="1"/>
    </xf>
    <xf numFmtId="0" fontId="5" fillId="7" borderId="6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/>
    </xf>
    <xf numFmtId="0" fontId="19" fillId="8" borderId="6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/>
    </xf>
    <xf numFmtId="0" fontId="19" fillId="6" borderId="7" xfId="0" applyFont="1" applyFill="1" applyBorder="1" applyAlignment="1">
      <alignment horizontal="center"/>
    </xf>
    <xf numFmtId="0" fontId="19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/>
    </xf>
    <xf numFmtId="0" fontId="19" fillId="4" borderId="7" xfId="0" applyFont="1" applyFill="1" applyBorder="1" applyAlignment="1">
      <alignment horizontal="center"/>
    </xf>
    <xf numFmtId="0" fontId="19" fillId="4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 vertical="center" wrapText="1"/>
    </xf>
  </cellXfs>
  <cellStyles count="5">
    <cellStyle name="Moneda" xfId="2" builtinId="4"/>
    <cellStyle name="Moneda [0]" xfId="1" builtinId="7"/>
    <cellStyle name="Normal" xfId="0" builtinId="0"/>
    <cellStyle name="Normal 9" xfId="4" xr:uid="{4F9B3410-0AA1-470C-BC71-3F23C15C0ABD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5"/>
  <sheetViews>
    <sheetView tabSelected="1" topLeftCell="C5" zoomScale="130" zoomScaleNormal="130" workbookViewId="0">
      <selection activeCell="H6" sqref="H6"/>
    </sheetView>
  </sheetViews>
  <sheetFormatPr baseColWidth="10" defaultRowHeight="15" x14ac:dyDescent="0.25"/>
  <cols>
    <col min="1" max="1" width="19.7109375" customWidth="1"/>
    <col min="2" max="2" width="24.42578125" customWidth="1"/>
    <col min="3" max="3" width="27.85546875" customWidth="1"/>
    <col min="4" max="4" width="25.7109375" customWidth="1"/>
    <col min="5" max="5" width="17.42578125" customWidth="1"/>
    <col min="6" max="6" width="22" customWidth="1"/>
    <col min="7" max="7" width="19.140625" customWidth="1"/>
    <col min="8" max="8" width="18.28515625" customWidth="1"/>
    <col min="9" max="9" width="18.42578125" bestFit="1" customWidth="1"/>
    <col min="10" max="10" width="21.140625" customWidth="1"/>
    <col min="11" max="11" width="27.5703125" bestFit="1" customWidth="1"/>
  </cols>
  <sheetData>
    <row r="1" spans="1:11" ht="16.5" x14ac:dyDescent="0.3">
      <c r="A1" s="257" t="s">
        <v>113</v>
      </c>
      <c r="B1" s="257"/>
      <c r="C1" s="257"/>
      <c r="D1" s="257"/>
      <c r="E1" s="257"/>
      <c r="F1" s="257"/>
      <c r="G1" s="257"/>
      <c r="H1" s="257"/>
      <c r="I1" s="257"/>
    </row>
    <row r="2" spans="1:11" ht="16.5" x14ac:dyDescent="0.3">
      <c r="A2" s="30"/>
      <c r="B2" s="30"/>
      <c r="C2" s="30"/>
      <c r="D2" s="30"/>
      <c r="E2" s="30"/>
      <c r="F2" s="30"/>
      <c r="G2" s="30"/>
      <c r="H2" s="30"/>
      <c r="I2" s="30"/>
    </row>
    <row r="3" spans="1:11" ht="16.5" x14ac:dyDescent="0.3">
      <c r="A3" s="30"/>
      <c r="B3" s="30"/>
      <c r="C3" s="30"/>
      <c r="D3" s="30"/>
      <c r="E3" s="30"/>
      <c r="F3" s="30"/>
      <c r="G3" s="30"/>
      <c r="H3" s="30"/>
      <c r="I3" s="30"/>
    </row>
    <row r="4" spans="1:11" ht="16.5" x14ac:dyDescent="0.3">
      <c r="A4" s="3"/>
      <c r="B4" s="17"/>
      <c r="C4" s="258" t="s">
        <v>55</v>
      </c>
      <c r="D4" s="258"/>
      <c r="E4" s="258"/>
      <c r="F4" s="258"/>
      <c r="G4" s="30"/>
      <c r="H4" s="30"/>
      <c r="I4" s="30"/>
    </row>
    <row r="5" spans="1:11" ht="33" x14ac:dyDescent="0.3">
      <c r="A5" s="3"/>
      <c r="B5" s="3"/>
      <c r="C5" s="259" t="s">
        <v>44</v>
      </c>
      <c r="D5" s="260"/>
      <c r="E5" s="261"/>
      <c r="F5" s="41" t="s">
        <v>45</v>
      </c>
      <c r="G5" s="30"/>
      <c r="H5" s="27"/>
      <c r="I5" s="30"/>
    </row>
    <row r="6" spans="1:11" ht="16.5" x14ac:dyDescent="0.3">
      <c r="A6" s="3"/>
      <c r="B6" s="3"/>
      <c r="C6" s="262"/>
      <c r="D6" s="263"/>
      <c r="E6" s="264"/>
      <c r="F6" s="44">
        <v>2026</v>
      </c>
      <c r="G6" s="30"/>
      <c r="H6" s="30"/>
      <c r="I6" s="30"/>
      <c r="J6" s="233"/>
    </row>
    <row r="7" spans="1:11" ht="16.5" x14ac:dyDescent="0.3">
      <c r="A7" s="3"/>
      <c r="B7" s="3"/>
      <c r="C7" s="276" t="s">
        <v>46</v>
      </c>
      <c r="D7" s="277"/>
      <c r="E7" s="278"/>
      <c r="F7" s="2"/>
      <c r="G7" s="30"/>
      <c r="H7" s="30"/>
      <c r="I7" s="236"/>
      <c r="J7" s="233"/>
    </row>
    <row r="8" spans="1:11" ht="16.5" x14ac:dyDescent="0.3">
      <c r="A8" s="3"/>
      <c r="B8" s="3"/>
      <c r="C8" s="276" t="s">
        <v>74</v>
      </c>
      <c r="D8" s="277"/>
      <c r="E8" s="278"/>
      <c r="F8" s="119">
        <v>10241795267</v>
      </c>
      <c r="G8" s="7"/>
      <c r="H8" s="231">
        <v>57628337414</v>
      </c>
      <c r="I8" s="235"/>
      <c r="J8" s="233"/>
    </row>
    <row r="9" spans="1:11" ht="16.5" x14ac:dyDescent="0.3">
      <c r="A9" s="3"/>
      <c r="B9" s="3"/>
      <c r="C9" s="276" t="s">
        <v>75</v>
      </c>
      <c r="D9" s="277"/>
      <c r="E9" s="278"/>
      <c r="F9" s="16">
        <v>97109511768</v>
      </c>
      <c r="G9" s="7"/>
      <c r="H9" s="232">
        <f>G16-H8</f>
        <v>49722969621</v>
      </c>
      <c r="I9" s="30"/>
      <c r="J9" s="233"/>
    </row>
    <row r="10" spans="1:11" ht="16.5" x14ac:dyDescent="0.3">
      <c r="A10" s="3"/>
      <c r="B10" s="3"/>
      <c r="C10" s="276" t="s">
        <v>47</v>
      </c>
      <c r="D10" s="277"/>
      <c r="E10" s="278"/>
      <c r="F10" s="2"/>
      <c r="G10" s="30"/>
      <c r="H10" s="30"/>
      <c r="I10" s="30"/>
      <c r="J10" s="233"/>
    </row>
    <row r="11" spans="1:11" ht="16.5" x14ac:dyDescent="0.3">
      <c r="A11" s="3"/>
      <c r="B11" s="3"/>
      <c r="C11" s="276" t="s">
        <v>51</v>
      </c>
      <c r="D11" s="277"/>
      <c r="E11" s="278"/>
      <c r="F11" s="106">
        <f>SUM(F8:F10)</f>
        <v>107351307035</v>
      </c>
      <c r="G11" s="30"/>
      <c r="H11" s="167" t="s">
        <v>256</v>
      </c>
      <c r="I11" s="239"/>
    </row>
    <row r="13" spans="1:11" ht="16.5" x14ac:dyDescent="0.3">
      <c r="H13" s="232"/>
    </row>
    <row r="14" spans="1:11" ht="16.5" x14ac:dyDescent="0.3">
      <c r="A14" s="257" t="s">
        <v>143</v>
      </c>
      <c r="B14" s="257"/>
      <c r="C14" s="257"/>
      <c r="D14" s="257"/>
      <c r="E14" s="257"/>
      <c r="F14" s="257"/>
      <c r="G14" s="257"/>
      <c r="H14" s="45"/>
      <c r="I14" s="45"/>
    </row>
    <row r="15" spans="1:11" ht="16.5" x14ac:dyDescent="0.3">
      <c r="A15" s="41" t="s">
        <v>76</v>
      </c>
      <c r="B15" s="265" t="s">
        <v>142</v>
      </c>
      <c r="C15" s="266"/>
      <c r="D15" s="266"/>
      <c r="E15" s="266"/>
      <c r="F15" s="42" t="s">
        <v>42</v>
      </c>
      <c r="G15" s="42" t="s">
        <v>43</v>
      </c>
      <c r="H15" s="40"/>
      <c r="I15" s="3"/>
    </row>
    <row r="16" spans="1:11" ht="27.75" customHeight="1" x14ac:dyDescent="0.25">
      <c r="A16" s="18" t="s">
        <v>77</v>
      </c>
      <c r="B16" s="267" t="s">
        <v>283</v>
      </c>
      <c r="C16" s="268"/>
      <c r="D16" s="268"/>
      <c r="E16" s="269"/>
      <c r="F16" s="19">
        <f>'1,1COMPLPORZONA'!W137</f>
        <v>100730477535</v>
      </c>
      <c r="G16" s="270">
        <f>SUM(F16:F19)</f>
        <v>107351307035</v>
      </c>
      <c r="H16" s="20"/>
      <c r="I16" s="234"/>
      <c r="J16" s="53"/>
      <c r="K16" s="53"/>
    </row>
    <row r="17" spans="1:10" ht="16.5" x14ac:dyDescent="0.3">
      <c r="A17" s="18" t="s">
        <v>78</v>
      </c>
      <c r="B17" s="267" t="s">
        <v>284</v>
      </c>
      <c r="C17" s="268"/>
      <c r="D17" s="268"/>
      <c r="E17" s="269"/>
      <c r="F17" s="19">
        <f>E49</f>
        <v>4785706400</v>
      </c>
      <c r="G17" s="270"/>
      <c r="H17" s="20"/>
      <c r="I17" s="122"/>
    </row>
    <row r="18" spans="1:10" ht="16.5" x14ac:dyDescent="0.3">
      <c r="A18" s="18" t="s">
        <v>78</v>
      </c>
      <c r="B18" s="271" t="s">
        <v>285</v>
      </c>
      <c r="C18" s="271"/>
      <c r="D18" s="272" t="s">
        <v>144</v>
      </c>
      <c r="E18" s="273"/>
      <c r="F18" s="19">
        <f>F194</f>
        <v>1489152000</v>
      </c>
      <c r="G18" s="270"/>
      <c r="H18" s="20"/>
      <c r="I18" s="3"/>
    </row>
    <row r="19" spans="1:10" ht="16.5" x14ac:dyDescent="0.3">
      <c r="A19" s="18" t="s">
        <v>78</v>
      </c>
      <c r="B19" s="271"/>
      <c r="C19" s="271"/>
      <c r="D19" s="274" t="s">
        <v>251</v>
      </c>
      <c r="E19" s="275"/>
      <c r="F19" s="19">
        <f>'1.3 SEGUMIENTO MyC'!L65</f>
        <v>345971100</v>
      </c>
      <c r="G19" s="270"/>
      <c r="H19" s="20"/>
      <c r="I19" s="4">
        <f>SUM(F18:F19)</f>
        <v>1835123100</v>
      </c>
      <c r="J19" s="120">
        <f>I19/12</f>
        <v>152926925</v>
      </c>
    </row>
    <row r="20" spans="1:10" x14ac:dyDescent="0.25">
      <c r="F20" s="53"/>
    </row>
    <row r="21" spans="1:10" ht="16.5" x14ac:dyDescent="0.3">
      <c r="A21" s="284" t="s">
        <v>71</v>
      </c>
      <c r="B21" s="284"/>
      <c r="C21" s="284"/>
      <c r="D21" s="284"/>
      <c r="E21" s="284"/>
      <c r="F21" s="284"/>
      <c r="G21" s="284"/>
    </row>
    <row r="22" spans="1:10" ht="16.5" x14ac:dyDescent="0.25">
      <c r="A22" s="43" t="s">
        <v>59</v>
      </c>
      <c r="B22" s="43" t="s">
        <v>60</v>
      </c>
      <c r="C22" s="43" t="s">
        <v>56</v>
      </c>
      <c r="D22" s="43" t="s">
        <v>39</v>
      </c>
      <c r="E22" s="43" t="s">
        <v>41</v>
      </c>
      <c r="F22" s="43" t="s">
        <v>81</v>
      </c>
      <c r="G22" s="43" t="s">
        <v>95</v>
      </c>
    </row>
    <row r="23" spans="1:10" ht="16.5" x14ac:dyDescent="0.25">
      <c r="A23" s="248" t="s">
        <v>69</v>
      </c>
      <c r="B23" s="11" t="s">
        <v>58</v>
      </c>
      <c r="C23" s="11" t="s">
        <v>106</v>
      </c>
      <c r="D23" s="74">
        <v>17963</v>
      </c>
      <c r="E23" s="79">
        <f>'1,1COMPLPORZONA'!Q137</f>
        <v>129</v>
      </c>
      <c r="F23" s="80">
        <f>'1,1COMPLPORZONA'!W21+'1,1COMPLPORZONA'!W35+'1,1COMPLPORZONA'!W36+'1,1COMPLPORZONA'!W67+'1,1COMPLPORZONA'!W68+'1,1COMPLPORZONA'!W84+'1,1COMPLPORZONA'!W109+'1,1COMPLPORZONA'!W115</f>
        <v>9467200608</v>
      </c>
      <c r="G23" s="15">
        <f>D23*E23</f>
        <v>2317227</v>
      </c>
    </row>
    <row r="24" spans="1:10" ht="16.5" x14ac:dyDescent="0.25">
      <c r="A24" s="249"/>
      <c r="B24" s="11" t="s">
        <v>58</v>
      </c>
      <c r="C24" s="11" t="s">
        <v>89</v>
      </c>
      <c r="D24" s="74">
        <v>2600</v>
      </c>
      <c r="E24" s="79">
        <f>$E$23</f>
        <v>129</v>
      </c>
      <c r="F24" s="80">
        <f>'1,1COMPLPORZONA'!W22+'1,1COMPLPORZONA'!W37+'1,1COMPLPORZONA'!W69+'1,1COMPLPORZONA'!W85+'1,1COMPLPORZONA'!W110+'1,1COMPLPORZONA'!W116</f>
        <v>2029090020</v>
      </c>
      <c r="G24" s="15">
        <f t="shared" ref="G24:G44" si="0">D24*E24</f>
        <v>335400</v>
      </c>
    </row>
    <row r="25" spans="1:10" ht="16.5" x14ac:dyDescent="0.25">
      <c r="A25" s="249"/>
      <c r="B25" s="11" t="s">
        <v>61</v>
      </c>
      <c r="C25" s="31" t="s">
        <v>91</v>
      </c>
      <c r="D25" s="74">
        <v>9351</v>
      </c>
      <c r="E25" s="79">
        <f t="shared" ref="E25:E44" si="1">$E$23</f>
        <v>129</v>
      </c>
      <c r="F25" s="80">
        <f>'1,1COMPLPORZONA'!W38+'1,1COMPLPORZONA'!W70+'1,1COMPLPORZONA'!W71+'1,1COMPLPORZONA'!W72+'1,1COMPLPORZONA'!W73+'1,1COMPLPORZONA'!W77+'1,1COMPLPORZONA'!W86+'1,1COMPLPORZONA'!W111+'1,1COMPLPORZONA'!W112+'1,1COMPLPORZONA'!W113+'1,1COMPLPORZONA'!W117</f>
        <v>7561326099</v>
      </c>
      <c r="G25" s="15">
        <f t="shared" si="0"/>
        <v>1206279</v>
      </c>
    </row>
    <row r="26" spans="1:10" ht="16.5" x14ac:dyDescent="0.25">
      <c r="A26" s="250"/>
      <c r="B26" s="11" t="s">
        <v>61</v>
      </c>
      <c r="C26" s="11" t="s">
        <v>89</v>
      </c>
      <c r="D26" s="74">
        <v>426</v>
      </c>
      <c r="E26" s="79">
        <f t="shared" si="1"/>
        <v>129</v>
      </c>
      <c r="F26" s="80">
        <f>'1,1COMPLPORZONA'!W114</f>
        <v>319227786</v>
      </c>
      <c r="G26" s="15">
        <f t="shared" si="0"/>
        <v>54954</v>
      </c>
    </row>
    <row r="27" spans="1:10" ht="16.5" x14ac:dyDescent="0.25">
      <c r="A27" s="248" t="s">
        <v>57</v>
      </c>
      <c r="B27" s="11" t="s">
        <v>58</v>
      </c>
      <c r="C27" s="11" t="s">
        <v>106</v>
      </c>
      <c r="D27" s="74">
        <v>6158</v>
      </c>
      <c r="E27" s="79">
        <f t="shared" si="1"/>
        <v>129</v>
      </c>
      <c r="F27" s="80">
        <f>'1,1COMPLPORZONA'!W41+'1,1COMPLPORZONA'!W42+'1,1COMPLPORZONA'!W56+'1,1COMPLPORZONA'!W57+'1,1COMPLPORZONA'!W126</f>
        <v>3780413886</v>
      </c>
      <c r="G27" s="15">
        <f t="shared" si="0"/>
        <v>794382</v>
      </c>
    </row>
    <row r="28" spans="1:10" ht="16.5" x14ac:dyDescent="0.25">
      <c r="A28" s="249"/>
      <c r="B28" s="11" t="s">
        <v>58</v>
      </c>
      <c r="C28" s="11" t="s">
        <v>89</v>
      </c>
      <c r="D28" s="74">
        <v>2924</v>
      </c>
      <c r="E28" s="79">
        <f t="shared" si="1"/>
        <v>129</v>
      </c>
      <c r="F28" s="80">
        <f>'1,1COMPLPORZONA'!W43+'1,1COMPLPORZONA'!W127</f>
        <v>2294792481</v>
      </c>
      <c r="G28" s="15">
        <f t="shared" si="0"/>
        <v>377196</v>
      </c>
    </row>
    <row r="29" spans="1:10" ht="16.5" x14ac:dyDescent="0.25">
      <c r="A29" s="250"/>
      <c r="B29" s="11" t="s">
        <v>61</v>
      </c>
      <c r="C29" s="31" t="s">
        <v>91</v>
      </c>
      <c r="D29" s="74">
        <v>2210</v>
      </c>
      <c r="E29" s="79">
        <f t="shared" si="1"/>
        <v>129</v>
      </c>
      <c r="F29" s="80">
        <f>'1,1COMPLPORZONA'!W58+'1,1COMPLPORZONA'!W128+'1,1COMPLPORZONA'!W129</f>
        <v>1637271870</v>
      </c>
      <c r="G29" s="15">
        <f t="shared" si="0"/>
        <v>285090</v>
      </c>
    </row>
    <row r="30" spans="1:10" ht="16.5" x14ac:dyDescent="0.25">
      <c r="A30" s="248" t="s">
        <v>66</v>
      </c>
      <c r="B30" s="11" t="s">
        <v>58</v>
      </c>
      <c r="C30" s="11" t="s">
        <v>106</v>
      </c>
      <c r="D30" s="74">
        <v>9805</v>
      </c>
      <c r="E30" s="79">
        <f t="shared" si="1"/>
        <v>129</v>
      </c>
      <c r="F30" s="12">
        <f>'1,1COMPLPORZONA'!W4+'1,1COMPLPORZONA'!W47+'1,1COMPLPORZONA'!W50+'1,1COMPLPORZONA'!W51+'1,1COMPLPORZONA'!W81+'1,1COMPLPORZONA'!W93+'1,1COMPLPORZONA'!W95+'1,1COMPLPORZONA'!W99+'1,1COMPLPORZONA'!W123</f>
        <v>5818461150</v>
      </c>
      <c r="G30" s="15">
        <f t="shared" si="0"/>
        <v>1264845</v>
      </c>
    </row>
    <row r="31" spans="1:10" ht="16.5" x14ac:dyDescent="0.25">
      <c r="A31" s="249"/>
      <c r="B31" s="11" t="s">
        <v>58</v>
      </c>
      <c r="C31" s="11" t="s">
        <v>89</v>
      </c>
      <c r="D31" s="74">
        <v>2305</v>
      </c>
      <c r="E31" s="79">
        <f t="shared" si="1"/>
        <v>129</v>
      </c>
      <c r="F31" s="12">
        <f>'1,1COMPLPORZONA'!W5+'1,1COMPLPORZONA'!W48+'1,1COMPLPORZONA'!W52+'1,1COMPLPORZONA'!W82+'1,1COMPLPORZONA'!W94+'1,1COMPLPORZONA'!W96+'1,1COMPLPORZONA'!W100+'1,1COMPLPORZONA'!W124</f>
        <v>1790600109</v>
      </c>
      <c r="G31" s="15">
        <f t="shared" si="0"/>
        <v>297345</v>
      </c>
    </row>
    <row r="32" spans="1:10" ht="16.5" x14ac:dyDescent="0.25">
      <c r="A32" s="249"/>
      <c r="B32" s="11" t="s">
        <v>61</v>
      </c>
      <c r="C32" s="31" t="s">
        <v>91</v>
      </c>
      <c r="D32" s="74">
        <v>1625</v>
      </c>
      <c r="E32" s="79">
        <f t="shared" si="1"/>
        <v>129</v>
      </c>
      <c r="F32" s="12">
        <f>'1,1COMPLPORZONA'!W6+'1,1COMPLPORZONA'!W49+'1,1COMPLPORZONA'!W53+'1,1COMPLPORZONA'!W83+'1,1COMPLPORZONA'!W97+'1,1COMPLPORZONA'!W101+'1,1COMPLPORZONA'!W125</f>
        <v>1139230347</v>
      </c>
      <c r="G32" s="15">
        <f t="shared" si="0"/>
        <v>209625</v>
      </c>
    </row>
    <row r="33" spans="1:9" ht="16.5" x14ac:dyDescent="0.25">
      <c r="A33" s="250"/>
      <c r="B33" s="11" t="s">
        <v>61</v>
      </c>
      <c r="C33" s="11" t="s">
        <v>89</v>
      </c>
      <c r="D33" s="74">
        <v>544</v>
      </c>
      <c r="E33" s="79">
        <f t="shared" si="1"/>
        <v>129</v>
      </c>
      <c r="F33" s="12">
        <f>'1,1COMPLPORZONA'!W54+'1,1COMPLPORZONA'!W55+'1,1COMPLPORZONA'!W98</f>
        <v>513343245</v>
      </c>
      <c r="G33" s="15">
        <f t="shared" si="0"/>
        <v>70176</v>
      </c>
    </row>
    <row r="34" spans="1:9" ht="16.5" x14ac:dyDescent="0.25">
      <c r="A34" s="248" t="s">
        <v>68</v>
      </c>
      <c r="B34" s="11" t="s">
        <v>58</v>
      </c>
      <c r="C34" s="11" t="s">
        <v>106</v>
      </c>
      <c r="D34" s="74">
        <v>21590</v>
      </c>
      <c r="E34" s="79">
        <f t="shared" si="1"/>
        <v>129</v>
      </c>
      <c r="F34" s="12">
        <f>'1,1COMPLPORZONA'!W16+'1,1COMPLPORZONA'!W23+'1,1COMPLPORZONA'!W28+'1,1COMPLPORZONA'!W31+'1,1COMPLPORZONA'!W32+'1,1COMPLPORZONA'!W61+'1,1COMPLPORZONA'!W102+'1,1COMPLPORZONA'!W103+'1,1COMPLPORZONA'!W118</f>
        <v>10362482796</v>
      </c>
      <c r="G34" s="15">
        <f t="shared" si="0"/>
        <v>2785110</v>
      </c>
    </row>
    <row r="35" spans="1:9" ht="16.5" x14ac:dyDescent="0.25">
      <c r="A35" s="249"/>
      <c r="B35" s="11" t="s">
        <v>58</v>
      </c>
      <c r="C35" s="11" t="s">
        <v>89</v>
      </c>
      <c r="D35" s="74">
        <v>3749</v>
      </c>
      <c r="E35" s="79">
        <f t="shared" si="1"/>
        <v>129</v>
      </c>
      <c r="F35" s="12">
        <f>'1,1COMPLPORZONA'!W17+'1,1COMPLPORZONA'!W24+'1,1COMPLPORZONA'!W29+'1,1COMPLPORZONA'!W33+'1,1COMPLPORZONA'!W62+'1,1COMPLPORZONA'!W104+'1,1COMPLPORZONA'!W119</f>
        <v>2708269473</v>
      </c>
      <c r="G35" s="15">
        <f t="shared" si="0"/>
        <v>483621</v>
      </c>
    </row>
    <row r="36" spans="1:9" ht="16.5" x14ac:dyDescent="0.25">
      <c r="A36" s="249"/>
      <c r="B36" s="11" t="s">
        <v>192</v>
      </c>
      <c r="C36" s="31" t="s">
        <v>91</v>
      </c>
      <c r="D36" s="74">
        <v>11244</v>
      </c>
      <c r="E36" s="79">
        <f t="shared" si="1"/>
        <v>129</v>
      </c>
      <c r="F36" s="12">
        <f>'1,1COMPLPORZONA'!W40+'1,1COMPLPORZONA'!W63+'1,1COMPLPORZONA'!W74+'1,1COMPLPORZONA'!W88+'1,1COMPLPORZONA'!W135</f>
        <v>5505718968</v>
      </c>
      <c r="G36" s="15">
        <f t="shared" si="0"/>
        <v>1450476</v>
      </c>
    </row>
    <row r="37" spans="1:9" ht="16.5" x14ac:dyDescent="0.25">
      <c r="A37" s="249"/>
      <c r="B37" s="11" t="s">
        <v>192</v>
      </c>
      <c r="C37" s="11" t="s">
        <v>89</v>
      </c>
      <c r="D37" s="74">
        <v>969</v>
      </c>
      <c r="E37" s="79">
        <f t="shared" si="1"/>
        <v>129</v>
      </c>
      <c r="F37" s="12">
        <f>'1,1COMPLPORZONA'!W64+'1,1COMPLPORZONA'!W75+'1,1COMPLPORZONA'!W89+'1,1COMPLPORZONA'!W136</f>
        <v>740744445</v>
      </c>
      <c r="G37" s="15">
        <f t="shared" si="0"/>
        <v>125001</v>
      </c>
    </row>
    <row r="38" spans="1:9" ht="16.5" x14ac:dyDescent="0.25">
      <c r="A38" s="249"/>
      <c r="B38" s="11" t="s">
        <v>61</v>
      </c>
      <c r="C38" s="31" t="s">
        <v>91</v>
      </c>
      <c r="D38" s="74">
        <v>22174</v>
      </c>
      <c r="E38" s="79">
        <f t="shared" si="1"/>
        <v>129</v>
      </c>
      <c r="F38" s="12">
        <f>'1,1COMPLPORZONA'!W18+'1,1COMPLPORZONA'!W19+'1,1COMPLPORZONA'!W20+'1,1COMPLPORZONA'!W25+'1,1COMPLPORZONA'!W26+'1,1COMPLPORZONA'!W27+'1,1COMPLPORZONA'!W30+'1,1COMPLPORZONA'!W34+'1,1COMPLPORZONA'!W65+'1,1COMPLPORZONA'!W87+'1,1COMPLPORZONA'!W105+'1,1COMPLPORZONA'!W106+'1,1COMPLPORZONA'!W107+'1,1COMPLPORZONA'!W108+'1,1COMPLPORZONA'!W120+'1,1COMPLPORZONA'!W130</f>
        <v>15898059201</v>
      </c>
      <c r="G38" s="15">
        <f t="shared" si="0"/>
        <v>2860446</v>
      </c>
    </row>
    <row r="39" spans="1:9" ht="16.5" x14ac:dyDescent="0.25">
      <c r="A39" s="250"/>
      <c r="B39" s="11" t="s">
        <v>61</v>
      </c>
      <c r="C39" s="11" t="s">
        <v>89</v>
      </c>
      <c r="D39" s="74">
        <v>66</v>
      </c>
      <c r="E39" s="79">
        <f t="shared" si="1"/>
        <v>129</v>
      </c>
      <c r="F39" s="12">
        <f>'1,1COMPLPORZONA'!W66</f>
        <v>49738788</v>
      </c>
      <c r="G39" s="15">
        <f t="shared" si="0"/>
        <v>8514</v>
      </c>
    </row>
    <row r="40" spans="1:9" ht="16.5" x14ac:dyDescent="0.25">
      <c r="A40" s="248" t="s">
        <v>70</v>
      </c>
      <c r="B40" s="11" t="s">
        <v>61</v>
      </c>
      <c r="C40" s="31" t="s">
        <v>91</v>
      </c>
      <c r="D40" s="74">
        <v>23587</v>
      </c>
      <c r="E40" s="79">
        <f t="shared" si="1"/>
        <v>129</v>
      </c>
      <c r="F40" s="12">
        <f>'1,1COMPLPORZONA'!W44+'1,1COMPLPORZONA'!W46+'1,1COMPLPORZONA'!W76+'1,1COMPLPORZONA'!W90+'1,1COMPLPORZONA'!W92+'1,1COMPLPORZONA'!W131+'1,1COMPLPORZONA'!W132+'1,1COMPLPORZONA'!W134</f>
        <v>15029725371</v>
      </c>
      <c r="G40" s="15">
        <f t="shared" si="0"/>
        <v>3042723</v>
      </c>
    </row>
    <row r="41" spans="1:9" ht="16.5" x14ac:dyDescent="0.25">
      <c r="A41" s="250"/>
      <c r="B41" s="11" t="s">
        <v>61</v>
      </c>
      <c r="C41" s="11" t="s">
        <v>89</v>
      </c>
      <c r="D41" s="74">
        <v>2077</v>
      </c>
      <c r="E41" s="79">
        <f t="shared" si="1"/>
        <v>129</v>
      </c>
      <c r="F41" s="12">
        <f>'1,1COMPLPORZONA'!W45+'1,1COMPLPORZONA'!W78+'1,1COMPLPORZONA'!W91+'1,1COMPLPORZONA'!W133</f>
        <v>1565912037</v>
      </c>
      <c r="G41" s="15">
        <f t="shared" si="0"/>
        <v>267933</v>
      </c>
    </row>
    <row r="42" spans="1:9" ht="16.5" x14ac:dyDescent="0.25">
      <c r="A42" s="248" t="s">
        <v>67</v>
      </c>
      <c r="B42" s="11" t="s">
        <v>58</v>
      </c>
      <c r="C42" s="11" t="s">
        <v>106</v>
      </c>
      <c r="D42" s="74">
        <v>17228</v>
      </c>
      <c r="E42" s="79">
        <f t="shared" si="1"/>
        <v>129</v>
      </c>
      <c r="F42" s="12">
        <f>'1,1COMPLPORZONA'!W7+'1,1COMPLPORZONA'!W9+'1,1COMPLPORZONA'!W10+'1,1COMPLPORZONA'!W12+'1,1COMPLPORZONA'!W14+'1,1COMPLPORZONA'!W39+'1,1COMPLPORZONA'!W59+'1,1COMPLPORZONA'!W79+'1,1COMPLPORZONA'!W121</f>
        <v>9916953303</v>
      </c>
      <c r="G42" s="15">
        <f t="shared" si="0"/>
        <v>2222412</v>
      </c>
    </row>
    <row r="43" spans="1:9" ht="16.5" x14ac:dyDescent="0.25">
      <c r="A43" s="249"/>
      <c r="B43" s="11" t="s">
        <v>58</v>
      </c>
      <c r="C43" s="11" t="s">
        <v>89</v>
      </c>
      <c r="D43" s="74">
        <v>3191</v>
      </c>
      <c r="E43" s="79">
        <f t="shared" si="1"/>
        <v>129</v>
      </c>
      <c r="F43" s="12">
        <f>'1,1COMPLPORZONA'!W8+'1,1COMPLPORZONA'!W11+'1,1COMPLPORZONA'!W13+'1,1COMPLPORZONA'!W60+'1,1COMPLPORZONA'!W80+'1,1COMPLPORZONA'!W122</f>
        <v>2375059377</v>
      </c>
      <c r="G43" s="15">
        <f t="shared" si="0"/>
        <v>411639</v>
      </c>
    </row>
    <row r="44" spans="1:9" ht="16.5" x14ac:dyDescent="0.25">
      <c r="A44" s="249"/>
      <c r="B44" s="11" t="s">
        <v>61</v>
      </c>
      <c r="C44" s="31" t="s">
        <v>91</v>
      </c>
      <c r="D44" s="74">
        <v>325</v>
      </c>
      <c r="E44" s="79">
        <f t="shared" si="1"/>
        <v>129</v>
      </c>
      <c r="F44" s="12">
        <f>'1,1COMPLPORZONA'!W15</f>
        <v>226856175</v>
      </c>
      <c r="G44" s="15">
        <f t="shared" si="0"/>
        <v>41925</v>
      </c>
    </row>
    <row r="45" spans="1:9" ht="16.5" x14ac:dyDescent="0.25">
      <c r="A45" s="11"/>
      <c r="B45" s="11"/>
      <c r="C45" s="11"/>
      <c r="D45" s="46">
        <f>SUM(D23:D44)</f>
        <v>162111</v>
      </c>
      <c r="E45" s="79">
        <f>E23</f>
        <v>129</v>
      </c>
      <c r="F45" s="47">
        <f>SUM(F23:F44)</f>
        <v>100730477535</v>
      </c>
      <c r="G45" s="48">
        <f>SUM(G23:G44)</f>
        <v>20912319</v>
      </c>
      <c r="H45" s="82"/>
      <c r="I45" s="82"/>
    </row>
    <row r="46" spans="1:9" ht="16.5" x14ac:dyDescent="0.25">
      <c r="C46" s="84"/>
      <c r="D46" s="83"/>
      <c r="H46" s="82"/>
    </row>
    <row r="47" spans="1:9" ht="15.75" x14ac:dyDescent="0.25">
      <c r="A47" s="290" t="s">
        <v>109</v>
      </c>
      <c r="B47" s="290"/>
      <c r="C47" s="290"/>
      <c r="D47" s="290"/>
      <c r="E47" s="290"/>
      <c r="F47" s="290"/>
      <c r="G47" s="290"/>
      <c r="H47" s="120"/>
      <c r="I47" s="120"/>
    </row>
    <row r="48" spans="1:9" ht="16.5" x14ac:dyDescent="0.25">
      <c r="C48" s="10" t="s">
        <v>110</v>
      </c>
      <c r="D48" s="10" t="s">
        <v>111</v>
      </c>
      <c r="E48" s="10" t="s">
        <v>112</v>
      </c>
    </row>
    <row r="49" spans="1:7" ht="16.5" x14ac:dyDescent="0.25">
      <c r="C49" s="23">
        <v>36644</v>
      </c>
      <c r="D49" s="52">
        <v>130600</v>
      </c>
      <c r="E49" s="52">
        <f>D49*C49</f>
        <v>4785706400</v>
      </c>
    </row>
    <row r="51" spans="1:7" ht="15.75" customHeight="1" x14ac:dyDescent="0.25">
      <c r="A51" s="242" t="s">
        <v>215</v>
      </c>
      <c r="B51" s="242"/>
      <c r="C51" s="242"/>
      <c r="D51" s="242"/>
      <c r="E51" s="242"/>
      <c r="F51" s="242"/>
      <c r="G51" s="242"/>
    </row>
    <row r="52" spans="1:7" ht="15" customHeight="1" x14ac:dyDescent="0.25">
      <c r="A52" s="254" t="s">
        <v>59</v>
      </c>
      <c r="B52" s="255" t="s">
        <v>0</v>
      </c>
      <c r="C52" s="243" t="s">
        <v>60</v>
      </c>
      <c r="D52" s="244" t="s">
        <v>79</v>
      </c>
      <c r="E52" s="289" t="s">
        <v>96</v>
      </c>
      <c r="F52" s="286" t="s">
        <v>107</v>
      </c>
      <c r="G52" s="286" t="s">
        <v>63</v>
      </c>
    </row>
    <row r="53" spans="1:7" x14ac:dyDescent="0.25">
      <c r="A53" s="254"/>
      <c r="B53" s="256"/>
      <c r="C53" s="243"/>
      <c r="D53" s="244"/>
      <c r="E53" s="287"/>
      <c r="F53" s="287"/>
      <c r="G53" s="287"/>
    </row>
    <row r="54" spans="1:7" ht="16.5" x14ac:dyDescent="0.25">
      <c r="A54" s="34" t="s">
        <v>66</v>
      </c>
      <c r="B54" s="36" t="s">
        <v>1</v>
      </c>
      <c r="C54" s="26" t="s">
        <v>58</v>
      </c>
      <c r="D54" s="49" t="s">
        <v>108</v>
      </c>
      <c r="E54" s="81">
        <v>843</v>
      </c>
      <c r="F54" s="25">
        <f>$E$45*E54</f>
        <v>108747</v>
      </c>
      <c r="G54" s="80">
        <f>'1,1COMPLPORZONA'!W4</f>
        <v>499040241</v>
      </c>
    </row>
    <row r="55" spans="1:7" ht="16.5" x14ac:dyDescent="0.25">
      <c r="A55" s="34" t="s">
        <v>66</v>
      </c>
      <c r="B55" s="36" t="s">
        <v>1</v>
      </c>
      <c r="C55" s="26" t="s">
        <v>58</v>
      </c>
      <c r="D55" s="49" t="s">
        <v>89</v>
      </c>
      <c r="E55" s="81">
        <v>684</v>
      </c>
      <c r="F55" s="25">
        <f t="shared" ref="F55:F118" si="2">$E$45*E55</f>
        <v>88236</v>
      </c>
      <c r="G55" s="80">
        <f>'1,1COMPLPORZONA'!W5</f>
        <v>501077796</v>
      </c>
    </row>
    <row r="56" spans="1:7" ht="16.5" x14ac:dyDescent="0.25">
      <c r="A56" s="34" t="s">
        <v>66</v>
      </c>
      <c r="B56" s="21" t="s">
        <v>1</v>
      </c>
      <c r="C56" s="26" t="s">
        <v>193</v>
      </c>
      <c r="D56" s="49" t="s">
        <v>91</v>
      </c>
      <c r="E56" s="81">
        <v>348</v>
      </c>
      <c r="F56" s="81">
        <f t="shared" si="2"/>
        <v>44892</v>
      </c>
      <c r="G56" s="95">
        <f>'1,1COMPLPORZONA'!W6</f>
        <v>242910612</v>
      </c>
    </row>
    <row r="57" spans="1:7" ht="16.5" x14ac:dyDescent="0.25">
      <c r="A57" s="34" t="s">
        <v>67</v>
      </c>
      <c r="B57" s="36" t="s">
        <v>2</v>
      </c>
      <c r="C57" s="26" t="s">
        <v>58</v>
      </c>
      <c r="D57" s="49" t="s">
        <v>108</v>
      </c>
      <c r="E57" s="81">
        <v>4510</v>
      </c>
      <c r="F57" s="81">
        <f t="shared" si="2"/>
        <v>581790</v>
      </c>
      <c r="G57" s="95">
        <f>'1,1COMPLPORZONA'!W7</f>
        <v>2585730180</v>
      </c>
    </row>
    <row r="58" spans="1:7" ht="16.5" x14ac:dyDescent="0.25">
      <c r="A58" s="21" t="s">
        <v>67</v>
      </c>
      <c r="B58" s="36" t="s">
        <v>2</v>
      </c>
      <c r="C58" s="26" t="s">
        <v>58</v>
      </c>
      <c r="D58" s="49" t="s">
        <v>89</v>
      </c>
      <c r="E58" s="81">
        <v>267</v>
      </c>
      <c r="F58" s="81">
        <f t="shared" si="2"/>
        <v>34443</v>
      </c>
      <c r="G58" s="95">
        <f>'1,1COMPLPORZONA'!W8</f>
        <v>219884112</v>
      </c>
    </row>
    <row r="59" spans="1:7" ht="16.5" x14ac:dyDescent="0.25">
      <c r="A59" s="34" t="s">
        <v>67</v>
      </c>
      <c r="B59" s="36" t="s">
        <v>3</v>
      </c>
      <c r="C59" s="26" t="s">
        <v>58</v>
      </c>
      <c r="D59" s="49" t="s">
        <v>108</v>
      </c>
      <c r="E59" s="81">
        <v>2884</v>
      </c>
      <c r="F59" s="81">
        <f t="shared" si="2"/>
        <v>372036</v>
      </c>
      <c r="G59" s="95">
        <f>'1,1COMPLPORZONA'!W9+'1,1COMPLPORZONA'!W10</f>
        <v>1678252848</v>
      </c>
    </row>
    <row r="60" spans="1:7" ht="16.5" x14ac:dyDescent="0.25">
      <c r="A60" s="34" t="s">
        <v>67</v>
      </c>
      <c r="B60" s="36" t="s">
        <v>3</v>
      </c>
      <c r="C60" s="26" t="s">
        <v>58</v>
      </c>
      <c r="D60" s="49" t="s">
        <v>89</v>
      </c>
      <c r="E60" s="81">
        <v>56</v>
      </c>
      <c r="F60" s="81">
        <f t="shared" si="2"/>
        <v>7224</v>
      </c>
      <c r="G60" s="95">
        <f>'1,1COMPLPORZONA'!W11</f>
        <v>46118016</v>
      </c>
    </row>
    <row r="61" spans="1:7" ht="16.5" x14ac:dyDescent="0.25">
      <c r="A61" s="34" t="s">
        <v>67</v>
      </c>
      <c r="B61" s="36" t="s">
        <v>4</v>
      </c>
      <c r="C61" s="26" t="s">
        <v>58</v>
      </c>
      <c r="D61" s="50" t="s">
        <v>108</v>
      </c>
      <c r="E61" s="81">
        <v>2779</v>
      </c>
      <c r="F61" s="81">
        <f t="shared" si="2"/>
        <v>358491</v>
      </c>
      <c r="G61" s="95">
        <f>'1,1COMPLPORZONA'!W12+'1,1COMPLPORZONA'!W14</f>
        <v>1579595841</v>
      </c>
    </row>
    <row r="62" spans="1:7" ht="16.5" x14ac:dyDescent="0.25">
      <c r="A62" s="34" t="s">
        <v>67</v>
      </c>
      <c r="B62" s="36" t="s">
        <v>4</v>
      </c>
      <c r="C62" s="26" t="s">
        <v>58</v>
      </c>
      <c r="D62" s="49" t="s">
        <v>89</v>
      </c>
      <c r="E62" s="81">
        <v>1144</v>
      </c>
      <c r="F62" s="81">
        <f t="shared" si="2"/>
        <v>147576</v>
      </c>
      <c r="G62" s="95">
        <f>'1,1COMPLPORZONA'!W13</f>
        <v>859186440</v>
      </c>
    </row>
    <row r="63" spans="1:7" ht="16.5" x14ac:dyDescent="0.25">
      <c r="A63" s="34" t="s">
        <v>67</v>
      </c>
      <c r="B63" s="21" t="s">
        <v>4</v>
      </c>
      <c r="C63" s="26" t="s">
        <v>93</v>
      </c>
      <c r="D63" s="49" t="s">
        <v>91</v>
      </c>
      <c r="E63" s="81">
        <v>325</v>
      </c>
      <c r="F63" s="81">
        <f t="shared" si="2"/>
        <v>41925</v>
      </c>
      <c r="G63" s="95">
        <f>'1,1COMPLPORZONA'!W15</f>
        <v>226856175</v>
      </c>
    </row>
    <row r="64" spans="1:7" ht="16.5" x14ac:dyDescent="0.25">
      <c r="A64" s="34" t="s">
        <v>68</v>
      </c>
      <c r="B64" s="36" t="s">
        <v>5</v>
      </c>
      <c r="C64" s="26" t="s">
        <v>58</v>
      </c>
      <c r="D64" s="50" t="s">
        <v>108</v>
      </c>
      <c r="E64" s="81">
        <v>2562</v>
      </c>
      <c r="F64" s="81">
        <f t="shared" si="2"/>
        <v>330498</v>
      </c>
      <c r="G64" s="95">
        <f>'1,1COMPLPORZONA'!W16</f>
        <v>1215222828</v>
      </c>
    </row>
    <row r="65" spans="1:7" ht="16.5" x14ac:dyDescent="0.25">
      <c r="A65" s="34" t="s">
        <v>68</v>
      </c>
      <c r="B65" s="36" t="s">
        <v>5</v>
      </c>
      <c r="C65" s="26" t="s">
        <v>58</v>
      </c>
      <c r="D65" s="49" t="s">
        <v>89</v>
      </c>
      <c r="E65" s="81">
        <v>302</v>
      </c>
      <c r="F65" s="81">
        <f t="shared" si="2"/>
        <v>38958</v>
      </c>
      <c r="G65" s="95">
        <f>'1,1COMPLPORZONA'!W17</f>
        <v>227497047</v>
      </c>
    </row>
    <row r="66" spans="1:7" ht="16.5" x14ac:dyDescent="0.25">
      <c r="A66" s="21" t="s">
        <v>68</v>
      </c>
      <c r="B66" s="21" t="s">
        <v>5</v>
      </c>
      <c r="C66" s="26" t="s">
        <v>194</v>
      </c>
      <c r="D66" s="49" t="s">
        <v>91</v>
      </c>
      <c r="E66" s="81">
        <v>696</v>
      </c>
      <c r="F66" s="81">
        <f t="shared" si="2"/>
        <v>89784</v>
      </c>
      <c r="G66" s="95">
        <f>'1,1COMPLPORZONA'!W18</f>
        <v>485821224</v>
      </c>
    </row>
    <row r="67" spans="1:7" ht="16.5" x14ac:dyDescent="0.25">
      <c r="A67" s="21" t="s">
        <v>68</v>
      </c>
      <c r="B67" s="21" t="s">
        <v>5</v>
      </c>
      <c r="C67" s="26" t="s">
        <v>195</v>
      </c>
      <c r="D67" s="49" t="s">
        <v>91</v>
      </c>
      <c r="E67" s="81">
        <v>358</v>
      </c>
      <c r="F67" s="81">
        <f t="shared" si="2"/>
        <v>46182</v>
      </c>
      <c r="G67" s="95">
        <f>'1,1COMPLPORZONA'!W19</f>
        <v>249890802</v>
      </c>
    </row>
    <row r="68" spans="1:7" ht="16.5" x14ac:dyDescent="0.25">
      <c r="A68" s="21" t="s">
        <v>68</v>
      </c>
      <c r="B68" s="21" t="s">
        <v>5</v>
      </c>
      <c r="C68" s="26" t="s">
        <v>94</v>
      </c>
      <c r="D68" s="49" t="s">
        <v>91</v>
      </c>
      <c r="E68" s="81">
        <v>207</v>
      </c>
      <c r="F68" s="81">
        <f t="shared" si="2"/>
        <v>26703</v>
      </c>
      <c r="G68" s="95">
        <f>'1,1COMPLPORZONA'!W20</f>
        <v>143795655</v>
      </c>
    </row>
    <row r="69" spans="1:7" ht="16.5" x14ac:dyDescent="0.25">
      <c r="A69" s="21" t="s">
        <v>69</v>
      </c>
      <c r="B69" s="21" t="s">
        <v>6</v>
      </c>
      <c r="C69" s="26" t="s">
        <v>58</v>
      </c>
      <c r="D69" s="49" t="s">
        <v>108</v>
      </c>
      <c r="E69" s="81">
        <v>4776</v>
      </c>
      <c r="F69" s="81">
        <f t="shared" si="2"/>
        <v>616104</v>
      </c>
      <c r="G69" s="95">
        <f>'1,1COMPLPORZONA'!W21</f>
        <v>2518389729</v>
      </c>
    </row>
    <row r="70" spans="1:7" ht="16.5" x14ac:dyDescent="0.25">
      <c r="A70" s="21" t="s">
        <v>69</v>
      </c>
      <c r="B70" s="21" t="s">
        <v>6</v>
      </c>
      <c r="C70" s="26" t="s">
        <v>58</v>
      </c>
      <c r="D70" s="49" t="s">
        <v>89</v>
      </c>
      <c r="E70" s="81">
        <v>927</v>
      </c>
      <c r="F70" s="81">
        <f t="shared" si="2"/>
        <v>119583</v>
      </c>
      <c r="G70" s="95">
        <f>'1,1COMPLPORZONA'!W22</f>
        <v>714707730</v>
      </c>
    </row>
    <row r="71" spans="1:7" ht="16.5" x14ac:dyDescent="0.25">
      <c r="A71" s="21" t="s">
        <v>68</v>
      </c>
      <c r="B71" s="36" t="s">
        <v>7</v>
      </c>
      <c r="C71" s="26" t="s">
        <v>58</v>
      </c>
      <c r="D71" s="49" t="s">
        <v>108</v>
      </c>
      <c r="E71" s="81">
        <v>406</v>
      </c>
      <c r="F71" s="81">
        <f t="shared" si="2"/>
        <v>52374</v>
      </c>
      <c r="G71" s="95">
        <f>'1,1COMPLPORZONA'!W23</f>
        <v>200827845</v>
      </c>
    </row>
    <row r="72" spans="1:7" ht="16.5" x14ac:dyDescent="0.25">
      <c r="A72" s="34" t="s">
        <v>68</v>
      </c>
      <c r="B72" s="36" t="s">
        <v>7</v>
      </c>
      <c r="C72" s="26" t="s">
        <v>58</v>
      </c>
      <c r="D72" s="49" t="s">
        <v>89</v>
      </c>
      <c r="E72" s="81">
        <v>1268</v>
      </c>
      <c r="F72" s="81">
        <f t="shared" si="2"/>
        <v>163572</v>
      </c>
      <c r="G72" s="95">
        <f>'1,1COMPLPORZONA'!W24</f>
        <v>907256355</v>
      </c>
    </row>
    <row r="73" spans="1:7" ht="16.5" x14ac:dyDescent="0.25">
      <c r="A73" s="34" t="s">
        <v>68</v>
      </c>
      <c r="B73" s="21" t="s">
        <v>7</v>
      </c>
      <c r="C73" s="26" t="s">
        <v>196</v>
      </c>
      <c r="D73" s="49" t="s">
        <v>91</v>
      </c>
      <c r="E73" s="81">
        <v>6406</v>
      </c>
      <c r="F73" s="81">
        <f t="shared" si="2"/>
        <v>826374</v>
      </c>
      <c r="G73" s="95">
        <f>'1,1COMPLPORZONA'!W25+'1,1COMPLPORZONA'!W26</f>
        <v>4471509714</v>
      </c>
    </row>
    <row r="74" spans="1:7" ht="16.5" x14ac:dyDescent="0.25">
      <c r="A74" s="34" t="s">
        <v>68</v>
      </c>
      <c r="B74" s="21" t="s">
        <v>7</v>
      </c>
      <c r="C74" s="26" t="s">
        <v>94</v>
      </c>
      <c r="D74" s="49" t="s">
        <v>91</v>
      </c>
      <c r="E74" s="81">
        <v>233</v>
      </c>
      <c r="F74" s="81">
        <f t="shared" si="2"/>
        <v>30057</v>
      </c>
      <c r="G74" s="95">
        <f>'1,1COMPLPORZONA'!W27</f>
        <v>161856945</v>
      </c>
    </row>
    <row r="75" spans="1:7" ht="16.5" x14ac:dyDescent="0.25">
      <c r="A75" s="34" t="s">
        <v>68</v>
      </c>
      <c r="B75" s="36" t="s">
        <v>8</v>
      </c>
      <c r="C75" s="26" t="s">
        <v>58</v>
      </c>
      <c r="D75" s="49" t="s">
        <v>108</v>
      </c>
      <c r="E75" s="81">
        <v>1973</v>
      </c>
      <c r="F75" s="81">
        <f t="shared" si="2"/>
        <v>254517</v>
      </c>
      <c r="G75" s="95">
        <f>'1,1COMPLPORZONA'!W28</f>
        <v>945210864</v>
      </c>
    </row>
    <row r="76" spans="1:7" ht="16.5" x14ac:dyDescent="0.25">
      <c r="A76" s="34" t="s">
        <v>68</v>
      </c>
      <c r="B76" s="36" t="s">
        <v>8</v>
      </c>
      <c r="C76" s="26" t="s">
        <v>58</v>
      </c>
      <c r="D76" s="49" t="s">
        <v>89</v>
      </c>
      <c r="E76" s="81">
        <v>255</v>
      </c>
      <c r="F76" s="81">
        <f t="shared" si="2"/>
        <v>32895</v>
      </c>
      <c r="G76" s="95">
        <f>'1,1COMPLPORZONA'!W29</f>
        <v>198521325</v>
      </c>
    </row>
    <row r="77" spans="1:7" ht="16.5" x14ac:dyDescent="0.25">
      <c r="A77" s="21" t="s">
        <v>68</v>
      </c>
      <c r="B77" s="21" t="s">
        <v>8</v>
      </c>
      <c r="C77" s="26" t="s">
        <v>178</v>
      </c>
      <c r="D77" s="49" t="s">
        <v>91</v>
      </c>
      <c r="E77" s="81">
        <v>1697</v>
      </c>
      <c r="F77" s="81">
        <f t="shared" si="2"/>
        <v>218913</v>
      </c>
      <c r="G77" s="95">
        <f>'1,1COMPLPORZONA'!W30</f>
        <v>1184538243</v>
      </c>
    </row>
    <row r="78" spans="1:7" ht="16.5" x14ac:dyDescent="0.25">
      <c r="A78" s="21" t="s">
        <v>68</v>
      </c>
      <c r="B78" s="36" t="s">
        <v>9</v>
      </c>
      <c r="C78" s="26" t="s">
        <v>58</v>
      </c>
      <c r="D78" s="49" t="s">
        <v>108</v>
      </c>
      <c r="E78" s="81">
        <v>1882</v>
      </c>
      <c r="F78" s="81">
        <f t="shared" si="2"/>
        <v>242778</v>
      </c>
      <c r="G78" s="95">
        <f>'1,1COMPLPORZONA'!W31+'1,1COMPLPORZONA'!W32</f>
        <v>882365160</v>
      </c>
    </row>
    <row r="79" spans="1:7" ht="16.5" x14ac:dyDescent="0.25">
      <c r="A79" s="21" t="s">
        <v>68</v>
      </c>
      <c r="B79" s="36" t="s">
        <v>9</v>
      </c>
      <c r="C79" s="26" t="s">
        <v>58</v>
      </c>
      <c r="D79" s="49" t="s">
        <v>89</v>
      </c>
      <c r="E79" s="81">
        <v>560</v>
      </c>
      <c r="F79" s="81">
        <f t="shared" si="2"/>
        <v>72240</v>
      </c>
      <c r="G79" s="95">
        <f>'1,1COMPLPORZONA'!W33</f>
        <v>416138520</v>
      </c>
    </row>
    <row r="80" spans="1:7" ht="16.5" x14ac:dyDescent="0.25">
      <c r="A80" s="21" t="s">
        <v>68</v>
      </c>
      <c r="B80" s="21" t="s">
        <v>9</v>
      </c>
      <c r="C80" s="26" t="s">
        <v>197</v>
      </c>
      <c r="D80" s="49" t="s">
        <v>91</v>
      </c>
      <c r="E80" s="81">
        <v>1191</v>
      </c>
      <c r="F80" s="81">
        <f t="shared" si="2"/>
        <v>153639</v>
      </c>
      <c r="G80" s="95">
        <f>'1,1COMPLPORZONA'!W34</f>
        <v>831340629</v>
      </c>
    </row>
    <row r="81" spans="1:7" ht="16.5" x14ac:dyDescent="0.25">
      <c r="A81" s="21" t="s">
        <v>69</v>
      </c>
      <c r="B81" s="21" t="s">
        <v>10</v>
      </c>
      <c r="C81" s="26" t="s">
        <v>58</v>
      </c>
      <c r="D81" s="49" t="s">
        <v>108</v>
      </c>
      <c r="E81" s="81">
        <v>3920</v>
      </c>
      <c r="F81" s="81">
        <f t="shared" si="2"/>
        <v>505680</v>
      </c>
      <c r="G81" s="95">
        <f>'1,1COMPLPORZONA'!W35+'1,1COMPLPORZONA'!W36</f>
        <v>2080682667</v>
      </c>
    </row>
    <row r="82" spans="1:7" ht="16.5" x14ac:dyDescent="0.25">
      <c r="A82" s="34" t="s">
        <v>69</v>
      </c>
      <c r="B82" s="21" t="s">
        <v>10</v>
      </c>
      <c r="C82" s="26" t="s">
        <v>58</v>
      </c>
      <c r="D82" s="26" t="s">
        <v>89</v>
      </c>
      <c r="E82" s="81">
        <v>331</v>
      </c>
      <c r="F82" s="81">
        <f t="shared" si="2"/>
        <v>42699</v>
      </c>
      <c r="G82" s="95">
        <f>'1,1COMPLPORZONA'!W37</f>
        <v>273343647</v>
      </c>
    </row>
    <row r="83" spans="1:7" ht="16.5" x14ac:dyDescent="0.25">
      <c r="A83" s="34" t="s">
        <v>69</v>
      </c>
      <c r="B83" s="21" t="s">
        <v>10</v>
      </c>
      <c r="C83" s="26" t="s">
        <v>161</v>
      </c>
      <c r="D83" s="26" t="s">
        <v>91</v>
      </c>
      <c r="E83" s="81">
        <v>338</v>
      </c>
      <c r="F83" s="81">
        <f t="shared" si="2"/>
        <v>43602</v>
      </c>
      <c r="G83" s="95">
        <f>'1,1COMPLPORZONA'!W38</f>
        <v>235930422</v>
      </c>
    </row>
    <row r="84" spans="1:7" ht="16.5" x14ac:dyDescent="0.25">
      <c r="A84" s="21" t="s">
        <v>67</v>
      </c>
      <c r="B84" s="36" t="s">
        <v>11</v>
      </c>
      <c r="C84" s="26" t="s">
        <v>58</v>
      </c>
      <c r="D84" s="49" t="s">
        <v>108</v>
      </c>
      <c r="E84" s="81">
        <v>826</v>
      </c>
      <c r="F84" s="81">
        <f t="shared" si="2"/>
        <v>106554</v>
      </c>
      <c r="G84" s="95">
        <f>'1,1COMPLPORZONA'!W39</f>
        <v>481512495</v>
      </c>
    </row>
    <row r="85" spans="1:7" ht="16.5" x14ac:dyDescent="0.25">
      <c r="A85" s="34" t="s">
        <v>68</v>
      </c>
      <c r="B85" s="36" t="s">
        <v>12</v>
      </c>
      <c r="C85" s="26" t="s">
        <v>58</v>
      </c>
      <c r="D85" s="49" t="s">
        <v>108</v>
      </c>
      <c r="E85" s="81">
        <v>1871</v>
      </c>
      <c r="F85" s="81">
        <f t="shared" si="2"/>
        <v>241359</v>
      </c>
      <c r="G85" s="95">
        <f>'1,1COMPLPORZONA'!W40</f>
        <v>897773823</v>
      </c>
    </row>
    <row r="86" spans="1:7" ht="16.5" x14ac:dyDescent="0.25">
      <c r="A86" s="34" t="s">
        <v>57</v>
      </c>
      <c r="B86" s="22" t="s">
        <v>13</v>
      </c>
      <c r="C86" s="26" t="s">
        <v>58</v>
      </c>
      <c r="D86" s="50" t="s">
        <v>108</v>
      </c>
      <c r="E86" s="81">
        <v>2190</v>
      </c>
      <c r="F86" s="81">
        <f t="shared" si="2"/>
        <v>282510</v>
      </c>
      <c r="G86" s="95">
        <f>'1,1COMPLPORZONA'!W41+'1,1COMPLPORZONA'!W42</f>
        <v>1339749753</v>
      </c>
    </row>
    <row r="87" spans="1:7" ht="16.5" x14ac:dyDescent="0.25">
      <c r="A87" s="21" t="s">
        <v>57</v>
      </c>
      <c r="B87" s="22" t="s">
        <v>13</v>
      </c>
      <c r="C87" s="26" t="s">
        <v>58</v>
      </c>
      <c r="D87" s="49" t="s">
        <v>89</v>
      </c>
      <c r="E87" s="81">
        <v>2469</v>
      </c>
      <c r="F87" s="81">
        <f t="shared" si="2"/>
        <v>318501</v>
      </c>
      <c r="G87" s="95">
        <f>'1,1COMPLPORZONA'!W43</f>
        <v>1906755321</v>
      </c>
    </row>
    <row r="88" spans="1:7" ht="16.5" x14ac:dyDescent="0.25">
      <c r="A88" s="21" t="s">
        <v>70</v>
      </c>
      <c r="B88" s="21" t="s">
        <v>14</v>
      </c>
      <c r="C88" s="26" t="s">
        <v>93</v>
      </c>
      <c r="D88" s="49" t="s">
        <v>91</v>
      </c>
      <c r="E88" s="81">
        <v>6325</v>
      </c>
      <c r="F88" s="81">
        <f t="shared" si="2"/>
        <v>815925</v>
      </c>
      <c r="G88" s="95">
        <f>'1,1COMPLPORZONA'!W44</f>
        <v>4414970175</v>
      </c>
    </row>
    <row r="89" spans="1:7" ht="16.5" x14ac:dyDescent="0.25">
      <c r="A89" s="21" t="s">
        <v>70</v>
      </c>
      <c r="B89" s="21" t="s">
        <v>14</v>
      </c>
      <c r="C89" s="26" t="s">
        <v>93</v>
      </c>
      <c r="D89" s="49" t="s">
        <v>89</v>
      </c>
      <c r="E89" s="81">
        <v>89</v>
      </c>
      <c r="F89" s="81">
        <f t="shared" si="2"/>
        <v>11481</v>
      </c>
      <c r="G89" s="95">
        <f>'1,1COMPLPORZONA'!W45</f>
        <v>67416432</v>
      </c>
    </row>
    <row r="90" spans="1:7" ht="16.5" x14ac:dyDescent="0.25">
      <c r="A90" s="21" t="s">
        <v>70</v>
      </c>
      <c r="B90" s="21" t="s">
        <v>15</v>
      </c>
      <c r="C90" s="26" t="s">
        <v>93</v>
      </c>
      <c r="D90" s="49" t="s">
        <v>91</v>
      </c>
      <c r="E90" s="81">
        <v>3380</v>
      </c>
      <c r="F90" s="81">
        <f t="shared" si="2"/>
        <v>436020</v>
      </c>
      <c r="G90" s="95">
        <f>'1,1COMPLPORZONA'!W46</f>
        <v>2359304220</v>
      </c>
    </row>
    <row r="91" spans="1:7" ht="16.5" x14ac:dyDescent="0.25">
      <c r="A91" s="21" t="s">
        <v>66</v>
      </c>
      <c r="B91" s="36" t="s">
        <v>16</v>
      </c>
      <c r="C91" s="26" t="s">
        <v>58</v>
      </c>
      <c r="D91" s="49" t="s">
        <v>108</v>
      </c>
      <c r="E91" s="81">
        <v>1113</v>
      </c>
      <c r="F91" s="81">
        <f t="shared" si="2"/>
        <v>143577</v>
      </c>
      <c r="G91" s="95">
        <f>'1,1COMPLPORZONA'!W47</f>
        <v>674981535</v>
      </c>
    </row>
    <row r="92" spans="1:7" ht="16.5" x14ac:dyDescent="0.25">
      <c r="A92" s="21" t="s">
        <v>66</v>
      </c>
      <c r="B92" s="36" t="s">
        <v>16</v>
      </c>
      <c r="C92" s="26" t="s">
        <v>58</v>
      </c>
      <c r="D92" s="49" t="s">
        <v>89</v>
      </c>
      <c r="E92" s="81">
        <v>192</v>
      </c>
      <c r="F92" s="81">
        <f t="shared" si="2"/>
        <v>24768</v>
      </c>
      <c r="G92" s="95">
        <f>'1,1COMPLPORZONA'!W48</f>
        <v>150722439</v>
      </c>
    </row>
    <row r="93" spans="1:7" ht="16.5" x14ac:dyDescent="0.25">
      <c r="A93" s="21" t="s">
        <v>66</v>
      </c>
      <c r="B93" s="21" t="s">
        <v>16</v>
      </c>
      <c r="C93" s="26" t="s">
        <v>163</v>
      </c>
      <c r="D93" s="49" t="s">
        <v>91</v>
      </c>
      <c r="E93" s="81">
        <v>201</v>
      </c>
      <c r="F93" s="81">
        <f t="shared" si="2"/>
        <v>25929</v>
      </c>
      <c r="G93" s="95">
        <f>'1,1COMPLPORZONA'!W49</f>
        <v>140301819</v>
      </c>
    </row>
    <row r="94" spans="1:7" ht="16.5" x14ac:dyDescent="0.25">
      <c r="A94" s="21" t="s">
        <v>66</v>
      </c>
      <c r="B94" s="36" t="s">
        <v>17</v>
      </c>
      <c r="C94" s="26" t="s">
        <v>58</v>
      </c>
      <c r="D94" s="49" t="s">
        <v>108</v>
      </c>
      <c r="E94" s="81">
        <v>1628</v>
      </c>
      <c r="F94" s="81">
        <f t="shared" si="2"/>
        <v>210012</v>
      </c>
      <c r="G94" s="95">
        <f>'1,1COMPLPORZONA'!W50+'1,1COMPLPORZONA'!W51</f>
        <v>972088272</v>
      </c>
    </row>
    <row r="95" spans="1:7" ht="16.5" x14ac:dyDescent="0.25">
      <c r="A95" s="21" t="s">
        <v>66</v>
      </c>
      <c r="B95" s="36" t="s">
        <v>17</v>
      </c>
      <c r="C95" s="26" t="s">
        <v>58</v>
      </c>
      <c r="D95" s="49" t="s">
        <v>89</v>
      </c>
      <c r="E95" s="81">
        <v>159</v>
      </c>
      <c r="F95" s="81">
        <f t="shared" si="2"/>
        <v>20511</v>
      </c>
      <c r="G95" s="95">
        <f>'1,1COMPLPORZONA'!W52</f>
        <v>131578065</v>
      </c>
    </row>
    <row r="96" spans="1:7" ht="16.5" x14ac:dyDescent="0.25">
      <c r="A96" s="21" t="s">
        <v>66</v>
      </c>
      <c r="B96" s="21" t="s">
        <v>17</v>
      </c>
      <c r="C96" s="26" t="s">
        <v>163</v>
      </c>
      <c r="D96" s="49" t="s">
        <v>91</v>
      </c>
      <c r="E96" s="81">
        <v>137</v>
      </c>
      <c r="F96" s="81">
        <f t="shared" si="2"/>
        <v>17673</v>
      </c>
      <c r="G96" s="95">
        <f>'1,1COMPLPORZONA'!W53</f>
        <v>95628603</v>
      </c>
    </row>
    <row r="97" spans="1:7" ht="16.5" x14ac:dyDescent="0.25">
      <c r="A97" s="21" t="s">
        <v>66</v>
      </c>
      <c r="B97" s="21" t="s">
        <v>17</v>
      </c>
      <c r="C97" s="26" t="s">
        <v>163</v>
      </c>
      <c r="D97" s="49" t="s">
        <v>89</v>
      </c>
      <c r="E97" s="81">
        <v>135</v>
      </c>
      <c r="F97" s="81">
        <f t="shared" si="2"/>
        <v>17415</v>
      </c>
      <c r="G97" s="95">
        <f>'1,1COMPLPORZONA'!W54</f>
        <v>130995630</v>
      </c>
    </row>
    <row r="98" spans="1:7" ht="16.5" x14ac:dyDescent="0.25">
      <c r="A98" s="21" t="s">
        <v>66</v>
      </c>
      <c r="B98" s="21" t="s">
        <v>17</v>
      </c>
      <c r="C98" s="26" t="s">
        <v>164</v>
      </c>
      <c r="D98" s="49" t="s">
        <v>89</v>
      </c>
      <c r="E98" s="81">
        <v>297</v>
      </c>
      <c r="F98" s="81">
        <f t="shared" si="2"/>
        <v>38313</v>
      </c>
      <c r="G98" s="95">
        <f>'1,1COMPLPORZONA'!W55</f>
        <v>273669759</v>
      </c>
    </row>
    <row r="99" spans="1:7" ht="16.5" x14ac:dyDescent="0.25">
      <c r="A99" s="21" t="s">
        <v>57</v>
      </c>
      <c r="B99" s="22" t="s">
        <v>82</v>
      </c>
      <c r="C99" s="26" t="s">
        <v>58</v>
      </c>
      <c r="D99" s="49" t="s">
        <v>108</v>
      </c>
      <c r="E99" s="81">
        <v>2172</v>
      </c>
      <c r="F99" s="81">
        <f t="shared" si="2"/>
        <v>280188</v>
      </c>
      <c r="G99" s="95">
        <f>'1,1COMPLPORZONA'!W56+'1,1COMPLPORZONA'!W57</f>
        <v>1315790712</v>
      </c>
    </row>
    <row r="100" spans="1:7" ht="16.5" x14ac:dyDescent="0.25">
      <c r="A100" s="21" t="s">
        <v>57</v>
      </c>
      <c r="B100" s="22" t="s">
        <v>82</v>
      </c>
      <c r="C100" s="26" t="s">
        <v>165</v>
      </c>
      <c r="D100" s="49" t="s">
        <v>91</v>
      </c>
      <c r="E100" s="81">
        <v>681</v>
      </c>
      <c r="F100" s="81">
        <f t="shared" si="2"/>
        <v>87849</v>
      </c>
      <c r="G100" s="95">
        <f>'1,1COMPLPORZONA'!W58</f>
        <v>504516807</v>
      </c>
    </row>
    <row r="101" spans="1:7" ht="16.5" x14ac:dyDescent="0.25">
      <c r="A101" s="21" t="s">
        <v>67</v>
      </c>
      <c r="B101" s="36" t="s">
        <v>19</v>
      </c>
      <c r="C101" s="26" t="s">
        <v>58</v>
      </c>
      <c r="D101" s="50" t="s">
        <v>108</v>
      </c>
      <c r="E101" s="81">
        <v>1950</v>
      </c>
      <c r="F101" s="81">
        <f t="shared" si="2"/>
        <v>251550</v>
      </c>
      <c r="G101" s="95">
        <f>'1,1COMPLPORZONA'!W59</f>
        <v>1121066373</v>
      </c>
    </row>
    <row r="102" spans="1:7" ht="16.5" x14ac:dyDescent="0.25">
      <c r="A102" s="21" t="s">
        <v>67</v>
      </c>
      <c r="B102" s="36" t="s">
        <v>19</v>
      </c>
      <c r="C102" s="26" t="s">
        <v>58</v>
      </c>
      <c r="D102" s="49" t="s">
        <v>89</v>
      </c>
      <c r="E102" s="81">
        <v>20</v>
      </c>
      <c r="F102" s="81">
        <f t="shared" si="2"/>
        <v>2580</v>
      </c>
      <c r="G102" s="95">
        <f>'1,1COMPLPORZONA'!W60</f>
        <v>16470720</v>
      </c>
    </row>
    <row r="103" spans="1:7" ht="16.5" x14ac:dyDescent="0.25">
      <c r="A103" s="21" t="s">
        <v>68</v>
      </c>
      <c r="B103" s="36" t="s">
        <v>20</v>
      </c>
      <c r="C103" s="26" t="s">
        <v>58</v>
      </c>
      <c r="D103" s="49" t="s">
        <v>108</v>
      </c>
      <c r="E103" s="81">
        <v>2470</v>
      </c>
      <c r="F103" s="81">
        <f t="shared" si="2"/>
        <v>318630</v>
      </c>
      <c r="G103" s="95">
        <f>'1,1COMPLPORZONA'!W61</f>
        <v>1187959581</v>
      </c>
    </row>
    <row r="104" spans="1:7" ht="16.5" x14ac:dyDescent="0.25">
      <c r="A104" s="21" t="s">
        <v>68</v>
      </c>
      <c r="B104" s="36" t="s">
        <v>20</v>
      </c>
      <c r="C104" s="26" t="s">
        <v>58</v>
      </c>
      <c r="D104" s="49" t="s">
        <v>89</v>
      </c>
      <c r="E104" s="81">
        <v>98</v>
      </c>
      <c r="F104" s="81">
        <f t="shared" si="2"/>
        <v>12642</v>
      </c>
      <c r="G104" s="95">
        <f>'1,1COMPLPORZONA'!W62</f>
        <v>76294470</v>
      </c>
    </row>
    <row r="105" spans="1:7" ht="16.5" x14ac:dyDescent="0.25">
      <c r="A105" s="21" t="s">
        <v>68</v>
      </c>
      <c r="B105" s="36" t="s">
        <v>20</v>
      </c>
      <c r="C105" s="26" t="s">
        <v>198</v>
      </c>
      <c r="D105" s="49" t="s">
        <v>91</v>
      </c>
      <c r="E105" s="81">
        <v>882</v>
      </c>
      <c r="F105" s="81">
        <f t="shared" si="2"/>
        <v>113778</v>
      </c>
      <c r="G105" s="95">
        <f>'1,1COMPLPORZONA'!W63</f>
        <v>432685608</v>
      </c>
    </row>
    <row r="106" spans="1:7" ht="16.5" x14ac:dyDescent="0.25">
      <c r="A106" s="21" t="s">
        <v>68</v>
      </c>
      <c r="B106" s="36" t="s">
        <v>20</v>
      </c>
      <c r="C106" s="26" t="s">
        <v>198</v>
      </c>
      <c r="D106" s="49" t="s">
        <v>89</v>
      </c>
      <c r="E106" s="81">
        <v>148</v>
      </c>
      <c r="F106" s="81">
        <f t="shared" si="2"/>
        <v>19092</v>
      </c>
      <c r="G106" s="95">
        <f>'1,1COMPLPORZONA'!W64</f>
        <v>114838380</v>
      </c>
    </row>
    <row r="107" spans="1:7" ht="16.5" x14ac:dyDescent="0.25">
      <c r="A107" s="21" t="s">
        <v>68</v>
      </c>
      <c r="B107" s="21" t="s">
        <v>20</v>
      </c>
      <c r="C107" s="26" t="s">
        <v>167</v>
      </c>
      <c r="D107" s="49" t="s">
        <v>91</v>
      </c>
      <c r="E107" s="81">
        <v>490</v>
      </c>
      <c r="F107" s="81">
        <f t="shared" si="2"/>
        <v>63210</v>
      </c>
      <c r="G107" s="95">
        <f>'1,1COMPLPORZONA'!W65</f>
        <v>342029310</v>
      </c>
    </row>
    <row r="108" spans="1:7" ht="16.5" x14ac:dyDescent="0.25">
      <c r="A108" s="21" t="s">
        <v>68</v>
      </c>
      <c r="B108" s="21" t="s">
        <v>20</v>
      </c>
      <c r="C108" s="26" t="s">
        <v>167</v>
      </c>
      <c r="D108" s="49" t="s">
        <v>89</v>
      </c>
      <c r="E108" s="81">
        <v>66</v>
      </c>
      <c r="F108" s="81">
        <f t="shared" si="2"/>
        <v>8514</v>
      </c>
      <c r="G108" s="95">
        <f>'1,1COMPLPORZONA'!W66</f>
        <v>49738788</v>
      </c>
    </row>
    <row r="109" spans="1:7" ht="16.5" x14ac:dyDescent="0.25">
      <c r="A109" s="21" t="s">
        <v>69</v>
      </c>
      <c r="B109" s="21" t="s">
        <v>21</v>
      </c>
      <c r="C109" s="26" t="s">
        <v>58</v>
      </c>
      <c r="D109" s="50" t="s">
        <v>108</v>
      </c>
      <c r="E109" s="81">
        <v>3065</v>
      </c>
      <c r="F109" s="81">
        <f t="shared" si="2"/>
        <v>395385</v>
      </c>
      <c r="G109" s="95">
        <f>'1,1COMPLPORZONA'!W67+'1,1COMPLPORZONA'!W68</f>
        <v>1603848357</v>
      </c>
    </row>
    <row r="110" spans="1:7" ht="16.5" x14ac:dyDescent="0.25">
      <c r="A110" s="34" t="s">
        <v>69</v>
      </c>
      <c r="B110" s="34" t="s">
        <v>21</v>
      </c>
      <c r="C110" s="26" t="s">
        <v>58</v>
      </c>
      <c r="D110" s="49" t="s">
        <v>89</v>
      </c>
      <c r="E110" s="81">
        <v>113</v>
      </c>
      <c r="F110" s="81">
        <f t="shared" si="2"/>
        <v>14577</v>
      </c>
      <c r="G110" s="95">
        <f>'1,1COMPLPORZONA'!W69</f>
        <v>94940001</v>
      </c>
    </row>
    <row r="111" spans="1:7" ht="16.5" x14ac:dyDescent="0.25">
      <c r="A111" s="34" t="s">
        <v>69</v>
      </c>
      <c r="B111" s="34" t="s">
        <v>21</v>
      </c>
      <c r="C111" s="26" t="s">
        <v>199</v>
      </c>
      <c r="D111" s="49" t="s">
        <v>91</v>
      </c>
      <c r="E111" s="81">
        <v>919</v>
      </c>
      <c r="F111" s="81">
        <f t="shared" si="2"/>
        <v>118551</v>
      </c>
      <c r="G111" s="95">
        <f>'1,1COMPLPORZONA'!W70</f>
        <v>641479461</v>
      </c>
    </row>
    <row r="112" spans="1:7" ht="16.5" x14ac:dyDescent="0.25">
      <c r="A112" s="34" t="s">
        <v>69</v>
      </c>
      <c r="B112" s="34" t="s">
        <v>21</v>
      </c>
      <c r="C112" s="26" t="s">
        <v>94</v>
      </c>
      <c r="D112" s="49" t="s">
        <v>91</v>
      </c>
      <c r="E112" s="81">
        <v>1168</v>
      </c>
      <c r="F112" s="81">
        <f t="shared" si="2"/>
        <v>150672</v>
      </c>
      <c r="G112" s="95">
        <f>'1,1COMPLPORZONA'!W71</f>
        <v>811368720</v>
      </c>
    </row>
    <row r="113" spans="1:7" ht="16.5" x14ac:dyDescent="0.25">
      <c r="A113" s="34" t="s">
        <v>69</v>
      </c>
      <c r="B113" s="34" t="s">
        <v>21</v>
      </c>
      <c r="C113" s="26" t="s">
        <v>200</v>
      </c>
      <c r="D113" s="49" t="s">
        <v>91</v>
      </c>
      <c r="E113" s="81">
        <v>1481</v>
      </c>
      <c r="F113" s="81">
        <f t="shared" si="2"/>
        <v>191049</v>
      </c>
      <c r="G113" s="95">
        <f>'1,1COMPLPORZONA'!W72</f>
        <v>1033766139</v>
      </c>
    </row>
    <row r="114" spans="1:7" ht="16.5" x14ac:dyDescent="0.25">
      <c r="A114" s="34" t="s">
        <v>69</v>
      </c>
      <c r="B114" s="34" t="s">
        <v>21</v>
      </c>
      <c r="C114" s="26" t="s">
        <v>161</v>
      </c>
      <c r="D114" s="49" t="s">
        <v>91</v>
      </c>
      <c r="E114" s="81">
        <v>450</v>
      </c>
      <c r="F114" s="81">
        <f t="shared" si="2"/>
        <v>58050</v>
      </c>
      <c r="G114" s="95">
        <f>'1,1COMPLPORZONA'!W73</f>
        <v>314108550</v>
      </c>
    </row>
    <row r="115" spans="1:7" ht="16.5" x14ac:dyDescent="0.25">
      <c r="A115" s="34" t="s">
        <v>68</v>
      </c>
      <c r="B115" s="37" t="s">
        <v>22</v>
      </c>
      <c r="C115" s="26" t="s">
        <v>198</v>
      </c>
      <c r="D115" s="49" t="s">
        <v>108</v>
      </c>
      <c r="E115" s="81">
        <v>1168</v>
      </c>
      <c r="F115" s="81">
        <f t="shared" si="2"/>
        <v>150672</v>
      </c>
      <c r="G115" s="95">
        <f>'1,1COMPLPORZONA'!W74</f>
        <v>569474241</v>
      </c>
    </row>
    <row r="116" spans="1:7" ht="16.5" x14ac:dyDescent="0.25">
      <c r="A116" s="34" t="s">
        <v>68</v>
      </c>
      <c r="B116" s="37" t="s">
        <v>22</v>
      </c>
      <c r="C116" s="26" t="s">
        <v>198</v>
      </c>
      <c r="D116" s="49" t="s">
        <v>89</v>
      </c>
      <c r="E116" s="81">
        <v>173</v>
      </c>
      <c r="F116" s="81">
        <f t="shared" si="2"/>
        <v>22317</v>
      </c>
      <c r="G116" s="95">
        <f>'1,1COMPLPORZONA'!W75</f>
        <v>134236755</v>
      </c>
    </row>
    <row r="117" spans="1:7" ht="16.5" x14ac:dyDescent="0.25">
      <c r="A117" s="34" t="s">
        <v>70</v>
      </c>
      <c r="B117" s="34" t="s">
        <v>23</v>
      </c>
      <c r="C117" s="26" t="s">
        <v>201</v>
      </c>
      <c r="D117" s="49" t="s">
        <v>91</v>
      </c>
      <c r="E117" s="81">
        <v>6510</v>
      </c>
      <c r="F117" s="81">
        <f t="shared" si="2"/>
        <v>839790</v>
      </c>
      <c r="G117" s="95">
        <f>'1,1COMPLPORZONA'!W76</f>
        <v>4544103690</v>
      </c>
    </row>
    <row r="118" spans="1:7" ht="16.5" x14ac:dyDescent="0.25">
      <c r="A118" s="34" t="s">
        <v>70</v>
      </c>
      <c r="B118" s="34" t="s">
        <v>23</v>
      </c>
      <c r="C118" s="26" t="s">
        <v>161</v>
      </c>
      <c r="D118" s="49" t="s">
        <v>91</v>
      </c>
      <c r="E118" s="81">
        <v>2054</v>
      </c>
      <c r="F118" s="81">
        <f t="shared" si="2"/>
        <v>264966</v>
      </c>
      <c r="G118" s="95">
        <f>'1,1COMPLPORZONA'!W77</f>
        <v>1433731026</v>
      </c>
    </row>
    <row r="119" spans="1:7" ht="16.5" x14ac:dyDescent="0.25">
      <c r="A119" s="34" t="s">
        <v>70</v>
      </c>
      <c r="B119" s="34" t="s">
        <v>23</v>
      </c>
      <c r="C119" s="26" t="s">
        <v>161</v>
      </c>
      <c r="D119" s="49" t="s">
        <v>89</v>
      </c>
      <c r="E119" s="81">
        <v>726</v>
      </c>
      <c r="F119" s="81">
        <f t="shared" ref="F119:F176" si="3">$E$45*E119</f>
        <v>93654</v>
      </c>
      <c r="G119" s="95">
        <f>'1,1COMPLPORZONA'!W78</f>
        <v>547126668</v>
      </c>
    </row>
    <row r="120" spans="1:7" ht="16.5" x14ac:dyDescent="0.25">
      <c r="A120" s="34" t="s">
        <v>67</v>
      </c>
      <c r="B120" s="37" t="s">
        <v>62</v>
      </c>
      <c r="C120" s="26" t="s">
        <v>58</v>
      </c>
      <c r="D120" s="50" t="s">
        <v>108</v>
      </c>
      <c r="E120" s="81">
        <v>3616</v>
      </c>
      <c r="F120" s="81">
        <f t="shared" si="3"/>
        <v>466464</v>
      </c>
      <c r="G120" s="95">
        <f>'1,1COMPLPORZONA'!W79</f>
        <v>2087455683</v>
      </c>
    </row>
    <row r="121" spans="1:7" ht="16.5" x14ac:dyDescent="0.25">
      <c r="A121" s="34" t="s">
        <v>67</v>
      </c>
      <c r="B121" s="37" t="s">
        <v>62</v>
      </c>
      <c r="C121" s="26" t="s">
        <v>58</v>
      </c>
      <c r="D121" s="49" t="s">
        <v>89</v>
      </c>
      <c r="E121" s="81">
        <v>1623</v>
      </c>
      <c r="F121" s="81">
        <f t="shared" si="3"/>
        <v>209367</v>
      </c>
      <c r="G121" s="95">
        <f>'1,1COMPLPORZONA'!W80</f>
        <v>1166693673</v>
      </c>
    </row>
    <row r="122" spans="1:7" ht="16.5" x14ac:dyDescent="0.25">
      <c r="A122" s="34" t="s">
        <v>66</v>
      </c>
      <c r="B122" s="37" t="s">
        <v>24</v>
      </c>
      <c r="C122" s="26" t="s">
        <v>58</v>
      </c>
      <c r="D122" s="49" t="s">
        <v>108</v>
      </c>
      <c r="E122" s="81">
        <v>1515</v>
      </c>
      <c r="F122" s="81">
        <f t="shared" si="3"/>
        <v>195435</v>
      </c>
      <c r="G122" s="95">
        <f>'1,1COMPLPORZONA'!W81</f>
        <v>906495642</v>
      </c>
    </row>
    <row r="123" spans="1:7" ht="16.5" x14ac:dyDescent="0.25">
      <c r="A123" s="34" t="s">
        <v>66</v>
      </c>
      <c r="B123" s="37" t="s">
        <v>24</v>
      </c>
      <c r="C123" s="26" t="s">
        <v>58</v>
      </c>
      <c r="D123" s="49" t="s">
        <v>89</v>
      </c>
      <c r="E123" s="81">
        <v>9</v>
      </c>
      <c r="F123" s="81">
        <f t="shared" si="3"/>
        <v>1161</v>
      </c>
      <c r="G123" s="95">
        <f>'1,1COMPLPORZONA'!W82</f>
        <v>5942385</v>
      </c>
    </row>
    <row r="124" spans="1:7" ht="16.5" x14ac:dyDescent="0.25">
      <c r="A124" s="34" t="s">
        <v>66</v>
      </c>
      <c r="B124" s="21" t="s">
        <v>24</v>
      </c>
      <c r="C124" s="26" t="s">
        <v>202</v>
      </c>
      <c r="D124" s="26" t="s">
        <v>91</v>
      </c>
      <c r="E124" s="81">
        <v>136</v>
      </c>
      <c r="F124" s="81">
        <f t="shared" si="3"/>
        <v>17544</v>
      </c>
      <c r="G124" s="95">
        <f>'1,1COMPLPORZONA'!W83</f>
        <v>96474456</v>
      </c>
    </row>
    <row r="125" spans="1:7" ht="16.5" x14ac:dyDescent="0.25">
      <c r="A125" s="34" t="s">
        <v>69</v>
      </c>
      <c r="B125" s="34" t="s">
        <v>25</v>
      </c>
      <c r="C125" s="26" t="s">
        <v>58</v>
      </c>
      <c r="D125" s="49" t="s">
        <v>108</v>
      </c>
      <c r="E125" s="81">
        <v>4389</v>
      </c>
      <c r="F125" s="81">
        <f t="shared" si="3"/>
        <v>566181</v>
      </c>
      <c r="G125" s="95">
        <f>'1,1COMPLPORZONA'!W84</f>
        <v>2300219769</v>
      </c>
    </row>
    <row r="126" spans="1:7" ht="16.5" x14ac:dyDescent="0.25">
      <c r="A126" s="34" t="s">
        <v>69</v>
      </c>
      <c r="B126" s="34" t="s">
        <v>25</v>
      </c>
      <c r="C126" s="26" t="s">
        <v>58</v>
      </c>
      <c r="D126" s="49" t="s">
        <v>89</v>
      </c>
      <c r="E126" s="81">
        <v>278</v>
      </c>
      <c r="F126" s="81">
        <f t="shared" si="3"/>
        <v>35862</v>
      </c>
      <c r="G126" s="95">
        <f>'1,1COMPLPORZONA'!W85</f>
        <v>201792249</v>
      </c>
    </row>
    <row r="127" spans="1:7" ht="16.5" x14ac:dyDescent="0.25">
      <c r="A127" s="21" t="s">
        <v>69</v>
      </c>
      <c r="B127" s="21" t="s">
        <v>25</v>
      </c>
      <c r="C127" s="26" t="s">
        <v>93</v>
      </c>
      <c r="D127" s="49" t="s">
        <v>91</v>
      </c>
      <c r="E127" s="81">
        <v>247</v>
      </c>
      <c r="F127" s="81">
        <f t="shared" si="3"/>
        <v>31863</v>
      </c>
      <c r="G127" s="95">
        <f>'1,1COMPLPORZONA'!W86</f>
        <v>172410693</v>
      </c>
    </row>
    <row r="128" spans="1:7" ht="16.5" x14ac:dyDescent="0.25">
      <c r="A128" s="21" t="s">
        <v>69</v>
      </c>
      <c r="B128" s="21" t="s">
        <v>25</v>
      </c>
      <c r="C128" s="26" t="s">
        <v>94</v>
      </c>
      <c r="D128" s="49" t="s">
        <v>91</v>
      </c>
      <c r="E128" s="81">
        <v>607</v>
      </c>
      <c r="F128" s="81">
        <f t="shared" si="3"/>
        <v>78303</v>
      </c>
      <c r="G128" s="95">
        <f>'1,1COMPLPORZONA'!W87</f>
        <v>421661655</v>
      </c>
    </row>
    <row r="129" spans="1:7" ht="16.5" x14ac:dyDescent="0.25">
      <c r="A129" s="21" t="s">
        <v>68</v>
      </c>
      <c r="B129" s="36" t="s">
        <v>84</v>
      </c>
      <c r="C129" s="26" t="s">
        <v>198</v>
      </c>
      <c r="D129" s="49" t="s">
        <v>108</v>
      </c>
      <c r="E129" s="81">
        <f>'1,1COMPLPORZONA'!J88</f>
        <v>5204</v>
      </c>
      <c r="F129" s="81">
        <f t="shared" si="3"/>
        <v>671316</v>
      </c>
      <c r="G129" s="95">
        <f>'1,1COMPLPORZONA'!W88</f>
        <v>2572997106</v>
      </c>
    </row>
    <row r="130" spans="1:7" ht="16.5" x14ac:dyDescent="0.25">
      <c r="A130" s="21" t="s">
        <v>68</v>
      </c>
      <c r="B130" s="36" t="s">
        <v>84</v>
      </c>
      <c r="C130" s="26" t="s">
        <v>198</v>
      </c>
      <c r="D130" s="49" t="s">
        <v>89</v>
      </c>
      <c r="E130" s="81">
        <f>'1,1COMPLPORZONA'!J89</f>
        <v>313</v>
      </c>
      <c r="F130" s="81">
        <f t="shared" si="3"/>
        <v>40377</v>
      </c>
      <c r="G130" s="95">
        <f>'1,1COMPLPORZONA'!W89</f>
        <v>231731085</v>
      </c>
    </row>
    <row r="131" spans="1:7" ht="16.5" x14ac:dyDescent="0.25">
      <c r="A131" s="21" t="s">
        <v>70</v>
      </c>
      <c r="B131" s="21" t="s">
        <v>27</v>
      </c>
      <c r="C131" s="26" t="s">
        <v>169</v>
      </c>
      <c r="D131" s="49" t="s">
        <v>91</v>
      </c>
      <c r="E131" s="81">
        <v>1038</v>
      </c>
      <c r="F131" s="81">
        <f t="shared" si="3"/>
        <v>133902</v>
      </c>
      <c r="G131" s="95">
        <f>'1,1COMPLPORZONA'!W90</f>
        <v>724543722</v>
      </c>
    </row>
    <row r="132" spans="1:7" ht="16.5" x14ac:dyDescent="0.25">
      <c r="A132" s="21" t="s">
        <v>70</v>
      </c>
      <c r="B132" s="21" t="s">
        <v>27</v>
      </c>
      <c r="C132" s="26" t="s">
        <v>169</v>
      </c>
      <c r="D132" s="49" t="s">
        <v>89</v>
      </c>
      <c r="E132" s="81">
        <v>81</v>
      </c>
      <c r="F132" s="81">
        <f t="shared" si="3"/>
        <v>10449</v>
      </c>
      <c r="G132" s="95">
        <f>'1,1COMPLPORZONA'!W91</f>
        <v>61346079</v>
      </c>
    </row>
    <row r="133" spans="1:7" ht="16.5" x14ac:dyDescent="0.25">
      <c r="A133" s="21" t="s">
        <v>70</v>
      </c>
      <c r="B133" s="21" t="s">
        <v>27</v>
      </c>
      <c r="C133" s="26" t="s">
        <v>161</v>
      </c>
      <c r="D133" s="49" t="s">
        <v>91</v>
      </c>
      <c r="E133" s="81">
        <v>1554</v>
      </c>
      <c r="F133" s="81">
        <f t="shared" si="3"/>
        <v>200466</v>
      </c>
      <c r="G133" s="95">
        <f>'1,1COMPLPORZONA'!W92</f>
        <v>1084721526</v>
      </c>
    </row>
    <row r="134" spans="1:7" ht="16.5" x14ac:dyDescent="0.25">
      <c r="A134" s="21" t="s">
        <v>66</v>
      </c>
      <c r="B134" s="36" t="s">
        <v>28</v>
      </c>
      <c r="C134" s="26" t="s">
        <v>58</v>
      </c>
      <c r="D134" s="49" t="s">
        <v>108</v>
      </c>
      <c r="E134" s="81">
        <v>628</v>
      </c>
      <c r="F134" s="81">
        <f t="shared" si="3"/>
        <v>81012</v>
      </c>
      <c r="G134" s="95">
        <f>'1,1COMPLPORZONA'!W93</f>
        <v>374699205</v>
      </c>
    </row>
    <row r="135" spans="1:7" ht="16.5" x14ac:dyDescent="0.25">
      <c r="A135" s="21" t="s">
        <v>66</v>
      </c>
      <c r="B135" s="36" t="s">
        <v>28</v>
      </c>
      <c r="C135" s="26" t="s">
        <v>58</v>
      </c>
      <c r="D135" s="49" t="s">
        <v>89</v>
      </c>
      <c r="E135" s="81">
        <v>71</v>
      </c>
      <c r="F135" s="81">
        <f t="shared" si="3"/>
        <v>9159</v>
      </c>
      <c r="G135" s="95">
        <f>'1,1COMPLPORZONA'!W94</f>
        <v>58754985</v>
      </c>
    </row>
    <row r="136" spans="1:7" ht="16.5" x14ac:dyDescent="0.25">
      <c r="A136" s="21" t="s">
        <v>66</v>
      </c>
      <c r="B136" s="36" t="s">
        <v>29</v>
      </c>
      <c r="C136" s="26" t="s">
        <v>58</v>
      </c>
      <c r="D136" s="49" t="s">
        <v>90</v>
      </c>
      <c r="E136" s="81">
        <f>'1,1COMPLPORZONA'!J95</f>
        <v>463</v>
      </c>
      <c r="F136" s="81">
        <f t="shared" si="3"/>
        <v>59727</v>
      </c>
      <c r="G136" s="95">
        <f>'1,1COMPLPORZONA'!W95</f>
        <v>273500640</v>
      </c>
    </row>
    <row r="137" spans="1:7" ht="16.5" x14ac:dyDescent="0.25">
      <c r="A137" s="21" t="s">
        <v>66</v>
      </c>
      <c r="B137" s="36" t="s">
        <v>29</v>
      </c>
      <c r="C137" s="26" t="s">
        <v>58</v>
      </c>
      <c r="D137" s="49" t="s">
        <v>89</v>
      </c>
      <c r="E137" s="81">
        <f>'1,1COMPLPORZONA'!J96</f>
        <v>74</v>
      </c>
      <c r="F137" s="81">
        <f t="shared" si="3"/>
        <v>9546</v>
      </c>
      <c r="G137" s="95">
        <f>'1,1COMPLPORZONA'!W96</f>
        <v>61237590</v>
      </c>
    </row>
    <row r="138" spans="1:7" ht="16.5" x14ac:dyDescent="0.25">
      <c r="A138" s="21" t="s">
        <v>66</v>
      </c>
      <c r="B138" s="21" t="s">
        <v>29</v>
      </c>
      <c r="C138" s="26" t="s">
        <v>163</v>
      </c>
      <c r="D138" s="49" t="s">
        <v>91</v>
      </c>
      <c r="E138" s="81">
        <f>'1,1COMPLPORZONA'!J97</f>
        <v>356</v>
      </c>
      <c r="F138" s="81">
        <f t="shared" si="3"/>
        <v>45924</v>
      </c>
      <c r="G138" s="95">
        <f>'1,1COMPLPORZONA'!W97</f>
        <v>248494764</v>
      </c>
    </row>
    <row r="139" spans="1:7" ht="16.5" x14ac:dyDescent="0.25">
      <c r="A139" s="21" t="s">
        <v>66</v>
      </c>
      <c r="B139" s="21" t="s">
        <v>29</v>
      </c>
      <c r="C139" s="26" t="s">
        <v>163</v>
      </c>
      <c r="D139" s="49" t="s">
        <v>89</v>
      </c>
      <c r="E139" s="81">
        <f>'1,1COMPLPORZONA'!J98</f>
        <v>112</v>
      </c>
      <c r="F139" s="81">
        <f t="shared" si="3"/>
        <v>14448</v>
      </c>
      <c r="G139" s="95">
        <f>'1,1COMPLPORZONA'!W98</f>
        <v>108677856</v>
      </c>
    </row>
    <row r="140" spans="1:7" ht="16.5" x14ac:dyDescent="0.25">
      <c r="A140" s="21" t="s">
        <v>66</v>
      </c>
      <c r="B140" s="36" t="s">
        <v>30</v>
      </c>
      <c r="C140" s="26" t="s">
        <v>58</v>
      </c>
      <c r="D140" s="49" t="s">
        <v>108</v>
      </c>
      <c r="E140" s="81">
        <f>'1,1COMPLPORZONA'!J99</f>
        <v>555</v>
      </c>
      <c r="F140" s="81">
        <f t="shared" si="3"/>
        <v>71595</v>
      </c>
      <c r="G140" s="95">
        <f>'1,1COMPLPORZONA'!W99</f>
        <v>330592944</v>
      </c>
    </row>
    <row r="141" spans="1:7" ht="16.5" x14ac:dyDescent="0.25">
      <c r="A141" s="21" t="s">
        <v>66</v>
      </c>
      <c r="B141" s="36" t="s">
        <v>30</v>
      </c>
      <c r="C141" s="26" t="s">
        <v>58</v>
      </c>
      <c r="D141" s="49" t="s">
        <v>89</v>
      </c>
      <c r="E141" s="81">
        <f>'1,1COMPLPORZONA'!J100</f>
        <v>58</v>
      </c>
      <c r="F141" s="81">
        <f t="shared" si="3"/>
        <v>7482</v>
      </c>
      <c r="G141" s="95">
        <f>'1,1COMPLPORZONA'!W100</f>
        <v>47997030</v>
      </c>
    </row>
    <row r="142" spans="1:7" ht="16.5" x14ac:dyDescent="0.25">
      <c r="A142" s="21" t="s">
        <v>66</v>
      </c>
      <c r="B142" s="21" t="s">
        <v>30</v>
      </c>
      <c r="C142" s="26" t="s">
        <v>93</v>
      </c>
      <c r="D142" s="49" t="s">
        <v>91</v>
      </c>
      <c r="E142" s="81">
        <f>'1,1COMPLPORZONA'!J101</f>
        <v>300</v>
      </c>
      <c r="F142" s="81">
        <f t="shared" si="3"/>
        <v>38700</v>
      </c>
      <c r="G142" s="95">
        <f>'1,1COMPLPORZONA'!W101</f>
        <v>212811300</v>
      </c>
    </row>
    <row r="143" spans="1:7" ht="16.5" x14ac:dyDescent="0.25">
      <c r="A143" s="21" t="s">
        <v>68</v>
      </c>
      <c r="B143" s="21" t="s">
        <v>92</v>
      </c>
      <c r="C143" s="26" t="s">
        <v>58</v>
      </c>
      <c r="D143" s="26" t="s">
        <v>90</v>
      </c>
      <c r="E143" s="81">
        <f>'1,1COMPLPORZONA'!J102+'1,1COMPLPORZONA'!J103</f>
        <v>8831</v>
      </c>
      <c r="F143" s="81">
        <f t="shared" si="3"/>
        <v>1139199</v>
      </c>
      <c r="G143" s="95">
        <f>'1,1COMPLPORZONA'!W102+'1,1COMPLPORZONA'!W103</f>
        <v>4259564649</v>
      </c>
    </row>
    <row r="144" spans="1:7" ht="16.5" x14ac:dyDescent="0.25">
      <c r="A144" s="21" t="s">
        <v>68</v>
      </c>
      <c r="B144" s="21" t="s">
        <v>92</v>
      </c>
      <c r="C144" s="26" t="s">
        <v>58</v>
      </c>
      <c r="D144" s="49" t="s">
        <v>89</v>
      </c>
      <c r="E144" s="81">
        <f>'1,1COMPLPORZONA'!J104</f>
        <v>1077</v>
      </c>
      <c r="F144" s="81">
        <f t="shared" si="3"/>
        <v>138933</v>
      </c>
      <c r="G144" s="95">
        <f>'1,1COMPLPORZONA'!W104</f>
        <v>735422421</v>
      </c>
    </row>
    <row r="145" spans="1:7" ht="16.5" x14ac:dyDescent="0.25">
      <c r="A145" s="21" t="s">
        <v>68</v>
      </c>
      <c r="B145" s="21" t="s">
        <v>92</v>
      </c>
      <c r="C145" s="26" t="s">
        <v>170</v>
      </c>
      <c r="D145" s="49" t="s">
        <v>91</v>
      </c>
      <c r="E145" s="81">
        <f>'1,1COMPLPORZONA'!J105</f>
        <v>1612</v>
      </c>
      <c r="F145" s="81">
        <f t="shared" si="3"/>
        <v>207948</v>
      </c>
      <c r="G145" s="95">
        <f>'1,1COMPLPORZONA'!W105</f>
        <v>1125206628</v>
      </c>
    </row>
    <row r="146" spans="1:7" ht="16.5" x14ac:dyDescent="0.25">
      <c r="A146" s="21" t="s">
        <v>68</v>
      </c>
      <c r="B146" s="21" t="s">
        <v>92</v>
      </c>
      <c r="C146" s="26" t="s">
        <v>171</v>
      </c>
      <c r="D146" s="49" t="s">
        <v>91</v>
      </c>
      <c r="E146" s="81">
        <f>'1,1COMPLPORZONA'!J106</f>
        <v>465</v>
      </c>
      <c r="F146" s="81">
        <f t="shared" si="3"/>
        <v>59985</v>
      </c>
      <c r="G146" s="95">
        <f>'1,1COMPLPORZONA'!W106</f>
        <v>324578835</v>
      </c>
    </row>
    <row r="147" spans="1:7" ht="16.5" x14ac:dyDescent="0.25">
      <c r="A147" s="21" t="s">
        <v>68</v>
      </c>
      <c r="B147" s="21" t="s">
        <v>92</v>
      </c>
      <c r="C147" s="26" t="s">
        <v>172</v>
      </c>
      <c r="D147" s="49" t="s">
        <v>91</v>
      </c>
      <c r="E147" s="81">
        <f>'1,1COMPLPORZONA'!J107</f>
        <v>441</v>
      </c>
      <c r="F147" s="81">
        <f t="shared" si="3"/>
        <v>56889</v>
      </c>
      <c r="G147" s="95">
        <f>'1,1COMPLPORZONA'!W107</f>
        <v>307826379</v>
      </c>
    </row>
    <row r="148" spans="1:7" ht="16.5" x14ac:dyDescent="0.25">
      <c r="A148" s="21" t="s">
        <v>68</v>
      </c>
      <c r="B148" s="21" t="s">
        <v>92</v>
      </c>
      <c r="C148" s="26" t="s">
        <v>173</v>
      </c>
      <c r="D148" s="49" t="s">
        <v>91</v>
      </c>
      <c r="E148" s="81">
        <f>'1,1COMPLPORZONA'!J108</f>
        <v>937</v>
      </c>
      <c r="F148" s="81">
        <f t="shared" si="3"/>
        <v>120873</v>
      </c>
      <c r="G148" s="95">
        <f>'1,1COMPLPORZONA'!W108</f>
        <v>654043803</v>
      </c>
    </row>
    <row r="149" spans="1:7" ht="16.5" x14ac:dyDescent="0.25">
      <c r="A149" s="21" t="s">
        <v>69</v>
      </c>
      <c r="B149" s="21" t="s">
        <v>31</v>
      </c>
      <c r="C149" s="26" t="s">
        <v>58</v>
      </c>
      <c r="D149" s="49" t="s">
        <v>90</v>
      </c>
      <c r="E149" s="81">
        <f>'1,1COMPLPORZONA'!J109</f>
        <v>1371</v>
      </c>
      <c r="F149" s="81">
        <f t="shared" si="3"/>
        <v>176859</v>
      </c>
      <c r="G149" s="95">
        <f>'1,1COMPLPORZONA'!W109</f>
        <v>727243434</v>
      </c>
    </row>
    <row r="150" spans="1:7" ht="16.5" x14ac:dyDescent="0.25">
      <c r="A150" s="21" t="s">
        <v>69</v>
      </c>
      <c r="B150" s="21" t="s">
        <v>31</v>
      </c>
      <c r="C150" s="26" t="s">
        <v>58</v>
      </c>
      <c r="D150" s="49" t="s">
        <v>89</v>
      </c>
      <c r="E150" s="81">
        <f>'1,1COMPLPORZONA'!J110</f>
        <v>465</v>
      </c>
      <c r="F150" s="81">
        <f t="shared" si="3"/>
        <v>59985</v>
      </c>
      <c r="G150" s="95">
        <f>'1,1COMPLPORZONA'!W110</f>
        <v>384488370</v>
      </c>
    </row>
    <row r="151" spans="1:7" ht="16.5" x14ac:dyDescent="0.25">
      <c r="A151" s="21" t="s">
        <v>69</v>
      </c>
      <c r="B151" s="21" t="s">
        <v>31</v>
      </c>
      <c r="C151" s="26" t="s">
        <v>174</v>
      </c>
      <c r="D151" s="49" t="s">
        <v>91</v>
      </c>
      <c r="E151" s="81">
        <f>'1,1COMPLPORZONA'!J111</f>
        <v>585</v>
      </c>
      <c r="F151" s="81">
        <f t="shared" si="3"/>
        <v>75465</v>
      </c>
      <c r="G151" s="95">
        <f>'1,1COMPLPORZONA'!W111</f>
        <v>440564670</v>
      </c>
    </row>
    <row r="152" spans="1:7" ht="16.5" x14ac:dyDescent="0.25">
      <c r="A152" s="21" t="s">
        <v>69</v>
      </c>
      <c r="B152" s="21" t="s">
        <v>31</v>
      </c>
      <c r="C152" s="26" t="s">
        <v>168</v>
      </c>
      <c r="D152" s="49" t="s">
        <v>91</v>
      </c>
      <c r="E152" s="81">
        <f>'1,1COMPLPORZONA'!J112</f>
        <v>2082</v>
      </c>
      <c r="F152" s="81">
        <f t="shared" si="3"/>
        <v>268578</v>
      </c>
      <c r="G152" s="95">
        <f>'1,1COMPLPORZONA'!W112</f>
        <v>1453275558</v>
      </c>
    </row>
    <row r="153" spans="1:7" ht="16.5" x14ac:dyDescent="0.25">
      <c r="A153" s="21" t="s">
        <v>69</v>
      </c>
      <c r="B153" s="21" t="s">
        <v>31</v>
      </c>
      <c r="C153" s="26" t="s">
        <v>94</v>
      </c>
      <c r="D153" s="49" t="s">
        <v>91</v>
      </c>
      <c r="E153" s="81">
        <f>'1,1COMPLPORZONA'!J113</f>
        <v>1249</v>
      </c>
      <c r="F153" s="81">
        <f t="shared" si="3"/>
        <v>161121</v>
      </c>
      <c r="G153" s="95">
        <f>'1,1COMPLPORZONA'!W113</f>
        <v>867636585</v>
      </c>
    </row>
    <row r="154" spans="1:7" ht="16.5" x14ac:dyDescent="0.25">
      <c r="A154" s="21" t="s">
        <v>69</v>
      </c>
      <c r="B154" s="21" t="s">
        <v>31</v>
      </c>
      <c r="C154" s="26" t="s">
        <v>94</v>
      </c>
      <c r="D154" s="49" t="s">
        <v>89</v>
      </c>
      <c r="E154" s="81">
        <f>'1,1COMPLPORZONA'!J114</f>
        <v>426</v>
      </c>
      <c r="F154" s="81">
        <f t="shared" si="3"/>
        <v>54954</v>
      </c>
      <c r="G154" s="95">
        <f>'1,1COMPLPORZONA'!W114</f>
        <v>319227786</v>
      </c>
    </row>
    <row r="155" spans="1:7" ht="16.5" x14ac:dyDescent="0.25">
      <c r="A155" s="21" t="s">
        <v>69</v>
      </c>
      <c r="B155" s="21" t="s">
        <v>32</v>
      </c>
      <c r="C155" s="26" t="s">
        <v>58</v>
      </c>
      <c r="D155" s="26" t="s">
        <v>90</v>
      </c>
      <c r="E155" s="81">
        <f>'1,1COMPLPORZONA'!J115</f>
        <v>442</v>
      </c>
      <c r="F155" s="81">
        <f t="shared" si="3"/>
        <v>57018</v>
      </c>
      <c r="G155" s="95">
        <f>'1,1COMPLPORZONA'!W115</f>
        <v>236816652</v>
      </c>
    </row>
    <row r="156" spans="1:7" ht="16.5" x14ac:dyDescent="0.25">
      <c r="A156" s="21" t="s">
        <v>69</v>
      </c>
      <c r="B156" s="21" t="s">
        <v>32</v>
      </c>
      <c r="C156" s="26" t="s">
        <v>58</v>
      </c>
      <c r="D156" s="26" t="s">
        <v>89</v>
      </c>
      <c r="E156" s="81">
        <f>'1,1COMPLPORZONA'!J116</f>
        <v>486</v>
      </c>
      <c r="F156" s="81">
        <f t="shared" si="3"/>
        <v>62694</v>
      </c>
      <c r="G156" s="95">
        <f>'1,1COMPLPORZONA'!W116</f>
        <v>359818023</v>
      </c>
    </row>
    <row r="157" spans="1:7" ht="16.5" x14ac:dyDescent="0.25">
      <c r="A157" s="21" t="s">
        <v>69</v>
      </c>
      <c r="B157" s="21" t="s">
        <v>32</v>
      </c>
      <c r="C157" s="26" t="s">
        <v>163</v>
      </c>
      <c r="D157" s="26" t="s">
        <v>91</v>
      </c>
      <c r="E157" s="81">
        <f>'1,1COMPLPORZONA'!J117</f>
        <v>225</v>
      </c>
      <c r="F157" s="81">
        <f t="shared" si="3"/>
        <v>29025</v>
      </c>
      <c r="G157" s="95">
        <f>'1,1COMPLPORZONA'!W117</f>
        <v>157054275</v>
      </c>
    </row>
    <row r="158" spans="1:7" ht="16.5" x14ac:dyDescent="0.25">
      <c r="A158" s="21" t="s">
        <v>68</v>
      </c>
      <c r="B158" s="36" t="s">
        <v>33</v>
      </c>
      <c r="C158" s="26" t="s">
        <v>58</v>
      </c>
      <c r="D158" s="49" t="s">
        <v>58</v>
      </c>
      <c r="E158" s="81">
        <f>'1,1COMPLPORZONA'!J118</f>
        <v>3466</v>
      </c>
      <c r="F158" s="81">
        <f t="shared" si="3"/>
        <v>447114</v>
      </c>
      <c r="G158" s="95">
        <f>'1,1COMPLPORZONA'!W118</f>
        <v>1671331869</v>
      </c>
    </row>
    <row r="159" spans="1:7" ht="16.5" x14ac:dyDescent="0.25">
      <c r="A159" s="21" t="s">
        <v>68</v>
      </c>
      <c r="B159" s="36" t="s">
        <v>33</v>
      </c>
      <c r="C159" s="26" t="s">
        <v>58</v>
      </c>
      <c r="D159" s="49" t="s">
        <v>58</v>
      </c>
      <c r="E159" s="81">
        <f>'1,1COMPLPORZONA'!J119</f>
        <v>189</v>
      </c>
      <c r="F159" s="81">
        <f t="shared" si="3"/>
        <v>24381</v>
      </c>
      <c r="G159" s="95">
        <f>'1,1COMPLPORZONA'!W119</f>
        <v>147139335</v>
      </c>
    </row>
    <row r="160" spans="1:7" ht="16.5" x14ac:dyDescent="0.25">
      <c r="A160" s="21" t="s">
        <v>68</v>
      </c>
      <c r="B160" s="21" t="s">
        <v>33</v>
      </c>
      <c r="C160" s="26" t="s">
        <v>93</v>
      </c>
      <c r="D160" s="49" t="s">
        <v>175</v>
      </c>
      <c r="E160" s="81">
        <f>'1,1COMPLPORZONA'!J120</f>
        <v>1163</v>
      </c>
      <c r="F160" s="81">
        <f t="shared" si="3"/>
        <v>150027</v>
      </c>
      <c r="G160" s="95">
        <f>'1,1COMPLPORZONA'!W120</f>
        <v>811796097</v>
      </c>
    </row>
    <row r="161" spans="1:7" ht="16.5" x14ac:dyDescent="0.25">
      <c r="A161" s="21" t="s">
        <v>67</v>
      </c>
      <c r="B161" s="36" t="s">
        <v>34</v>
      </c>
      <c r="C161" s="26" t="s">
        <v>58</v>
      </c>
      <c r="D161" s="49" t="s">
        <v>108</v>
      </c>
      <c r="E161" s="81">
        <f>'1,1COMPLPORZONA'!J121</f>
        <v>663</v>
      </c>
      <c r="F161" s="81">
        <f t="shared" si="3"/>
        <v>85527</v>
      </c>
      <c r="G161" s="95">
        <f>'1,1COMPLPORZONA'!W121</f>
        <v>383339883</v>
      </c>
    </row>
    <row r="162" spans="1:7" ht="16.5" x14ac:dyDescent="0.25">
      <c r="A162" s="21" t="s">
        <v>67</v>
      </c>
      <c r="B162" s="36" t="s">
        <v>34</v>
      </c>
      <c r="C162" s="26" t="s">
        <v>58</v>
      </c>
      <c r="D162" s="49" t="s">
        <v>89</v>
      </c>
      <c r="E162" s="81">
        <f>'1,1COMPLPORZONA'!J122</f>
        <v>81</v>
      </c>
      <c r="F162" s="81">
        <f t="shared" si="3"/>
        <v>10449</v>
      </c>
      <c r="G162" s="95">
        <f>'1,1COMPLPORZONA'!W122</f>
        <v>66706416</v>
      </c>
    </row>
    <row r="163" spans="1:7" ht="16.5" x14ac:dyDescent="0.25">
      <c r="A163" s="21" t="s">
        <v>66</v>
      </c>
      <c r="B163" s="36" t="s">
        <v>35</v>
      </c>
      <c r="C163" s="26" t="s">
        <v>58</v>
      </c>
      <c r="D163" s="49" t="s">
        <v>108</v>
      </c>
      <c r="E163" s="81">
        <f>'1,1COMPLPORZONA'!J123</f>
        <v>3060</v>
      </c>
      <c r="F163" s="81">
        <f t="shared" si="3"/>
        <v>394740</v>
      </c>
      <c r="G163" s="95">
        <f>'1,1COMPLPORZONA'!W123</f>
        <v>1787062671</v>
      </c>
    </row>
    <row r="164" spans="1:7" ht="16.5" x14ac:dyDescent="0.25">
      <c r="A164" s="21" t="s">
        <v>66</v>
      </c>
      <c r="B164" s="36" t="s">
        <v>35</v>
      </c>
      <c r="C164" s="26" t="s">
        <v>58</v>
      </c>
      <c r="D164" s="49" t="s">
        <v>89</v>
      </c>
      <c r="E164" s="81">
        <f>'1,1COMPLPORZONA'!J124</f>
        <v>1058</v>
      </c>
      <c r="F164" s="81">
        <f t="shared" si="3"/>
        <v>136482</v>
      </c>
      <c r="G164" s="95">
        <f>'1,1COMPLPORZONA'!W124</f>
        <v>833289819</v>
      </c>
    </row>
    <row r="165" spans="1:7" ht="16.5" x14ac:dyDescent="0.25">
      <c r="A165" s="21" t="s">
        <v>66</v>
      </c>
      <c r="B165" s="21" t="s">
        <v>35</v>
      </c>
      <c r="C165" s="26" t="s">
        <v>161</v>
      </c>
      <c r="D165" s="49" t="s">
        <v>91</v>
      </c>
      <c r="E165" s="81">
        <f>'1,1COMPLPORZONA'!J125</f>
        <v>147</v>
      </c>
      <c r="F165" s="81">
        <f t="shared" si="3"/>
        <v>18963</v>
      </c>
      <c r="G165" s="95">
        <f>'1,1COMPLPORZONA'!W125</f>
        <v>102608793</v>
      </c>
    </row>
    <row r="166" spans="1:7" ht="16.5" x14ac:dyDescent="0.25">
      <c r="A166" s="21" t="s">
        <v>57</v>
      </c>
      <c r="B166" s="22" t="s">
        <v>83</v>
      </c>
      <c r="C166" s="26" t="s">
        <v>58</v>
      </c>
      <c r="D166" s="49" t="s">
        <v>90</v>
      </c>
      <c r="E166" s="81">
        <f>'1,1COMPLPORZONA'!J126</f>
        <v>1796</v>
      </c>
      <c r="F166" s="81">
        <f t="shared" si="3"/>
        <v>231684</v>
      </c>
      <c r="G166" s="95">
        <f>'1,1COMPLPORZONA'!W126</f>
        <v>1124873421</v>
      </c>
    </row>
    <row r="167" spans="1:7" ht="16.5" x14ac:dyDescent="0.25">
      <c r="A167" s="21" t="s">
        <v>57</v>
      </c>
      <c r="B167" s="22" t="s">
        <v>83</v>
      </c>
      <c r="C167" s="26" t="s">
        <v>58</v>
      </c>
      <c r="D167" s="49" t="s">
        <v>89</v>
      </c>
      <c r="E167" s="81">
        <f>'1,1COMPLPORZONA'!J127</f>
        <v>455</v>
      </c>
      <c r="F167" s="81">
        <f t="shared" si="3"/>
        <v>58695</v>
      </c>
      <c r="G167" s="95">
        <f>'1,1COMPLPORZONA'!W127</f>
        <v>388037160</v>
      </c>
    </row>
    <row r="168" spans="1:7" ht="16.5" x14ac:dyDescent="0.25">
      <c r="A168" s="21" t="s">
        <v>57</v>
      </c>
      <c r="B168" s="22" t="s">
        <v>83</v>
      </c>
      <c r="C168" s="26" t="s">
        <v>176</v>
      </c>
      <c r="D168" s="49" t="s">
        <v>91</v>
      </c>
      <c r="E168" s="81">
        <f>'1,1COMPLPORZONA'!J128</f>
        <v>976</v>
      </c>
      <c r="F168" s="81">
        <f t="shared" si="3"/>
        <v>125904</v>
      </c>
      <c r="G168" s="95">
        <f>'1,1COMPLPORZONA'!W128</f>
        <v>723066672</v>
      </c>
    </row>
    <row r="169" spans="1:7" ht="16.5" x14ac:dyDescent="0.25">
      <c r="A169" s="21" t="s">
        <v>57</v>
      </c>
      <c r="B169" s="22" t="s">
        <v>83</v>
      </c>
      <c r="C169" s="26" t="s">
        <v>165</v>
      </c>
      <c r="D169" s="49" t="s">
        <v>91</v>
      </c>
      <c r="E169" s="81">
        <f>'1,1COMPLPORZONA'!J129</f>
        <v>553</v>
      </c>
      <c r="F169" s="81">
        <f t="shared" si="3"/>
        <v>71337</v>
      </c>
      <c r="G169" s="95">
        <f>'1,1COMPLPORZONA'!W129</f>
        <v>409688391</v>
      </c>
    </row>
    <row r="170" spans="1:7" ht="16.5" x14ac:dyDescent="0.25">
      <c r="A170" s="34" t="s">
        <v>68</v>
      </c>
      <c r="B170" s="21" t="s">
        <v>36</v>
      </c>
      <c r="C170" s="26" t="s">
        <v>93</v>
      </c>
      <c r="D170" s="49" t="s">
        <v>91</v>
      </c>
      <c r="E170" s="81">
        <f>'1,1COMPLPORZONA'!J130</f>
        <v>6278</v>
      </c>
      <c r="F170" s="81">
        <f t="shared" si="3"/>
        <v>809862</v>
      </c>
      <c r="G170" s="95">
        <f>'1,1COMPLPORZONA'!W130</f>
        <v>4382163282</v>
      </c>
    </row>
    <row r="171" spans="1:7" ht="16.5" x14ac:dyDescent="0.25">
      <c r="A171" s="34" t="s">
        <v>70</v>
      </c>
      <c r="B171" s="21" t="s">
        <v>37</v>
      </c>
      <c r="C171" s="26" t="s">
        <v>94</v>
      </c>
      <c r="D171" s="49" t="s">
        <v>91</v>
      </c>
      <c r="E171" s="81">
        <f>'1,1COMPLPORZONA'!J131</f>
        <v>214</v>
      </c>
      <c r="F171" s="81">
        <f t="shared" si="3"/>
        <v>27606</v>
      </c>
      <c r="G171" s="95">
        <f>'1,1COMPLPORZONA'!W131</f>
        <v>148658310</v>
      </c>
    </row>
    <row r="172" spans="1:7" ht="16.5" x14ac:dyDescent="0.25">
      <c r="A172" s="34" t="s">
        <v>70</v>
      </c>
      <c r="B172" s="21" t="s">
        <v>37</v>
      </c>
      <c r="C172" s="26" t="s">
        <v>177</v>
      </c>
      <c r="D172" s="49" t="s">
        <v>91</v>
      </c>
      <c r="E172" s="81">
        <f>'1,1COMPLPORZONA'!J132</f>
        <v>1135</v>
      </c>
      <c r="F172" s="81">
        <f t="shared" si="3"/>
        <v>146415</v>
      </c>
      <c r="G172" s="95">
        <f>'1,1COMPLPORZONA'!W132</f>
        <v>792251565</v>
      </c>
    </row>
    <row r="173" spans="1:7" ht="16.5" x14ac:dyDescent="0.25">
      <c r="A173" s="34" t="s">
        <v>70</v>
      </c>
      <c r="B173" s="21" t="s">
        <v>37</v>
      </c>
      <c r="C173" s="26" t="s">
        <v>177</v>
      </c>
      <c r="D173" s="49" t="s">
        <v>89</v>
      </c>
      <c r="E173" s="81">
        <f>'1,1COMPLPORZONA'!J133</f>
        <v>1181</v>
      </c>
      <c r="F173" s="81">
        <f t="shared" si="3"/>
        <v>152349</v>
      </c>
      <c r="G173" s="95">
        <f>'1,1COMPLPORZONA'!W133</f>
        <v>890022858</v>
      </c>
    </row>
    <row r="174" spans="1:7" ht="16.5" x14ac:dyDescent="0.25">
      <c r="A174" s="34" t="s">
        <v>70</v>
      </c>
      <c r="B174" s="21" t="s">
        <v>37</v>
      </c>
      <c r="C174" s="26" t="s">
        <v>168</v>
      </c>
      <c r="D174" s="49" t="s">
        <v>91</v>
      </c>
      <c r="E174" s="81">
        <f>'1,1COMPLPORZONA'!J134</f>
        <v>1377</v>
      </c>
      <c r="F174" s="81">
        <f t="shared" si="3"/>
        <v>177633</v>
      </c>
      <c r="G174" s="95">
        <f>'1,1COMPLPORZONA'!W134</f>
        <v>961172163</v>
      </c>
    </row>
    <row r="175" spans="1:7" ht="16.5" x14ac:dyDescent="0.25">
      <c r="A175" s="34" t="s">
        <v>68</v>
      </c>
      <c r="B175" s="36" t="s">
        <v>85</v>
      </c>
      <c r="C175" s="26" t="s">
        <v>198</v>
      </c>
      <c r="D175" s="26" t="s">
        <v>90</v>
      </c>
      <c r="E175" s="81">
        <f>'1,1COMPLPORZONA'!J135</f>
        <v>2119</v>
      </c>
      <c r="F175" s="81">
        <f t="shared" si="3"/>
        <v>273351</v>
      </c>
      <c r="G175" s="95">
        <f>'1,1COMPLPORZONA'!W135</f>
        <v>1032788190</v>
      </c>
    </row>
    <row r="176" spans="1:7" ht="16.5" x14ac:dyDescent="0.25">
      <c r="A176" s="21" t="s">
        <v>68</v>
      </c>
      <c r="B176" s="36" t="s">
        <v>85</v>
      </c>
      <c r="C176" s="26" t="s">
        <v>198</v>
      </c>
      <c r="D176" s="26" t="s">
        <v>89</v>
      </c>
      <c r="E176" s="81">
        <f>'1,1COMPLPORZONA'!J136</f>
        <v>335</v>
      </c>
      <c r="F176" s="81">
        <f t="shared" si="3"/>
        <v>43215</v>
      </c>
      <c r="G176" s="95">
        <f>'1,1COMPLPORZONA'!W136</f>
        <v>259938225</v>
      </c>
    </row>
    <row r="177" spans="1:8" ht="16.5" x14ac:dyDescent="0.3">
      <c r="A177" s="285" t="s">
        <v>81</v>
      </c>
      <c r="B177" s="285"/>
      <c r="C177" s="285"/>
      <c r="D177" s="285"/>
      <c r="E177" s="51">
        <f>SUM(E54:E176)</f>
        <v>162111</v>
      </c>
      <c r="F177" s="51">
        <f>SUM(F54:F176)</f>
        <v>20912319</v>
      </c>
      <c r="G177" s="85">
        <f>SUM(G54:G176)</f>
        <v>100730477535</v>
      </c>
      <c r="H177" s="61"/>
    </row>
    <row r="180" spans="1:8" ht="16.5" x14ac:dyDescent="0.3">
      <c r="A180" s="288" t="s">
        <v>72</v>
      </c>
      <c r="B180" s="284"/>
      <c r="C180" s="284"/>
      <c r="D180" s="284"/>
      <c r="E180" s="284"/>
      <c r="F180" s="284"/>
    </row>
    <row r="181" spans="1:8" ht="16.5" x14ac:dyDescent="0.25">
      <c r="A181" s="1" t="s">
        <v>65</v>
      </c>
      <c r="B181" s="1" t="s">
        <v>64</v>
      </c>
      <c r="C181" s="1" t="s">
        <v>48</v>
      </c>
      <c r="D181" s="1" t="s">
        <v>40</v>
      </c>
      <c r="E181" s="1" t="s">
        <v>52</v>
      </c>
      <c r="F181" s="1" t="s">
        <v>49</v>
      </c>
    </row>
    <row r="182" spans="1:8" ht="51" x14ac:dyDescent="0.25">
      <c r="A182" s="251" t="s">
        <v>50</v>
      </c>
      <c r="B182" s="63" t="s">
        <v>138</v>
      </c>
      <c r="C182" s="14">
        <v>1</v>
      </c>
      <c r="D182" s="8">
        <v>3136000.0000000005</v>
      </c>
      <c r="E182" s="14">
        <v>12</v>
      </c>
      <c r="F182" s="8">
        <f>C182*D182*E182</f>
        <v>37632000.000000007</v>
      </c>
    </row>
    <row r="183" spans="1:8" ht="41.25" customHeight="1" x14ac:dyDescent="0.25">
      <c r="A183" s="252"/>
      <c r="B183" s="63" t="s">
        <v>151</v>
      </c>
      <c r="C183" s="14">
        <v>2</v>
      </c>
      <c r="D183" s="8">
        <v>2800000.0000000005</v>
      </c>
      <c r="E183" s="14">
        <v>12</v>
      </c>
      <c r="F183" s="8">
        <f>C183*D183*E183</f>
        <v>67200000.000000015</v>
      </c>
    </row>
    <row r="184" spans="1:8" ht="39" customHeight="1" x14ac:dyDescent="0.25">
      <c r="A184" s="252"/>
      <c r="B184" s="63" t="s">
        <v>145</v>
      </c>
      <c r="C184" s="14">
        <v>1</v>
      </c>
      <c r="D184" s="8">
        <v>4704000</v>
      </c>
      <c r="E184" s="14">
        <v>12</v>
      </c>
      <c r="F184" s="8">
        <f>C184*D184*E184</f>
        <v>56448000</v>
      </c>
    </row>
    <row r="185" spans="1:8" ht="52.5" customHeight="1" x14ac:dyDescent="0.25">
      <c r="A185" s="252"/>
      <c r="B185" s="64" t="s">
        <v>141</v>
      </c>
      <c r="C185" s="14">
        <v>1</v>
      </c>
      <c r="D185" s="8">
        <v>4256000</v>
      </c>
      <c r="E185" s="14">
        <v>12</v>
      </c>
      <c r="F185" s="8">
        <f t="shared" ref="F185:F193" si="4">C185*D185*E185</f>
        <v>51072000</v>
      </c>
    </row>
    <row r="186" spans="1:8" ht="51.75" customHeight="1" x14ac:dyDescent="0.25">
      <c r="A186" s="252"/>
      <c r="B186" s="63" t="s">
        <v>146</v>
      </c>
      <c r="C186" s="14">
        <v>1</v>
      </c>
      <c r="D186" s="8">
        <v>4256000</v>
      </c>
      <c r="E186" s="14">
        <v>12</v>
      </c>
      <c r="F186" s="8">
        <f t="shared" si="4"/>
        <v>51072000</v>
      </c>
    </row>
    <row r="187" spans="1:8" ht="40.5" customHeight="1" x14ac:dyDescent="0.25">
      <c r="A187" s="252"/>
      <c r="B187" s="63" t="s">
        <v>147</v>
      </c>
      <c r="C187" s="14">
        <v>1</v>
      </c>
      <c r="D187" s="8">
        <v>4256000</v>
      </c>
      <c r="E187" s="14">
        <v>12</v>
      </c>
      <c r="F187" s="8">
        <f t="shared" si="4"/>
        <v>51072000</v>
      </c>
    </row>
    <row r="188" spans="1:8" ht="42.75" customHeight="1" x14ac:dyDescent="0.25">
      <c r="A188" s="253"/>
      <c r="B188" s="63" t="s">
        <v>148</v>
      </c>
      <c r="C188" s="14">
        <v>1</v>
      </c>
      <c r="D188" s="8">
        <v>4256000</v>
      </c>
      <c r="E188" s="14">
        <v>12</v>
      </c>
      <c r="F188" s="8">
        <f t="shared" si="4"/>
        <v>51072000</v>
      </c>
    </row>
    <row r="189" spans="1:8" ht="43.5" customHeight="1" x14ac:dyDescent="0.25">
      <c r="A189" s="251" t="s">
        <v>155</v>
      </c>
      <c r="B189" s="63" t="s">
        <v>149</v>
      </c>
      <c r="C189" s="14">
        <v>2</v>
      </c>
      <c r="D189" s="8">
        <v>4256000</v>
      </c>
      <c r="E189" s="14">
        <v>12</v>
      </c>
      <c r="F189" s="8">
        <f t="shared" si="4"/>
        <v>102144000</v>
      </c>
    </row>
    <row r="190" spans="1:8" ht="66.75" customHeight="1" x14ac:dyDescent="0.25">
      <c r="A190" s="252"/>
      <c r="B190" s="63" t="s">
        <v>150</v>
      </c>
      <c r="C190" s="14">
        <v>3</v>
      </c>
      <c r="D190" s="8">
        <v>4256000</v>
      </c>
      <c r="E190" s="14">
        <v>12</v>
      </c>
      <c r="F190" s="8">
        <f t="shared" si="4"/>
        <v>153216000</v>
      </c>
    </row>
    <row r="191" spans="1:8" ht="65.25" customHeight="1" x14ac:dyDescent="0.25">
      <c r="A191" s="252"/>
      <c r="B191" s="63" t="s">
        <v>152</v>
      </c>
      <c r="C191" s="10">
        <v>10</v>
      </c>
      <c r="D191" s="8">
        <v>4256000</v>
      </c>
      <c r="E191" s="14">
        <v>12</v>
      </c>
      <c r="F191" s="8">
        <f t="shared" si="4"/>
        <v>510720000</v>
      </c>
    </row>
    <row r="192" spans="1:8" ht="69.75" customHeight="1" x14ac:dyDescent="0.25">
      <c r="A192" s="252"/>
      <c r="B192" s="63" t="s">
        <v>153</v>
      </c>
      <c r="C192" s="14">
        <v>3</v>
      </c>
      <c r="D192" s="8">
        <v>4256000</v>
      </c>
      <c r="E192" s="14">
        <v>12</v>
      </c>
      <c r="F192" s="8">
        <f t="shared" si="4"/>
        <v>153216000</v>
      </c>
    </row>
    <row r="193" spans="1:11" ht="52.5" customHeight="1" x14ac:dyDescent="0.25">
      <c r="A193" s="253"/>
      <c r="B193" s="63" t="s">
        <v>154</v>
      </c>
      <c r="C193" s="14">
        <v>4</v>
      </c>
      <c r="D193" s="8">
        <v>4256000</v>
      </c>
      <c r="E193" s="14">
        <v>12</v>
      </c>
      <c r="F193" s="8">
        <f t="shared" si="4"/>
        <v>204288000</v>
      </c>
    </row>
    <row r="194" spans="1:11" ht="16.5" x14ac:dyDescent="0.3">
      <c r="A194" s="5" t="s">
        <v>54</v>
      </c>
      <c r="B194" s="6"/>
      <c r="C194" s="10">
        <f>SUM(C182:C193)</f>
        <v>30</v>
      </c>
      <c r="D194" s="9"/>
      <c r="E194" s="9"/>
      <c r="F194" s="13">
        <f>SUM(F182:F193)</f>
        <v>1489152000</v>
      </c>
    </row>
    <row r="197" spans="1:11" ht="16.5" x14ac:dyDescent="0.25">
      <c r="A197" s="245" t="s">
        <v>73</v>
      </c>
      <c r="B197" s="245"/>
      <c r="C197" s="245"/>
      <c r="D197" s="245"/>
      <c r="E197" s="245"/>
      <c r="F197" s="245"/>
    </row>
    <row r="198" spans="1:11" ht="23.25" x14ac:dyDescent="0.3">
      <c r="A198" s="3"/>
      <c r="B198" s="246" t="s">
        <v>73</v>
      </c>
      <c r="C198" s="246"/>
      <c r="D198" s="246"/>
      <c r="E198" s="246"/>
      <c r="F198" s="246"/>
      <c r="G198" s="246"/>
      <c r="H198" s="246"/>
      <c r="I198" s="246"/>
      <c r="J198" s="246"/>
      <c r="K198" s="246"/>
    </row>
    <row r="199" spans="1:11" ht="23.25" x14ac:dyDescent="0.3">
      <c r="A199" s="3"/>
      <c r="B199" s="247" t="s">
        <v>282</v>
      </c>
      <c r="C199" s="247"/>
      <c r="D199" s="247"/>
      <c r="E199" s="247"/>
      <c r="F199" s="247"/>
      <c r="G199" s="247"/>
      <c r="H199" s="247"/>
      <c r="I199" s="247"/>
      <c r="J199" s="247"/>
      <c r="K199" s="247"/>
    </row>
    <row r="200" spans="1:11" ht="16.5" x14ac:dyDescent="0.3">
      <c r="A200" s="3"/>
      <c r="B200" s="241" t="s">
        <v>281</v>
      </c>
      <c r="C200" s="241"/>
      <c r="D200" s="241"/>
      <c r="E200" s="241"/>
      <c r="F200" s="241"/>
      <c r="G200" s="241"/>
      <c r="H200" s="241"/>
      <c r="I200" s="241"/>
      <c r="J200" s="241"/>
      <c r="K200" s="241"/>
    </row>
    <row r="201" spans="1:11" ht="16.5" x14ac:dyDescent="0.3">
      <c r="A201" s="3"/>
      <c r="B201" s="136" t="s">
        <v>257</v>
      </c>
      <c r="C201" s="137">
        <v>1423500</v>
      </c>
      <c r="D201" s="241"/>
      <c r="E201" s="241"/>
      <c r="F201" s="241"/>
      <c r="G201" s="241"/>
      <c r="H201" s="241"/>
      <c r="I201" s="241"/>
      <c r="J201" s="241"/>
      <c r="K201" s="241"/>
    </row>
    <row r="202" spans="1:11" ht="45" x14ac:dyDescent="0.3">
      <c r="A202" s="3"/>
      <c r="B202" s="138" t="s">
        <v>258</v>
      </c>
      <c r="C202" s="138" t="s">
        <v>259</v>
      </c>
      <c r="D202" s="139" t="s">
        <v>122</v>
      </c>
      <c r="E202" s="139" t="s">
        <v>260</v>
      </c>
      <c r="F202" s="139" t="s">
        <v>261</v>
      </c>
      <c r="G202" s="139" t="s">
        <v>262</v>
      </c>
      <c r="H202" s="139" t="s">
        <v>263</v>
      </c>
      <c r="I202" s="139" t="s">
        <v>264</v>
      </c>
      <c r="J202" s="139" t="s">
        <v>265</v>
      </c>
      <c r="K202" s="140" t="s">
        <v>266</v>
      </c>
    </row>
    <row r="203" spans="1:11" ht="16.5" x14ac:dyDescent="0.3">
      <c r="A203" s="3"/>
      <c r="B203" s="141" t="s">
        <v>69</v>
      </c>
      <c r="C203" s="142" t="s">
        <v>6</v>
      </c>
      <c r="D203" s="143">
        <v>4500000</v>
      </c>
      <c r="E203" s="141">
        <v>30</v>
      </c>
      <c r="F203" s="141">
        <v>0</v>
      </c>
      <c r="G203" s="144">
        <v>0.05</v>
      </c>
      <c r="H203" s="145">
        <v>0</v>
      </c>
      <c r="I203" s="143">
        <f>(C$201*G203)*E203</f>
        <v>2135250</v>
      </c>
      <c r="J203" s="146">
        <f>(C$201*H203)*F203</f>
        <v>0</v>
      </c>
      <c r="K203" s="147">
        <f t="shared" ref="K203:K210" si="5">+D203+I203+J203</f>
        <v>6635250</v>
      </c>
    </row>
    <row r="204" spans="1:11" ht="16.5" x14ac:dyDescent="0.3">
      <c r="A204" s="3"/>
      <c r="B204" s="141" t="s">
        <v>69</v>
      </c>
      <c r="C204" s="142" t="s">
        <v>10</v>
      </c>
      <c r="D204" s="143">
        <v>4800000</v>
      </c>
      <c r="E204" s="141">
        <v>26</v>
      </c>
      <c r="F204" s="141">
        <v>4</v>
      </c>
      <c r="G204" s="145">
        <v>0.05</v>
      </c>
      <c r="H204" s="145">
        <v>0.1</v>
      </c>
      <c r="I204" s="143">
        <f t="shared" ref="I204:I243" si="6">(C$201*G204)*E204</f>
        <v>1850550</v>
      </c>
      <c r="J204" s="146">
        <f t="shared" ref="J204:J243" si="7">(C$201*H204)*F204</f>
        <v>569400</v>
      </c>
      <c r="K204" s="147">
        <f t="shared" si="5"/>
        <v>7219950</v>
      </c>
    </row>
    <row r="205" spans="1:11" ht="16.5" x14ac:dyDescent="0.3">
      <c r="A205" s="3"/>
      <c r="B205" s="141" t="s">
        <v>69</v>
      </c>
      <c r="C205" s="142" t="s">
        <v>21</v>
      </c>
      <c r="D205" s="143">
        <v>6400000</v>
      </c>
      <c r="E205" s="141">
        <v>30</v>
      </c>
      <c r="F205" s="141">
        <v>10</v>
      </c>
      <c r="G205" s="145">
        <v>0.05</v>
      </c>
      <c r="H205" s="145">
        <v>0.1</v>
      </c>
      <c r="I205" s="143">
        <f t="shared" si="6"/>
        <v>2135250</v>
      </c>
      <c r="J205" s="146">
        <f t="shared" si="7"/>
        <v>1423500</v>
      </c>
      <c r="K205" s="147">
        <f t="shared" si="5"/>
        <v>9958750</v>
      </c>
    </row>
    <row r="206" spans="1:11" ht="16.5" x14ac:dyDescent="0.3">
      <c r="A206" s="3"/>
      <c r="B206" s="141" t="s">
        <v>69</v>
      </c>
      <c r="C206" s="142" t="s">
        <v>25</v>
      </c>
      <c r="D206" s="143">
        <v>2800000</v>
      </c>
      <c r="E206" s="141">
        <v>28</v>
      </c>
      <c r="F206" s="141">
        <v>0</v>
      </c>
      <c r="G206" s="145">
        <v>0.05</v>
      </c>
      <c r="H206" s="145">
        <v>0</v>
      </c>
      <c r="I206" s="143">
        <f t="shared" si="6"/>
        <v>1992900</v>
      </c>
      <c r="J206" s="146">
        <f t="shared" si="7"/>
        <v>0</v>
      </c>
      <c r="K206" s="147">
        <f t="shared" si="5"/>
        <v>4792900</v>
      </c>
    </row>
    <row r="207" spans="1:11" ht="16.5" x14ac:dyDescent="0.3">
      <c r="A207" s="3"/>
      <c r="B207" s="141" t="s">
        <v>69</v>
      </c>
      <c r="C207" s="142" t="s">
        <v>267</v>
      </c>
      <c r="D207" s="143">
        <v>2334150</v>
      </c>
      <c r="E207" s="141">
        <v>20</v>
      </c>
      <c r="F207" s="141">
        <v>0</v>
      </c>
      <c r="G207" s="145">
        <v>0.05</v>
      </c>
      <c r="H207" s="145">
        <v>0</v>
      </c>
      <c r="I207" s="143">
        <f t="shared" si="6"/>
        <v>1423500</v>
      </c>
      <c r="J207" s="146">
        <f t="shared" si="7"/>
        <v>0</v>
      </c>
      <c r="K207" s="147">
        <f t="shared" si="5"/>
        <v>3757650</v>
      </c>
    </row>
    <row r="208" spans="1:11" ht="16.5" x14ac:dyDescent="0.3">
      <c r="A208" s="3"/>
      <c r="B208" s="141" t="s">
        <v>69</v>
      </c>
      <c r="C208" s="142" t="s">
        <v>31</v>
      </c>
      <c r="D208" s="143">
        <v>4900000</v>
      </c>
      <c r="E208" s="141">
        <v>30</v>
      </c>
      <c r="F208" s="141">
        <v>0</v>
      </c>
      <c r="G208" s="145">
        <v>0.05</v>
      </c>
      <c r="H208" s="145">
        <v>0</v>
      </c>
      <c r="I208" s="143">
        <f t="shared" si="6"/>
        <v>2135250</v>
      </c>
      <c r="J208" s="146">
        <f t="shared" si="7"/>
        <v>0</v>
      </c>
      <c r="K208" s="147">
        <f t="shared" si="5"/>
        <v>7035250</v>
      </c>
    </row>
    <row r="209" spans="1:11" ht="16.5" x14ac:dyDescent="0.3">
      <c r="A209" s="3"/>
      <c r="B209" s="142" t="s">
        <v>69</v>
      </c>
      <c r="C209" s="142" t="s">
        <v>268</v>
      </c>
      <c r="D209" s="143">
        <v>1900000</v>
      </c>
      <c r="E209" s="141">
        <v>16</v>
      </c>
      <c r="F209" s="141">
        <v>0</v>
      </c>
      <c r="G209" s="148">
        <v>0.05</v>
      </c>
      <c r="H209" s="148">
        <v>0</v>
      </c>
      <c r="I209" s="143">
        <f t="shared" si="6"/>
        <v>1138800</v>
      </c>
      <c r="J209" s="146">
        <f t="shared" si="7"/>
        <v>0</v>
      </c>
      <c r="K209" s="147">
        <f t="shared" si="5"/>
        <v>3038800</v>
      </c>
    </row>
    <row r="210" spans="1:11" ht="16.5" x14ac:dyDescent="0.3">
      <c r="A210" s="3"/>
      <c r="B210" s="149" t="s">
        <v>69</v>
      </c>
      <c r="C210" s="142" t="s">
        <v>35</v>
      </c>
      <c r="D210" s="143">
        <v>2000000</v>
      </c>
      <c r="E210" s="141">
        <v>20</v>
      </c>
      <c r="F210" s="141">
        <v>0</v>
      </c>
      <c r="G210" s="145">
        <v>0.05</v>
      </c>
      <c r="H210" s="145">
        <v>0</v>
      </c>
      <c r="I210" s="143">
        <f t="shared" si="6"/>
        <v>1423500</v>
      </c>
      <c r="J210" s="146">
        <f t="shared" si="7"/>
        <v>0</v>
      </c>
      <c r="K210" s="147">
        <f t="shared" si="5"/>
        <v>3423500</v>
      </c>
    </row>
    <row r="211" spans="1:11" ht="16.5" x14ac:dyDescent="0.3">
      <c r="A211" s="3"/>
      <c r="B211" s="141" t="s">
        <v>269</v>
      </c>
      <c r="C211" s="142" t="s">
        <v>13</v>
      </c>
      <c r="D211" s="143">
        <v>11000000</v>
      </c>
      <c r="E211" s="141">
        <v>2</v>
      </c>
      <c r="F211" s="141">
        <v>10</v>
      </c>
      <c r="G211" s="148">
        <v>0.08</v>
      </c>
      <c r="H211" s="148">
        <v>0.15</v>
      </c>
      <c r="I211" s="143">
        <f t="shared" si="6"/>
        <v>227760</v>
      </c>
      <c r="J211" s="146">
        <f t="shared" si="7"/>
        <v>2135250</v>
      </c>
      <c r="K211" s="147">
        <f>(I211*E211)+(J211*F211)+D211</f>
        <v>32808020</v>
      </c>
    </row>
    <row r="212" spans="1:11" ht="16.5" x14ac:dyDescent="0.3">
      <c r="A212" s="3"/>
      <c r="B212" s="142" t="s">
        <v>269</v>
      </c>
      <c r="C212" s="142" t="s">
        <v>18</v>
      </c>
      <c r="D212" s="143">
        <v>10000000</v>
      </c>
      <c r="E212" s="141">
        <v>2</v>
      </c>
      <c r="F212" s="141">
        <v>10</v>
      </c>
      <c r="G212" s="148">
        <v>0.08</v>
      </c>
      <c r="H212" s="148">
        <v>0.15</v>
      </c>
      <c r="I212" s="143">
        <f t="shared" si="6"/>
        <v>227760</v>
      </c>
      <c r="J212" s="146">
        <f t="shared" si="7"/>
        <v>2135250</v>
      </c>
      <c r="K212" s="147">
        <f>(I212*E212)+(J212*F212)+D212</f>
        <v>31808020</v>
      </c>
    </row>
    <row r="213" spans="1:11" ht="16.5" x14ac:dyDescent="0.3">
      <c r="A213" s="3"/>
      <c r="B213" s="141" t="s">
        <v>269</v>
      </c>
      <c r="C213" s="142" t="s">
        <v>83</v>
      </c>
      <c r="D213" s="143">
        <v>9000000</v>
      </c>
      <c r="E213" s="141">
        <v>2</v>
      </c>
      <c r="F213" s="141">
        <v>10</v>
      </c>
      <c r="G213" s="148">
        <v>0.08</v>
      </c>
      <c r="H213" s="148">
        <v>0.15</v>
      </c>
      <c r="I213" s="143">
        <f t="shared" si="6"/>
        <v>227760</v>
      </c>
      <c r="J213" s="146">
        <f t="shared" si="7"/>
        <v>2135250</v>
      </c>
      <c r="K213" s="147">
        <f>(I213*E213)+(J213*F213)+D213</f>
        <v>30808020</v>
      </c>
    </row>
    <row r="214" spans="1:11" ht="16.5" x14ac:dyDescent="0.3">
      <c r="A214" s="3"/>
      <c r="B214" s="141" t="s">
        <v>66</v>
      </c>
      <c r="C214" s="142" t="s">
        <v>270</v>
      </c>
      <c r="D214" s="143">
        <v>4800000</v>
      </c>
      <c r="E214" s="141">
        <v>8</v>
      </c>
      <c r="F214" s="141">
        <v>16</v>
      </c>
      <c r="G214" s="148">
        <v>0.05</v>
      </c>
      <c r="H214" s="148">
        <v>0.1</v>
      </c>
      <c r="I214" s="143">
        <f t="shared" si="6"/>
        <v>569400</v>
      </c>
      <c r="J214" s="146">
        <f t="shared" si="7"/>
        <v>2277600</v>
      </c>
      <c r="K214" s="150">
        <f>+D214+I214+J214</f>
        <v>7647000</v>
      </c>
    </row>
    <row r="215" spans="1:11" ht="16.5" x14ac:dyDescent="0.3">
      <c r="A215" s="3"/>
      <c r="B215" s="141" t="s">
        <v>66</v>
      </c>
      <c r="C215" s="151" t="s">
        <v>16</v>
      </c>
      <c r="D215" s="143">
        <v>2251800</v>
      </c>
      <c r="E215" s="141">
        <v>18</v>
      </c>
      <c r="F215" s="141">
        <v>0</v>
      </c>
      <c r="G215" s="148">
        <v>0.05</v>
      </c>
      <c r="H215" s="148">
        <v>0</v>
      </c>
      <c r="I215" s="143">
        <f t="shared" si="6"/>
        <v>1281150</v>
      </c>
      <c r="J215" s="146">
        <f t="shared" si="7"/>
        <v>0</v>
      </c>
      <c r="K215" s="150">
        <f>+D215+I215+J215</f>
        <v>3532950</v>
      </c>
    </row>
    <row r="216" spans="1:11" ht="16.5" x14ac:dyDescent="0.3">
      <c r="A216" s="3"/>
      <c r="B216" s="141" t="s">
        <v>66</v>
      </c>
      <c r="C216" s="142" t="s">
        <v>17</v>
      </c>
      <c r="D216" s="143">
        <v>2700000</v>
      </c>
      <c r="E216" s="141">
        <v>9</v>
      </c>
      <c r="F216" s="141">
        <v>9</v>
      </c>
      <c r="G216" s="148">
        <v>0.05</v>
      </c>
      <c r="H216" s="148">
        <v>0.1</v>
      </c>
      <c r="I216" s="143">
        <f t="shared" si="6"/>
        <v>640575</v>
      </c>
      <c r="J216" s="146">
        <f t="shared" si="7"/>
        <v>1281150</v>
      </c>
      <c r="K216" s="150">
        <f>+D216+I216+J216</f>
        <v>4621725</v>
      </c>
    </row>
    <row r="217" spans="1:11" ht="16.5" x14ac:dyDescent="0.3">
      <c r="A217" s="3"/>
      <c r="B217" s="141" t="s">
        <v>66</v>
      </c>
      <c r="C217" s="142" t="s">
        <v>24</v>
      </c>
      <c r="D217" s="143">
        <v>2880000</v>
      </c>
      <c r="E217" s="141"/>
      <c r="F217" s="141">
        <v>10</v>
      </c>
      <c r="G217" s="148">
        <v>0.08</v>
      </c>
      <c r="H217" s="148">
        <v>0.15</v>
      </c>
      <c r="I217" s="143">
        <f t="shared" si="6"/>
        <v>0</v>
      </c>
      <c r="J217" s="146">
        <f t="shared" si="7"/>
        <v>2135250</v>
      </c>
      <c r="K217" s="147">
        <f>(I217*E217)+(J217*F217)+D217</f>
        <v>24232500</v>
      </c>
    </row>
    <row r="218" spans="1:11" ht="16.5" x14ac:dyDescent="0.3">
      <c r="A218" s="3"/>
      <c r="B218" s="141" t="s">
        <v>66</v>
      </c>
      <c r="C218" s="142" t="s">
        <v>28</v>
      </c>
      <c r="D218" s="143">
        <v>1900000</v>
      </c>
      <c r="E218" s="141">
        <v>16</v>
      </c>
      <c r="F218" s="141">
        <v>0</v>
      </c>
      <c r="G218" s="148">
        <v>0.05</v>
      </c>
      <c r="H218" s="148">
        <v>0</v>
      </c>
      <c r="I218" s="143">
        <f t="shared" si="6"/>
        <v>1138800</v>
      </c>
      <c r="J218" s="146">
        <f t="shared" si="7"/>
        <v>0</v>
      </c>
      <c r="K218" s="150">
        <f t="shared" ref="K218:K240" si="8">+D218+I218+J218</f>
        <v>3038800</v>
      </c>
    </row>
    <row r="219" spans="1:11" ht="16.5" x14ac:dyDescent="0.3">
      <c r="A219" s="3"/>
      <c r="B219" s="141" t="s">
        <v>66</v>
      </c>
      <c r="C219" s="142" t="s">
        <v>271</v>
      </c>
      <c r="D219" s="143">
        <v>2700000</v>
      </c>
      <c r="E219" s="141">
        <v>7</v>
      </c>
      <c r="F219" s="141">
        <v>14</v>
      </c>
      <c r="G219" s="148">
        <v>0.05</v>
      </c>
      <c r="H219" s="148">
        <v>0.1</v>
      </c>
      <c r="I219" s="143">
        <f t="shared" si="6"/>
        <v>498225</v>
      </c>
      <c r="J219" s="146">
        <f t="shared" si="7"/>
        <v>1992900</v>
      </c>
      <c r="K219" s="147">
        <f t="shared" si="8"/>
        <v>5191125</v>
      </c>
    </row>
    <row r="220" spans="1:11" ht="16.5" x14ac:dyDescent="0.3">
      <c r="A220" s="3"/>
      <c r="B220" s="141" t="s">
        <v>66</v>
      </c>
      <c r="C220" s="141" t="s">
        <v>30</v>
      </c>
      <c r="D220" s="143">
        <v>5000000</v>
      </c>
      <c r="E220" s="141">
        <v>7</v>
      </c>
      <c r="F220" s="141">
        <v>14</v>
      </c>
      <c r="G220" s="148">
        <v>0.05</v>
      </c>
      <c r="H220" s="148">
        <v>0.15</v>
      </c>
      <c r="I220" s="143">
        <f t="shared" si="6"/>
        <v>498225</v>
      </c>
      <c r="J220" s="146">
        <f t="shared" si="7"/>
        <v>2989350</v>
      </c>
      <c r="K220" s="150">
        <f t="shared" si="8"/>
        <v>8487575</v>
      </c>
    </row>
    <row r="221" spans="1:11" ht="16.5" x14ac:dyDescent="0.3">
      <c r="A221" s="3"/>
      <c r="B221" s="141" t="s">
        <v>68</v>
      </c>
      <c r="C221" s="142" t="s">
        <v>5</v>
      </c>
      <c r="D221" s="143">
        <v>2600000</v>
      </c>
      <c r="E221" s="141">
        <v>10</v>
      </c>
      <c r="F221" s="141">
        <v>10</v>
      </c>
      <c r="G221" s="145">
        <v>0.05</v>
      </c>
      <c r="H221" s="145">
        <v>0.1</v>
      </c>
      <c r="I221" s="143">
        <f t="shared" si="6"/>
        <v>711750</v>
      </c>
      <c r="J221" s="146">
        <f t="shared" si="7"/>
        <v>1423500</v>
      </c>
      <c r="K221" s="150">
        <f t="shared" si="8"/>
        <v>4735250</v>
      </c>
    </row>
    <row r="222" spans="1:11" ht="16.5" x14ac:dyDescent="0.3">
      <c r="A222" s="3"/>
      <c r="B222" s="141" t="s">
        <v>68</v>
      </c>
      <c r="C222" s="142" t="s">
        <v>7</v>
      </c>
      <c r="D222" s="143">
        <v>4403000</v>
      </c>
      <c r="E222" s="141">
        <v>30</v>
      </c>
      <c r="F222" s="141">
        <v>0</v>
      </c>
      <c r="G222" s="145">
        <v>0.05</v>
      </c>
      <c r="H222" s="145">
        <v>0</v>
      </c>
      <c r="I222" s="143">
        <f t="shared" si="6"/>
        <v>2135250</v>
      </c>
      <c r="J222" s="146">
        <f t="shared" si="7"/>
        <v>0</v>
      </c>
      <c r="K222" s="150">
        <f t="shared" si="8"/>
        <v>6538250</v>
      </c>
    </row>
    <row r="223" spans="1:11" ht="16.5" x14ac:dyDescent="0.3">
      <c r="A223" s="3"/>
      <c r="B223" s="141" t="s">
        <v>68</v>
      </c>
      <c r="C223" s="142" t="s">
        <v>8</v>
      </c>
      <c r="D223" s="143">
        <v>2634150</v>
      </c>
      <c r="E223" s="141">
        <v>9</v>
      </c>
      <c r="F223" s="141">
        <v>9</v>
      </c>
      <c r="G223" s="145">
        <v>0.05</v>
      </c>
      <c r="H223" s="145">
        <v>0.1</v>
      </c>
      <c r="I223" s="143">
        <f t="shared" si="6"/>
        <v>640575</v>
      </c>
      <c r="J223" s="146">
        <f t="shared" si="7"/>
        <v>1281150</v>
      </c>
      <c r="K223" s="150">
        <f t="shared" si="8"/>
        <v>4555875</v>
      </c>
    </row>
    <row r="224" spans="1:11" ht="16.5" x14ac:dyDescent="0.3">
      <c r="A224" s="3"/>
      <c r="B224" s="152" t="s">
        <v>68</v>
      </c>
      <c r="C224" s="142" t="s">
        <v>9</v>
      </c>
      <c r="D224" s="143">
        <v>3000000</v>
      </c>
      <c r="E224" s="141">
        <v>10</v>
      </c>
      <c r="F224" s="141">
        <v>10</v>
      </c>
      <c r="G224" s="145">
        <v>0.05</v>
      </c>
      <c r="H224" s="145">
        <v>0.1</v>
      </c>
      <c r="I224" s="143">
        <f t="shared" si="6"/>
        <v>711750</v>
      </c>
      <c r="J224" s="146">
        <f t="shared" si="7"/>
        <v>1423500</v>
      </c>
      <c r="K224" s="147">
        <f t="shared" si="8"/>
        <v>5135250</v>
      </c>
    </row>
    <row r="225" spans="1:11" ht="16.5" x14ac:dyDescent="0.3">
      <c r="A225" s="3"/>
      <c r="B225" s="141" t="s">
        <v>68</v>
      </c>
      <c r="C225" s="142" t="s">
        <v>272</v>
      </c>
      <c r="D225" s="143">
        <v>1400000</v>
      </c>
      <c r="E225" s="141">
        <v>5</v>
      </c>
      <c r="F225" s="141">
        <v>5</v>
      </c>
      <c r="G225" s="145">
        <v>0.05</v>
      </c>
      <c r="H225" s="145">
        <v>0.1</v>
      </c>
      <c r="I225" s="143">
        <f t="shared" si="6"/>
        <v>355875</v>
      </c>
      <c r="J225" s="146">
        <f t="shared" si="7"/>
        <v>711750</v>
      </c>
      <c r="K225" s="150">
        <f t="shared" si="8"/>
        <v>2467625</v>
      </c>
    </row>
    <row r="226" spans="1:11" ht="16.5" x14ac:dyDescent="0.3">
      <c r="A226" s="3"/>
      <c r="B226" s="141" t="s">
        <v>68</v>
      </c>
      <c r="C226" s="142" t="s">
        <v>273</v>
      </c>
      <c r="D226" s="143">
        <v>2600000</v>
      </c>
      <c r="E226" s="141">
        <v>6</v>
      </c>
      <c r="F226" s="141">
        <v>10</v>
      </c>
      <c r="G226" s="145">
        <v>0.05</v>
      </c>
      <c r="H226" s="145">
        <v>0.1</v>
      </c>
      <c r="I226" s="143">
        <f t="shared" si="6"/>
        <v>427050</v>
      </c>
      <c r="J226" s="146">
        <f t="shared" si="7"/>
        <v>1423500</v>
      </c>
      <c r="K226" s="147">
        <f t="shared" si="8"/>
        <v>4450550</v>
      </c>
    </row>
    <row r="227" spans="1:11" ht="16.5" x14ac:dyDescent="0.3">
      <c r="A227" s="3"/>
      <c r="B227" s="141" t="s">
        <v>68</v>
      </c>
      <c r="C227" s="142" t="s">
        <v>22</v>
      </c>
      <c r="D227" s="143">
        <v>1000000</v>
      </c>
      <c r="E227" s="141">
        <v>6</v>
      </c>
      <c r="F227" s="141">
        <v>6</v>
      </c>
      <c r="G227" s="145">
        <v>0.05</v>
      </c>
      <c r="H227" s="145">
        <v>0.1</v>
      </c>
      <c r="I227" s="143">
        <f t="shared" si="6"/>
        <v>427050</v>
      </c>
      <c r="J227" s="146">
        <f t="shared" si="7"/>
        <v>854100</v>
      </c>
      <c r="K227" s="147">
        <f t="shared" si="8"/>
        <v>2281150</v>
      </c>
    </row>
    <row r="228" spans="1:11" ht="16.5" x14ac:dyDescent="0.3">
      <c r="A228" s="3"/>
      <c r="B228" s="141" t="s">
        <v>68</v>
      </c>
      <c r="C228" s="142" t="s">
        <v>26</v>
      </c>
      <c r="D228" s="143">
        <v>2700000</v>
      </c>
      <c r="E228" s="141">
        <v>22</v>
      </c>
      <c r="F228" s="141">
        <v>0</v>
      </c>
      <c r="G228" s="145">
        <v>0.05</v>
      </c>
      <c r="H228" s="145">
        <v>0</v>
      </c>
      <c r="I228" s="143">
        <f t="shared" si="6"/>
        <v>1565850</v>
      </c>
      <c r="J228" s="146">
        <f t="shared" si="7"/>
        <v>0</v>
      </c>
      <c r="K228" s="150">
        <f t="shared" si="8"/>
        <v>4265850</v>
      </c>
    </row>
    <row r="229" spans="1:11" ht="16.5" x14ac:dyDescent="0.3">
      <c r="A229" s="3"/>
      <c r="B229" s="141" t="s">
        <v>68</v>
      </c>
      <c r="C229" s="142" t="s">
        <v>274</v>
      </c>
      <c r="D229" s="153">
        <v>4900000</v>
      </c>
      <c r="E229" s="141">
        <v>30</v>
      </c>
      <c r="F229" s="154">
        <v>15</v>
      </c>
      <c r="G229" s="155">
        <v>0.05</v>
      </c>
      <c r="H229" s="155">
        <v>0.15</v>
      </c>
      <c r="I229" s="143">
        <f t="shared" si="6"/>
        <v>2135250</v>
      </c>
      <c r="J229" s="146">
        <f t="shared" si="7"/>
        <v>3202875</v>
      </c>
      <c r="K229" s="147">
        <f t="shared" si="8"/>
        <v>10238125</v>
      </c>
    </row>
    <row r="230" spans="1:11" ht="16.5" x14ac:dyDescent="0.3">
      <c r="A230" s="3"/>
      <c r="B230" s="141" t="s">
        <v>68</v>
      </c>
      <c r="C230" s="142" t="s">
        <v>33</v>
      </c>
      <c r="D230" s="143">
        <v>3500000</v>
      </c>
      <c r="E230" s="141">
        <v>10</v>
      </c>
      <c r="F230" s="141">
        <v>10</v>
      </c>
      <c r="G230" s="145">
        <v>0.05</v>
      </c>
      <c r="H230" s="145">
        <v>0.1</v>
      </c>
      <c r="I230" s="143">
        <f t="shared" si="6"/>
        <v>711750</v>
      </c>
      <c r="J230" s="146">
        <f t="shared" si="7"/>
        <v>1423500</v>
      </c>
      <c r="K230" s="150">
        <f t="shared" si="8"/>
        <v>5635250</v>
      </c>
    </row>
    <row r="231" spans="1:11" ht="16.5" x14ac:dyDescent="0.3">
      <c r="A231" s="3"/>
      <c r="B231" s="141" t="s">
        <v>68</v>
      </c>
      <c r="C231" s="142" t="s">
        <v>275</v>
      </c>
      <c r="D231" s="143">
        <v>4000000</v>
      </c>
      <c r="E231" s="141">
        <v>8</v>
      </c>
      <c r="F231" s="141">
        <v>16</v>
      </c>
      <c r="G231" s="145">
        <v>0.05</v>
      </c>
      <c r="H231" s="145">
        <v>0.1</v>
      </c>
      <c r="I231" s="143">
        <f t="shared" si="6"/>
        <v>569400</v>
      </c>
      <c r="J231" s="146">
        <f t="shared" si="7"/>
        <v>2277600</v>
      </c>
      <c r="K231" s="147">
        <f t="shared" si="8"/>
        <v>6847000</v>
      </c>
    </row>
    <row r="232" spans="1:11" ht="16.5" x14ac:dyDescent="0.3">
      <c r="A232" s="3"/>
      <c r="B232" s="141" t="s">
        <v>68</v>
      </c>
      <c r="C232" s="156" t="s">
        <v>38</v>
      </c>
      <c r="D232" s="143">
        <v>950000</v>
      </c>
      <c r="E232" s="141">
        <v>8</v>
      </c>
      <c r="F232" s="141">
        <v>0</v>
      </c>
      <c r="G232" s="145">
        <v>0.05</v>
      </c>
      <c r="H232" s="145">
        <v>0</v>
      </c>
      <c r="I232" s="143">
        <f t="shared" si="6"/>
        <v>569400</v>
      </c>
      <c r="J232" s="146">
        <f t="shared" si="7"/>
        <v>0</v>
      </c>
      <c r="K232" s="150">
        <f t="shared" si="8"/>
        <v>1519400</v>
      </c>
    </row>
    <row r="233" spans="1:11" ht="16.5" x14ac:dyDescent="0.3">
      <c r="A233" s="3"/>
      <c r="B233" s="141" t="s">
        <v>70</v>
      </c>
      <c r="C233" s="142" t="s">
        <v>276</v>
      </c>
      <c r="D233" s="143">
        <v>3800000</v>
      </c>
      <c r="E233" s="141">
        <v>10</v>
      </c>
      <c r="F233" s="141">
        <v>16</v>
      </c>
      <c r="G233" s="148">
        <v>0.05</v>
      </c>
      <c r="H233" s="148">
        <v>0.1</v>
      </c>
      <c r="I233" s="143">
        <f t="shared" si="6"/>
        <v>711750</v>
      </c>
      <c r="J233" s="146">
        <f t="shared" si="7"/>
        <v>2277600</v>
      </c>
      <c r="K233" s="147">
        <f t="shared" si="8"/>
        <v>6789350</v>
      </c>
    </row>
    <row r="234" spans="1:11" ht="16.5" x14ac:dyDescent="0.3">
      <c r="A234" s="3"/>
      <c r="B234" s="141" t="s">
        <v>70</v>
      </c>
      <c r="C234" s="142" t="s">
        <v>15</v>
      </c>
      <c r="D234" s="143">
        <v>2900000</v>
      </c>
      <c r="E234" s="141">
        <v>10</v>
      </c>
      <c r="F234" s="141">
        <v>10</v>
      </c>
      <c r="G234" s="145">
        <v>0.05</v>
      </c>
      <c r="H234" s="145">
        <v>0.1</v>
      </c>
      <c r="I234" s="143">
        <f t="shared" si="6"/>
        <v>711750</v>
      </c>
      <c r="J234" s="146">
        <f t="shared" si="7"/>
        <v>1423500</v>
      </c>
      <c r="K234" s="147">
        <f t="shared" si="8"/>
        <v>5035250</v>
      </c>
    </row>
    <row r="235" spans="1:11" ht="16.5" x14ac:dyDescent="0.3">
      <c r="A235" s="3"/>
      <c r="B235" s="141" t="s">
        <v>70</v>
      </c>
      <c r="C235" s="142" t="s">
        <v>23</v>
      </c>
      <c r="D235" s="143">
        <v>6092465</v>
      </c>
      <c r="E235" s="141">
        <v>10</v>
      </c>
      <c r="F235" s="141">
        <v>20</v>
      </c>
      <c r="G235" s="148">
        <v>0.05</v>
      </c>
      <c r="H235" s="148">
        <v>0.1</v>
      </c>
      <c r="I235" s="143">
        <f t="shared" si="6"/>
        <v>711750</v>
      </c>
      <c r="J235" s="146">
        <f t="shared" si="7"/>
        <v>2847000</v>
      </c>
      <c r="K235" s="147">
        <f t="shared" si="8"/>
        <v>9651215</v>
      </c>
    </row>
    <row r="236" spans="1:11" ht="16.5" x14ac:dyDescent="0.3">
      <c r="A236" s="3"/>
      <c r="B236" s="141" t="s">
        <v>70</v>
      </c>
      <c r="C236" s="142" t="s">
        <v>277</v>
      </c>
      <c r="D236" s="143">
        <v>1200000</v>
      </c>
      <c r="E236" s="141">
        <v>10</v>
      </c>
      <c r="F236" s="141">
        <v>0</v>
      </c>
      <c r="G236" s="148">
        <v>0.05</v>
      </c>
      <c r="H236" s="148">
        <v>0</v>
      </c>
      <c r="I236" s="143">
        <f t="shared" si="6"/>
        <v>711750</v>
      </c>
      <c r="J236" s="146">
        <f t="shared" si="7"/>
        <v>0</v>
      </c>
      <c r="K236" s="147">
        <f t="shared" si="8"/>
        <v>1911750</v>
      </c>
    </row>
    <row r="237" spans="1:11" ht="16.5" x14ac:dyDescent="0.3">
      <c r="A237" s="3"/>
      <c r="B237" s="141" t="s">
        <v>67</v>
      </c>
      <c r="C237" s="142" t="s">
        <v>2</v>
      </c>
      <c r="D237" s="143">
        <v>3900000</v>
      </c>
      <c r="E237" s="141">
        <v>10</v>
      </c>
      <c r="F237" s="141">
        <v>16</v>
      </c>
      <c r="G237" s="148">
        <v>0.05</v>
      </c>
      <c r="H237" s="148">
        <v>0.1</v>
      </c>
      <c r="I237" s="143">
        <f t="shared" si="6"/>
        <v>711750</v>
      </c>
      <c r="J237" s="146">
        <f t="shared" si="7"/>
        <v>2277600</v>
      </c>
      <c r="K237" s="147">
        <f t="shared" si="8"/>
        <v>6889350</v>
      </c>
    </row>
    <row r="238" spans="1:11" ht="16.5" x14ac:dyDescent="0.3">
      <c r="A238" s="3"/>
      <c r="B238" s="141" t="s">
        <v>67</v>
      </c>
      <c r="C238" s="142" t="s">
        <v>3</v>
      </c>
      <c r="D238" s="143">
        <v>3000000</v>
      </c>
      <c r="E238" s="141">
        <v>7</v>
      </c>
      <c r="F238" s="141">
        <v>14</v>
      </c>
      <c r="G238" s="148">
        <v>0.05</v>
      </c>
      <c r="H238" s="148">
        <v>0.1</v>
      </c>
      <c r="I238" s="143">
        <f t="shared" si="6"/>
        <v>498225</v>
      </c>
      <c r="J238" s="146">
        <f t="shared" si="7"/>
        <v>1992900</v>
      </c>
      <c r="K238" s="147">
        <f t="shared" si="8"/>
        <v>5491125</v>
      </c>
    </row>
    <row r="239" spans="1:11" ht="16.5" x14ac:dyDescent="0.3">
      <c r="A239" s="3"/>
      <c r="B239" s="141" t="s">
        <v>67</v>
      </c>
      <c r="C239" s="142" t="s">
        <v>4</v>
      </c>
      <c r="D239" s="143">
        <v>4800000</v>
      </c>
      <c r="E239" s="141">
        <v>15</v>
      </c>
      <c r="F239" s="141">
        <v>18</v>
      </c>
      <c r="G239" s="148">
        <v>0.05</v>
      </c>
      <c r="H239" s="148">
        <v>0.1</v>
      </c>
      <c r="I239" s="143">
        <f t="shared" si="6"/>
        <v>1067625</v>
      </c>
      <c r="J239" s="146">
        <f t="shared" si="7"/>
        <v>2562300</v>
      </c>
      <c r="K239" s="147">
        <f t="shared" si="8"/>
        <v>8429925</v>
      </c>
    </row>
    <row r="240" spans="1:11" ht="16.5" x14ac:dyDescent="0.3">
      <c r="A240" s="3"/>
      <c r="B240" s="157" t="s">
        <v>67</v>
      </c>
      <c r="C240" s="142" t="s">
        <v>11</v>
      </c>
      <c r="D240" s="143">
        <v>1200000</v>
      </c>
      <c r="E240" s="141">
        <v>5</v>
      </c>
      <c r="F240" s="141">
        <v>5</v>
      </c>
      <c r="G240" s="148">
        <v>0.05</v>
      </c>
      <c r="H240" s="148">
        <v>0.1</v>
      </c>
      <c r="I240" s="143">
        <f t="shared" si="6"/>
        <v>355875</v>
      </c>
      <c r="J240" s="146">
        <f t="shared" si="7"/>
        <v>711750</v>
      </c>
      <c r="K240" s="150">
        <f t="shared" si="8"/>
        <v>2267625</v>
      </c>
    </row>
    <row r="241" spans="2:11" x14ac:dyDescent="0.25">
      <c r="B241" s="141" t="s">
        <v>67</v>
      </c>
      <c r="C241" s="142" t="s">
        <v>19</v>
      </c>
      <c r="D241" s="143">
        <v>3200000</v>
      </c>
      <c r="E241" s="141">
        <v>20</v>
      </c>
      <c r="F241" s="141"/>
      <c r="G241" s="148">
        <v>0.05</v>
      </c>
      <c r="H241" s="148">
        <v>0</v>
      </c>
      <c r="I241" s="143">
        <f t="shared" si="6"/>
        <v>1423500</v>
      </c>
      <c r="J241" s="146">
        <f t="shared" si="7"/>
        <v>0</v>
      </c>
      <c r="K241" s="147">
        <f>(I241*E241)+(J241*F241)+D241</f>
        <v>31670000</v>
      </c>
    </row>
    <row r="242" spans="2:11" x14ac:dyDescent="0.25">
      <c r="B242" s="141" t="s">
        <v>67</v>
      </c>
      <c r="C242" s="142" t="s">
        <v>278</v>
      </c>
      <c r="D242" s="153">
        <v>4800000</v>
      </c>
      <c r="E242" s="141">
        <v>40</v>
      </c>
      <c r="F242" s="154">
        <v>0</v>
      </c>
      <c r="G242" s="158">
        <v>0.05</v>
      </c>
      <c r="H242" s="158">
        <v>0</v>
      </c>
      <c r="I242" s="143">
        <f t="shared" si="6"/>
        <v>2847000</v>
      </c>
      <c r="J242" s="146">
        <f t="shared" si="7"/>
        <v>0</v>
      </c>
      <c r="K242" s="147">
        <f>+D242+I242+J242</f>
        <v>7647000</v>
      </c>
    </row>
    <row r="243" spans="2:11" x14ac:dyDescent="0.25">
      <c r="B243" s="141" t="s">
        <v>67</v>
      </c>
      <c r="C243" s="142" t="s">
        <v>34</v>
      </c>
      <c r="D243" s="143">
        <v>2200000</v>
      </c>
      <c r="E243" s="141">
        <v>6</v>
      </c>
      <c r="F243" s="141">
        <v>6</v>
      </c>
      <c r="G243" s="148">
        <v>0.05</v>
      </c>
      <c r="H243" s="148">
        <v>0.1</v>
      </c>
      <c r="I243" s="143">
        <f t="shared" si="6"/>
        <v>427050</v>
      </c>
      <c r="J243" s="146">
        <f t="shared" si="7"/>
        <v>854100</v>
      </c>
      <c r="K243" s="150">
        <f>+D243+I243+J243</f>
        <v>3481150</v>
      </c>
    </row>
    <row r="244" spans="2:11" x14ac:dyDescent="0.25">
      <c r="B244" s="159"/>
      <c r="C244" s="160"/>
      <c r="D244" s="160"/>
      <c r="E244" s="160"/>
      <c r="F244" s="160"/>
      <c r="G244" s="160"/>
      <c r="H244" s="161"/>
      <c r="I244" s="279" t="s">
        <v>81</v>
      </c>
      <c r="J244" s="280"/>
      <c r="K244" s="162">
        <f>SUM(K203:K243)</f>
        <v>345971100</v>
      </c>
    </row>
    <row r="245" spans="2:11" x14ac:dyDescent="0.25">
      <c r="B245" s="281" t="s">
        <v>279</v>
      </c>
      <c r="C245" s="282"/>
      <c r="D245" s="163">
        <f>SUM(D203:D243)</f>
        <v>152645565</v>
      </c>
      <c r="E245" s="283" t="s">
        <v>280</v>
      </c>
      <c r="F245" s="283"/>
      <c r="G245" s="283"/>
      <c r="H245" s="164">
        <f>+K244-D245</f>
        <v>193325535</v>
      </c>
      <c r="I245" s="165"/>
      <c r="J245" s="165"/>
      <c r="K245" s="166"/>
    </row>
  </sheetData>
  <autoFilter ref="A53:I177" xr:uid="{00000000-0001-0000-0000-000000000000}"/>
  <sortState xmlns:xlrd2="http://schemas.microsoft.com/office/spreadsheetml/2017/richdata2" ref="A55:G176">
    <sortCondition ref="B54:B176"/>
    <sortCondition ref="A54:A176"/>
  </sortState>
  <mergeCells count="44">
    <mergeCell ref="I244:J244"/>
    <mergeCell ref="B245:C245"/>
    <mergeCell ref="E245:G245"/>
    <mergeCell ref="A21:G21"/>
    <mergeCell ref="A14:G14"/>
    <mergeCell ref="A23:A26"/>
    <mergeCell ref="A27:A29"/>
    <mergeCell ref="A30:A33"/>
    <mergeCell ref="A177:D177"/>
    <mergeCell ref="G52:G53"/>
    <mergeCell ref="A180:F180"/>
    <mergeCell ref="A182:A188"/>
    <mergeCell ref="E52:E53"/>
    <mergeCell ref="F52:F53"/>
    <mergeCell ref="A47:G47"/>
    <mergeCell ref="A42:A44"/>
    <mergeCell ref="A1:I1"/>
    <mergeCell ref="C4:F4"/>
    <mergeCell ref="C5:E6"/>
    <mergeCell ref="B15:E15"/>
    <mergeCell ref="B16:E16"/>
    <mergeCell ref="G16:G19"/>
    <mergeCell ref="B17:E17"/>
    <mergeCell ref="B18:C19"/>
    <mergeCell ref="D18:E18"/>
    <mergeCell ref="D19:E19"/>
    <mergeCell ref="C7:E7"/>
    <mergeCell ref="C8:E8"/>
    <mergeCell ref="C9:E9"/>
    <mergeCell ref="C10:E10"/>
    <mergeCell ref="C11:E11"/>
    <mergeCell ref="A34:A39"/>
    <mergeCell ref="A40:A41"/>
    <mergeCell ref="A189:A193"/>
    <mergeCell ref="A52:A53"/>
    <mergeCell ref="B52:B53"/>
    <mergeCell ref="B200:K200"/>
    <mergeCell ref="D201:K201"/>
    <mergeCell ref="A51:G51"/>
    <mergeCell ref="C52:C53"/>
    <mergeCell ref="D52:D53"/>
    <mergeCell ref="A197:F197"/>
    <mergeCell ref="B198:K198"/>
    <mergeCell ref="B199:K19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156"/>
  <sheetViews>
    <sheetView topLeftCell="A108" zoomScale="110" zoomScaleNormal="110" workbookViewId="0">
      <selection activeCell="J117" sqref="J117"/>
    </sheetView>
  </sheetViews>
  <sheetFormatPr baseColWidth="10" defaultRowHeight="15" x14ac:dyDescent="0.25"/>
  <cols>
    <col min="1" max="2" width="11.42578125" style="87"/>
    <col min="3" max="3" width="22.28515625" style="87" customWidth="1"/>
    <col min="4" max="5" width="11.42578125" style="87"/>
    <col min="6" max="6" width="9.7109375" style="87" bestFit="1" customWidth="1"/>
    <col min="7" max="7" width="16.28515625" style="87" customWidth="1"/>
    <col min="8" max="8" width="19.7109375" style="87" customWidth="1"/>
    <col min="9" max="9" width="12" style="87" bestFit="1" customWidth="1"/>
    <col min="10" max="11" width="11.42578125" style="87"/>
    <col min="12" max="12" width="21.7109375" style="87" customWidth="1"/>
    <col min="13" max="13" width="17.28515625" style="87" customWidth="1"/>
    <col min="14" max="16" width="11.42578125" style="87"/>
    <col min="17" max="17" width="14.42578125" style="87" customWidth="1"/>
    <col min="18" max="18" width="17.28515625" style="87" customWidth="1"/>
    <col min="19" max="19" width="13.28515625" style="87" customWidth="1"/>
    <col min="20" max="20" width="12.7109375" style="87" customWidth="1"/>
    <col min="21" max="22" width="11.42578125" style="87"/>
    <col min="23" max="23" width="25.140625" style="87" customWidth="1"/>
    <col min="24" max="26" width="11.42578125" style="87"/>
    <col min="27" max="27" width="11.42578125" style="203"/>
    <col min="28" max="29" width="18" style="87" customWidth="1"/>
    <col min="30" max="33" width="11.42578125" style="87"/>
    <col min="34" max="34" width="26.5703125" style="87" customWidth="1"/>
    <col min="35" max="35" width="5.5703125" style="87" bestFit="1" customWidth="1"/>
    <col min="36" max="36" width="14.5703125" style="87" customWidth="1"/>
    <col min="37" max="38" width="11.42578125" style="87"/>
    <col min="39" max="39" width="26.42578125" style="87" customWidth="1"/>
    <col min="40" max="40" width="13.42578125" style="87" customWidth="1"/>
    <col min="41" max="41" width="14.28515625" style="87" customWidth="1"/>
    <col min="42" max="16384" width="11.42578125" style="87"/>
  </cols>
  <sheetData>
    <row r="1" spans="2:21" ht="26.25" x14ac:dyDescent="0.4">
      <c r="B1" s="356" t="s">
        <v>287</v>
      </c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</row>
    <row r="3" spans="2:21" ht="33" x14ac:dyDescent="0.45">
      <c r="B3" s="358" t="s">
        <v>158</v>
      </c>
      <c r="C3" s="358"/>
      <c r="D3" s="358"/>
      <c r="E3" s="358"/>
      <c r="F3" s="358"/>
      <c r="G3" s="358"/>
      <c r="H3" s="358"/>
      <c r="I3" s="358"/>
      <c r="J3" s="75"/>
      <c r="L3" s="357" t="s">
        <v>133</v>
      </c>
      <c r="M3" s="357"/>
      <c r="N3" s="357"/>
      <c r="O3" s="357"/>
      <c r="P3" s="357"/>
      <c r="Q3" s="357"/>
      <c r="R3" s="357"/>
      <c r="S3" s="357"/>
    </row>
    <row r="4" spans="2:21" ht="18" x14ac:dyDescent="0.25">
      <c r="B4" s="343" t="s">
        <v>69</v>
      </c>
      <c r="C4" s="343"/>
      <c r="D4" s="343"/>
      <c r="E4" s="343"/>
      <c r="F4" s="343"/>
      <c r="G4" s="343"/>
      <c r="H4" s="343"/>
      <c r="I4" s="343"/>
      <c r="J4" s="88"/>
      <c r="L4" s="343" t="s">
        <v>128</v>
      </c>
      <c r="M4" s="343"/>
      <c r="N4" s="343"/>
      <c r="O4" s="343"/>
      <c r="P4" s="343"/>
      <c r="Q4" s="343"/>
      <c r="R4" s="343"/>
      <c r="S4" s="343"/>
    </row>
    <row r="5" spans="2:21" ht="15" customHeight="1" x14ac:dyDescent="0.25">
      <c r="B5" s="341" t="s">
        <v>114</v>
      </c>
      <c r="C5" s="341"/>
      <c r="D5" s="341" t="s">
        <v>115</v>
      </c>
      <c r="E5" s="341" t="s">
        <v>116</v>
      </c>
      <c r="F5" s="341" t="s">
        <v>86</v>
      </c>
      <c r="G5" s="341" t="s">
        <v>87</v>
      </c>
      <c r="H5" s="342" t="s">
        <v>117</v>
      </c>
      <c r="I5" s="341" t="s">
        <v>118</v>
      </c>
      <c r="J5" s="291" t="s">
        <v>203</v>
      </c>
      <c r="L5" s="341" t="s">
        <v>114</v>
      </c>
      <c r="M5" s="341"/>
      <c r="N5" s="341" t="s">
        <v>115</v>
      </c>
      <c r="O5" s="341" t="s">
        <v>116</v>
      </c>
      <c r="P5" s="341" t="s">
        <v>86</v>
      </c>
      <c r="Q5" s="341" t="s">
        <v>87</v>
      </c>
      <c r="R5" s="341" t="s">
        <v>117</v>
      </c>
      <c r="S5" s="341" t="s">
        <v>118</v>
      </c>
      <c r="T5" s="291" t="s">
        <v>203</v>
      </c>
    </row>
    <row r="6" spans="2:21" x14ac:dyDescent="0.25">
      <c r="B6" s="341"/>
      <c r="C6" s="341"/>
      <c r="D6" s="342"/>
      <c r="E6" s="342"/>
      <c r="F6" s="342"/>
      <c r="G6" s="342"/>
      <c r="H6" s="342"/>
      <c r="I6" s="341"/>
      <c r="J6" s="291"/>
      <c r="L6" s="341"/>
      <c r="M6" s="341"/>
      <c r="N6" s="341"/>
      <c r="O6" s="341"/>
      <c r="P6" s="341"/>
      <c r="Q6" s="341"/>
      <c r="R6" s="341"/>
      <c r="S6" s="341"/>
      <c r="T6" s="291"/>
    </row>
    <row r="7" spans="2:21" x14ac:dyDescent="0.25">
      <c r="B7" s="311" t="s">
        <v>119</v>
      </c>
      <c r="C7" s="311"/>
      <c r="D7" s="57">
        <f>J7/J13</f>
        <v>0.54929233772571984</v>
      </c>
      <c r="E7" s="32">
        <v>1755</v>
      </c>
      <c r="F7" s="32">
        <v>1937</v>
      </c>
      <c r="G7" s="32">
        <v>2196</v>
      </c>
      <c r="H7" s="32">
        <v>2529</v>
      </c>
      <c r="I7" s="32">
        <v>2838</v>
      </c>
      <c r="J7" s="90">
        <f t="shared" ref="J7:J13" si="0">AVERAGE(E7:I7)</f>
        <v>2251</v>
      </c>
      <c r="L7" s="311" t="s">
        <v>119</v>
      </c>
      <c r="M7" s="311"/>
      <c r="N7" s="57">
        <f>T7/T13</f>
        <v>0.56286413004387537</v>
      </c>
      <c r="O7" s="86">
        <v>2286</v>
      </c>
      <c r="P7" s="86">
        <v>2670</v>
      </c>
      <c r="Q7" s="86">
        <v>3016</v>
      </c>
      <c r="R7" s="86">
        <v>3597</v>
      </c>
      <c r="S7" s="86">
        <v>4082</v>
      </c>
      <c r="T7" s="90">
        <f>AVERAGE(O7:S7)</f>
        <v>3130.2</v>
      </c>
    </row>
    <row r="8" spans="2:21" x14ac:dyDescent="0.25">
      <c r="B8" s="311" t="s">
        <v>120</v>
      </c>
      <c r="C8" s="311"/>
      <c r="D8" s="57">
        <f>J8/J13</f>
        <v>0.21595900439238652</v>
      </c>
      <c r="E8" s="86">
        <v>885</v>
      </c>
      <c r="F8" s="86">
        <v>885</v>
      </c>
      <c r="G8" s="86">
        <v>885</v>
      </c>
      <c r="H8" s="86">
        <v>885</v>
      </c>
      <c r="I8" s="86">
        <v>885</v>
      </c>
      <c r="J8" s="90">
        <f t="shared" si="0"/>
        <v>885</v>
      </c>
      <c r="L8" s="311" t="s">
        <v>120</v>
      </c>
      <c r="M8" s="311"/>
      <c r="N8" s="57">
        <f>T8/T13</f>
        <v>0.25623966050492702</v>
      </c>
      <c r="O8" s="86">
        <v>1425</v>
      </c>
      <c r="P8" s="86">
        <v>1425</v>
      </c>
      <c r="Q8" s="86">
        <v>1425</v>
      </c>
      <c r="R8" s="86">
        <v>1425</v>
      </c>
      <c r="S8" s="86">
        <v>1425</v>
      </c>
      <c r="T8" s="90">
        <f t="shared" ref="T8:T13" si="1">AVERAGE(O8:S8)</f>
        <v>1425</v>
      </c>
    </row>
    <row r="9" spans="2:21" ht="29.25" customHeight="1" x14ac:dyDescent="0.25">
      <c r="B9" s="353" t="s">
        <v>121</v>
      </c>
      <c r="C9" s="311"/>
      <c r="D9" s="57">
        <f>J9/J13</f>
        <v>4.7584187408491949E-2</v>
      </c>
      <c r="E9" s="86">
        <v>195</v>
      </c>
      <c r="F9" s="86">
        <v>195</v>
      </c>
      <c r="G9" s="86">
        <v>195</v>
      </c>
      <c r="H9" s="86">
        <v>195</v>
      </c>
      <c r="I9" s="86">
        <v>195</v>
      </c>
      <c r="J9" s="90">
        <f t="shared" si="0"/>
        <v>195</v>
      </c>
      <c r="K9" s="87">
        <f>186*1.05</f>
        <v>195.3</v>
      </c>
      <c r="L9" s="311" t="s">
        <v>121</v>
      </c>
      <c r="M9" s="311"/>
      <c r="N9" s="57">
        <f>T9/T13</f>
        <v>3.7401999568438468E-2</v>
      </c>
      <c r="O9" s="86">
        <v>208</v>
      </c>
      <c r="P9" s="86">
        <v>208</v>
      </c>
      <c r="Q9" s="86">
        <v>208</v>
      </c>
      <c r="R9" s="86">
        <v>208</v>
      </c>
      <c r="S9" s="86">
        <v>208</v>
      </c>
      <c r="T9" s="90">
        <f t="shared" si="1"/>
        <v>208</v>
      </c>
      <c r="U9" s="87">
        <f>199*1.05</f>
        <v>208.95000000000002</v>
      </c>
    </row>
    <row r="10" spans="2:21" x14ac:dyDescent="0.25">
      <c r="B10" s="311" t="s">
        <v>122</v>
      </c>
      <c r="C10" s="311"/>
      <c r="D10" s="57">
        <f>J10/J13</f>
        <v>5.6368960468521231E-2</v>
      </c>
      <c r="E10" s="86">
        <v>231</v>
      </c>
      <c r="F10" s="86">
        <v>231</v>
      </c>
      <c r="G10" s="86">
        <v>231</v>
      </c>
      <c r="H10" s="86">
        <v>231</v>
      </c>
      <c r="I10" s="86">
        <v>231</v>
      </c>
      <c r="J10" s="90">
        <f t="shared" si="0"/>
        <v>231</v>
      </c>
      <c r="K10" s="190">
        <f>J10*1.05</f>
        <v>242.55</v>
      </c>
      <c r="L10" s="311" t="s">
        <v>122</v>
      </c>
      <c r="M10" s="311"/>
      <c r="N10" s="57">
        <f>T10/T13</f>
        <v>4.2436884125728262E-2</v>
      </c>
      <c r="O10" s="86">
        <v>236</v>
      </c>
      <c r="P10" s="86">
        <v>236</v>
      </c>
      <c r="Q10" s="86">
        <v>236</v>
      </c>
      <c r="R10" s="86">
        <v>236</v>
      </c>
      <c r="S10" s="86">
        <v>236</v>
      </c>
      <c r="T10" s="90">
        <f t="shared" si="1"/>
        <v>236</v>
      </c>
      <c r="U10" s="87">
        <f>225*1.05</f>
        <v>236.25</v>
      </c>
    </row>
    <row r="11" spans="2:21" x14ac:dyDescent="0.25">
      <c r="B11" s="311" t="s">
        <v>123</v>
      </c>
      <c r="C11" s="311"/>
      <c r="D11" s="57">
        <f>J11/J13</f>
        <v>2.1961932650073207E-2</v>
      </c>
      <c r="E11" s="86">
        <v>90</v>
      </c>
      <c r="F11" s="86">
        <v>90</v>
      </c>
      <c r="G11" s="86">
        <v>90</v>
      </c>
      <c r="H11" s="86">
        <v>90</v>
      </c>
      <c r="I11" s="86">
        <v>90</v>
      </c>
      <c r="J11" s="90">
        <f t="shared" si="0"/>
        <v>90</v>
      </c>
      <c r="K11" s="87">
        <f>85*1.05</f>
        <v>89.25</v>
      </c>
      <c r="L11" s="311" t="s">
        <v>123</v>
      </c>
      <c r="M11" s="311"/>
      <c r="N11" s="57">
        <f>T11/T13</f>
        <v>1.7801913256131771E-2</v>
      </c>
      <c r="O11" s="86">
        <v>99</v>
      </c>
      <c r="P11" s="86">
        <v>99</v>
      </c>
      <c r="Q11" s="86">
        <v>99</v>
      </c>
      <c r="R11" s="86">
        <v>99</v>
      </c>
      <c r="S11" s="86">
        <v>99</v>
      </c>
      <c r="T11" s="90">
        <f t="shared" si="1"/>
        <v>99</v>
      </c>
      <c r="U11" s="87">
        <f>95*1.05</f>
        <v>99.75</v>
      </c>
    </row>
    <row r="12" spans="2:21" ht="82.5" customHeight="1" x14ac:dyDescent="0.25">
      <c r="B12" s="310" t="s">
        <v>137</v>
      </c>
      <c r="C12" s="310"/>
      <c r="D12" s="57">
        <f>J12/J13</f>
        <v>0.10883357735480723</v>
      </c>
      <c r="E12" s="86">
        <v>446</v>
      </c>
      <c r="F12" s="86">
        <v>446</v>
      </c>
      <c r="G12" s="86">
        <v>446</v>
      </c>
      <c r="H12" s="86">
        <v>446</v>
      </c>
      <c r="I12" s="86">
        <v>446</v>
      </c>
      <c r="J12" s="90">
        <f t="shared" si="0"/>
        <v>446</v>
      </c>
      <c r="K12" s="87">
        <f>410*1.09</f>
        <v>446.90000000000003</v>
      </c>
      <c r="L12" s="310" t="s">
        <v>124</v>
      </c>
      <c r="M12" s="310"/>
      <c r="N12" s="57">
        <f>T12/T13</f>
        <v>8.3255412500899087E-2</v>
      </c>
      <c r="O12" s="86">
        <v>463</v>
      </c>
      <c r="P12" s="86">
        <v>463</v>
      </c>
      <c r="Q12" s="86">
        <v>463</v>
      </c>
      <c r="R12" s="86">
        <v>463</v>
      </c>
      <c r="S12" s="86">
        <v>463</v>
      </c>
      <c r="T12" s="90">
        <f t="shared" si="1"/>
        <v>463</v>
      </c>
      <c r="U12" s="87">
        <f>425*1.09</f>
        <v>463.25000000000006</v>
      </c>
    </row>
    <row r="13" spans="2:21" x14ac:dyDescent="0.25">
      <c r="B13" s="311" t="s">
        <v>125</v>
      </c>
      <c r="C13" s="311"/>
      <c r="D13" s="91">
        <v>1</v>
      </c>
      <c r="E13" s="32">
        <f>SUM(E7:E12)</f>
        <v>3602</v>
      </c>
      <c r="F13" s="32">
        <f>SUM(F7:F12)</f>
        <v>3784</v>
      </c>
      <c r="G13" s="32">
        <f>SUM(G7:G12)</f>
        <v>4043</v>
      </c>
      <c r="H13" s="32">
        <f>SUM(H7:H12)</f>
        <v>4376</v>
      </c>
      <c r="I13" s="32">
        <f>SUM(I7:I12)</f>
        <v>4685</v>
      </c>
      <c r="J13" s="90">
        <f t="shared" si="0"/>
        <v>4098</v>
      </c>
      <c r="L13" s="292" t="s">
        <v>125</v>
      </c>
      <c r="M13" s="292"/>
      <c r="N13" s="91">
        <v>1</v>
      </c>
      <c r="O13" s="32">
        <f>SUM(O6:O12)</f>
        <v>4717</v>
      </c>
      <c r="P13" s="32">
        <f t="shared" ref="P13:S13" si="2">SUM(P6:P12)</f>
        <v>5101</v>
      </c>
      <c r="Q13" s="32">
        <f t="shared" si="2"/>
        <v>5447</v>
      </c>
      <c r="R13" s="32">
        <f t="shared" si="2"/>
        <v>6028</v>
      </c>
      <c r="S13" s="32">
        <f t="shared" si="2"/>
        <v>6513</v>
      </c>
      <c r="T13" s="90">
        <f t="shared" si="1"/>
        <v>5561.2</v>
      </c>
    </row>
    <row r="14" spans="2:21" x14ac:dyDescent="0.25">
      <c r="L14" s="355"/>
      <c r="M14" s="355"/>
      <c r="N14" s="355"/>
      <c r="O14" s="355"/>
      <c r="P14" s="355"/>
      <c r="Q14" s="355"/>
      <c r="R14" s="355"/>
      <c r="S14" s="355"/>
    </row>
    <row r="15" spans="2:21" ht="18" x14ac:dyDescent="0.25">
      <c r="B15" s="343" t="s">
        <v>57</v>
      </c>
      <c r="C15" s="343"/>
      <c r="D15" s="343"/>
      <c r="E15" s="343"/>
      <c r="F15" s="343"/>
      <c r="G15" s="343"/>
      <c r="H15" s="343"/>
      <c r="I15" s="343"/>
      <c r="J15" s="88"/>
      <c r="L15" s="343" t="s">
        <v>129</v>
      </c>
      <c r="M15" s="343"/>
      <c r="N15" s="343"/>
      <c r="O15" s="343"/>
      <c r="P15" s="343"/>
      <c r="Q15" s="343"/>
      <c r="R15" s="343"/>
      <c r="S15" s="343"/>
    </row>
    <row r="16" spans="2:21" ht="15" customHeight="1" x14ac:dyDescent="0.25">
      <c r="B16" s="341" t="s">
        <v>114</v>
      </c>
      <c r="C16" s="341"/>
      <c r="D16" s="341" t="s">
        <v>115</v>
      </c>
      <c r="E16" s="341" t="s">
        <v>116</v>
      </c>
      <c r="F16" s="341" t="s">
        <v>86</v>
      </c>
      <c r="G16" s="341" t="s">
        <v>87</v>
      </c>
      <c r="H16" s="342" t="s">
        <v>117</v>
      </c>
      <c r="I16" s="341" t="s">
        <v>118</v>
      </c>
      <c r="J16" s="291" t="s">
        <v>203</v>
      </c>
      <c r="L16" s="341" t="s">
        <v>114</v>
      </c>
      <c r="M16" s="341"/>
      <c r="N16" s="341" t="s">
        <v>115</v>
      </c>
      <c r="O16" s="341" t="s">
        <v>116</v>
      </c>
      <c r="P16" s="341" t="s">
        <v>86</v>
      </c>
      <c r="Q16" s="341" t="s">
        <v>87</v>
      </c>
      <c r="R16" s="341" t="s">
        <v>117</v>
      </c>
      <c r="S16" s="341" t="s">
        <v>118</v>
      </c>
      <c r="T16" s="291" t="s">
        <v>203</v>
      </c>
    </row>
    <row r="17" spans="2:21" x14ac:dyDescent="0.25">
      <c r="B17" s="341"/>
      <c r="C17" s="341"/>
      <c r="D17" s="342"/>
      <c r="E17" s="342"/>
      <c r="F17" s="342"/>
      <c r="G17" s="342"/>
      <c r="H17" s="342"/>
      <c r="I17" s="341"/>
      <c r="J17" s="291"/>
      <c r="L17" s="341"/>
      <c r="M17" s="341"/>
      <c r="N17" s="341"/>
      <c r="O17" s="341"/>
      <c r="P17" s="341"/>
      <c r="Q17" s="341"/>
      <c r="R17" s="341"/>
      <c r="S17" s="341"/>
      <c r="T17" s="291"/>
    </row>
    <row r="18" spans="2:21" x14ac:dyDescent="0.25">
      <c r="B18" s="311" t="s">
        <v>119</v>
      </c>
      <c r="C18" s="311"/>
      <c r="D18" s="57">
        <f>J18/J24</f>
        <v>0.55656089730225566</v>
      </c>
      <c r="E18" s="32">
        <v>1970</v>
      </c>
      <c r="F18" s="32">
        <v>2355</v>
      </c>
      <c r="G18" s="32">
        <v>2608</v>
      </c>
      <c r="H18" s="32">
        <v>3060</v>
      </c>
      <c r="I18" s="32">
        <v>3355</v>
      </c>
      <c r="J18" s="90">
        <f t="shared" ref="J18:J24" si="3">AVERAGE(E18:I18)</f>
        <v>2669.6</v>
      </c>
      <c r="L18" s="292" t="s">
        <v>119</v>
      </c>
      <c r="M18" s="292"/>
      <c r="N18" s="57">
        <f>T18/T24</f>
        <v>0.608720251776937</v>
      </c>
      <c r="O18" s="86">
        <v>2478</v>
      </c>
      <c r="P18" s="86">
        <v>2962</v>
      </c>
      <c r="Q18" s="86">
        <v>3343</v>
      </c>
      <c r="R18" s="86">
        <v>3963</v>
      </c>
      <c r="S18" s="86">
        <v>4468</v>
      </c>
      <c r="T18" s="90">
        <f>AVERAGE(O18:S18)</f>
        <v>3442.8</v>
      </c>
    </row>
    <row r="19" spans="2:21" x14ac:dyDescent="0.25">
      <c r="B19" s="311" t="s">
        <v>120</v>
      </c>
      <c r="C19" s="311"/>
      <c r="D19" s="57">
        <f>J19/J24</f>
        <v>0.1507317683359046</v>
      </c>
      <c r="E19" s="86">
        <v>723</v>
      </c>
      <c r="F19" s="86">
        <v>723</v>
      </c>
      <c r="G19" s="86">
        <v>723</v>
      </c>
      <c r="H19" s="86">
        <v>723</v>
      </c>
      <c r="I19" s="86">
        <v>723</v>
      </c>
      <c r="J19" s="90">
        <f t="shared" si="3"/>
        <v>723</v>
      </c>
      <c r="L19" s="292" t="s">
        <v>120</v>
      </c>
      <c r="M19" s="292"/>
      <c r="N19" s="57">
        <f>T19/T24</f>
        <v>0.10803069415467308</v>
      </c>
      <c r="O19" s="86">
        <v>611</v>
      </c>
      <c r="P19" s="86">
        <v>611</v>
      </c>
      <c r="Q19" s="86">
        <v>611</v>
      </c>
      <c r="R19" s="86">
        <v>611</v>
      </c>
      <c r="S19" s="86">
        <v>611</v>
      </c>
      <c r="T19" s="90">
        <f t="shared" ref="T19:T24" si="4">AVERAGE(O19:S19)</f>
        <v>611</v>
      </c>
    </row>
    <row r="20" spans="2:21" ht="24" customHeight="1" x14ac:dyDescent="0.25">
      <c r="B20" s="353" t="s">
        <v>121</v>
      </c>
      <c r="C20" s="311"/>
      <c r="D20" s="57">
        <f>J20/J24</f>
        <v>4.6491264645790766E-2</v>
      </c>
      <c r="E20" s="86">
        <v>223</v>
      </c>
      <c r="F20" s="86">
        <v>223</v>
      </c>
      <c r="G20" s="86">
        <v>223</v>
      </c>
      <c r="H20" s="86">
        <v>223</v>
      </c>
      <c r="I20" s="86">
        <v>223</v>
      </c>
      <c r="J20" s="90">
        <f t="shared" si="3"/>
        <v>223</v>
      </c>
      <c r="K20" s="87">
        <f>186*1.05</f>
        <v>195.3</v>
      </c>
      <c r="L20" s="292" t="s">
        <v>121</v>
      </c>
      <c r="M20" s="292"/>
      <c r="N20" s="57">
        <f>T20/T24</f>
        <v>5.0037130025814204E-2</v>
      </c>
      <c r="O20" s="86">
        <v>283</v>
      </c>
      <c r="P20" s="86">
        <v>283</v>
      </c>
      <c r="Q20" s="86">
        <v>283</v>
      </c>
      <c r="R20" s="86">
        <v>283</v>
      </c>
      <c r="S20" s="86">
        <v>283</v>
      </c>
      <c r="T20" s="90">
        <f t="shared" si="4"/>
        <v>283</v>
      </c>
      <c r="U20" s="87">
        <f>270*1.05</f>
        <v>283.5</v>
      </c>
    </row>
    <row r="21" spans="2:21" x14ac:dyDescent="0.25">
      <c r="B21" s="311" t="s">
        <v>122</v>
      </c>
      <c r="C21" s="311"/>
      <c r="D21" s="57">
        <f>J21/J24</f>
        <v>0.12091898428053204</v>
      </c>
      <c r="E21" s="86">
        <v>580</v>
      </c>
      <c r="F21" s="86">
        <v>580</v>
      </c>
      <c r="G21" s="86">
        <v>580</v>
      </c>
      <c r="H21" s="86">
        <v>580</v>
      </c>
      <c r="I21" s="86">
        <v>580</v>
      </c>
      <c r="J21" s="90">
        <f t="shared" si="3"/>
        <v>580</v>
      </c>
      <c r="K21" s="87">
        <f>240*1.05</f>
        <v>252</v>
      </c>
      <c r="L21" s="292" t="s">
        <v>122</v>
      </c>
      <c r="M21" s="292"/>
      <c r="N21" s="57">
        <f>T21/T24</f>
        <v>0.10856112309487605</v>
      </c>
      <c r="O21" s="86">
        <v>614</v>
      </c>
      <c r="P21" s="86">
        <v>614</v>
      </c>
      <c r="Q21" s="86">
        <v>614</v>
      </c>
      <c r="R21" s="86">
        <v>614</v>
      </c>
      <c r="S21" s="86">
        <v>614</v>
      </c>
      <c r="T21" s="90">
        <f t="shared" si="4"/>
        <v>614</v>
      </c>
      <c r="U21" s="87">
        <f>585*1.05</f>
        <v>614.25</v>
      </c>
    </row>
    <row r="22" spans="2:21" ht="39.75" customHeight="1" x14ac:dyDescent="0.25">
      <c r="B22" s="310" t="s">
        <v>126</v>
      </c>
      <c r="C22" s="310"/>
      <c r="D22" s="57">
        <f>J22/J24</f>
        <v>2.5643163907768E-2</v>
      </c>
      <c r="E22" s="86">
        <v>123</v>
      </c>
      <c r="F22" s="86">
        <v>123</v>
      </c>
      <c r="G22" s="86">
        <v>123</v>
      </c>
      <c r="H22" s="86">
        <v>123</v>
      </c>
      <c r="I22" s="86">
        <v>123</v>
      </c>
      <c r="J22" s="90">
        <f t="shared" si="3"/>
        <v>123</v>
      </c>
      <c r="K22" s="87">
        <f>123*1.0316</f>
        <v>126.88680000000001</v>
      </c>
      <c r="L22" s="292" t="s">
        <v>123</v>
      </c>
      <c r="M22" s="292"/>
      <c r="N22" s="57">
        <f>T22/T24</f>
        <v>1.8741822553838536E-2</v>
      </c>
      <c r="O22" s="86">
        <v>106</v>
      </c>
      <c r="P22" s="86">
        <v>106</v>
      </c>
      <c r="Q22" s="86">
        <v>106</v>
      </c>
      <c r="R22" s="86">
        <v>106</v>
      </c>
      <c r="S22" s="86">
        <v>106</v>
      </c>
      <c r="T22" s="90">
        <f t="shared" si="4"/>
        <v>106</v>
      </c>
      <c r="U22" s="87">
        <f>101*1.05</f>
        <v>106.05000000000001</v>
      </c>
    </row>
    <row r="23" spans="2:21" ht="74.25" customHeight="1" x14ac:dyDescent="0.25">
      <c r="B23" s="310" t="s">
        <v>137</v>
      </c>
      <c r="C23" s="310"/>
      <c r="D23" s="57">
        <f>J23/J24</f>
        <v>9.9653921527748809E-2</v>
      </c>
      <c r="E23" s="86">
        <v>478</v>
      </c>
      <c r="F23" s="86">
        <v>478</v>
      </c>
      <c r="G23" s="86">
        <v>478</v>
      </c>
      <c r="H23" s="86">
        <v>478</v>
      </c>
      <c r="I23" s="86">
        <v>478</v>
      </c>
      <c r="J23" s="90">
        <f t="shared" si="3"/>
        <v>478</v>
      </c>
      <c r="K23" s="87">
        <f>439*1.09</f>
        <v>478.51000000000005</v>
      </c>
      <c r="L23" s="310" t="s">
        <v>137</v>
      </c>
      <c r="M23" s="310"/>
      <c r="N23" s="57">
        <f>T23/T24</f>
        <v>0.10590897839386117</v>
      </c>
      <c r="O23" s="86">
        <v>599</v>
      </c>
      <c r="P23" s="86">
        <v>599</v>
      </c>
      <c r="Q23" s="86">
        <v>599</v>
      </c>
      <c r="R23" s="86">
        <v>599</v>
      </c>
      <c r="S23" s="86">
        <v>599</v>
      </c>
      <c r="T23" s="90">
        <f t="shared" si="4"/>
        <v>599</v>
      </c>
      <c r="U23" s="190">
        <f>T23*1.09</f>
        <v>652.91000000000008</v>
      </c>
    </row>
    <row r="24" spans="2:21" x14ac:dyDescent="0.25">
      <c r="B24" s="292" t="s">
        <v>125</v>
      </c>
      <c r="C24" s="292"/>
      <c r="D24" s="91">
        <v>1</v>
      </c>
      <c r="E24" s="32">
        <f>SUM(E18:E23)</f>
        <v>4097</v>
      </c>
      <c r="F24" s="32">
        <f>SUM(F18:F23)</f>
        <v>4482</v>
      </c>
      <c r="G24" s="32">
        <f>SUM(G18:G23)</f>
        <v>4735</v>
      </c>
      <c r="H24" s="32">
        <f>SUM(H18:H23)</f>
        <v>5187</v>
      </c>
      <c r="I24" s="32">
        <f>SUM(I18:I23)</f>
        <v>5482</v>
      </c>
      <c r="J24" s="90">
        <f t="shared" si="3"/>
        <v>4796.6000000000004</v>
      </c>
      <c r="L24" s="292" t="s">
        <v>125</v>
      </c>
      <c r="M24" s="292"/>
      <c r="N24" s="91">
        <v>1</v>
      </c>
      <c r="O24" s="32">
        <f>SUM(O18:O23)</f>
        <v>4691</v>
      </c>
      <c r="P24" s="32">
        <f>SUM(P18:P23)</f>
        <v>5175</v>
      </c>
      <c r="Q24" s="32">
        <f>SUM(Q18:Q23)</f>
        <v>5556</v>
      </c>
      <c r="R24" s="32">
        <f>SUM(R18:R23)</f>
        <v>6176</v>
      </c>
      <c r="S24" s="32">
        <f>SUM(S18:S23)</f>
        <v>6681</v>
      </c>
      <c r="T24" s="90">
        <f t="shared" si="4"/>
        <v>5655.8</v>
      </c>
    </row>
    <row r="25" spans="2:21" x14ac:dyDescent="0.25">
      <c r="L25" s="359"/>
      <c r="M25" s="359"/>
      <c r="N25" s="359"/>
      <c r="O25" s="359"/>
      <c r="P25" s="359"/>
      <c r="Q25" s="359"/>
      <c r="R25" s="359"/>
      <c r="S25" s="359"/>
    </row>
    <row r="26" spans="2:21" ht="18" x14ac:dyDescent="0.25">
      <c r="B26" s="343" t="s">
        <v>66</v>
      </c>
      <c r="C26" s="343"/>
      <c r="D26" s="343"/>
      <c r="E26" s="343"/>
      <c r="F26" s="343"/>
      <c r="G26" s="343"/>
      <c r="H26" s="343"/>
      <c r="I26" s="343"/>
      <c r="J26" s="88"/>
      <c r="L26" s="343" t="s">
        <v>130</v>
      </c>
      <c r="M26" s="343"/>
      <c r="N26" s="343"/>
      <c r="O26" s="343"/>
      <c r="P26" s="343"/>
      <c r="Q26" s="343"/>
      <c r="R26" s="343"/>
      <c r="S26" s="343"/>
    </row>
    <row r="27" spans="2:21" ht="15" customHeight="1" x14ac:dyDescent="0.25">
      <c r="B27" s="341" t="s">
        <v>114</v>
      </c>
      <c r="C27" s="341"/>
      <c r="D27" s="341" t="s">
        <v>115</v>
      </c>
      <c r="E27" s="341" t="s">
        <v>116</v>
      </c>
      <c r="F27" s="341" t="s">
        <v>86</v>
      </c>
      <c r="G27" s="341" t="s">
        <v>87</v>
      </c>
      <c r="H27" s="342" t="s">
        <v>117</v>
      </c>
      <c r="I27" s="341" t="s">
        <v>118</v>
      </c>
      <c r="J27" s="291" t="s">
        <v>203</v>
      </c>
      <c r="L27" s="341" t="s">
        <v>67</v>
      </c>
      <c r="M27" s="341"/>
      <c r="N27" s="341" t="s">
        <v>115</v>
      </c>
      <c r="O27" s="341" t="s">
        <v>116</v>
      </c>
      <c r="P27" s="341" t="s">
        <v>86</v>
      </c>
      <c r="Q27" s="341" t="s">
        <v>87</v>
      </c>
      <c r="R27" s="341" t="s">
        <v>117</v>
      </c>
      <c r="S27" s="341" t="s">
        <v>118</v>
      </c>
      <c r="T27" s="291" t="s">
        <v>203</v>
      </c>
    </row>
    <row r="28" spans="2:21" x14ac:dyDescent="0.25">
      <c r="B28" s="341"/>
      <c r="C28" s="341"/>
      <c r="D28" s="342"/>
      <c r="E28" s="342"/>
      <c r="F28" s="342"/>
      <c r="G28" s="342"/>
      <c r="H28" s="342"/>
      <c r="I28" s="341"/>
      <c r="J28" s="291"/>
      <c r="L28" s="341"/>
      <c r="M28" s="341"/>
      <c r="N28" s="341"/>
      <c r="O28" s="341"/>
      <c r="P28" s="341"/>
      <c r="Q28" s="341"/>
      <c r="R28" s="341"/>
      <c r="S28" s="341"/>
      <c r="T28" s="291"/>
    </row>
    <row r="29" spans="2:21" x14ac:dyDescent="0.25">
      <c r="B29" s="292" t="s">
        <v>119</v>
      </c>
      <c r="C29" s="292"/>
      <c r="D29" s="57">
        <f>J29/J35</f>
        <v>0.4850247791424262</v>
      </c>
      <c r="E29" s="32">
        <v>1755</v>
      </c>
      <c r="F29" s="32">
        <v>1937</v>
      </c>
      <c r="G29" s="32">
        <v>2196</v>
      </c>
      <c r="H29" s="32">
        <v>2529</v>
      </c>
      <c r="I29" s="32">
        <v>2838</v>
      </c>
      <c r="J29" s="90">
        <f t="shared" ref="J29:J35" si="5">AVERAGE(E29:I29)</f>
        <v>2251</v>
      </c>
      <c r="L29" s="292" t="s">
        <v>119</v>
      </c>
      <c r="M29" s="292"/>
      <c r="N29" s="57">
        <f>T29/T35</f>
        <v>0.57296090203543715</v>
      </c>
      <c r="O29" s="86">
        <v>2286</v>
      </c>
      <c r="P29" s="86">
        <v>2670</v>
      </c>
      <c r="Q29" s="86">
        <v>3016</v>
      </c>
      <c r="R29" s="86">
        <v>3597</v>
      </c>
      <c r="S29" s="86">
        <v>4082</v>
      </c>
      <c r="T29" s="90">
        <f>AVERAGE(O29:S29)</f>
        <v>3130.2</v>
      </c>
    </row>
    <row r="30" spans="2:21" x14ac:dyDescent="0.25">
      <c r="B30" s="311" t="s">
        <v>120</v>
      </c>
      <c r="C30" s="311"/>
      <c r="D30" s="57">
        <f>J30/J35</f>
        <v>0.28851540616246496</v>
      </c>
      <c r="E30" s="86">
        <v>1339</v>
      </c>
      <c r="F30" s="86">
        <v>1339</v>
      </c>
      <c r="G30" s="86">
        <v>1339</v>
      </c>
      <c r="H30" s="86">
        <v>1339</v>
      </c>
      <c r="I30" s="86">
        <v>1339</v>
      </c>
      <c r="J30" s="90">
        <f t="shared" si="5"/>
        <v>1339</v>
      </c>
      <c r="L30" s="292" t="s">
        <v>120</v>
      </c>
      <c r="M30" s="292"/>
      <c r="N30" s="57">
        <f>T30/T35</f>
        <v>0.23118318933958121</v>
      </c>
      <c r="O30" s="86">
        <v>1263</v>
      </c>
      <c r="P30" s="86">
        <v>1263</v>
      </c>
      <c r="Q30" s="86">
        <v>1263</v>
      </c>
      <c r="R30" s="86">
        <v>1263</v>
      </c>
      <c r="S30" s="86">
        <v>1263</v>
      </c>
      <c r="T30" s="90">
        <f t="shared" ref="T30:T35" si="6">AVERAGE(O30:S30)</f>
        <v>1263</v>
      </c>
    </row>
    <row r="31" spans="2:21" ht="24.75" customHeight="1" x14ac:dyDescent="0.25">
      <c r="B31" s="353" t="s">
        <v>121</v>
      </c>
      <c r="C31" s="311"/>
      <c r="D31" s="57">
        <f>J31/J35</f>
        <v>4.2016806722689079E-2</v>
      </c>
      <c r="E31" s="86">
        <v>195</v>
      </c>
      <c r="F31" s="86">
        <v>195</v>
      </c>
      <c r="G31" s="86">
        <v>195</v>
      </c>
      <c r="H31" s="86">
        <v>195</v>
      </c>
      <c r="I31" s="86">
        <v>195</v>
      </c>
      <c r="J31" s="90">
        <f t="shared" si="5"/>
        <v>195</v>
      </c>
      <c r="K31" s="87">
        <f>186*1.05</f>
        <v>195.3</v>
      </c>
      <c r="L31" s="292" t="s">
        <v>121</v>
      </c>
      <c r="M31" s="292"/>
      <c r="N31" s="57">
        <f>T31/T35</f>
        <v>3.8255967198711383E-2</v>
      </c>
      <c r="O31" s="86">
        <v>209</v>
      </c>
      <c r="P31" s="86">
        <v>209</v>
      </c>
      <c r="Q31" s="86">
        <v>209</v>
      </c>
      <c r="R31" s="86">
        <v>209</v>
      </c>
      <c r="S31" s="86">
        <v>209</v>
      </c>
      <c r="T31" s="90">
        <f t="shared" si="6"/>
        <v>209</v>
      </c>
      <c r="U31" s="87">
        <f>199*1.05</f>
        <v>208.95000000000002</v>
      </c>
    </row>
    <row r="32" spans="2:21" x14ac:dyDescent="0.25">
      <c r="B32" s="311" t="s">
        <v>122</v>
      </c>
      <c r="C32" s="311"/>
      <c r="D32" s="57">
        <f>J32/J35</f>
        <v>5.4298642533936653E-2</v>
      </c>
      <c r="E32" s="86">
        <v>252</v>
      </c>
      <c r="F32" s="86">
        <v>252</v>
      </c>
      <c r="G32" s="86">
        <v>252</v>
      </c>
      <c r="H32" s="86">
        <v>252</v>
      </c>
      <c r="I32" s="86">
        <v>252</v>
      </c>
      <c r="J32" s="90">
        <f t="shared" si="5"/>
        <v>252</v>
      </c>
      <c r="K32" s="87">
        <f>240*1.05</f>
        <v>252</v>
      </c>
      <c r="L32" s="292" t="s">
        <v>122</v>
      </c>
      <c r="M32" s="292"/>
      <c r="N32" s="57">
        <f>T32/T35</f>
        <v>4.7042026651047009E-2</v>
      </c>
      <c r="O32" s="86">
        <v>257</v>
      </c>
      <c r="P32" s="86">
        <v>257</v>
      </c>
      <c r="Q32" s="86">
        <v>257</v>
      </c>
      <c r="R32" s="86">
        <v>257</v>
      </c>
      <c r="S32" s="86">
        <v>257</v>
      </c>
      <c r="T32" s="90">
        <f t="shared" si="6"/>
        <v>257</v>
      </c>
      <c r="U32" s="87">
        <f>245*1.05</f>
        <v>257.25</v>
      </c>
    </row>
    <row r="33" spans="2:21" x14ac:dyDescent="0.25">
      <c r="B33" s="311" t="s">
        <v>123</v>
      </c>
      <c r="C33" s="311"/>
      <c r="D33" s="57">
        <f>J33/J35</f>
        <v>2.7149321266968326E-2</v>
      </c>
      <c r="E33" s="86">
        <v>126</v>
      </c>
      <c r="F33" s="86">
        <v>126</v>
      </c>
      <c r="G33" s="86">
        <v>126</v>
      </c>
      <c r="H33" s="86">
        <v>126</v>
      </c>
      <c r="I33" s="86">
        <v>126</v>
      </c>
      <c r="J33" s="90">
        <f t="shared" si="5"/>
        <v>126</v>
      </c>
      <c r="L33" s="292" t="s">
        <v>123</v>
      </c>
      <c r="M33" s="292"/>
      <c r="N33" s="57">
        <f>T33/T35</f>
        <v>2.6907307072777858E-2</v>
      </c>
      <c r="O33" s="86">
        <v>147</v>
      </c>
      <c r="P33" s="86">
        <v>147</v>
      </c>
      <c r="Q33" s="86">
        <v>147</v>
      </c>
      <c r="R33" s="86">
        <v>147</v>
      </c>
      <c r="S33" s="86">
        <v>147</v>
      </c>
      <c r="T33" s="90">
        <f t="shared" si="6"/>
        <v>147</v>
      </c>
      <c r="U33" s="87">
        <f>140*1.05</f>
        <v>147</v>
      </c>
    </row>
    <row r="34" spans="2:21" ht="79.5" customHeight="1" x14ac:dyDescent="0.25">
      <c r="B34" s="310" t="s">
        <v>137</v>
      </c>
      <c r="C34" s="310"/>
      <c r="D34" s="57">
        <f>J34/J35</f>
        <v>0.10299504417151475</v>
      </c>
      <c r="E34" s="86">
        <v>478</v>
      </c>
      <c r="F34" s="86">
        <v>478</v>
      </c>
      <c r="G34" s="86">
        <v>478</v>
      </c>
      <c r="H34" s="86">
        <v>478</v>
      </c>
      <c r="I34" s="86">
        <v>478</v>
      </c>
      <c r="J34" s="90">
        <f t="shared" si="5"/>
        <v>478</v>
      </c>
      <c r="K34" s="87">
        <f>439*1.09</f>
        <v>478.51000000000005</v>
      </c>
      <c r="L34" s="310" t="s">
        <v>137</v>
      </c>
      <c r="M34" s="310"/>
      <c r="N34" s="57">
        <f>T34/T35</f>
        <v>8.3650607702445451E-2</v>
      </c>
      <c r="O34" s="86">
        <v>457</v>
      </c>
      <c r="P34" s="86">
        <v>457</v>
      </c>
      <c r="Q34" s="86">
        <v>457</v>
      </c>
      <c r="R34" s="86">
        <v>457</v>
      </c>
      <c r="S34" s="86">
        <v>457</v>
      </c>
      <c r="T34" s="90">
        <f t="shared" si="6"/>
        <v>457</v>
      </c>
      <c r="U34" s="87">
        <f>420*1.09</f>
        <v>457.8</v>
      </c>
    </row>
    <row r="35" spans="2:21" x14ac:dyDescent="0.25">
      <c r="B35" s="311" t="s">
        <v>125</v>
      </c>
      <c r="C35" s="311"/>
      <c r="D35" s="91">
        <v>1</v>
      </c>
      <c r="E35" s="32">
        <f>SUM(E29:E34)</f>
        <v>4145</v>
      </c>
      <c r="F35" s="32">
        <f>SUM(F29:F34)</f>
        <v>4327</v>
      </c>
      <c r="G35" s="32">
        <f>SUM(G29:G34)</f>
        <v>4586</v>
      </c>
      <c r="H35" s="32">
        <f>SUM(H29:H34)</f>
        <v>4919</v>
      </c>
      <c r="I35" s="32">
        <f>SUM(I29:I34)</f>
        <v>5228</v>
      </c>
      <c r="J35" s="90">
        <f t="shared" si="5"/>
        <v>4641</v>
      </c>
      <c r="L35" s="292" t="s">
        <v>125</v>
      </c>
      <c r="M35" s="292"/>
      <c r="N35" s="91">
        <v>1</v>
      </c>
      <c r="O35" s="32">
        <f>SUM(O29:O34)</f>
        <v>4619</v>
      </c>
      <c r="P35" s="32">
        <f t="shared" ref="P35:S35" si="7">SUM(P29:P34)</f>
        <v>5003</v>
      </c>
      <c r="Q35" s="32">
        <f t="shared" si="7"/>
        <v>5349</v>
      </c>
      <c r="R35" s="32">
        <f t="shared" si="7"/>
        <v>5930</v>
      </c>
      <c r="S35" s="32">
        <f t="shared" si="7"/>
        <v>6415</v>
      </c>
      <c r="T35" s="90">
        <f t="shared" si="6"/>
        <v>5463.2</v>
      </c>
    </row>
    <row r="36" spans="2:21" x14ac:dyDescent="0.25">
      <c r="L36" s="352"/>
      <c r="M36" s="352"/>
      <c r="N36" s="352"/>
      <c r="O36" s="352"/>
      <c r="P36" s="352"/>
      <c r="Q36" s="352"/>
      <c r="R36" s="352"/>
      <c r="S36" s="352"/>
    </row>
    <row r="37" spans="2:21" ht="18" x14ac:dyDescent="0.25">
      <c r="B37" s="343" t="s">
        <v>68</v>
      </c>
      <c r="C37" s="343"/>
      <c r="D37" s="343"/>
      <c r="E37" s="343"/>
      <c r="F37" s="343"/>
      <c r="G37" s="343"/>
      <c r="H37" s="343"/>
      <c r="I37" s="343"/>
      <c r="J37" s="92"/>
      <c r="L37" s="343" t="s">
        <v>131</v>
      </c>
      <c r="M37" s="343"/>
      <c r="N37" s="343"/>
      <c r="O37" s="343"/>
      <c r="P37" s="343"/>
      <c r="Q37" s="343"/>
      <c r="R37" s="343"/>
      <c r="S37" s="343"/>
    </row>
    <row r="38" spans="2:21" ht="15" customHeight="1" x14ac:dyDescent="0.25">
      <c r="B38" s="341" t="s">
        <v>114</v>
      </c>
      <c r="C38" s="341"/>
      <c r="D38" s="341" t="s">
        <v>115</v>
      </c>
      <c r="E38" s="341" t="s">
        <v>116</v>
      </c>
      <c r="F38" s="341" t="s">
        <v>86</v>
      </c>
      <c r="G38" s="341" t="s">
        <v>87</v>
      </c>
      <c r="H38" s="342" t="s">
        <v>117</v>
      </c>
      <c r="I38" s="341" t="s">
        <v>118</v>
      </c>
      <c r="J38" s="291" t="s">
        <v>203</v>
      </c>
      <c r="L38" s="341" t="s">
        <v>114</v>
      </c>
      <c r="M38" s="341"/>
      <c r="N38" s="341" t="s">
        <v>115</v>
      </c>
      <c r="O38" s="341" t="s">
        <v>116</v>
      </c>
      <c r="P38" s="341" t="s">
        <v>86</v>
      </c>
      <c r="Q38" s="341" t="s">
        <v>87</v>
      </c>
      <c r="R38" s="341" t="s">
        <v>117</v>
      </c>
      <c r="S38" s="341" t="s">
        <v>118</v>
      </c>
      <c r="T38" s="291" t="s">
        <v>203</v>
      </c>
    </row>
    <row r="39" spans="2:21" x14ac:dyDescent="0.25">
      <c r="B39" s="341"/>
      <c r="C39" s="341"/>
      <c r="D39" s="342"/>
      <c r="E39" s="342"/>
      <c r="F39" s="342"/>
      <c r="G39" s="342"/>
      <c r="H39" s="342"/>
      <c r="I39" s="341"/>
      <c r="J39" s="291"/>
      <c r="L39" s="341"/>
      <c r="M39" s="341"/>
      <c r="N39" s="341"/>
      <c r="O39" s="341"/>
      <c r="P39" s="341"/>
      <c r="Q39" s="341"/>
      <c r="R39" s="341"/>
      <c r="S39" s="341"/>
      <c r="T39" s="291"/>
    </row>
    <row r="40" spans="2:21" x14ac:dyDescent="0.25">
      <c r="B40" s="292" t="s">
        <v>119</v>
      </c>
      <c r="C40" s="292"/>
      <c r="D40" s="57">
        <f>J40/J46</f>
        <v>0.59851103429938846</v>
      </c>
      <c r="E40" s="32">
        <v>1755</v>
      </c>
      <c r="F40" s="32">
        <v>1937</v>
      </c>
      <c r="G40" s="32">
        <v>2196</v>
      </c>
      <c r="H40" s="32">
        <v>2529</v>
      </c>
      <c r="I40" s="32">
        <v>2838</v>
      </c>
      <c r="J40" s="90">
        <f t="shared" ref="J40:J46" si="8">AVERAGE(E40:I40)</f>
        <v>2251</v>
      </c>
      <c r="L40" s="292" t="s">
        <v>119</v>
      </c>
      <c r="M40" s="292"/>
      <c r="N40" s="57">
        <f>T40/T46</f>
        <v>0.60955756348340862</v>
      </c>
      <c r="O40" s="86">
        <v>2286</v>
      </c>
      <c r="P40" s="86">
        <v>2670</v>
      </c>
      <c r="Q40" s="86">
        <v>3016</v>
      </c>
      <c r="R40" s="86">
        <v>3597</v>
      </c>
      <c r="S40" s="86">
        <v>4082</v>
      </c>
      <c r="T40" s="90">
        <f>AVERAGE(O40:S40)</f>
        <v>3130.2</v>
      </c>
    </row>
    <row r="41" spans="2:21" x14ac:dyDescent="0.25">
      <c r="B41" s="311" t="s">
        <v>120</v>
      </c>
      <c r="C41" s="311"/>
      <c r="D41" s="57">
        <f>J41/J46</f>
        <v>0.15793671895772401</v>
      </c>
      <c r="E41" s="86">
        <v>594</v>
      </c>
      <c r="F41" s="86">
        <v>594</v>
      </c>
      <c r="G41" s="86">
        <v>594</v>
      </c>
      <c r="H41" s="86">
        <v>594</v>
      </c>
      <c r="I41" s="86">
        <v>594</v>
      </c>
      <c r="J41" s="90">
        <f t="shared" si="8"/>
        <v>594</v>
      </c>
      <c r="L41" s="292" t="s">
        <v>120</v>
      </c>
      <c r="M41" s="292"/>
      <c r="N41" s="57">
        <f>T41/T46</f>
        <v>0.20271849197694344</v>
      </c>
      <c r="O41" s="86">
        <v>1041</v>
      </c>
      <c r="P41" s="86">
        <v>1041</v>
      </c>
      <c r="Q41" s="86">
        <v>1041</v>
      </c>
      <c r="R41" s="86">
        <v>1041</v>
      </c>
      <c r="S41" s="86">
        <v>1041</v>
      </c>
      <c r="T41" s="90">
        <f t="shared" ref="T41:T46" si="9">AVERAGE(O41:S41)</f>
        <v>1041</v>
      </c>
    </row>
    <row r="42" spans="2:21" x14ac:dyDescent="0.25">
      <c r="B42" s="311" t="s">
        <v>127</v>
      </c>
      <c r="C42" s="311"/>
      <c r="D42" s="57">
        <f>J42/J46</f>
        <v>5.1847912789151823E-2</v>
      </c>
      <c r="E42" s="86">
        <v>195</v>
      </c>
      <c r="F42" s="86">
        <v>195</v>
      </c>
      <c r="G42" s="86">
        <v>195</v>
      </c>
      <c r="H42" s="86">
        <v>195</v>
      </c>
      <c r="I42" s="86">
        <v>195</v>
      </c>
      <c r="J42" s="90">
        <f t="shared" si="8"/>
        <v>195</v>
      </c>
      <c r="K42" s="87">
        <f>186*1.05</f>
        <v>195.3</v>
      </c>
      <c r="L42" s="292" t="s">
        <v>121</v>
      </c>
      <c r="M42" s="292"/>
      <c r="N42" s="57">
        <f>T42/T46</f>
        <v>4.0504751518928184E-2</v>
      </c>
      <c r="O42" s="86">
        <v>208</v>
      </c>
      <c r="P42" s="86">
        <v>208</v>
      </c>
      <c r="Q42" s="86">
        <v>208</v>
      </c>
      <c r="R42" s="86">
        <v>208</v>
      </c>
      <c r="S42" s="86">
        <v>208</v>
      </c>
      <c r="T42" s="90">
        <f t="shared" si="9"/>
        <v>208</v>
      </c>
      <c r="U42" s="87">
        <f>199*1.05</f>
        <v>208.95000000000002</v>
      </c>
    </row>
    <row r="43" spans="2:21" x14ac:dyDescent="0.25">
      <c r="B43" s="311" t="s">
        <v>122</v>
      </c>
      <c r="C43" s="311"/>
      <c r="D43" s="57">
        <f>J43/J46</f>
        <v>5.9824514756713638E-2</v>
      </c>
      <c r="E43" s="86">
        <v>225</v>
      </c>
      <c r="F43" s="86">
        <v>225</v>
      </c>
      <c r="G43" s="86">
        <v>225</v>
      </c>
      <c r="H43" s="86">
        <v>225</v>
      </c>
      <c r="I43" s="86">
        <v>225</v>
      </c>
      <c r="J43" s="90">
        <f t="shared" si="8"/>
        <v>225</v>
      </c>
      <c r="K43" s="87">
        <f>215*1.05</f>
        <v>225.75</v>
      </c>
      <c r="L43" s="292" t="s">
        <v>122</v>
      </c>
      <c r="M43" s="292"/>
      <c r="N43" s="57">
        <f>T43/T46</f>
        <v>4.2452095341953579E-2</v>
      </c>
      <c r="O43" s="86">
        <v>231</v>
      </c>
      <c r="P43" s="86">
        <v>231</v>
      </c>
      <c r="Q43" s="86">
        <v>231</v>
      </c>
      <c r="R43" s="86">
        <v>231</v>
      </c>
      <c r="S43" s="86">
        <v>166</v>
      </c>
      <c r="T43" s="90">
        <f t="shared" si="9"/>
        <v>218</v>
      </c>
      <c r="U43" s="87">
        <f>220*1.05</f>
        <v>231</v>
      </c>
    </row>
    <row r="44" spans="2:21" x14ac:dyDescent="0.25">
      <c r="B44" s="311" t="s">
        <v>123</v>
      </c>
      <c r="C44" s="311"/>
      <c r="D44" s="57">
        <f>J44/J46</f>
        <v>2.2334485509173094E-2</v>
      </c>
      <c r="E44" s="86">
        <v>84</v>
      </c>
      <c r="F44" s="86">
        <v>84</v>
      </c>
      <c r="G44" s="86">
        <v>84</v>
      </c>
      <c r="H44" s="86">
        <v>84</v>
      </c>
      <c r="I44" s="86">
        <v>84</v>
      </c>
      <c r="J44" s="90">
        <f t="shared" si="8"/>
        <v>84</v>
      </c>
      <c r="K44" s="87">
        <f>80*1.05</f>
        <v>84</v>
      </c>
      <c r="L44" s="292" t="s">
        <v>123</v>
      </c>
      <c r="M44" s="292"/>
      <c r="N44" s="57">
        <f>T44/T46</f>
        <v>1.7915563171833619E-2</v>
      </c>
      <c r="O44" s="86">
        <v>92</v>
      </c>
      <c r="P44" s="86">
        <v>92</v>
      </c>
      <c r="Q44" s="86">
        <v>92</v>
      </c>
      <c r="R44" s="86">
        <v>92</v>
      </c>
      <c r="S44" s="86">
        <v>92</v>
      </c>
      <c r="T44" s="90">
        <f t="shared" si="9"/>
        <v>92</v>
      </c>
      <c r="U44" s="87">
        <f>88*1.05</f>
        <v>92.4</v>
      </c>
    </row>
    <row r="45" spans="2:21" ht="79.5" customHeight="1" x14ac:dyDescent="0.25">
      <c r="B45" s="310" t="s">
        <v>137</v>
      </c>
      <c r="C45" s="310"/>
      <c r="D45" s="57">
        <f>J45/J46</f>
        <v>0.10954533368784898</v>
      </c>
      <c r="E45" s="86">
        <v>412</v>
      </c>
      <c r="F45" s="86">
        <v>412</v>
      </c>
      <c r="G45" s="86">
        <v>412</v>
      </c>
      <c r="H45" s="86">
        <v>412</v>
      </c>
      <c r="I45" s="86">
        <v>412</v>
      </c>
      <c r="J45" s="90">
        <f t="shared" si="8"/>
        <v>412</v>
      </c>
      <c r="K45" s="87">
        <f>378*1.09</f>
        <v>412.02000000000004</v>
      </c>
      <c r="L45" s="310" t="s">
        <v>137</v>
      </c>
      <c r="M45" s="310"/>
      <c r="N45" s="57">
        <f>T45/T46</f>
        <v>8.6851534506932546E-2</v>
      </c>
      <c r="O45" s="86">
        <v>446</v>
      </c>
      <c r="P45" s="86">
        <v>446</v>
      </c>
      <c r="Q45" s="86">
        <v>446</v>
      </c>
      <c r="R45" s="86">
        <v>446</v>
      </c>
      <c r="S45" s="86">
        <v>446</v>
      </c>
      <c r="T45" s="90">
        <f t="shared" si="9"/>
        <v>446</v>
      </c>
      <c r="U45" s="87">
        <f>410*1.09</f>
        <v>446.90000000000003</v>
      </c>
    </row>
    <row r="46" spans="2:21" x14ac:dyDescent="0.25">
      <c r="B46" s="311" t="s">
        <v>125</v>
      </c>
      <c r="C46" s="311"/>
      <c r="D46" s="91">
        <v>1</v>
      </c>
      <c r="E46" s="32">
        <f>SUM(E40:E45)</f>
        <v>3265</v>
      </c>
      <c r="F46" s="32">
        <f>SUM(F40:F45)</f>
        <v>3447</v>
      </c>
      <c r="G46" s="32">
        <f>SUM(G40:G45)</f>
        <v>3706</v>
      </c>
      <c r="H46" s="32">
        <f>SUM(H40:H45)</f>
        <v>4039</v>
      </c>
      <c r="I46" s="32">
        <f>SUM(I40:I45)</f>
        <v>4348</v>
      </c>
      <c r="J46" s="90">
        <f t="shared" si="8"/>
        <v>3761</v>
      </c>
      <c r="L46" s="292" t="s">
        <v>125</v>
      </c>
      <c r="M46" s="292"/>
      <c r="N46" s="91">
        <v>1</v>
      </c>
      <c r="O46" s="32">
        <f>SUM(O40:O45)</f>
        <v>4304</v>
      </c>
      <c r="P46" s="32">
        <f>SUM(P40:P45)</f>
        <v>4688</v>
      </c>
      <c r="Q46" s="32">
        <f>SUM(Q40:Q45)</f>
        <v>5034</v>
      </c>
      <c r="R46" s="32">
        <f>SUM(R40:R45)</f>
        <v>5615</v>
      </c>
      <c r="S46" s="32">
        <f>SUM(S40:S45)</f>
        <v>6035</v>
      </c>
      <c r="T46" s="90">
        <f t="shared" si="9"/>
        <v>5135.2</v>
      </c>
    </row>
    <row r="47" spans="2:21" x14ac:dyDescent="0.25">
      <c r="O47" s="32"/>
      <c r="P47" s="32"/>
      <c r="Q47" s="32"/>
      <c r="R47" s="32"/>
      <c r="S47" s="32"/>
    </row>
    <row r="48" spans="2:21" ht="18" x14ac:dyDescent="0.25">
      <c r="B48" s="343" t="s">
        <v>67</v>
      </c>
      <c r="C48" s="343"/>
      <c r="D48" s="343"/>
      <c r="E48" s="343"/>
      <c r="F48" s="343"/>
      <c r="G48" s="343"/>
      <c r="H48" s="343"/>
      <c r="I48" s="343"/>
      <c r="J48" s="88"/>
      <c r="L48" s="343" t="s">
        <v>132</v>
      </c>
      <c r="M48" s="343"/>
      <c r="N48" s="343"/>
      <c r="O48" s="343"/>
      <c r="P48" s="343"/>
      <c r="Q48" s="343"/>
      <c r="R48" s="343"/>
      <c r="S48" s="343"/>
    </row>
    <row r="49" spans="2:21" ht="15" customHeight="1" x14ac:dyDescent="0.25">
      <c r="B49" s="341" t="s">
        <v>114</v>
      </c>
      <c r="C49" s="341"/>
      <c r="D49" s="341" t="s">
        <v>115</v>
      </c>
      <c r="E49" s="341" t="s">
        <v>116</v>
      </c>
      <c r="F49" s="341" t="s">
        <v>86</v>
      </c>
      <c r="G49" s="341" t="s">
        <v>87</v>
      </c>
      <c r="H49" s="342" t="s">
        <v>117</v>
      </c>
      <c r="I49" s="341" t="s">
        <v>118</v>
      </c>
      <c r="J49" s="291" t="s">
        <v>203</v>
      </c>
      <c r="L49" s="341" t="s">
        <v>114</v>
      </c>
      <c r="M49" s="341"/>
      <c r="N49" s="341" t="s">
        <v>115</v>
      </c>
      <c r="O49" s="341" t="s">
        <v>116</v>
      </c>
      <c r="P49" s="341" t="s">
        <v>86</v>
      </c>
      <c r="Q49" s="341" t="s">
        <v>87</v>
      </c>
      <c r="R49" s="342" t="s">
        <v>117</v>
      </c>
      <c r="S49" s="341" t="s">
        <v>118</v>
      </c>
      <c r="T49" s="291" t="s">
        <v>203</v>
      </c>
    </row>
    <row r="50" spans="2:21" x14ac:dyDescent="0.25">
      <c r="B50" s="341"/>
      <c r="C50" s="341"/>
      <c r="D50" s="342"/>
      <c r="E50" s="342"/>
      <c r="F50" s="342"/>
      <c r="G50" s="342"/>
      <c r="H50" s="342"/>
      <c r="I50" s="341"/>
      <c r="J50" s="291"/>
      <c r="L50" s="341"/>
      <c r="M50" s="341"/>
      <c r="N50" s="342"/>
      <c r="O50" s="342"/>
      <c r="P50" s="342"/>
      <c r="Q50" s="342"/>
      <c r="R50" s="342"/>
      <c r="S50" s="341"/>
      <c r="T50" s="291"/>
    </row>
    <row r="51" spans="2:21" x14ac:dyDescent="0.25">
      <c r="B51" s="292" t="s">
        <v>119</v>
      </c>
      <c r="C51" s="292"/>
      <c r="D51" s="57">
        <f>J51/J57</f>
        <v>0.50279204824659374</v>
      </c>
      <c r="E51" s="32">
        <v>1755</v>
      </c>
      <c r="F51" s="32">
        <v>1937</v>
      </c>
      <c r="G51" s="32">
        <v>2196</v>
      </c>
      <c r="H51" s="32">
        <v>2529</v>
      </c>
      <c r="I51" s="32">
        <v>2838</v>
      </c>
      <c r="J51" s="90">
        <f t="shared" ref="J51:J57" si="10">AVERAGE(E51:I51)</f>
        <v>2251</v>
      </c>
      <c r="L51" s="292" t="s">
        <v>119</v>
      </c>
      <c r="M51" s="292"/>
      <c r="N51" s="57">
        <f>T51/T57</f>
        <v>0.57623062479290155</v>
      </c>
      <c r="O51" s="86">
        <v>2286</v>
      </c>
      <c r="P51" s="86">
        <v>2670</v>
      </c>
      <c r="Q51" s="86">
        <v>3016</v>
      </c>
      <c r="R51" s="86">
        <v>3597</v>
      </c>
      <c r="S51" s="86">
        <v>4082</v>
      </c>
      <c r="T51" s="90">
        <f>AVERAGE(O51:S51)</f>
        <v>3130.2</v>
      </c>
    </row>
    <row r="52" spans="2:21" x14ac:dyDescent="0.25">
      <c r="B52" s="311" t="s">
        <v>120</v>
      </c>
      <c r="C52" s="311"/>
      <c r="D52" s="57">
        <f>J52/J57</f>
        <v>0.26446280991735538</v>
      </c>
      <c r="E52" s="86">
        <v>1184</v>
      </c>
      <c r="F52" s="86">
        <v>1184</v>
      </c>
      <c r="G52" s="86">
        <v>1184</v>
      </c>
      <c r="H52" s="86">
        <v>1184</v>
      </c>
      <c r="I52" s="86">
        <v>1184</v>
      </c>
      <c r="J52" s="90">
        <f t="shared" si="10"/>
        <v>1184</v>
      </c>
      <c r="L52" s="292" t="s">
        <v>120</v>
      </c>
      <c r="M52" s="292"/>
      <c r="N52" s="57">
        <f>T52/T57</f>
        <v>0.22513898604616914</v>
      </c>
      <c r="O52" s="86">
        <v>1223</v>
      </c>
      <c r="P52" s="86">
        <v>1223</v>
      </c>
      <c r="Q52" s="86">
        <v>1223</v>
      </c>
      <c r="R52" s="86">
        <v>1223</v>
      </c>
      <c r="S52" s="86">
        <v>1223</v>
      </c>
      <c r="T52" s="90">
        <f t="shared" ref="T52:T57" si="11">AVERAGE(O52:S52)</f>
        <v>1223</v>
      </c>
    </row>
    <row r="53" spans="2:21" x14ac:dyDescent="0.25">
      <c r="B53" s="311" t="s">
        <v>127</v>
      </c>
      <c r="C53" s="311"/>
      <c r="D53" s="57">
        <f>J53/J57</f>
        <v>4.355595264686174E-2</v>
      </c>
      <c r="E53" s="86">
        <v>195</v>
      </c>
      <c r="F53" s="86">
        <v>195</v>
      </c>
      <c r="G53" s="86">
        <v>195</v>
      </c>
      <c r="H53" s="86">
        <v>195</v>
      </c>
      <c r="I53" s="86">
        <v>195</v>
      </c>
      <c r="J53" s="90">
        <f t="shared" si="10"/>
        <v>195</v>
      </c>
      <c r="K53" s="87">
        <f>186*1.05</f>
        <v>195.3</v>
      </c>
      <c r="L53" s="292" t="s">
        <v>121</v>
      </c>
      <c r="M53" s="292"/>
      <c r="N53" s="57">
        <f>T53/T57</f>
        <v>3.8290195500902027E-2</v>
      </c>
      <c r="O53" s="86">
        <v>208</v>
      </c>
      <c r="P53" s="86">
        <v>208</v>
      </c>
      <c r="Q53" s="86">
        <v>208</v>
      </c>
      <c r="R53" s="86">
        <v>208</v>
      </c>
      <c r="S53" s="86">
        <v>208</v>
      </c>
      <c r="T53" s="90">
        <f t="shared" si="11"/>
        <v>208</v>
      </c>
      <c r="U53" s="87">
        <f>199*1.05</f>
        <v>208.95000000000002</v>
      </c>
    </row>
    <row r="54" spans="2:21" ht="15" customHeight="1" x14ac:dyDescent="0.25">
      <c r="B54" s="311" t="s">
        <v>122</v>
      </c>
      <c r="C54" s="311"/>
      <c r="D54" s="57">
        <f>J54/J57</f>
        <v>6.2095153004243911E-2</v>
      </c>
      <c r="E54" s="86">
        <v>278</v>
      </c>
      <c r="F54" s="86">
        <v>278</v>
      </c>
      <c r="G54" s="86">
        <v>278</v>
      </c>
      <c r="H54" s="86">
        <v>278</v>
      </c>
      <c r="I54" s="86">
        <v>278</v>
      </c>
      <c r="J54" s="90">
        <f t="shared" si="10"/>
        <v>278</v>
      </c>
      <c r="K54" s="87">
        <f>265*1.05</f>
        <v>278.25</v>
      </c>
      <c r="L54" s="292" t="s">
        <v>122</v>
      </c>
      <c r="M54" s="292"/>
      <c r="N54" s="57">
        <f>T54/T57</f>
        <v>5.2096756378631127E-2</v>
      </c>
      <c r="O54" s="86">
        <v>283</v>
      </c>
      <c r="P54" s="86">
        <v>283</v>
      </c>
      <c r="Q54" s="86">
        <v>283</v>
      </c>
      <c r="R54" s="86">
        <v>283</v>
      </c>
      <c r="S54" s="86">
        <v>283</v>
      </c>
      <c r="T54" s="90">
        <f t="shared" si="11"/>
        <v>283</v>
      </c>
      <c r="U54" s="87">
        <f>270*1.05</f>
        <v>283.5</v>
      </c>
    </row>
    <row r="55" spans="2:21" ht="15" customHeight="1" x14ac:dyDescent="0.25">
      <c r="B55" s="311" t="s">
        <v>123</v>
      </c>
      <c r="C55" s="311"/>
      <c r="D55" s="57">
        <f>J55/J57</f>
        <v>2.3899932990842081E-2</v>
      </c>
      <c r="E55" s="86">
        <v>107</v>
      </c>
      <c r="F55" s="86">
        <v>107</v>
      </c>
      <c r="G55" s="86">
        <v>107</v>
      </c>
      <c r="H55" s="86">
        <v>107</v>
      </c>
      <c r="I55" s="86">
        <v>107</v>
      </c>
      <c r="J55" s="90">
        <f t="shared" si="10"/>
        <v>107</v>
      </c>
      <c r="K55" s="87">
        <f>102*1.05</f>
        <v>107.10000000000001</v>
      </c>
      <c r="L55" s="292" t="s">
        <v>123</v>
      </c>
      <c r="M55" s="292"/>
      <c r="N55" s="57">
        <f>T55/T57</f>
        <v>2.2090497404366555E-2</v>
      </c>
      <c r="O55" s="86">
        <v>120</v>
      </c>
      <c r="P55" s="86">
        <v>120</v>
      </c>
      <c r="Q55" s="86">
        <v>120</v>
      </c>
      <c r="R55" s="86">
        <v>120</v>
      </c>
      <c r="S55" s="86">
        <v>120</v>
      </c>
      <c r="T55" s="90">
        <f t="shared" si="11"/>
        <v>120</v>
      </c>
      <c r="U55" s="87">
        <f>115*1.05</f>
        <v>120.75</v>
      </c>
    </row>
    <row r="56" spans="2:21" ht="57" customHeight="1" x14ac:dyDescent="0.25">
      <c r="B56" s="310" t="s">
        <v>137</v>
      </c>
      <c r="C56" s="310"/>
      <c r="D56" s="57">
        <f>J56/J57</f>
        <v>0.10319410319410319</v>
      </c>
      <c r="E56" s="86">
        <v>462</v>
      </c>
      <c r="F56" s="86">
        <v>462</v>
      </c>
      <c r="G56" s="86">
        <v>462</v>
      </c>
      <c r="H56" s="86">
        <v>462</v>
      </c>
      <c r="I56" s="86">
        <v>462</v>
      </c>
      <c r="J56" s="90">
        <f t="shared" si="10"/>
        <v>462</v>
      </c>
      <c r="K56" s="87">
        <f>424*1.09</f>
        <v>462.16</v>
      </c>
      <c r="L56" s="310" t="s">
        <v>137</v>
      </c>
      <c r="M56" s="310"/>
      <c r="N56" s="57">
        <f>T56/T57</f>
        <v>8.6152939877029572E-2</v>
      </c>
      <c r="O56" s="86">
        <v>468</v>
      </c>
      <c r="P56" s="86">
        <v>468</v>
      </c>
      <c r="Q56" s="86">
        <v>468</v>
      </c>
      <c r="R56" s="86">
        <v>468</v>
      </c>
      <c r="S56" s="86">
        <v>468</v>
      </c>
      <c r="T56" s="90">
        <f t="shared" si="11"/>
        <v>468</v>
      </c>
      <c r="U56" s="87">
        <f>430*1.09</f>
        <v>468.70000000000005</v>
      </c>
    </row>
    <row r="57" spans="2:21" x14ac:dyDescent="0.25">
      <c r="B57" s="311" t="s">
        <v>125</v>
      </c>
      <c r="C57" s="311"/>
      <c r="D57" s="91">
        <v>1</v>
      </c>
      <c r="E57" s="32">
        <f>SUM(E51:E56)</f>
        <v>3981</v>
      </c>
      <c r="F57" s="32">
        <f t="shared" ref="F57:I57" si="12">SUM(F51:F56)</f>
        <v>4163</v>
      </c>
      <c r="G57" s="32">
        <f t="shared" si="12"/>
        <v>4422</v>
      </c>
      <c r="H57" s="32">
        <f t="shared" si="12"/>
        <v>4755</v>
      </c>
      <c r="I57" s="32">
        <f t="shared" si="12"/>
        <v>5064</v>
      </c>
      <c r="J57" s="90">
        <f t="shared" si="10"/>
        <v>4477</v>
      </c>
      <c r="L57" s="292" t="s">
        <v>125</v>
      </c>
      <c r="M57" s="292"/>
      <c r="N57" s="91">
        <v>1</v>
      </c>
      <c r="O57" s="32">
        <f>SUM(O51:O56)</f>
        <v>4588</v>
      </c>
      <c r="P57" s="32">
        <f t="shared" ref="P57:S57" si="13">SUM(P51:P56)</f>
        <v>4972</v>
      </c>
      <c r="Q57" s="32">
        <f t="shared" si="13"/>
        <v>5318</v>
      </c>
      <c r="R57" s="32">
        <f t="shared" si="13"/>
        <v>5899</v>
      </c>
      <c r="S57" s="32">
        <f t="shared" si="13"/>
        <v>6384</v>
      </c>
      <c r="T57" s="90">
        <f t="shared" si="11"/>
        <v>5432.2</v>
      </c>
    </row>
    <row r="59" spans="2:21" ht="18" x14ac:dyDescent="0.25">
      <c r="B59" s="343" t="s">
        <v>159</v>
      </c>
      <c r="C59" s="343"/>
      <c r="D59" s="343"/>
      <c r="E59" s="343"/>
      <c r="F59" s="343"/>
      <c r="G59" s="343"/>
      <c r="H59" s="343"/>
      <c r="I59" s="343"/>
      <c r="J59" s="88"/>
      <c r="L59" s="343" t="s">
        <v>160</v>
      </c>
      <c r="M59" s="343"/>
      <c r="N59" s="343"/>
      <c r="O59" s="343"/>
      <c r="P59" s="343"/>
      <c r="Q59" s="343"/>
      <c r="R59" s="343"/>
      <c r="S59" s="343"/>
    </row>
    <row r="60" spans="2:21" ht="15" customHeight="1" x14ac:dyDescent="0.25">
      <c r="B60" s="341" t="s">
        <v>114</v>
      </c>
      <c r="C60" s="341"/>
      <c r="D60" s="341" t="s">
        <v>115</v>
      </c>
      <c r="E60" s="341" t="s">
        <v>116</v>
      </c>
      <c r="F60" s="341" t="s">
        <v>86</v>
      </c>
      <c r="G60" s="341" t="s">
        <v>87</v>
      </c>
      <c r="H60" s="342" t="s">
        <v>117</v>
      </c>
      <c r="I60" s="341" t="s">
        <v>118</v>
      </c>
      <c r="J60" s="291" t="s">
        <v>203</v>
      </c>
      <c r="T60" s="291" t="s">
        <v>203</v>
      </c>
    </row>
    <row r="61" spans="2:21" ht="25.5" x14ac:dyDescent="0.25">
      <c r="B61" s="341"/>
      <c r="C61" s="341"/>
      <c r="D61" s="342"/>
      <c r="E61" s="342"/>
      <c r="F61" s="342"/>
      <c r="G61" s="342"/>
      <c r="H61" s="342"/>
      <c r="I61" s="341"/>
      <c r="J61" s="291"/>
      <c r="L61" s="308" t="s">
        <v>114</v>
      </c>
      <c r="M61" s="309"/>
      <c r="N61" s="89" t="s">
        <v>115</v>
      </c>
      <c r="O61" s="89" t="s">
        <v>116</v>
      </c>
      <c r="P61" s="89" t="s">
        <v>86</v>
      </c>
      <c r="Q61" s="89" t="s">
        <v>87</v>
      </c>
      <c r="R61" s="89" t="s">
        <v>117</v>
      </c>
      <c r="S61" s="89" t="s">
        <v>118</v>
      </c>
      <c r="T61" s="291"/>
    </row>
    <row r="62" spans="2:21" x14ac:dyDescent="0.25">
      <c r="B62" s="292" t="s">
        <v>119</v>
      </c>
      <c r="C62" s="292"/>
      <c r="D62" s="57">
        <f>J62/J68</f>
        <v>0.59236842105263154</v>
      </c>
      <c r="E62" s="32">
        <v>1755</v>
      </c>
      <c r="F62" s="32">
        <v>1937</v>
      </c>
      <c r="G62" s="32">
        <v>2196</v>
      </c>
      <c r="H62" s="32">
        <v>2529</v>
      </c>
      <c r="I62" s="32">
        <v>2838</v>
      </c>
      <c r="J62" s="90">
        <f t="shared" ref="J62:J68" si="14">AVERAGE(E62:I62)</f>
        <v>2251</v>
      </c>
      <c r="L62" s="292" t="s">
        <v>119</v>
      </c>
      <c r="M62" s="292"/>
      <c r="N62" s="57">
        <f>T62/T68</f>
        <v>0.6182256280613051</v>
      </c>
      <c r="O62" s="86">
        <v>2286</v>
      </c>
      <c r="P62" s="86">
        <v>2670</v>
      </c>
      <c r="Q62" s="86">
        <v>3016</v>
      </c>
      <c r="R62" s="86">
        <v>3597</v>
      </c>
      <c r="S62" s="86">
        <v>4082</v>
      </c>
      <c r="T62" s="90">
        <f>AVERAGE(O62:S62)</f>
        <v>3130.2</v>
      </c>
    </row>
    <row r="63" spans="2:21" x14ac:dyDescent="0.25">
      <c r="B63" s="311" t="s">
        <v>120</v>
      </c>
      <c r="C63" s="311"/>
      <c r="D63" s="57">
        <f>J63/J68</f>
        <v>0.15473684210526314</v>
      </c>
      <c r="E63" s="86">
        <v>588</v>
      </c>
      <c r="F63" s="86">
        <v>588</v>
      </c>
      <c r="G63" s="86">
        <v>588</v>
      </c>
      <c r="H63" s="86">
        <v>588</v>
      </c>
      <c r="I63" s="86">
        <v>588</v>
      </c>
      <c r="J63" s="90">
        <f t="shared" si="14"/>
        <v>588</v>
      </c>
      <c r="L63" s="292" t="s">
        <v>120</v>
      </c>
      <c r="M63" s="292"/>
      <c r="N63" s="57">
        <f>T63/T68</f>
        <v>0.18881339864117555</v>
      </c>
      <c r="O63" s="86">
        <v>956</v>
      </c>
      <c r="P63" s="86">
        <v>956</v>
      </c>
      <c r="Q63" s="86">
        <v>956</v>
      </c>
      <c r="R63" s="86">
        <v>956</v>
      </c>
      <c r="S63" s="86">
        <v>956</v>
      </c>
      <c r="T63" s="90">
        <f t="shared" ref="T63:T68" si="15">AVERAGE(O63:S63)</f>
        <v>956</v>
      </c>
    </row>
    <row r="64" spans="2:21" x14ac:dyDescent="0.25">
      <c r="B64" s="311" t="s">
        <v>127</v>
      </c>
      <c r="C64" s="311"/>
      <c r="D64" s="57">
        <f>J64/J68</f>
        <v>5.131578947368421E-2</v>
      </c>
      <c r="E64" s="86">
        <v>195</v>
      </c>
      <c r="F64" s="86">
        <v>195</v>
      </c>
      <c r="G64" s="86">
        <v>195</v>
      </c>
      <c r="H64" s="86">
        <v>195</v>
      </c>
      <c r="I64" s="86">
        <v>195</v>
      </c>
      <c r="J64" s="90">
        <f t="shared" si="14"/>
        <v>195</v>
      </c>
      <c r="L64" s="292" t="s">
        <v>121</v>
      </c>
      <c r="M64" s="292"/>
      <c r="N64" s="57">
        <f>T64/T68</f>
        <v>4.1080739453310158E-2</v>
      </c>
      <c r="O64" s="86">
        <v>208</v>
      </c>
      <c r="P64" s="86">
        <v>208</v>
      </c>
      <c r="Q64" s="86">
        <v>208</v>
      </c>
      <c r="R64" s="86">
        <v>208</v>
      </c>
      <c r="S64" s="86">
        <v>208</v>
      </c>
      <c r="T64" s="90">
        <f t="shared" si="15"/>
        <v>208</v>
      </c>
    </row>
    <row r="65" spans="2:41" x14ac:dyDescent="0.25">
      <c r="B65" s="311" t="s">
        <v>122</v>
      </c>
      <c r="C65" s="311"/>
      <c r="D65" s="57">
        <f>J65/J68</f>
        <v>5.921052631578947E-2</v>
      </c>
      <c r="E65" s="86">
        <v>225</v>
      </c>
      <c r="F65" s="86">
        <v>225</v>
      </c>
      <c r="G65" s="86">
        <v>225</v>
      </c>
      <c r="H65" s="86">
        <v>225</v>
      </c>
      <c r="I65" s="86">
        <v>225</v>
      </c>
      <c r="J65" s="90">
        <f t="shared" si="14"/>
        <v>225</v>
      </c>
      <c r="L65" s="292" t="s">
        <v>122</v>
      </c>
      <c r="M65" s="292"/>
      <c r="N65" s="57">
        <f>T65/T68</f>
        <v>4.5623321219781958E-2</v>
      </c>
      <c r="O65" s="86">
        <v>231</v>
      </c>
      <c r="P65" s="86">
        <v>231</v>
      </c>
      <c r="Q65" s="86">
        <v>231</v>
      </c>
      <c r="R65" s="86">
        <v>231</v>
      </c>
      <c r="S65" s="86">
        <v>231</v>
      </c>
      <c r="T65" s="90">
        <f t="shared" si="15"/>
        <v>231</v>
      </c>
    </row>
    <row r="66" spans="2:41" x14ac:dyDescent="0.25">
      <c r="B66" s="311" t="s">
        <v>123</v>
      </c>
      <c r="C66" s="311"/>
      <c r="D66" s="57">
        <f>J66/J68</f>
        <v>2.5000000000000001E-2</v>
      </c>
      <c r="E66" s="86">
        <v>95</v>
      </c>
      <c r="F66" s="86">
        <v>95</v>
      </c>
      <c r="G66" s="86">
        <v>95</v>
      </c>
      <c r="H66" s="86">
        <v>95</v>
      </c>
      <c r="I66" s="86">
        <v>95</v>
      </c>
      <c r="J66" s="90">
        <f t="shared" si="14"/>
        <v>95</v>
      </c>
      <c r="L66" s="292" t="s">
        <v>123</v>
      </c>
      <c r="M66" s="292"/>
      <c r="N66" s="57">
        <f>T66/T68</f>
        <v>1.8170327065887188E-2</v>
      </c>
      <c r="O66" s="86">
        <v>92</v>
      </c>
      <c r="P66" s="86">
        <v>92</v>
      </c>
      <c r="Q66" s="86">
        <v>92</v>
      </c>
      <c r="R66" s="86">
        <v>92</v>
      </c>
      <c r="S66" s="86">
        <v>92</v>
      </c>
      <c r="T66" s="90">
        <f t="shared" si="15"/>
        <v>92</v>
      </c>
    </row>
    <row r="67" spans="2:41" ht="64.5" customHeight="1" x14ac:dyDescent="0.25">
      <c r="B67" s="310" t="s">
        <v>137</v>
      </c>
      <c r="C67" s="310"/>
      <c r="D67" s="57">
        <f>J67/J68</f>
        <v>0.11736842105263158</v>
      </c>
      <c r="E67" s="86">
        <v>446</v>
      </c>
      <c r="F67" s="86">
        <v>446</v>
      </c>
      <c r="G67" s="86">
        <v>446</v>
      </c>
      <c r="H67" s="86">
        <v>446</v>
      </c>
      <c r="I67" s="86">
        <v>446</v>
      </c>
      <c r="J67" s="90">
        <f t="shared" si="14"/>
        <v>446</v>
      </c>
      <c r="L67" s="310" t="s">
        <v>137</v>
      </c>
      <c r="M67" s="310"/>
      <c r="N67" s="57">
        <f>T67/T68</f>
        <v>8.8086585558540056E-2</v>
      </c>
      <c r="O67" s="86">
        <v>446</v>
      </c>
      <c r="P67" s="86">
        <v>446</v>
      </c>
      <c r="Q67" s="86">
        <v>446</v>
      </c>
      <c r="R67" s="86">
        <v>446</v>
      </c>
      <c r="S67" s="86">
        <v>446</v>
      </c>
      <c r="T67" s="90">
        <f t="shared" si="15"/>
        <v>446</v>
      </c>
    </row>
    <row r="68" spans="2:41" x14ac:dyDescent="0.25">
      <c r="B68" s="311" t="s">
        <v>125</v>
      </c>
      <c r="C68" s="311"/>
      <c r="D68" s="91">
        <v>1</v>
      </c>
      <c r="E68" s="32">
        <f>SUM(E62:E67)</f>
        <v>3304</v>
      </c>
      <c r="F68" s="32">
        <f t="shared" ref="F68:I68" si="16">SUM(F62:F67)</f>
        <v>3486</v>
      </c>
      <c r="G68" s="32">
        <f t="shared" si="16"/>
        <v>3745</v>
      </c>
      <c r="H68" s="32">
        <f t="shared" si="16"/>
        <v>4078</v>
      </c>
      <c r="I68" s="32">
        <f t="shared" si="16"/>
        <v>4387</v>
      </c>
      <c r="J68" s="90">
        <f t="shared" si="14"/>
        <v>3800</v>
      </c>
      <c r="L68" s="292" t="s">
        <v>125</v>
      </c>
      <c r="M68" s="292"/>
      <c r="N68" s="91">
        <v>1</v>
      </c>
      <c r="O68" s="32">
        <f>SUM(O62:O67)</f>
        <v>4219</v>
      </c>
      <c r="P68" s="32">
        <f t="shared" ref="P68:S68" si="17">SUM(P62:P67)</f>
        <v>4603</v>
      </c>
      <c r="Q68" s="32">
        <f t="shared" si="17"/>
        <v>4949</v>
      </c>
      <c r="R68" s="32">
        <f t="shared" si="17"/>
        <v>5530</v>
      </c>
      <c r="S68" s="32">
        <f t="shared" si="17"/>
        <v>6015</v>
      </c>
      <c r="T68" s="90">
        <f t="shared" si="15"/>
        <v>5063.2</v>
      </c>
    </row>
    <row r="70" spans="2:41" ht="25.5" x14ac:dyDescent="0.35">
      <c r="B70" s="306" t="s">
        <v>179</v>
      </c>
      <c r="C70" s="306"/>
      <c r="D70" s="306"/>
      <c r="E70" s="306"/>
      <c r="G70" s="346" t="s">
        <v>134</v>
      </c>
      <c r="H70" s="347"/>
      <c r="I70" s="347"/>
      <c r="J70" s="348"/>
      <c r="K70" s="78"/>
      <c r="L70" s="346" t="s">
        <v>134</v>
      </c>
      <c r="M70" s="347"/>
      <c r="N70" s="347"/>
      <c r="O70" s="348"/>
      <c r="R70" s="306" t="s">
        <v>179</v>
      </c>
      <c r="S70" s="306"/>
      <c r="T70" s="306"/>
      <c r="U70" s="306"/>
      <c r="W70" s="346" t="s">
        <v>179</v>
      </c>
      <c r="X70" s="347"/>
      <c r="Y70" s="347"/>
      <c r="Z70" s="348"/>
      <c r="AA70" s="87"/>
      <c r="AB70" s="401" t="s">
        <v>179</v>
      </c>
      <c r="AC70" s="402"/>
      <c r="AD70" s="402"/>
      <c r="AE70" s="403"/>
      <c r="AF70" s="204"/>
      <c r="AG70" s="394" t="s">
        <v>179</v>
      </c>
      <c r="AH70" s="395"/>
      <c r="AI70" s="395"/>
      <c r="AJ70" s="396"/>
      <c r="AL70" s="394" t="s">
        <v>179</v>
      </c>
      <c r="AM70" s="395"/>
      <c r="AN70" s="395"/>
      <c r="AO70" s="396"/>
    </row>
    <row r="71" spans="2:41" ht="30" customHeight="1" x14ac:dyDescent="0.25">
      <c r="B71" s="307" t="s">
        <v>181</v>
      </c>
      <c r="C71" s="307"/>
      <c r="D71" s="307"/>
      <c r="E71" s="307"/>
      <c r="G71" s="349" t="s">
        <v>222</v>
      </c>
      <c r="H71" s="350"/>
      <c r="I71" s="350"/>
      <c r="J71" s="351"/>
      <c r="K71" s="77"/>
      <c r="L71" s="349" t="s">
        <v>294</v>
      </c>
      <c r="M71" s="350"/>
      <c r="N71" s="350"/>
      <c r="O71" s="351"/>
      <c r="R71" s="307" t="s">
        <v>180</v>
      </c>
      <c r="S71" s="307"/>
      <c r="T71" s="307"/>
      <c r="U71" s="307"/>
      <c r="W71" s="349" t="s">
        <v>253</v>
      </c>
      <c r="X71" s="350"/>
      <c r="Y71" s="350"/>
      <c r="Z71" s="351"/>
      <c r="AA71" s="87"/>
      <c r="AB71" s="349" t="s">
        <v>290</v>
      </c>
      <c r="AC71" s="350"/>
      <c r="AD71" s="350"/>
      <c r="AE71" s="351"/>
      <c r="AF71" s="209"/>
      <c r="AG71" s="397" t="s">
        <v>254</v>
      </c>
      <c r="AH71" s="398"/>
      <c r="AI71" s="398"/>
      <c r="AJ71" s="399"/>
      <c r="AL71" s="397" t="s">
        <v>216</v>
      </c>
      <c r="AM71" s="398"/>
      <c r="AN71" s="398"/>
      <c r="AO71" s="399"/>
    </row>
    <row r="72" spans="2:41" ht="15" customHeight="1" x14ac:dyDescent="0.25">
      <c r="B72" s="299" t="s">
        <v>114</v>
      </c>
      <c r="C72" s="300"/>
      <c r="D72" s="344" t="s">
        <v>115</v>
      </c>
      <c r="E72" s="303" t="s">
        <v>136</v>
      </c>
      <c r="G72" s="299" t="s">
        <v>114</v>
      </c>
      <c r="H72" s="300"/>
      <c r="I72" s="303" t="s">
        <v>135</v>
      </c>
      <c r="J72" s="303" t="s">
        <v>136</v>
      </c>
      <c r="L72" s="299" t="s">
        <v>114</v>
      </c>
      <c r="M72" s="300"/>
      <c r="N72" s="303" t="s">
        <v>135</v>
      </c>
      <c r="O72" s="303" t="s">
        <v>136</v>
      </c>
      <c r="R72" s="299" t="s">
        <v>114</v>
      </c>
      <c r="S72" s="300"/>
      <c r="T72" s="303" t="s">
        <v>135</v>
      </c>
      <c r="U72" s="303" t="s">
        <v>136</v>
      </c>
      <c r="W72" s="181" t="s">
        <v>114</v>
      </c>
      <c r="X72" s="182"/>
      <c r="Y72" s="303" t="s">
        <v>135</v>
      </c>
      <c r="Z72" s="303" t="s">
        <v>136</v>
      </c>
      <c r="AA72" s="87"/>
      <c r="AB72" s="299" t="s">
        <v>114</v>
      </c>
      <c r="AC72" s="300"/>
      <c r="AD72" s="303" t="s">
        <v>115</v>
      </c>
      <c r="AE72" s="303" t="s">
        <v>136</v>
      </c>
      <c r="AF72" s="208"/>
      <c r="AG72" s="293" t="s">
        <v>114</v>
      </c>
      <c r="AH72" s="294"/>
      <c r="AI72" s="297" t="s">
        <v>115</v>
      </c>
      <c r="AJ72" s="297" t="s">
        <v>136</v>
      </c>
      <c r="AL72" s="293" t="s">
        <v>114</v>
      </c>
      <c r="AM72" s="294"/>
      <c r="AN72" s="297" t="s">
        <v>115</v>
      </c>
      <c r="AO72" s="297" t="s">
        <v>136</v>
      </c>
    </row>
    <row r="73" spans="2:41" ht="15" customHeight="1" x14ac:dyDescent="0.25">
      <c r="B73" s="301"/>
      <c r="C73" s="302"/>
      <c r="D73" s="345"/>
      <c r="E73" s="305"/>
      <c r="G73" s="301"/>
      <c r="H73" s="302"/>
      <c r="I73" s="305"/>
      <c r="J73" s="305"/>
      <c r="L73" s="301"/>
      <c r="M73" s="302"/>
      <c r="N73" s="305"/>
      <c r="O73" s="305"/>
      <c r="R73" s="301"/>
      <c r="S73" s="302"/>
      <c r="T73" s="305"/>
      <c r="U73" s="305"/>
      <c r="W73" s="184"/>
      <c r="X73" s="185"/>
      <c r="Y73" s="304"/>
      <c r="Z73" s="304"/>
      <c r="AA73" s="87"/>
      <c r="AB73" s="301"/>
      <c r="AC73" s="302"/>
      <c r="AD73" s="304"/>
      <c r="AE73" s="304"/>
      <c r="AF73" s="210"/>
      <c r="AG73" s="295"/>
      <c r="AH73" s="296"/>
      <c r="AI73" s="298"/>
      <c r="AJ73" s="298"/>
      <c r="AL73" s="295"/>
      <c r="AM73" s="296"/>
      <c r="AN73" s="298"/>
      <c r="AO73" s="298"/>
    </row>
    <row r="74" spans="2:41" x14ac:dyDescent="0.25">
      <c r="B74" s="311" t="s">
        <v>119</v>
      </c>
      <c r="C74" s="311"/>
      <c r="D74" s="93">
        <f>E74/E80</f>
        <v>0.44705230086860098</v>
      </c>
      <c r="E74" s="86">
        <v>2419</v>
      </c>
      <c r="G74" s="311" t="s">
        <v>119</v>
      </c>
      <c r="H74" s="311"/>
      <c r="I74" s="93">
        <f>J74/J93</f>
        <v>0.64553686934023291</v>
      </c>
      <c r="J74" s="86">
        <v>3493</v>
      </c>
      <c r="L74" s="311" t="s">
        <v>119</v>
      </c>
      <c r="M74" s="311"/>
      <c r="N74" s="93">
        <f>O74/N93</f>
        <v>2997.2999771009841</v>
      </c>
      <c r="O74" s="86">
        <v>2419</v>
      </c>
      <c r="R74" s="311" t="s">
        <v>119</v>
      </c>
      <c r="S74" s="311"/>
      <c r="T74" s="93">
        <f>U74/U80</f>
        <v>0.44705230086860098</v>
      </c>
      <c r="U74" s="86">
        <v>2419</v>
      </c>
      <c r="W74" s="168" t="s">
        <v>119</v>
      </c>
      <c r="X74" s="168"/>
      <c r="Y74" s="93">
        <f>Z74/Z80</f>
        <v>0.46437117787822385</v>
      </c>
      <c r="Z74" s="86">
        <v>3493</v>
      </c>
      <c r="AA74" s="87"/>
      <c r="AB74" s="168" t="s">
        <v>119</v>
      </c>
      <c r="AC74" s="168"/>
      <c r="AD74" s="93">
        <f>AE74/AE80</f>
        <v>0.4398981633024186</v>
      </c>
      <c r="AE74" s="200">
        <v>2419</v>
      </c>
      <c r="AF74" s="205"/>
      <c r="AG74" s="361" t="s">
        <v>119</v>
      </c>
      <c r="AH74" s="362"/>
      <c r="AI74" s="93">
        <f>AJ74/AJ80</f>
        <v>0.48549251524671966</v>
      </c>
      <c r="AJ74" s="86">
        <v>2627</v>
      </c>
      <c r="AL74" s="170" t="s">
        <v>119</v>
      </c>
      <c r="AM74" s="171"/>
      <c r="AN74" s="93">
        <f>AO74/AO80</f>
        <v>0.48549251524671966</v>
      </c>
      <c r="AO74" s="86">
        <v>2627</v>
      </c>
    </row>
    <row r="75" spans="2:41" x14ac:dyDescent="0.25">
      <c r="B75" s="311" t="s">
        <v>120</v>
      </c>
      <c r="C75" s="311"/>
      <c r="D75" s="93">
        <f>E75/E80</f>
        <v>0.2899648863426354</v>
      </c>
      <c r="E75" s="115">
        <v>1569</v>
      </c>
      <c r="G75" s="311" t="s">
        <v>120</v>
      </c>
      <c r="H75" s="311"/>
      <c r="I75" s="93">
        <f>J75/J93</f>
        <v>0.45296618000369615</v>
      </c>
      <c r="J75" s="115">
        <v>2451</v>
      </c>
      <c r="L75" s="311" t="s">
        <v>120</v>
      </c>
      <c r="M75" s="311"/>
      <c r="N75" s="93">
        <f>O75/N93</f>
        <v>1204.3718800091594</v>
      </c>
      <c r="O75" s="115">
        <v>972</v>
      </c>
      <c r="R75" s="311" t="s">
        <v>120</v>
      </c>
      <c r="S75" s="311"/>
      <c r="T75" s="93">
        <f>U75/U80</f>
        <v>0.30049898355202365</v>
      </c>
      <c r="U75" s="115">
        <v>1626</v>
      </c>
      <c r="W75" s="168" t="s">
        <v>120</v>
      </c>
      <c r="X75" s="168"/>
      <c r="Y75" s="93">
        <f>Z75/Z80</f>
        <v>0.3561552778516352</v>
      </c>
      <c r="Z75" s="115">
        <v>2679</v>
      </c>
      <c r="AA75" s="87"/>
      <c r="AB75" s="168" t="s">
        <v>120</v>
      </c>
      <c r="AC75" s="168"/>
      <c r="AD75" s="93">
        <f>AE75/AE80</f>
        <v>0.35951991271140205</v>
      </c>
      <c r="AE75" s="212">
        <v>1977</v>
      </c>
      <c r="AF75" s="205"/>
      <c r="AG75" s="168" t="s">
        <v>120</v>
      </c>
      <c r="AH75" s="168"/>
      <c r="AI75" s="93">
        <f>AJ75/AJ80</f>
        <v>0.12197375716133801</v>
      </c>
      <c r="AJ75" s="114">
        <v>660</v>
      </c>
      <c r="AL75" s="170" t="s">
        <v>120</v>
      </c>
      <c r="AM75" s="171"/>
      <c r="AN75" s="93">
        <f>AO75/AO80</f>
        <v>0.11938643503973388</v>
      </c>
      <c r="AO75" s="114">
        <v>646</v>
      </c>
    </row>
    <row r="76" spans="2:41" x14ac:dyDescent="0.25">
      <c r="B76" s="311" t="s">
        <v>121</v>
      </c>
      <c r="C76" s="311"/>
      <c r="D76" s="93">
        <f>E76/E80</f>
        <v>4.9898355202365553E-2</v>
      </c>
      <c r="E76" s="86">
        <v>270</v>
      </c>
      <c r="G76" s="311" t="s">
        <v>121</v>
      </c>
      <c r="H76" s="311"/>
      <c r="I76" s="93">
        <f>J76/J93</f>
        <v>5.4148955830715211E-2</v>
      </c>
      <c r="J76" s="86">
        <v>293</v>
      </c>
      <c r="K76" s="87" t="s">
        <v>289</v>
      </c>
      <c r="L76" s="311" t="s">
        <v>121</v>
      </c>
      <c r="M76" s="311"/>
      <c r="N76" s="93">
        <f>O76/N93</f>
        <v>334.5477444469887</v>
      </c>
      <c r="O76" s="86">
        <v>270</v>
      </c>
      <c r="R76" s="311" t="s">
        <v>121</v>
      </c>
      <c r="S76" s="311"/>
      <c r="T76" s="93">
        <f>U76/U80</f>
        <v>6.1910922195527629E-2</v>
      </c>
      <c r="U76" s="86">
        <v>335</v>
      </c>
      <c r="V76" s="87" t="s">
        <v>291</v>
      </c>
      <c r="W76" s="168" t="s">
        <v>121</v>
      </c>
      <c r="X76" s="168"/>
      <c r="Y76" s="93">
        <f>Z76/Z80</f>
        <v>4.4536027652220152E-2</v>
      </c>
      <c r="Z76" s="86">
        <v>335</v>
      </c>
      <c r="AA76" s="87" t="s">
        <v>291</v>
      </c>
      <c r="AB76" s="168" t="s">
        <v>121</v>
      </c>
      <c r="AC76" s="168"/>
      <c r="AD76" s="93">
        <f>AE76/AE80</f>
        <v>3.6552100381887616E-2</v>
      </c>
      <c r="AE76" s="200">
        <v>201</v>
      </c>
      <c r="AF76" s="205"/>
      <c r="AG76" s="168" t="s">
        <v>121</v>
      </c>
      <c r="AH76" s="168"/>
      <c r="AI76" s="93">
        <f>AJ76/AJ80</f>
        <v>2.6242838661984846E-2</v>
      </c>
      <c r="AJ76" s="86">
        <v>142</v>
      </c>
      <c r="AL76" s="170" t="s">
        <v>121</v>
      </c>
      <c r="AM76" s="171"/>
      <c r="AN76" s="93">
        <f>AO76/AO80</f>
        <v>2.6242838661984846E-2</v>
      </c>
      <c r="AO76" s="86">
        <v>142</v>
      </c>
    </row>
    <row r="77" spans="2:41" x14ac:dyDescent="0.25">
      <c r="B77" s="311" t="s">
        <v>122</v>
      </c>
      <c r="C77" s="311"/>
      <c r="D77" s="93">
        <f>E77/E80</f>
        <v>1.6817593790426907E-2</v>
      </c>
      <c r="E77" s="86">
        <v>91</v>
      </c>
      <c r="G77" s="311" t="s">
        <v>122</v>
      </c>
      <c r="H77" s="311"/>
      <c r="I77" s="93">
        <f>J77/J93</f>
        <v>2.3840325263352429E-2</v>
      </c>
      <c r="J77" s="86">
        <v>129</v>
      </c>
      <c r="L77" s="311" t="s">
        <v>122</v>
      </c>
      <c r="M77" s="311"/>
      <c r="N77" s="93">
        <f>O77/N93</f>
        <v>159.83947790245017</v>
      </c>
      <c r="O77" s="86">
        <v>129</v>
      </c>
      <c r="R77" s="311" t="s">
        <v>122</v>
      </c>
      <c r="S77" s="311"/>
      <c r="T77" s="93">
        <f>U77/U80</f>
        <v>4.1581962668637958E-2</v>
      </c>
      <c r="U77" s="86">
        <v>225</v>
      </c>
      <c r="W77" s="168" t="s">
        <v>122</v>
      </c>
      <c r="X77" s="168"/>
      <c r="Y77" s="93">
        <f>Z77/Z80</f>
        <v>2.9912257378356819E-2</v>
      </c>
      <c r="Z77" s="86">
        <v>225</v>
      </c>
      <c r="AA77" s="87"/>
      <c r="AB77" s="168" t="s">
        <v>122</v>
      </c>
      <c r="AC77" s="168"/>
      <c r="AD77" s="93">
        <f>AE77/AE80</f>
        <v>2.0367339516275687E-2</v>
      </c>
      <c r="AE77" s="200">
        <v>112</v>
      </c>
      <c r="AF77" s="205"/>
      <c r="AG77" s="168" t="s">
        <v>122</v>
      </c>
      <c r="AH77" s="168"/>
      <c r="AI77" s="93">
        <f>AJ77/AJ80</f>
        <v>5.0452781371280724E-2</v>
      </c>
      <c r="AJ77" s="86">
        <v>273</v>
      </c>
      <c r="AL77" s="170" t="s">
        <v>122</v>
      </c>
      <c r="AM77" s="171"/>
      <c r="AN77" s="93">
        <f>AO77/AO80</f>
        <v>5.0452781371280724E-2</v>
      </c>
      <c r="AO77" s="86">
        <v>273</v>
      </c>
    </row>
    <row r="78" spans="2:41" x14ac:dyDescent="0.25">
      <c r="B78" s="311" t="s">
        <v>123</v>
      </c>
      <c r="C78" s="311"/>
      <c r="D78" s="93">
        <f>E78/E80</f>
        <v>3.0308630567362778E-2</v>
      </c>
      <c r="E78" s="86">
        <v>164</v>
      </c>
      <c r="G78" s="311" t="s">
        <v>123</v>
      </c>
      <c r="H78" s="311"/>
      <c r="I78" s="93">
        <f>J78/J93</f>
        <v>3.2711143965995192E-2</v>
      </c>
      <c r="J78" s="86">
        <v>177</v>
      </c>
      <c r="L78" s="311" t="s">
        <v>123</v>
      </c>
      <c r="M78" s="311"/>
      <c r="N78" s="93">
        <f>O78/N93</f>
        <v>219.3146324708037</v>
      </c>
      <c r="O78" s="86">
        <v>177</v>
      </c>
      <c r="R78" s="311" t="s">
        <v>123</v>
      </c>
      <c r="S78" s="311"/>
      <c r="T78" s="93">
        <f>U78/U80</f>
        <v>3.5113657364627612E-2</v>
      </c>
      <c r="U78" s="86">
        <v>190</v>
      </c>
      <c r="W78" s="168" t="s">
        <v>123</v>
      </c>
      <c r="X78" s="168"/>
      <c r="Y78" s="93">
        <f>Z78/Z80</f>
        <v>2.5259239563945757E-2</v>
      </c>
      <c r="Z78" s="86">
        <v>190</v>
      </c>
      <c r="AA78" s="87"/>
      <c r="AB78" s="168" t="s">
        <v>123</v>
      </c>
      <c r="AC78" s="168"/>
      <c r="AD78" s="93">
        <f>AE78/AE80</f>
        <v>3.4551736679396254E-2</v>
      </c>
      <c r="AE78" s="200">
        <v>190</v>
      </c>
      <c r="AF78" s="205"/>
      <c r="AG78" s="168" t="s">
        <v>123</v>
      </c>
      <c r="AH78" s="168"/>
      <c r="AI78" s="93">
        <f>AJ78/AJ80</f>
        <v>3.0308630567362778E-2</v>
      </c>
      <c r="AJ78" s="86">
        <v>164</v>
      </c>
      <c r="AL78" s="170" t="s">
        <v>123</v>
      </c>
      <c r="AM78" s="171"/>
      <c r="AN78" s="93">
        <f>AO78/AO80</f>
        <v>3.0308630567362778E-2</v>
      </c>
      <c r="AO78" s="86">
        <v>164</v>
      </c>
    </row>
    <row r="79" spans="2:41" ht="63.75" customHeight="1" x14ac:dyDescent="0.25">
      <c r="B79" s="310" t="s">
        <v>137</v>
      </c>
      <c r="C79" s="310"/>
      <c r="D79" s="93">
        <f>E79/E80</f>
        <v>0.11088523378303455</v>
      </c>
      <c r="E79" s="86">
        <v>600</v>
      </c>
      <c r="G79" s="310" t="s">
        <v>137</v>
      </c>
      <c r="H79" s="310"/>
      <c r="I79" s="93">
        <f>J79/J93</f>
        <v>0.11088523378303455</v>
      </c>
      <c r="J79" s="86">
        <v>600</v>
      </c>
      <c r="L79" s="310" t="s">
        <v>137</v>
      </c>
      <c r="M79" s="310"/>
      <c r="N79" s="93">
        <f>O79/N93</f>
        <v>743.43943210441932</v>
      </c>
      <c r="O79" s="86">
        <v>600</v>
      </c>
      <c r="R79" s="310" t="s">
        <v>137</v>
      </c>
      <c r="S79" s="310"/>
      <c r="T79" s="93">
        <f>U79/U80</f>
        <v>0.11088523378303455</v>
      </c>
      <c r="U79" s="86">
        <v>600</v>
      </c>
      <c r="W79" s="169" t="s">
        <v>137</v>
      </c>
      <c r="X79" s="169"/>
      <c r="Y79" s="93">
        <f>Z79/Z80</f>
        <v>7.976601967561818E-2</v>
      </c>
      <c r="Z79" s="86">
        <v>600</v>
      </c>
      <c r="AA79" s="87"/>
      <c r="AB79" s="169" t="s">
        <v>137</v>
      </c>
      <c r="AC79" s="169"/>
      <c r="AD79" s="93">
        <f>AE79/AE80</f>
        <v>0.10911074740861974</v>
      </c>
      <c r="AE79" s="200">
        <v>600</v>
      </c>
      <c r="AF79" s="205"/>
      <c r="AG79" s="363" t="s">
        <v>137</v>
      </c>
      <c r="AH79" s="364"/>
      <c r="AI79" s="93">
        <f>AJ79/AJ80</f>
        <v>0.11088523378303455</v>
      </c>
      <c r="AJ79" s="86">
        <v>600</v>
      </c>
      <c r="AL79" s="363" t="s">
        <v>137</v>
      </c>
      <c r="AM79" s="364"/>
      <c r="AN79" s="93">
        <f>AO79/AO80</f>
        <v>0.11088523378303455</v>
      </c>
      <c r="AO79" s="86">
        <v>600</v>
      </c>
    </row>
    <row r="80" spans="2:41" x14ac:dyDescent="0.25">
      <c r="B80" s="311" t="s">
        <v>125</v>
      </c>
      <c r="C80" s="311"/>
      <c r="D80" s="94">
        <f>SUM(D74:D79)</f>
        <v>0.94492700055442613</v>
      </c>
      <c r="E80" s="32">
        <f>SUM(E74:E79)+298</f>
        <v>5411</v>
      </c>
      <c r="G80" s="311" t="s">
        <v>125</v>
      </c>
      <c r="H80" s="311"/>
      <c r="I80" s="94">
        <f>SUM(I74:I79)</f>
        <v>1.3200887081870263</v>
      </c>
      <c r="J80" s="32">
        <f>SUM(J74:J79)</f>
        <v>7143</v>
      </c>
      <c r="L80" s="311" t="s">
        <v>125</v>
      </c>
      <c r="M80" s="311"/>
      <c r="N80" s="94">
        <f>SUM(N74:N79)</f>
        <v>5658.8131440348061</v>
      </c>
      <c r="O80" s="32">
        <f>SUM(O74:O79)+844</f>
        <v>5411</v>
      </c>
      <c r="P80" s="87">
        <v>5385</v>
      </c>
      <c r="Q80" s="190"/>
      <c r="R80" s="311" t="s">
        <v>125</v>
      </c>
      <c r="S80" s="311"/>
      <c r="T80" s="94">
        <f>SUM(T74:T79)</f>
        <v>0.9970430604324525</v>
      </c>
      <c r="U80" s="32">
        <f>SUM(U74:U79)+16</f>
        <v>5411</v>
      </c>
      <c r="W80" s="168" t="s">
        <v>125</v>
      </c>
      <c r="X80" s="168"/>
      <c r="Y80" s="94">
        <f>SUM(Y74:Y79)</f>
        <v>0.99999999999999989</v>
      </c>
      <c r="Z80" s="32">
        <f>SUM(Z74:Z79)</f>
        <v>7522</v>
      </c>
      <c r="AA80" s="87"/>
      <c r="AB80" s="168" t="s">
        <v>125</v>
      </c>
      <c r="AC80" s="168"/>
      <c r="AD80" s="94">
        <f>SUM(AD74:AD79)</f>
        <v>0.99999999999999989</v>
      </c>
      <c r="AE80" s="224">
        <f>SUM(AE74:AE79)</f>
        <v>5499</v>
      </c>
      <c r="AF80" s="206"/>
      <c r="AG80" s="168" t="s">
        <v>125</v>
      </c>
      <c r="AH80" s="168"/>
      <c r="AI80" s="94">
        <f t="shared" ref="AI80" si="18">SUM(AI74:AI79)</f>
        <v>0.82535575679172068</v>
      </c>
      <c r="AJ80" s="32">
        <f>SUM(AJ74:AJ79)+945</f>
        <v>5411</v>
      </c>
      <c r="AL80" s="172" t="s">
        <v>125</v>
      </c>
      <c r="AM80" s="173"/>
      <c r="AN80" s="94">
        <f t="shared" ref="AN80" si="19">SUM(AN74:AN79)</f>
        <v>0.82276843467011651</v>
      </c>
      <c r="AO80" s="32">
        <f>SUM(AO74:AO79)+959</f>
        <v>5411</v>
      </c>
    </row>
    <row r="81" spans="2:42" x14ac:dyDescent="0.25">
      <c r="B81" s="193"/>
      <c r="C81" s="193"/>
      <c r="D81" s="32">
        <v>5154</v>
      </c>
      <c r="E81" s="199">
        <v>5411</v>
      </c>
      <c r="F81" s="190">
        <f>E81-E80</f>
        <v>0</v>
      </c>
      <c r="G81" s="193"/>
      <c r="H81" s="193"/>
      <c r="I81" s="223"/>
      <c r="J81" s="199"/>
      <c r="L81" s="193"/>
      <c r="M81" s="193"/>
      <c r="N81" s="223"/>
      <c r="O81" s="199">
        <v>5411</v>
      </c>
      <c r="P81" s="190">
        <f>O81-O80</f>
        <v>0</v>
      </c>
      <c r="Q81" s="190"/>
      <c r="R81" s="193"/>
      <c r="S81" s="193"/>
      <c r="T81" s="223"/>
      <c r="U81" s="199">
        <v>5411</v>
      </c>
      <c r="V81" s="190">
        <f>U81-U80</f>
        <v>0</v>
      </c>
      <c r="W81" s="193"/>
      <c r="X81" s="193"/>
      <c r="Y81" s="223"/>
      <c r="Z81" s="199"/>
      <c r="AA81" s="87"/>
      <c r="AB81" s="193"/>
      <c r="AC81" s="193"/>
      <c r="AD81" s="223"/>
      <c r="AE81" s="199"/>
      <c r="AF81" s="199"/>
      <c r="AG81" s="193"/>
      <c r="AH81" s="193"/>
      <c r="AI81" s="223"/>
      <c r="AJ81" s="199">
        <v>5411</v>
      </c>
      <c r="AK81" s="190">
        <f>AJ81-AJ80</f>
        <v>0</v>
      </c>
      <c r="AL81" s="191"/>
      <c r="AM81" s="191"/>
      <c r="AN81" s="223"/>
      <c r="AO81" s="199">
        <v>5411</v>
      </c>
      <c r="AP81" s="190">
        <f>AO81-AO80</f>
        <v>0</v>
      </c>
    </row>
    <row r="83" spans="2:42" ht="25.5" x14ac:dyDescent="0.35">
      <c r="B83" s="306" t="s">
        <v>179</v>
      </c>
      <c r="C83" s="306"/>
      <c r="D83" s="306"/>
      <c r="E83" s="306"/>
      <c r="G83" s="346" t="s">
        <v>179</v>
      </c>
      <c r="H83" s="347"/>
      <c r="I83" s="347"/>
      <c r="J83" s="348"/>
      <c r="K83" s="78"/>
      <c r="L83" s="346" t="s">
        <v>179</v>
      </c>
      <c r="M83" s="347"/>
      <c r="N83" s="347"/>
      <c r="O83" s="348"/>
      <c r="R83" s="360" t="s">
        <v>179</v>
      </c>
      <c r="S83" s="360"/>
      <c r="T83" s="360"/>
      <c r="U83" s="360"/>
      <c r="W83" s="360" t="s">
        <v>179</v>
      </c>
      <c r="X83" s="360"/>
      <c r="Y83" s="360"/>
      <c r="Z83" s="360"/>
      <c r="AA83" s="204"/>
      <c r="AB83" s="327" t="s">
        <v>179</v>
      </c>
      <c r="AC83" s="327"/>
      <c r="AD83" s="327"/>
      <c r="AE83" s="327"/>
    </row>
    <row r="84" spans="2:42" ht="39.75" customHeight="1" x14ac:dyDescent="0.25">
      <c r="B84" s="307" t="s">
        <v>182</v>
      </c>
      <c r="C84" s="307"/>
      <c r="D84" s="307"/>
      <c r="E84" s="307"/>
      <c r="G84" s="349" t="s">
        <v>183</v>
      </c>
      <c r="H84" s="350"/>
      <c r="I84" s="350"/>
      <c r="J84" s="351"/>
      <c r="K84" s="77"/>
      <c r="L84" s="349" t="s">
        <v>184</v>
      </c>
      <c r="M84" s="350"/>
      <c r="N84" s="350"/>
      <c r="O84" s="351"/>
      <c r="R84" s="307" t="s">
        <v>185</v>
      </c>
      <c r="S84" s="307"/>
      <c r="T84" s="307"/>
      <c r="U84" s="307"/>
      <c r="W84" s="307" t="s">
        <v>223</v>
      </c>
      <c r="X84" s="307"/>
      <c r="Y84" s="307"/>
      <c r="Z84" s="307"/>
      <c r="AA84" s="209"/>
      <c r="AB84" s="328" t="s">
        <v>217</v>
      </c>
      <c r="AC84" s="328"/>
      <c r="AD84" s="328"/>
      <c r="AE84" s="328"/>
    </row>
    <row r="85" spans="2:42" ht="15" customHeight="1" x14ac:dyDescent="0.25">
      <c r="B85" s="332" t="s">
        <v>114</v>
      </c>
      <c r="C85" s="333"/>
      <c r="D85" s="338" t="s">
        <v>115</v>
      </c>
      <c r="E85" s="338" t="s">
        <v>136</v>
      </c>
      <c r="G85" s="332" t="s">
        <v>114</v>
      </c>
      <c r="H85" s="333"/>
      <c r="I85" s="338" t="s">
        <v>115</v>
      </c>
      <c r="J85" s="338" t="s">
        <v>136</v>
      </c>
      <c r="L85" s="299" t="s">
        <v>114</v>
      </c>
      <c r="M85" s="300"/>
      <c r="N85" s="183" t="s">
        <v>115</v>
      </c>
      <c r="O85" s="303" t="s">
        <v>136</v>
      </c>
      <c r="R85" s="299" t="s">
        <v>114</v>
      </c>
      <c r="S85" s="300"/>
      <c r="T85" s="303" t="s">
        <v>115</v>
      </c>
      <c r="U85" s="303" t="s">
        <v>136</v>
      </c>
      <c r="W85" s="299" t="s">
        <v>114</v>
      </c>
      <c r="X85" s="300"/>
      <c r="Y85" s="303" t="s">
        <v>115</v>
      </c>
      <c r="Z85" s="299" t="s">
        <v>136</v>
      </c>
      <c r="AA85" s="208"/>
      <c r="AB85" s="293" t="s">
        <v>114</v>
      </c>
      <c r="AC85" s="294"/>
      <c r="AD85" s="297" t="s">
        <v>115</v>
      </c>
      <c r="AE85" s="297" t="s">
        <v>136</v>
      </c>
    </row>
    <row r="86" spans="2:42" x14ac:dyDescent="0.25">
      <c r="B86" s="334"/>
      <c r="C86" s="335"/>
      <c r="D86" s="339"/>
      <c r="E86" s="339"/>
      <c r="G86" s="334"/>
      <c r="H86" s="335"/>
      <c r="I86" s="339"/>
      <c r="J86" s="339"/>
      <c r="L86" s="301"/>
      <c r="M86" s="302"/>
      <c r="N86" s="186"/>
      <c r="O86" s="304"/>
      <c r="R86" s="301"/>
      <c r="S86" s="302"/>
      <c r="T86" s="305"/>
      <c r="U86" s="305"/>
      <c r="W86" s="301"/>
      <c r="X86" s="302"/>
      <c r="Y86" s="305"/>
      <c r="Z86" s="400"/>
      <c r="AA86" s="210"/>
      <c r="AB86" s="295"/>
      <c r="AC86" s="296"/>
      <c r="AD86" s="331"/>
      <c r="AE86" s="331"/>
    </row>
    <row r="87" spans="2:42" x14ac:dyDescent="0.25">
      <c r="B87" s="311" t="s">
        <v>119</v>
      </c>
      <c r="C87" s="311"/>
      <c r="D87" s="93">
        <f>E87/E93</f>
        <v>0.48549251524671966</v>
      </c>
      <c r="E87" s="86">
        <v>2627</v>
      </c>
      <c r="G87" s="311" t="s">
        <v>119</v>
      </c>
      <c r="H87" s="311"/>
      <c r="I87" s="93">
        <f>J87/J93</f>
        <v>0.48549251524671966</v>
      </c>
      <c r="J87" s="86">
        <v>2627</v>
      </c>
      <c r="L87" s="174" t="s">
        <v>119</v>
      </c>
      <c r="M87" s="174"/>
      <c r="N87" s="93">
        <f>O87/O93</f>
        <v>0.48549251524671966</v>
      </c>
      <c r="O87" s="86">
        <v>2627</v>
      </c>
      <c r="R87" s="292" t="s">
        <v>119</v>
      </c>
      <c r="S87" s="292"/>
      <c r="T87" s="93">
        <f>U87/U93</f>
        <v>0.56881205066757956</v>
      </c>
      <c r="U87" s="86">
        <v>3323</v>
      </c>
      <c r="W87" s="311" t="s">
        <v>119</v>
      </c>
      <c r="X87" s="311"/>
      <c r="Y87" s="93">
        <f>Z87/Z93</f>
        <v>0.48549251524671966</v>
      </c>
      <c r="Z87" s="200">
        <v>2627</v>
      </c>
      <c r="AA87" s="205"/>
      <c r="AB87" s="311" t="s">
        <v>119</v>
      </c>
      <c r="AC87" s="311"/>
      <c r="AD87" s="93">
        <f>AE87/AE93</f>
        <v>0.48549251524671966</v>
      </c>
      <c r="AE87" s="86">
        <v>2627</v>
      </c>
    </row>
    <row r="88" spans="2:42" x14ac:dyDescent="0.25">
      <c r="B88" s="311" t="s">
        <v>120</v>
      </c>
      <c r="C88" s="311"/>
      <c r="D88" s="93">
        <f>E88/E93</f>
        <v>0.13842173350582149</v>
      </c>
      <c r="E88" s="114">
        <v>749</v>
      </c>
      <c r="G88" s="311" t="s">
        <v>120</v>
      </c>
      <c r="H88" s="311"/>
      <c r="I88" s="93">
        <f>J88/J93</f>
        <v>0.12141933099242284</v>
      </c>
      <c r="J88" s="114">
        <v>657</v>
      </c>
      <c r="L88" s="168" t="s">
        <v>120</v>
      </c>
      <c r="M88" s="168"/>
      <c r="N88" s="93">
        <f>O88/O93</f>
        <v>0.13010534097209389</v>
      </c>
      <c r="O88" s="114">
        <v>704</v>
      </c>
      <c r="R88" s="311" t="s">
        <v>120</v>
      </c>
      <c r="S88" s="311"/>
      <c r="T88" s="93">
        <f>U88/U93</f>
        <v>0.17168777815816502</v>
      </c>
      <c r="U88" s="114">
        <v>1003</v>
      </c>
      <c r="W88" s="311" t="s">
        <v>120</v>
      </c>
      <c r="X88" s="311"/>
      <c r="Y88" s="93">
        <f>Z88/Z93</f>
        <v>0.17002402513398632</v>
      </c>
      <c r="Z88" s="214">
        <v>920</v>
      </c>
      <c r="AA88" s="205"/>
      <c r="AB88" s="311" t="s">
        <v>120</v>
      </c>
      <c r="AC88" s="311"/>
      <c r="AD88" s="93">
        <f>AE88/AE93</f>
        <v>0.1195712437627056</v>
      </c>
      <c r="AE88" s="114">
        <v>647</v>
      </c>
    </row>
    <row r="89" spans="2:42" x14ac:dyDescent="0.25">
      <c r="B89" s="311" t="s">
        <v>121</v>
      </c>
      <c r="C89" s="311"/>
      <c r="D89" s="93">
        <f>E89/E93</f>
        <v>3.7146553317316575E-2</v>
      </c>
      <c r="E89" s="86">
        <v>201</v>
      </c>
      <c r="G89" s="311" t="s">
        <v>121</v>
      </c>
      <c r="H89" s="311"/>
      <c r="I89" s="93">
        <f>J89/J93</f>
        <v>7.7434854925152466E-2</v>
      </c>
      <c r="J89" s="86">
        <v>419</v>
      </c>
      <c r="K89" s="87" t="s">
        <v>292</v>
      </c>
      <c r="L89" s="168" t="s">
        <v>121</v>
      </c>
      <c r="M89" s="168"/>
      <c r="N89" s="93">
        <f>O89/O93</f>
        <v>2.9199778229532434E-2</v>
      </c>
      <c r="O89" s="86">
        <v>158</v>
      </c>
      <c r="Q89" s="87" t="s">
        <v>289</v>
      </c>
      <c r="R89" s="311" t="s">
        <v>121</v>
      </c>
      <c r="S89" s="311"/>
      <c r="T89" s="93">
        <f>U89/U93</f>
        <v>2.7045532351934271E-2</v>
      </c>
      <c r="U89" s="86">
        <v>158</v>
      </c>
      <c r="V89" s="87" t="s">
        <v>289</v>
      </c>
      <c r="W89" s="311" t="s">
        <v>121</v>
      </c>
      <c r="X89" s="311"/>
      <c r="Y89" s="93">
        <f>Z89/Z93</f>
        <v>2.4764368878211051E-2</v>
      </c>
      <c r="Z89" s="200">
        <v>134</v>
      </c>
      <c r="AA89" s="205"/>
      <c r="AB89" s="311" t="s">
        <v>121</v>
      </c>
      <c r="AC89" s="311"/>
      <c r="AD89" s="93">
        <f>AE89/AE93</f>
        <v>2.6242838661984846E-2</v>
      </c>
      <c r="AE89" s="86">
        <v>142</v>
      </c>
      <c r="AF89" s="190">
        <f>AE89*1.05</f>
        <v>149.1</v>
      </c>
    </row>
    <row r="90" spans="2:42" x14ac:dyDescent="0.25">
      <c r="B90" s="311" t="s">
        <v>122</v>
      </c>
      <c r="C90" s="311"/>
      <c r="D90" s="93">
        <f>E90/E93</f>
        <v>7.2629828127887638E-2</v>
      </c>
      <c r="E90" s="86">
        <v>393</v>
      </c>
      <c r="G90" s="311" t="s">
        <v>122</v>
      </c>
      <c r="H90" s="311"/>
      <c r="I90" s="93">
        <f>J90/J93</f>
        <v>2.6427647384956569E-2</v>
      </c>
      <c r="J90" s="86">
        <v>143</v>
      </c>
      <c r="L90" s="168" t="s">
        <v>122</v>
      </c>
      <c r="M90" s="168"/>
      <c r="N90" s="93">
        <f>O90/O93</f>
        <v>2.1068194418776567E-2</v>
      </c>
      <c r="O90" s="86">
        <v>114</v>
      </c>
      <c r="R90" s="311" t="s">
        <v>122</v>
      </c>
      <c r="S90" s="311"/>
      <c r="T90" s="93">
        <f>U90/U93</f>
        <v>1.9513865114686751E-2</v>
      </c>
      <c r="U90" s="86">
        <v>114</v>
      </c>
      <c r="W90" s="311" t="s">
        <v>122</v>
      </c>
      <c r="X90" s="311"/>
      <c r="Y90" s="93">
        <f>Z90/Z93</f>
        <v>2.0698576972833119E-2</v>
      </c>
      <c r="Z90" s="200">
        <v>112</v>
      </c>
      <c r="AA90" s="205"/>
      <c r="AB90" s="311" t="s">
        <v>122</v>
      </c>
      <c r="AC90" s="311"/>
      <c r="AD90" s="93">
        <f>AE90/AE93</f>
        <v>5.0452781371280724E-2</v>
      </c>
      <c r="AE90" s="86">
        <v>273</v>
      </c>
      <c r="AF90" s="190">
        <f t="shared" ref="AF90:AF91" si="20">AE90*1.05</f>
        <v>286.65000000000003</v>
      </c>
    </row>
    <row r="91" spans="2:42" x14ac:dyDescent="0.25">
      <c r="B91" s="311" t="s">
        <v>123</v>
      </c>
      <c r="C91" s="311"/>
      <c r="D91" s="93">
        <f>E91/E93</f>
        <v>1.995934208094622E-2</v>
      </c>
      <c r="E91" s="86">
        <v>108</v>
      </c>
      <c r="G91" s="311" t="s">
        <v>123</v>
      </c>
      <c r="H91" s="311"/>
      <c r="I91" s="93">
        <f>J91/J93</f>
        <v>3.0308630567362778E-2</v>
      </c>
      <c r="J91" s="86">
        <v>164</v>
      </c>
      <c r="L91" s="168" t="s">
        <v>123</v>
      </c>
      <c r="M91" s="168"/>
      <c r="N91" s="93">
        <f>O91/O93</f>
        <v>3.0308630567362778E-2</v>
      </c>
      <c r="O91" s="86">
        <v>164</v>
      </c>
      <c r="R91" s="311" t="s">
        <v>123</v>
      </c>
      <c r="S91" s="311"/>
      <c r="T91" s="93">
        <f>U91/U93</f>
        <v>3.6973639164669635E-2</v>
      </c>
      <c r="U91" s="86">
        <v>216</v>
      </c>
      <c r="W91" s="311" t="s">
        <v>123</v>
      </c>
      <c r="X91" s="311"/>
      <c r="Y91" s="93">
        <f>Z91/Z93</f>
        <v>1.9589724635002772E-2</v>
      </c>
      <c r="Z91" s="200">
        <v>106</v>
      </c>
      <c r="AA91" s="205"/>
      <c r="AB91" s="311" t="s">
        <v>123</v>
      </c>
      <c r="AC91" s="311"/>
      <c r="AD91" s="93">
        <f>AE91/AE93</f>
        <v>3.0308630567362778E-2</v>
      </c>
      <c r="AE91" s="86">
        <v>164</v>
      </c>
      <c r="AF91" s="190">
        <f t="shared" si="20"/>
        <v>172.20000000000002</v>
      </c>
    </row>
    <row r="92" spans="2:42" ht="81" customHeight="1" x14ac:dyDescent="0.25">
      <c r="B92" s="310" t="s">
        <v>137</v>
      </c>
      <c r="C92" s="310"/>
      <c r="D92" s="93">
        <f>E92/E93</f>
        <v>0.11088523378303455</v>
      </c>
      <c r="E92" s="86">
        <v>600</v>
      </c>
      <c r="G92" s="310" t="s">
        <v>137</v>
      </c>
      <c r="H92" s="310"/>
      <c r="I92" s="93">
        <f>J92/J93</f>
        <v>0.11088523378303455</v>
      </c>
      <c r="J92" s="86">
        <v>600</v>
      </c>
      <c r="L92" s="363" t="s">
        <v>137</v>
      </c>
      <c r="M92" s="364"/>
      <c r="N92" s="93">
        <f>O92/O93</f>
        <v>0.11088523378303455</v>
      </c>
      <c r="O92" s="86">
        <v>600</v>
      </c>
      <c r="R92" s="310" t="s">
        <v>137</v>
      </c>
      <c r="S92" s="310"/>
      <c r="T92" s="93">
        <f>U92/U93</f>
        <v>7.7370763437179052E-2</v>
      </c>
      <c r="U92" s="86">
        <v>452</v>
      </c>
      <c r="W92" s="310" t="s">
        <v>137</v>
      </c>
      <c r="X92" s="310"/>
      <c r="Y92" s="93">
        <f>Z92/Z93</f>
        <v>0.11088523378303455</v>
      </c>
      <c r="Z92" s="200">
        <v>600</v>
      </c>
      <c r="AA92" s="205"/>
      <c r="AB92" s="310" t="s">
        <v>137</v>
      </c>
      <c r="AC92" s="310"/>
      <c r="AD92" s="93">
        <f>AE92/AE93</f>
        <v>0.11088523378303455</v>
      </c>
      <c r="AE92" s="86">
        <v>600</v>
      </c>
    </row>
    <row r="93" spans="2:42" x14ac:dyDescent="0.25">
      <c r="B93" s="311" t="s">
        <v>125</v>
      </c>
      <c r="C93" s="311"/>
      <c r="D93" s="94">
        <f>SUM(D87:D92)</f>
        <v>0.86453520606172596</v>
      </c>
      <c r="E93" s="32">
        <f>SUM(E87:E92)+733</f>
        <v>5411</v>
      </c>
      <c r="G93" s="311" t="s">
        <v>125</v>
      </c>
      <c r="H93" s="311"/>
      <c r="I93" s="94">
        <f>SUM(I87:I92)</f>
        <v>0.85196821289964886</v>
      </c>
      <c r="J93" s="32">
        <f>SUM(J87:J92)+801</f>
        <v>5411</v>
      </c>
      <c r="L93" s="168" t="s">
        <v>125</v>
      </c>
      <c r="M93" s="168"/>
      <c r="N93" s="94">
        <f t="shared" ref="N93" si="21">SUM(N87:N92)</f>
        <v>0.80705969321752002</v>
      </c>
      <c r="O93" s="32">
        <f>SUM(O87:O92)+1044</f>
        <v>5411</v>
      </c>
      <c r="R93" s="311" t="s">
        <v>125</v>
      </c>
      <c r="S93" s="311"/>
      <c r="T93" s="94">
        <f t="shared" ref="T93" si="22">SUM(T87:T92)</f>
        <v>0.90140362889421444</v>
      </c>
      <c r="U93" s="32">
        <f>SUM(U87:U92)+576</f>
        <v>5842</v>
      </c>
      <c r="W93" s="311" t="s">
        <v>125</v>
      </c>
      <c r="X93" s="311"/>
      <c r="Y93" s="94">
        <f t="shared" ref="Y93" si="23">SUM(Y87:Y92)</f>
        <v>0.83145444464978757</v>
      </c>
      <c r="Z93" s="201">
        <f>SUM(Z87:Z92)+912</f>
        <v>5411</v>
      </c>
      <c r="AA93" s="206"/>
      <c r="AB93" s="311" t="s">
        <v>125</v>
      </c>
      <c r="AC93" s="311"/>
      <c r="AD93" s="94">
        <f t="shared" ref="AD93" si="24">SUM(AD87:AD92)</f>
        <v>0.82295324339308817</v>
      </c>
      <c r="AE93" s="32">
        <f>SUM(AE87:AE92)+958</f>
        <v>5411</v>
      </c>
    </row>
    <row r="94" spans="2:42" x14ac:dyDescent="0.25">
      <c r="B94" s="193"/>
      <c r="C94" s="193"/>
      <c r="D94" s="223"/>
      <c r="E94" s="199">
        <v>5411</v>
      </c>
      <c r="F94" s="190">
        <f>E94-E93</f>
        <v>0</v>
      </c>
      <c r="G94" s="193"/>
      <c r="H94" s="193"/>
      <c r="I94" s="223"/>
      <c r="J94" s="199">
        <v>5411</v>
      </c>
      <c r="K94" s="190">
        <f>J94-J93</f>
        <v>0</v>
      </c>
      <c r="L94" s="193"/>
      <c r="M94" s="193"/>
      <c r="N94" s="223"/>
      <c r="O94" s="199">
        <v>5411</v>
      </c>
      <c r="P94" s="190">
        <f>O94-O93</f>
        <v>0</v>
      </c>
      <c r="R94" s="193"/>
      <c r="S94" s="193">
        <v>5564</v>
      </c>
      <c r="T94" s="223"/>
      <c r="U94" s="199">
        <v>5842</v>
      </c>
      <c r="V94" s="190">
        <f>U94-U93</f>
        <v>0</v>
      </c>
      <c r="W94" s="193"/>
      <c r="X94" s="193"/>
      <c r="Y94" s="223"/>
      <c r="Z94" s="199">
        <v>5411</v>
      </c>
      <c r="AA94" s="206">
        <f>Z94-Z93</f>
        <v>0</v>
      </c>
      <c r="AB94" s="193"/>
      <c r="AC94" s="193"/>
      <c r="AD94" s="223"/>
      <c r="AE94" s="199">
        <v>5411</v>
      </c>
      <c r="AF94" s="190">
        <f>AE94-AE93</f>
        <v>0</v>
      </c>
    </row>
    <row r="96" spans="2:42" ht="25.5" x14ac:dyDescent="0.35">
      <c r="B96" s="306" t="s">
        <v>179</v>
      </c>
      <c r="C96" s="306"/>
      <c r="D96" s="306"/>
      <c r="E96" s="306"/>
      <c r="G96" s="346" t="s">
        <v>179</v>
      </c>
      <c r="H96" s="347"/>
      <c r="I96" s="347"/>
      <c r="J96" s="348"/>
      <c r="K96" s="78"/>
      <c r="L96" s="346" t="s">
        <v>179</v>
      </c>
      <c r="M96" s="347"/>
      <c r="N96" s="347"/>
      <c r="O96" s="348"/>
      <c r="R96" s="306" t="s">
        <v>179</v>
      </c>
      <c r="S96" s="306"/>
      <c r="T96" s="306"/>
      <c r="U96" s="306"/>
      <c r="W96" s="306" t="s">
        <v>179</v>
      </c>
      <c r="X96" s="306"/>
      <c r="Y96" s="306"/>
      <c r="Z96" s="306"/>
      <c r="AA96" s="204"/>
    </row>
    <row r="97" spans="2:27" ht="36.75" customHeight="1" x14ac:dyDescent="0.25">
      <c r="B97" s="307" t="s">
        <v>186</v>
      </c>
      <c r="C97" s="307"/>
      <c r="D97" s="307"/>
      <c r="E97" s="307"/>
      <c r="G97" s="349" t="s">
        <v>187</v>
      </c>
      <c r="H97" s="350"/>
      <c r="I97" s="350"/>
      <c r="J97" s="351"/>
      <c r="K97" s="77"/>
      <c r="L97" s="349" t="s">
        <v>188</v>
      </c>
      <c r="M97" s="350"/>
      <c r="N97" s="350"/>
      <c r="O97" s="351"/>
      <c r="R97" s="307" t="s">
        <v>189</v>
      </c>
      <c r="S97" s="307"/>
      <c r="T97" s="307"/>
      <c r="U97" s="307"/>
      <c r="W97" s="307" t="s">
        <v>212</v>
      </c>
      <c r="X97" s="307"/>
      <c r="Y97" s="307"/>
      <c r="Z97" s="307"/>
      <c r="AA97" s="209"/>
    </row>
    <row r="98" spans="2:27" ht="25.5" x14ac:dyDescent="0.25">
      <c r="B98" s="332" t="s">
        <v>114</v>
      </c>
      <c r="C98" s="333"/>
      <c r="D98" s="188" t="s">
        <v>115</v>
      </c>
      <c r="E98" s="188" t="s">
        <v>136</v>
      </c>
      <c r="G98" s="332" t="s">
        <v>114</v>
      </c>
      <c r="H98" s="333"/>
      <c r="I98" s="188" t="s">
        <v>135</v>
      </c>
      <c r="J98" s="188" t="s">
        <v>136</v>
      </c>
      <c r="L98" s="179" t="s">
        <v>114</v>
      </c>
      <c r="M98" s="180"/>
      <c r="N98" s="188" t="s">
        <v>115</v>
      </c>
      <c r="O98" s="189" t="s">
        <v>136</v>
      </c>
      <c r="R98" s="308" t="s">
        <v>114</v>
      </c>
      <c r="S98" s="309"/>
      <c r="T98" s="189" t="s">
        <v>135</v>
      </c>
      <c r="U98" s="189" t="s">
        <v>136</v>
      </c>
      <c r="W98" s="308" t="s">
        <v>114</v>
      </c>
      <c r="X98" s="309"/>
      <c r="Y98" s="189" t="s">
        <v>135</v>
      </c>
      <c r="Z98" s="202" t="s">
        <v>136</v>
      </c>
      <c r="AA98" s="207"/>
    </row>
    <row r="99" spans="2:27" x14ac:dyDescent="0.25">
      <c r="B99" s="311" t="s">
        <v>119</v>
      </c>
      <c r="C99" s="311"/>
      <c r="D99" s="93">
        <f>E99/E105</f>
        <v>0.48549251524671966</v>
      </c>
      <c r="E99" s="86">
        <v>2627</v>
      </c>
      <c r="G99" s="311" t="s">
        <v>119</v>
      </c>
      <c r="H99" s="311"/>
      <c r="I99" s="93">
        <f>J99/J105</f>
        <v>0.48549251524671966</v>
      </c>
      <c r="J99" s="86">
        <v>2627</v>
      </c>
      <c r="L99" s="170" t="s">
        <v>119</v>
      </c>
      <c r="M99" s="171"/>
      <c r="N99" s="93">
        <f>O99/O105</f>
        <v>0.48549251524671966</v>
      </c>
      <c r="O99" s="86">
        <v>2627</v>
      </c>
      <c r="R99" s="361" t="s">
        <v>119</v>
      </c>
      <c r="S99" s="362"/>
      <c r="T99" s="93">
        <f>U99/U105</f>
        <v>0.48549251524671966</v>
      </c>
      <c r="U99" s="86">
        <v>2627</v>
      </c>
      <c r="W99" s="361" t="s">
        <v>119</v>
      </c>
      <c r="X99" s="362"/>
      <c r="Y99" s="93">
        <f>Z99/Z105</f>
        <v>0.48549251524671966</v>
      </c>
      <c r="Z99" s="200">
        <v>2627</v>
      </c>
      <c r="AA99" s="205"/>
    </row>
    <row r="100" spans="2:27" x14ac:dyDescent="0.25">
      <c r="B100" s="311" t="s">
        <v>120</v>
      </c>
      <c r="C100" s="311"/>
      <c r="D100" s="93">
        <f>E100/E105</f>
        <v>0.15801145814082423</v>
      </c>
      <c r="E100" s="114">
        <v>855</v>
      </c>
      <c r="G100" s="311" t="s">
        <v>120</v>
      </c>
      <c r="H100" s="311"/>
      <c r="I100" s="93">
        <f>J100/J105</f>
        <v>0.17279615597856218</v>
      </c>
      <c r="J100" s="114">
        <v>935</v>
      </c>
      <c r="L100" s="170" t="s">
        <v>120</v>
      </c>
      <c r="M100" s="171"/>
      <c r="N100" s="93">
        <f>O100/O105</f>
        <v>0.16891517279615598</v>
      </c>
      <c r="O100" s="114">
        <v>914</v>
      </c>
      <c r="R100" s="361" t="s">
        <v>120</v>
      </c>
      <c r="S100" s="362"/>
      <c r="T100" s="93">
        <f>U100/U105</f>
        <v>0.13195342820181113</v>
      </c>
      <c r="U100" s="114">
        <v>714</v>
      </c>
      <c r="W100" s="361" t="s">
        <v>120</v>
      </c>
      <c r="X100" s="362"/>
      <c r="Y100" s="93">
        <f>Z100/Z105</f>
        <v>9.1295509148031792E-2</v>
      </c>
      <c r="Z100" s="214">
        <v>494</v>
      </c>
      <c r="AA100" s="205"/>
    </row>
    <row r="101" spans="2:27" x14ac:dyDescent="0.25">
      <c r="B101" s="311" t="s">
        <v>121</v>
      </c>
      <c r="C101" s="311"/>
      <c r="D101" s="93">
        <f>E101/E105</f>
        <v>3.7146553317316575E-2</v>
      </c>
      <c r="E101" s="86">
        <v>201</v>
      </c>
      <c r="G101" s="311" t="s">
        <v>121</v>
      </c>
      <c r="H101" s="311"/>
      <c r="I101" s="93">
        <f>J101/J105</f>
        <v>3.2895952688966917E-2</v>
      </c>
      <c r="J101" s="86">
        <v>178</v>
      </c>
      <c r="K101" s="87" t="s">
        <v>289</v>
      </c>
      <c r="L101" s="170" t="s">
        <v>121</v>
      </c>
      <c r="M101" s="171"/>
      <c r="N101" s="93">
        <f>O101/O105</f>
        <v>7.9652559600813161E-2</v>
      </c>
      <c r="O101" s="86">
        <v>431</v>
      </c>
      <c r="Q101" s="87" t="s">
        <v>292</v>
      </c>
      <c r="R101" s="361" t="s">
        <v>121</v>
      </c>
      <c r="S101" s="362"/>
      <c r="T101" s="93">
        <f>U101/U105</f>
        <v>9.2034744039918681E-2</v>
      </c>
      <c r="U101" s="86">
        <v>498</v>
      </c>
      <c r="V101" s="87" t="s">
        <v>289</v>
      </c>
      <c r="W101" s="361" t="s">
        <v>121</v>
      </c>
      <c r="X101" s="362"/>
      <c r="Y101" s="93">
        <f>Z101/Z105</f>
        <v>6.6161522823877286E-2</v>
      </c>
      <c r="Z101" s="200">
        <v>358</v>
      </c>
      <c r="AA101" s="205"/>
    </row>
    <row r="102" spans="2:27" x14ac:dyDescent="0.25">
      <c r="B102" s="311" t="s">
        <v>122</v>
      </c>
      <c r="C102" s="311"/>
      <c r="D102" s="93">
        <f>E102/E105</f>
        <v>4.1951580114581409E-2</v>
      </c>
      <c r="E102" s="86">
        <v>227</v>
      </c>
      <c r="G102" s="311" t="s">
        <v>122</v>
      </c>
      <c r="H102" s="311"/>
      <c r="I102" s="93">
        <f>J102/J105</f>
        <v>4.2875623729440031E-2</v>
      </c>
      <c r="J102" s="86">
        <v>232</v>
      </c>
      <c r="L102" s="170" t="s">
        <v>122</v>
      </c>
      <c r="M102" s="171"/>
      <c r="N102" s="93">
        <f>O102/O105</f>
        <v>2.993901312141933E-2</v>
      </c>
      <c r="O102" s="86">
        <v>162</v>
      </c>
      <c r="R102" s="361" t="s">
        <v>122</v>
      </c>
      <c r="S102" s="362"/>
      <c r="T102" s="93">
        <f>U102/U105</f>
        <v>2.0144150803917946E-2</v>
      </c>
      <c r="U102" s="86">
        <v>109</v>
      </c>
      <c r="W102" s="361" t="s">
        <v>122</v>
      </c>
      <c r="X102" s="362"/>
      <c r="Y102" s="93">
        <f>Z102/Z105</f>
        <v>1.127333210127518E-2</v>
      </c>
      <c r="Z102" s="200">
        <v>61</v>
      </c>
      <c r="AA102" s="205"/>
    </row>
    <row r="103" spans="2:27" x14ac:dyDescent="0.25">
      <c r="B103" s="311" t="s">
        <v>123</v>
      </c>
      <c r="C103" s="311"/>
      <c r="D103" s="93">
        <f>E103/E105</f>
        <v>1.2936610608020699E-2</v>
      </c>
      <c r="E103" s="86">
        <v>70</v>
      </c>
      <c r="G103" s="311" t="s">
        <v>123</v>
      </c>
      <c r="H103" s="311"/>
      <c r="I103" s="93">
        <f>J103/J105</f>
        <v>3.0308630567362778E-2</v>
      </c>
      <c r="J103" s="86">
        <v>164</v>
      </c>
      <c r="L103" s="170" t="s">
        <v>123</v>
      </c>
      <c r="M103" s="171"/>
      <c r="N103" s="93">
        <f>O103/O105</f>
        <v>3.0308630567362778E-2</v>
      </c>
      <c r="O103" s="86">
        <v>164</v>
      </c>
      <c r="R103" s="361" t="s">
        <v>123</v>
      </c>
      <c r="S103" s="362"/>
      <c r="T103" s="93">
        <f>U103/U105</f>
        <v>3.0308630567362778E-2</v>
      </c>
      <c r="U103" s="86">
        <v>164</v>
      </c>
      <c r="W103" s="361" t="s">
        <v>123</v>
      </c>
      <c r="X103" s="362"/>
      <c r="Y103" s="93">
        <f>Z103/Z105</f>
        <v>3.0308630567362778E-2</v>
      </c>
      <c r="Z103" s="200">
        <v>164</v>
      </c>
      <c r="AA103" s="205"/>
    </row>
    <row r="104" spans="2:27" ht="74.25" customHeight="1" x14ac:dyDescent="0.25">
      <c r="B104" s="310" t="s">
        <v>137</v>
      </c>
      <c r="C104" s="310"/>
      <c r="D104" s="93">
        <f>E104/E105</f>
        <v>0.11088523378303455</v>
      </c>
      <c r="E104" s="86">
        <v>600</v>
      </c>
      <c r="G104" s="310" t="s">
        <v>137</v>
      </c>
      <c r="H104" s="310"/>
      <c r="I104" s="93">
        <f>J104/J105</f>
        <v>0.11088523378303455</v>
      </c>
      <c r="J104" s="86">
        <v>600</v>
      </c>
      <c r="L104" s="363" t="s">
        <v>137</v>
      </c>
      <c r="M104" s="364"/>
      <c r="N104" s="93">
        <f>O104/O105</f>
        <v>0.11088523378303455</v>
      </c>
      <c r="O104" s="86">
        <v>600</v>
      </c>
      <c r="R104" s="363" t="s">
        <v>137</v>
      </c>
      <c r="S104" s="364"/>
      <c r="T104" s="93">
        <f>U104/U105</f>
        <v>0.11088523378303455</v>
      </c>
      <c r="U104" s="86">
        <v>600</v>
      </c>
      <c r="W104" s="363" t="s">
        <v>137</v>
      </c>
      <c r="X104" s="364"/>
      <c r="Y104" s="93">
        <f>Z104/Z105</f>
        <v>0.11088523378303455</v>
      </c>
      <c r="Z104" s="200">
        <v>600</v>
      </c>
      <c r="AA104" s="205"/>
    </row>
    <row r="105" spans="2:27" ht="15" customHeight="1" x14ac:dyDescent="0.25">
      <c r="B105" s="311" t="s">
        <v>125</v>
      </c>
      <c r="C105" s="311"/>
      <c r="D105" s="94">
        <f t="shared" ref="D105" si="25">SUM(D99:D104)</f>
        <v>0.84642395121049696</v>
      </c>
      <c r="E105" s="32">
        <f>SUM(E99:E104)+831</f>
        <v>5411</v>
      </c>
      <c r="G105" s="311" t="s">
        <v>125</v>
      </c>
      <c r="H105" s="311"/>
      <c r="I105" s="94">
        <f t="shared" ref="I105" si="26">SUM(I99:I104)</f>
        <v>0.87525411199408598</v>
      </c>
      <c r="J105" s="32">
        <f>SUM(J99:J104)+675</f>
        <v>5411</v>
      </c>
      <c r="L105" s="168" t="s">
        <v>125</v>
      </c>
      <c r="M105" s="168"/>
      <c r="N105" s="94">
        <f>SUM(N99:N104)</f>
        <v>0.90519312511550543</v>
      </c>
      <c r="O105" s="32">
        <f>SUM(O99:O104)+513</f>
        <v>5411</v>
      </c>
      <c r="R105" s="311" t="s">
        <v>125</v>
      </c>
      <c r="S105" s="311"/>
      <c r="T105" s="94">
        <f>SUM(T99:T104)</f>
        <v>0.87081870264276473</v>
      </c>
      <c r="U105" s="219">
        <f>SUM(U99:U104)+699</f>
        <v>5411</v>
      </c>
      <c r="W105" s="311" t="s">
        <v>125</v>
      </c>
      <c r="X105" s="311"/>
      <c r="Y105" s="94">
        <f>SUM(Y99:Y104)</f>
        <v>0.79541674367030124</v>
      </c>
      <c r="Z105" s="201">
        <f>SUM(Z99:Z104)+1107</f>
        <v>5411</v>
      </c>
      <c r="AA105" s="206"/>
    </row>
    <row r="106" spans="2:27" ht="15" customHeight="1" x14ac:dyDescent="0.25">
      <c r="B106" s="193"/>
      <c r="C106" s="193"/>
      <c r="D106" s="223"/>
      <c r="E106" s="199">
        <v>5411</v>
      </c>
      <c r="F106" s="190">
        <f>E106-E105</f>
        <v>0</v>
      </c>
      <c r="G106" s="193"/>
      <c r="H106" s="193"/>
      <c r="I106" s="223"/>
      <c r="J106" s="199">
        <v>5411</v>
      </c>
      <c r="K106" s="190">
        <f>J106-J105</f>
        <v>0</v>
      </c>
      <c r="L106" s="193"/>
      <c r="M106" s="193"/>
      <c r="N106" s="223"/>
      <c r="O106" s="199">
        <v>5411</v>
      </c>
      <c r="P106" s="190">
        <f>O106-O105</f>
        <v>0</v>
      </c>
      <c r="R106" s="193"/>
      <c r="S106" s="193"/>
      <c r="T106" s="223"/>
      <c r="U106" s="225">
        <v>5411</v>
      </c>
      <c r="V106" s="190">
        <f>U106-U105</f>
        <v>0</v>
      </c>
      <c r="W106" s="193"/>
      <c r="X106" s="193"/>
      <c r="Y106" s="223"/>
      <c r="Z106" s="199">
        <v>5411</v>
      </c>
      <c r="AA106" s="206">
        <f>Z106-Z105</f>
        <v>0</v>
      </c>
    </row>
    <row r="108" spans="2:27" ht="25.5" x14ac:dyDescent="0.25">
      <c r="B108" s="354" t="s">
        <v>179</v>
      </c>
      <c r="C108" s="354"/>
      <c r="D108" s="354"/>
      <c r="E108" s="354"/>
      <c r="G108" s="354" t="s">
        <v>179</v>
      </c>
      <c r="H108" s="354"/>
      <c r="I108" s="354"/>
      <c r="J108" s="354"/>
      <c r="K108" s="76"/>
      <c r="L108" s="391" t="s">
        <v>179</v>
      </c>
      <c r="M108" s="392"/>
      <c r="N108" s="392"/>
      <c r="O108" s="393"/>
      <c r="R108" s="354" t="s">
        <v>179</v>
      </c>
      <c r="S108" s="354"/>
      <c r="T108" s="354"/>
      <c r="U108" s="354"/>
      <c r="W108" s="354" t="s">
        <v>179</v>
      </c>
      <c r="X108" s="354"/>
      <c r="Y108" s="354"/>
      <c r="Z108" s="354"/>
      <c r="AA108" s="211"/>
    </row>
    <row r="109" spans="2:27" ht="42" customHeight="1" x14ac:dyDescent="0.25">
      <c r="B109" s="349" t="s">
        <v>190</v>
      </c>
      <c r="C109" s="350"/>
      <c r="D109" s="350"/>
      <c r="E109" s="351"/>
      <c r="G109" s="307" t="s">
        <v>191</v>
      </c>
      <c r="H109" s="307"/>
      <c r="I109" s="307"/>
      <c r="J109" s="307"/>
      <c r="K109" s="77"/>
      <c r="L109" s="349" t="s">
        <v>213</v>
      </c>
      <c r="M109" s="350"/>
      <c r="N109" s="350"/>
      <c r="O109" s="351"/>
      <c r="R109" s="349" t="s">
        <v>210</v>
      </c>
      <c r="S109" s="350"/>
      <c r="T109" s="350"/>
      <c r="U109" s="351"/>
      <c r="W109" s="349" t="s">
        <v>211</v>
      </c>
      <c r="X109" s="350"/>
      <c r="Y109" s="350"/>
      <c r="Z109" s="351"/>
      <c r="AA109" s="209"/>
    </row>
    <row r="110" spans="2:27" ht="25.5" x14ac:dyDescent="0.25">
      <c r="B110" s="308" t="s">
        <v>114</v>
      </c>
      <c r="C110" s="309"/>
      <c r="D110" s="188" t="s">
        <v>135</v>
      </c>
      <c r="E110" s="188" t="s">
        <v>136</v>
      </c>
      <c r="G110" s="308" t="s">
        <v>114</v>
      </c>
      <c r="H110" s="309"/>
      <c r="I110" s="188" t="s">
        <v>135</v>
      </c>
      <c r="J110" s="188" t="s">
        <v>136</v>
      </c>
      <c r="L110" s="179" t="s">
        <v>114</v>
      </c>
      <c r="M110" s="180"/>
      <c r="N110" s="188" t="s">
        <v>115</v>
      </c>
      <c r="O110" s="188" t="s">
        <v>136</v>
      </c>
      <c r="R110" s="308" t="s">
        <v>114</v>
      </c>
      <c r="S110" s="309"/>
      <c r="T110" s="188" t="s">
        <v>135</v>
      </c>
      <c r="U110" s="188" t="s">
        <v>136</v>
      </c>
      <c r="W110" s="308" t="s">
        <v>114</v>
      </c>
      <c r="X110" s="309"/>
      <c r="Y110" s="188" t="s">
        <v>135</v>
      </c>
      <c r="Z110" s="187" t="s">
        <v>136</v>
      </c>
      <c r="AA110" s="208"/>
    </row>
    <row r="111" spans="2:27" x14ac:dyDescent="0.25">
      <c r="B111" s="311" t="s">
        <v>119</v>
      </c>
      <c r="C111" s="311"/>
      <c r="D111" s="93">
        <f>E111/E117</f>
        <v>0.48549251524671966</v>
      </c>
      <c r="E111" s="86">
        <v>2627</v>
      </c>
      <c r="G111" s="311" t="s">
        <v>119</v>
      </c>
      <c r="H111" s="311"/>
      <c r="I111" s="93">
        <f>J111/J117</f>
        <v>0.56600238460228236</v>
      </c>
      <c r="J111" s="86">
        <v>3323</v>
      </c>
      <c r="L111" s="168" t="s">
        <v>119</v>
      </c>
      <c r="M111" s="168"/>
      <c r="N111" s="93">
        <f>O111/O117</f>
        <v>0.48549251524671966</v>
      </c>
      <c r="O111" s="86">
        <v>2627</v>
      </c>
      <c r="R111" s="311" t="s">
        <v>119</v>
      </c>
      <c r="S111" s="311"/>
      <c r="T111" s="93">
        <f>U111/U117</f>
        <v>0.48549251524671966</v>
      </c>
      <c r="U111" s="86">
        <v>2627</v>
      </c>
      <c r="W111" s="311" t="s">
        <v>119</v>
      </c>
      <c r="X111" s="311"/>
      <c r="Y111" s="93">
        <f>Z111/Z117</f>
        <v>0.56881205066757956</v>
      </c>
      <c r="Z111" s="200">
        <v>3323</v>
      </c>
      <c r="AA111" s="205"/>
    </row>
    <row r="112" spans="2:27" x14ac:dyDescent="0.25">
      <c r="B112" s="311" t="s">
        <v>120</v>
      </c>
      <c r="C112" s="311"/>
      <c r="D112" s="93">
        <f>E112/E117</f>
        <v>0.12788763629643318</v>
      </c>
      <c r="E112" s="114">
        <v>692</v>
      </c>
      <c r="G112" s="311" t="s">
        <v>120</v>
      </c>
      <c r="H112" s="311"/>
      <c r="I112" s="93">
        <f>J112/J117</f>
        <v>0.27831715210355989</v>
      </c>
      <c r="J112" s="114">
        <v>1634</v>
      </c>
      <c r="L112" s="168" t="s">
        <v>120</v>
      </c>
      <c r="M112" s="168"/>
      <c r="N112" s="93">
        <f>O112/O117</f>
        <v>0.22897800776196636</v>
      </c>
      <c r="O112" s="114">
        <v>1239</v>
      </c>
      <c r="R112" s="311" t="s">
        <v>120</v>
      </c>
      <c r="S112" s="311"/>
      <c r="T112" s="93">
        <f>U112/U117</f>
        <v>0.14507484753280356</v>
      </c>
      <c r="U112" s="114">
        <v>785</v>
      </c>
      <c r="W112" s="311" t="s">
        <v>120</v>
      </c>
      <c r="X112" s="311"/>
      <c r="Y112" s="93">
        <f>Z112/Z117</f>
        <v>0.16295789113317358</v>
      </c>
      <c r="Z112" s="214">
        <v>952</v>
      </c>
      <c r="AA112" s="205"/>
    </row>
    <row r="113" spans="2:27" x14ac:dyDescent="0.25">
      <c r="B113" s="311" t="s">
        <v>121</v>
      </c>
      <c r="C113" s="311"/>
      <c r="D113" s="93">
        <f>E113/E117</f>
        <v>2.4764368878211051E-2</v>
      </c>
      <c r="E113" s="86">
        <v>134</v>
      </c>
      <c r="G113" s="311" t="s">
        <v>121</v>
      </c>
      <c r="H113" s="311"/>
      <c r="I113" s="93">
        <f>J113/J117</f>
        <v>2.2824050417305401E-2</v>
      </c>
      <c r="J113" s="86">
        <v>134</v>
      </c>
      <c r="K113" s="87" t="s">
        <v>291</v>
      </c>
      <c r="L113" s="168" t="s">
        <v>121</v>
      </c>
      <c r="M113" s="168"/>
      <c r="N113" s="93">
        <f>O113/O117</f>
        <v>3.7146553317316575E-2</v>
      </c>
      <c r="O113" s="86">
        <v>201</v>
      </c>
      <c r="Q113" s="87" t="s">
        <v>291</v>
      </c>
      <c r="R113" s="311" t="s">
        <v>121</v>
      </c>
      <c r="S113" s="311"/>
      <c r="T113" s="93">
        <f>U113/U117</f>
        <v>6.9303271114396603E-2</v>
      </c>
      <c r="U113" s="86">
        <v>375</v>
      </c>
      <c r="V113" s="87" t="s">
        <v>292</v>
      </c>
      <c r="W113" s="311" t="s">
        <v>121</v>
      </c>
      <c r="X113" s="311"/>
      <c r="Y113" s="93">
        <f>Z113/Z117</f>
        <v>6.4190345771995894E-2</v>
      </c>
      <c r="Z113" s="200">
        <v>375</v>
      </c>
      <c r="AA113" s="205"/>
    </row>
    <row r="114" spans="2:27" x14ac:dyDescent="0.25">
      <c r="B114" s="311" t="s">
        <v>122</v>
      </c>
      <c r="C114" s="311"/>
      <c r="D114" s="93">
        <f>E114/E117</f>
        <v>2.0698576972833119E-2</v>
      </c>
      <c r="E114" s="86">
        <v>112</v>
      </c>
      <c r="G114" s="311" t="s">
        <v>122</v>
      </c>
      <c r="H114" s="311"/>
      <c r="I114" s="93">
        <f>J114/J117</f>
        <v>1.9076818259240333E-2</v>
      </c>
      <c r="J114" s="86">
        <v>112</v>
      </c>
      <c r="L114" s="168" t="s">
        <v>122</v>
      </c>
      <c r="M114" s="168"/>
      <c r="N114" s="93">
        <f>O114/O117</f>
        <v>7.2629828127887638E-2</v>
      </c>
      <c r="O114" s="86">
        <v>393</v>
      </c>
      <c r="R114" s="311" t="s">
        <v>122</v>
      </c>
      <c r="S114" s="311"/>
      <c r="T114" s="93">
        <f>U114/U117</f>
        <v>1.2936610608020699E-2</v>
      </c>
      <c r="U114" s="86">
        <v>70</v>
      </c>
      <c r="W114" s="311" t="s">
        <v>122</v>
      </c>
      <c r="X114" s="311"/>
      <c r="Y114" s="93">
        <f>Z114/Z117</f>
        <v>1.1982197877439232E-2</v>
      </c>
      <c r="Z114" s="200">
        <v>70</v>
      </c>
      <c r="AA114" s="205"/>
    </row>
    <row r="115" spans="2:27" x14ac:dyDescent="0.25">
      <c r="B115" s="311" t="s">
        <v>123</v>
      </c>
      <c r="C115" s="311"/>
      <c r="D115" s="93">
        <f>E115/E117</f>
        <v>2.1068194418776567E-2</v>
      </c>
      <c r="E115" s="86">
        <v>114</v>
      </c>
      <c r="G115" s="311" t="s">
        <v>123</v>
      </c>
      <c r="H115" s="311"/>
      <c r="I115" s="93">
        <f>J115/J117</f>
        <v>3.6791006642820645E-2</v>
      </c>
      <c r="J115" s="86">
        <v>216</v>
      </c>
      <c r="L115" s="168" t="s">
        <v>123</v>
      </c>
      <c r="M115" s="168"/>
      <c r="N115" s="93">
        <f>O115/O117</f>
        <v>2.993901312141933E-2</v>
      </c>
      <c r="O115" s="86">
        <v>162</v>
      </c>
      <c r="R115" s="311" t="s">
        <v>123</v>
      </c>
      <c r="S115" s="311"/>
      <c r="T115" s="93">
        <f>U115/U117</f>
        <v>3.0308630567362778E-2</v>
      </c>
      <c r="U115" s="86">
        <v>164</v>
      </c>
      <c r="W115" s="311" t="s">
        <v>123</v>
      </c>
      <c r="X115" s="311"/>
      <c r="Y115" s="93">
        <f>Z115/Z117</f>
        <v>3.6973639164669635E-2</v>
      </c>
      <c r="Z115" s="200">
        <v>216</v>
      </c>
      <c r="AA115" s="205"/>
    </row>
    <row r="116" spans="2:27" s="238" customFormat="1" ht="72" customHeight="1" x14ac:dyDescent="0.25">
      <c r="B116" s="310" t="s">
        <v>137</v>
      </c>
      <c r="C116" s="310"/>
      <c r="D116" s="237">
        <f>E116/E117</f>
        <v>0.11088523378303455</v>
      </c>
      <c r="E116" s="32">
        <v>600</v>
      </c>
      <c r="G116" s="310" t="s">
        <v>137</v>
      </c>
      <c r="H116" s="310"/>
      <c r="I116" s="237">
        <f>J116/J117</f>
        <v>7.6988587974791342E-2</v>
      </c>
      <c r="J116" s="32">
        <v>452</v>
      </c>
      <c r="L116" s="310" t="s">
        <v>137</v>
      </c>
      <c r="M116" s="310"/>
      <c r="N116" s="237">
        <f>O116/O117</f>
        <v>0.11088523378303455</v>
      </c>
      <c r="O116" s="32">
        <v>600</v>
      </c>
      <c r="R116" s="310" t="s">
        <v>137</v>
      </c>
      <c r="S116" s="310"/>
      <c r="T116" s="237">
        <f>U116/U117</f>
        <v>0.11088523378303455</v>
      </c>
      <c r="U116" s="32">
        <v>600</v>
      </c>
      <c r="W116" s="310" t="s">
        <v>137</v>
      </c>
      <c r="X116" s="310"/>
      <c r="Y116" s="237">
        <f>Z116/Z117</f>
        <v>7.7370763437179052E-2</v>
      </c>
      <c r="Z116" s="201">
        <v>452</v>
      </c>
      <c r="AA116" s="206"/>
    </row>
    <row r="117" spans="2:27" x14ac:dyDescent="0.25">
      <c r="B117" s="311" t="s">
        <v>125</v>
      </c>
      <c r="C117" s="311"/>
      <c r="D117" s="94">
        <f t="shared" ref="D117" si="27">SUM(D111:D116)</f>
        <v>0.79079652559600833</v>
      </c>
      <c r="E117" s="32">
        <f>SUM(E111:E116)+1132</f>
        <v>5411</v>
      </c>
      <c r="G117" s="311" t="s">
        <v>125</v>
      </c>
      <c r="H117" s="311"/>
      <c r="I117" s="94">
        <f t="shared" ref="I117" si="28">SUM(I111:I116)</f>
        <v>1</v>
      </c>
      <c r="J117" s="32">
        <f>SUM(J111:J116)</f>
        <v>5871</v>
      </c>
      <c r="L117" s="168" t="s">
        <v>125</v>
      </c>
      <c r="M117" s="168"/>
      <c r="N117" s="94">
        <f t="shared" ref="N117" si="29">SUM(N111:N116)</f>
        <v>0.96507115135834409</v>
      </c>
      <c r="O117" s="32">
        <f>SUM(O111:O116)+189</f>
        <v>5411</v>
      </c>
      <c r="R117" s="311" t="s">
        <v>125</v>
      </c>
      <c r="S117" s="311"/>
      <c r="T117" s="94">
        <f t="shared" ref="T117" si="30">SUM(T111:T116)</f>
        <v>0.85400110885233782</v>
      </c>
      <c r="U117" s="32">
        <f>SUM(U111:U116)+790</f>
        <v>5411</v>
      </c>
      <c r="W117" s="311" t="s">
        <v>125</v>
      </c>
      <c r="X117" s="311"/>
      <c r="Y117" s="94">
        <f t="shared" ref="Y117" si="31">SUM(Y111:Y116)</f>
        <v>0.92228688805203707</v>
      </c>
      <c r="Z117" s="201">
        <f>SUM(Z111:Z116)+454</f>
        <v>5842</v>
      </c>
      <c r="AA117" s="206"/>
    </row>
    <row r="118" spans="2:27" x14ac:dyDescent="0.25">
      <c r="B118" s="193"/>
      <c r="C118" s="193"/>
      <c r="D118" s="223"/>
      <c r="E118" s="199">
        <v>5411</v>
      </c>
      <c r="F118" s="190">
        <f>E118-E117</f>
        <v>0</v>
      </c>
      <c r="G118" s="193"/>
      <c r="H118" s="193"/>
      <c r="I118" s="223"/>
      <c r="J118" s="199"/>
      <c r="L118" s="193"/>
      <c r="M118" s="193"/>
      <c r="N118" s="223"/>
      <c r="O118" s="199">
        <v>5411</v>
      </c>
      <c r="P118" s="190">
        <f>O118-O117</f>
        <v>0</v>
      </c>
      <c r="R118" s="193"/>
      <c r="S118" s="193"/>
      <c r="T118" s="223"/>
      <c r="U118" s="199">
        <v>5411</v>
      </c>
      <c r="V118" s="190">
        <f>U118-U117</f>
        <v>0</v>
      </c>
      <c r="W118" s="193"/>
      <c r="X118" s="193"/>
      <c r="Y118" s="223"/>
      <c r="Z118" s="199">
        <v>5842</v>
      </c>
      <c r="AA118" s="206">
        <f>Z118-Z117</f>
        <v>0</v>
      </c>
    </row>
    <row r="120" spans="2:27" ht="25.5" x14ac:dyDescent="0.25">
      <c r="B120" s="354" t="s">
        <v>179</v>
      </c>
      <c r="C120" s="354"/>
      <c r="D120" s="354"/>
      <c r="E120" s="354"/>
      <c r="G120" s="354" t="s">
        <v>179</v>
      </c>
      <c r="H120" s="354"/>
      <c r="I120" s="354"/>
      <c r="J120" s="354"/>
      <c r="L120" s="391" t="s">
        <v>179</v>
      </c>
      <c r="M120" s="392"/>
      <c r="N120" s="392"/>
      <c r="O120" s="393"/>
      <c r="R120" s="354" t="s">
        <v>179</v>
      </c>
      <c r="S120" s="354"/>
      <c r="T120" s="354"/>
      <c r="U120" s="354"/>
      <c r="W120" s="354" t="s">
        <v>179</v>
      </c>
      <c r="X120" s="354"/>
      <c r="Y120" s="354"/>
      <c r="Z120" s="354"/>
      <c r="AA120" s="211"/>
    </row>
    <row r="121" spans="2:27" ht="33.75" customHeight="1" x14ac:dyDescent="0.25">
      <c r="B121" s="349" t="s">
        <v>204</v>
      </c>
      <c r="C121" s="350"/>
      <c r="D121" s="350"/>
      <c r="E121" s="351"/>
      <c r="G121" s="349" t="s">
        <v>205</v>
      </c>
      <c r="H121" s="350"/>
      <c r="I121" s="350"/>
      <c r="J121" s="351"/>
      <c r="L121" s="349" t="s">
        <v>208</v>
      </c>
      <c r="M121" s="350"/>
      <c r="N121" s="350"/>
      <c r="O121" s="351"/>
      <c r="R121" s="349" t="s">
        <v>209</v>
      </c>
      <c r="S121" s="350"/>
      <c r="T121" s="350"/>
      <c r="U121" s="351"/>
      <c r="W121" s="349" t="s">
        <v>214</v>
      </c>
      <c r="X121" s="350"/>
      <c r="Y121" s="350"/>
      <c r="Z121" s="351"/>
      <c r="AA121" s="209"/>
    </row>
    <row r="122" spans="2:27" ht="33.75" customHeight="1" x14ac:dyDescent="0.25">
      <c r="B122" s="308" t="s">
        <v>114</v>
      </c>
      <c r="C122" s="309"/>
      <c r="D122" s="188" t="s">
        <v>135</v>
      </c>
      <c r="E122" s="188" t="s">
        <v>136</v>
      </c>
      <c r="G122" s="308" t="s">
        <v>114</v>
      </c>
      <c r="H122" s="309"/>
      <c r="I122" s="188" t="s">
        <v>135</v>
      </c>
      <c r="J122" s="188" t="s">
        <v>136</v>
      </c>
      <c r="L122" s="179" t="s">
        <v>114</v>
      </c>
      <c r="M122" s="180"/>
      <c r="N122" s="188" t="s">
        <v>115</v>
      </c>
      <c r="O122" s="188" t="s">
        <v>136</v>
      </c>
      <c r="R122" s="308" t="s">
        <v>114</v>
      </c>
      <c r="S122" s="309"/>
      <c r="T122" s="188" t="s">
        <v>115</v>
      </c>
      <c r="U122" s="188" t="s">
        <v>136</v>
      </c>
      <c r="W122" s="308" t="s">
        <v>114</v>
      </c>
      <c r="X122" s="309"/>
      <c r="Y122" s="188" t="s">
        <v>115</v>
      </c>
      <c r="Z122" s="187" t="s">
        <v>136</v>
      </c>
      <c r="AA122" s="208"/>
    </row>
    <row r="123" spans="2:27" x14ac:dyDescent="0.25">
      <c r="B123" s="311" t="s">
        <v>119</v>
      </c>
      <c r="C123" s="311"/>
      <c r="D123" s="93">
        <f>E123/E129</f>
        <v>0.48438366290888929</v>
      </c>
      <c r="E123" s="86">
        <v>2621</v>
      </c>
      <c r="G123" s="311" t="s">
        <v>119</v>
      </c>
      <c r="H123" s="311"/>
      <c r="I123" s="93">
        <f>J123/J129</f>
        <v>0.44895512161699214</v>
      </c>
      <c r="J123" s="86">
        <v>2621</v>
      </c>
      <c r="L123" s="311" t="s">
        <v>119</v>
      </c>
      <c r="M123" s="311"/>
      <c r="N123" s="93">
        <f>O123/O129</f>
        <v>0.48549251524671966</v>
      </c>
      <c r="O123" s="86">
        <v>2627</v>
      </c>
      <c r="R123" s="311" t="s">
        <v>119</v>
      </c>
      <c r="S123" s="311"/>
      <c r="T123" s="93">
        <f>U123/U129</f>
        <v>0.56881205066757956</v>
      </c>
      <c r="U123" s="86">
        <v>3323</v>
      </c>
      <c r="W123" s="311" t="s">
        <v>119</v>
      </c>
      <c r="X123" s="311"/>
      <c r="Y123" s="93">
        <f>Z123/Z129</f>
        <v>0.48549251524671966</v>
      </c>
      <c r="Z123" s="200">
        <v>2627</v>
      </c>
      <c r="AA123" s="205"/>
    </row>
    <row r="124" spans="2:27" x14ac:dyDescent="0.25">
      <c r="B124" s="311" t="s">
        <v>120</v>
      </c>
      <c r="C124" s="311"/>
      <c r="D124" s="93">
        <f>E124/E129</f>
        <v>0.1705784513029015</v>
      </c>
      <c r="E124" s="114">
        <v>923</v>
      </c>
      <c r="G124" s="311" t="s">
        <v>120</v>
      </c>
      <c r="H124" s="311"/>
      <c r="I124" s="93">
        <f>J124/J129</f>
        <v>0.1935594381637547</v>
      </c>
      <c r="J124" s="114">
        <v>1130</v>
      </c>
      <c r="L124" s="311" t="s">
        <v>120</v>
      </c>
      <c r="M124" s="311"/>
      <c r="N124" s="93">
        <f>O124/O129</f>
        <v>0.18111254851228978</v>
      </c>
      <c r="O124" s="114">
        <v>980</v>
      </c>
      <c r="R124" s="311" t="s">
        <v>120</v>
      </c>
      <c r="S124" s="311"/>
      <c r="T124" s="93">
        <f>U124/U129</f>
        <v>9.3632317699418002E-2</v>
      </c>
      <c r="U124" s="114">
        <v>547</v>
      </c>
      <c r="W124" s="311" t="s">
        <v>120</v>
      </c>
      <c r="X124" s="311"/>
      <c r="Y124" s="93">
        <f>Z124/Z129</f>
        <v>0.17261134725559046</v>
      </c>
      <c r="Z124" s="214">
        <v>934</v>
      </c>
      <c r="AA124" s="205"/>
    </row>
    <row r="125" spans="2:27" x14ac:dyDescent="0.25">
      <c r="B125" s="311" t="s">
        <v>121</v>
      </c>
      <c r="C125" s="311"/>
      <c r="D125" s="93">
        <f>E125/E129</f>
        <v>3.4189613749768991E-2</v>
      </c>
      <c r="E125" s="86">
        <v>185</v>
      </c>
      <c r="F125" s="190"/>
      <c r="G125" s="311" t="s">
        <v>121</v>
      </c>
      <c r="H125" s="311"/>
      <c r="I125" s="93">
        <f>J125/J129</f>
        <v>0.18054128126070573</v>
      </c>
      <c r="J125" s="86">
        <v>1054</v>
      </c>
      <c r="K125" s="87" t="s">
        <v>289</v>
      </c>
      <c r="L125" s="311" t="s">
        <v>121</v>
      </c>
      <c r="M125" s="311"/>
      <c r="N125" s="93">
        <f>O125/O129</f>
        <v>2.7906117168730364E-2</v>
      </c>
      <c r="O125" s="86">
        <v>151</v>
      </c>
      <c r="Q125" s="87" t="s">
        <v>289</v>
      </c>
      <c r="R125" s="311" t="s">
        <v>121</v>
      </c>
      <c r="S125" s="311"/>
      <c r="T125" s="93">
        <f>U125/U129</f>
        <v>2.5847312564190345E-2</v>
      </c>
      <c r="U125" s="86">
        <v>151</v>
      </c>
      <c r="V125" s="87" t="s">
        <v>289</v>
      </c>
      <c r="W125" s="311" t="s">
        <v>121</v>
      </c>
      <c r="X125" s="311"/>
      <c r="Y125" s="93">
        <f>Z125/Z129</f>
        <v>0.10145998891147662</v>
      </c>
      <c r="Z125" s="200">
        <v>549</v>
      </c>
      <c r="AA125" s="205"/>
    </row>
    <row r="126" spans="2:27" x14ac:dyDescent="0.25">
      <c r="B126" s="311" t="s">
        <v>122</v>
      </c>
      <c r="C126" s="311"/>
      <c r="D126" s="93">
        <f>E126/E129</f>
        <v>4.4723710959157274E-2</v>
      </c>
      <c r="E126" s="86">
        <v>242</v>
      </c>
      <c r="F126" s="190"/>
      <c r="G126" s="311" t="s">
        <v>122</v>
      </c>
      <c r="H126" s="311"/>
      <c r="I126" s="93">
        <f>J126/J129</f>
        <v>4.6762589928057555E-2</v>
      </c>
      <c r="J126" s="86">
        <v>273</v>
      </c>
      <c r="L126" s="311" t="s">
        <v>122</v>
      </c>
      <c r="M126" s="311"/>
      <c r="N126" s="93">
        <f>O126/O129</f>
        <v>4.4723710959157274E-2</v>
      </c>
      <c r="O126" s="86">
        <v>242</v>
      </c>
      <c r="R126" s="311" t="s">
        <v>122</v>
      </c>
      <c r="S126" s="311"/>
      <c r="T126" s="93">
        <f>U126/U129</f>
        <v>4.1424169804861348E-2</v>
      </c>
      <c r="U126" s="86">
        <v>242</v>
      </c>
      <c r="W126" s="311" t="s">
        <v>122</v>
      </c>
      <c r="X126" s="311"/>
      <c r="Y126" s="93">
        <f>Z126/Z129</f>
        <v>2.7906117168730364E-2</v>
      </c>
      <c r="Z126" s="200">
        <v>151</v>
      </c>
      <c r="AA126" s="205"/>
    </row>
    <row r="127" spans="2:27" x14ac:dyDescent="0.25">
      <c r="B127" s="311" t="s">
        <v>123</v>
      </c>
      <c r="C127" s="311"/>
      <c r="D127" s="93">
        <f>E127/E129</f>
        <v>3.0308630567362778E-2</v>
      </c>
      <c r="E127" s="86">
        <v>164</v>
      </c>
      <c r="F127" s="190"/>
      <c r="G127" s="311" t="s">
        <v>123</v>
      </c>
      <c r="H127" s="311"/>
      <c r="I127" s="93">
        <f>J127/J129</f>
        <v>2.8091812264474134E-2</v>
      </c>
      <c r="J127" s="86">
        <v>164</v>
      </c>
      <c r="L127" s="311" t="s">
        <v>123</v>
      </c>
      <c r="M127" s="311"/>
      <c r="N127" s="93">
        <f>O127/O129</f>
        <v>3.0308630567362778E-2</v>
      </c>
      <c r="O127" s="86">
        <v>164</v>
      </c>
      <c r="R127" s="311" t="s">
        <v>123</v>
      </c>
      <c r="S127" s="311"/>
      <c r="T127" s="93">
        <f>U127/U129</f>
        <v>3.6973639164669635E-2</v>
      </c>
      <c r="U127" s="86">
        <v>216</v>
      </c>
      <c r="W127" s="311" t="s">
        <v>123</v>
      </c>
      <c r="X127" s="311"/>
      <c r="Y127" s="93">
        <f>Z127/Z129</f>
        <v>3.0308630567362778E-2</v>
      </c>
      <c r="Z127" s="200">
        <v>164</v>
      </c>
      <c r="AA127" s="205"/>
    </row>
    <row r="128" spans="2:27" ht="72" customHeight="1" x14ac:dyDescent="0.25">
      <c r="B128" s="310" t="s">
        <v>137</v>
      </c>
      <c r="C128" s="310"/>
      <c r="D128" s="93">
        <f>E128/E129</f>
        <v>0.11014599889114766</v>
      </c>
      <c r="E128" s="86">
        <v>596</v>
      </c>
      <c r="F128" s="190"/>
      <c r="G128" s="310" t="s">
        <v>137</v>
      </c>
      <c r="H128" s="310"/>
      <c r="I128" s="93">
        <f>J128/J129</f>
        <v>0.10208975676601575</v>
      </c>
      <c r="J128" s="86">
        <v>596</v>
      </c>
      <c r="L128" s="363" t="s">
        <v>137</v>
      </c>
      <c r="M128" s="364"/>
      <c r="N128" s="93">
        <f>O128/O129</f>
        <v>0.11088523378303455</v>
      </c>
      <c r="O128" s="86">
        <v>600</v>
      </c>
      <c r="R128" s="310" t="s">
        <v>137</v>
      </c>
      <c r="S128" s="310"/>
      <c r="T128" s="93">
        <f>U128/U129</f>
        <v>7.7370763437179052E-2</v>
      </c>
      <c r="U128" s="86">
        <v>452</v>
      </c>
      <c r="W128" s="310" t="s">
        <v>137</v>
      </c>
      <c r="X128" s="310"/>
      <c r="Y128" s="93">
        <f>Z128/Z129</f>
        <v>0.11088523378303455</v>
      </c>
      <c r="Z128" s="200">
        <v>600</v>
      </c>
      <c r="AA128" s="205"/>
    </row>
    <row r="129" spans="2:27" x14ac:dyDescent="0.25">
      <c r="B129" s="311" t="s">
        <v>125</v>
      </c>
      <c r="C129" s="311"/>
      <c r="D129" s="94">
        <f t="shared" ref="D129" si="32">SUM(D123:D128)</f>
        <v>0.87433006837922744</v>
      </c>
      <c r="E129" s="32">
        <f>SUM(E123:E128)+680</f>
        <v>5411</v>
      </c>
      <c r="F129" s="190"/>
      <c r="G129" s="311" t="s">
        <v>125</v>
      </c>
      <c r="H129" s="311"/>
      <c r="I129" s="94">
        <f t="shared" ref="I129:J129" si="33">SUM(I123:I128)</f>
        <v>1</v>
      </c>
      <c r="J129" s="32">
        <f t="shared" si="33"/>
        <v>5838</v>
      </c>
      <c r="L129" s="168" t="s">
        <v>125</v>
      </c>
      <c r="M129" s="168"/>
      <c r="N129" s="94">
        <f t="shared" ref="N129" si="34">SUM(N123:N128)</f>
        <v>0.88042875623729433</v>
      </c>
      <c r="O129" s="32">
        <f>SUM(O123:O128)+647</f>
        <v>5411</v>
      </c>
      <c r="R129" s="311" t="s">
        <v>125</v>
      </c>
      <c r="S129" s="311"/>
      <c r="T129" s="94">
        <f t="shared" ref="T129" si="35">SUM(T123:T128)</f>
        <v>0.84406025333789803</v>
      </c>
      <c r="U129" s="32">
        <f>SUM(U123:U128)+911</f>
        <v>5842</v>
      </c>
      <c r="W129" s="311" t="s">
        <v>125</v>
      </c>
      <c r="X129" s="311"/>
      <c r="Y129" s="94">
        <f t="shared" ref="Y129" si="36">SUM(Y123:Y128)</f>
        <v>0.92866383293291443</v>
      </c>
      <c r="Z129" s="201">
        <f>SUM(Z123:Z128)+386</f>
        <v>5411</v>
      </c>
      <c r="AA129" s="206"/>
    </row>
    <row r="130" spans="2:27" x14ac:dyDescent="0.25">
      <c r="B130" s="193"/>
      <c r="C130" s="193"/>
      <c r="D130" s="223"/>
      <c r="E130" s="199">
        <v>5411</v>
      </c>
      <c r="F130" s="190">
        <f>E130-E129</f>
        <v>0</v>
      </c>
      <c r="G130" s="193"/>
      <c r="H130" s="193"/>
      <c r="I130" s="223"/>
      <c r="J130" s="199"/>
      <c r="L130" s="193"/>
      <c r="M130" s="193"/>
      <c r="N130" s="223"/>
      <c r="O130" s="199">
        <v>5411</v>
      </c>
      <c r="P130" s="190">
        <f>O130-O129</f>
        <v>0</v>
      </c>
      <c r="R130" s="193"/>
      <c r="S130" s="193"/>
      <c r="T130" s="223"/>
      <c r="U130" s="199">
        <v>5842</v>
      </c>
      <c r="V130" s="190">
        <f>U130-U129</f>
        <v>0</v>
      </c>
      <c r="W130" s="193"/>
      <c r="X130" s="193"/>
      <c r="Y130" s="223"/>
      <c r="Z130" s="199">
        <v>5411</v>
      </c>
      <c r="AA130" s="206">
        <f>Z130-Z129</f>
        <v>0</v>
      </c>
    </row>
    <row r="132" spans="2:27" ht="25.5" x14ac:dyDescent="0.35">
      <c r="B132" s="306" t="s">
        <v>179</v>
      </c>
      <c r="C132" s="306"/>
      <c r="D132" s="306"/>
      <c r="E132" s="306"/>
      <c r="G132" s="306" t="s">
        <v>179</v>
      </c>
      <c r="H132" s="306"/>
      <c r="I132" s="306"/>
      <c r="J132" s="306"/>
      <c r="L132" s="365" t="s">
        <v>179</v>
      </c>
      <c r="M132" s="366"/>
      <c r="N132" s="366"/>
      <c r="O132" s="367"/>
      <c r="R132" s="354" t="s">
        <v>179</v>
      </c>
      <c r="S132" s="354"/>
      <c r="T132" s="354"/>
      <c r="U132" s="354"/>
    </row>
    <row r="133" spans="2:27" ht="34.5" customHeight="1" x14ac:dyDescent="0.25">
      <c r="B133" s="307" t="s">
        <v>207</v>
      </c>
      <c r="C133" s="307"/>
      <c r="D133" s="307"/>
      <c r="E133" s="307"/>
      <c r="G133" s="307" t="s">
        <v>206</v>
      </c>
      <c r="H133" s="307"/>
      <c r="I133" s="307"/>
      <c r="J133" s="307"/>
      <c r="L133" s="372" t="s">
        <v>220</v>
      </c>
      <c r="M133" s="373"/>
      <c r="N133" s="373"/>
      <c r="O133" s="374"/>
      <c r="R133" s="368" t="s">
        <v>221</v>
      </c>
      <c r="S133" s="368"/>
      <c r="T133" s="368"/>
      <c r="U133" s="368"/>
    </row>
    <row r="134" spans="2:27" ht="15" customHeight="1" x14ac:dyDescent="0.25">
      <c r="B134" s="332" t="s">
        <v>114</v>
      </c>
      <c r="C134" s="333"/>
      <c r="D134" s="336" t="s">
        <v>115</v>
      </c>
      <c r="E134" s="338" t="s">
        <v>136</v>
      </c>
      <c r="G134" s="332" t="s">
        <v>114</v>
      </c>
      <c r="H134" s="333"/>
      <c r="I134" s="338" t="s">
        <v>135</v>
      </c>
      <c r="J134" s="338" t="s">
        <v>136</v>
      </c>
      <c r="L134" s="375" t="s">
        <v>114</v>
      </c>
      <c r="M134" s="376"/>
      <c r="N134" s="216" t="s">
        <v>115</v>
      </c>
      <c r="O134" s="379" t="s">
        <v>136</v>
      </c>
      <c r="R134" s="369" t="s">
        <v>114</v>
      </c>
      <c r="S134" s="369"/>
      <c r="T134" s="381" t="s">
        <v>115</v>
      </c>
      <c r="U134" s="370" t="s">
        <v>136</v>
      </c>
    </row>
    <row r="135" spans="2:27" ht="15" customHeight="1" x14ac:dyDescent="0.25">
      <c r="B135" s="334"/>
      <c r="C135" s="335"/>
      <c r="D135" s="337"/>
      <c r="E135" s="339"/>
      <c r="G135" s="334"/>
      <c r="H135" s="335"/>
      <c r="I135" s="339"/>
      <c r="J135" s="339"/>
      <c r="L135" s="377"/>
      <c r="M135" s="378"/>
      <c r="N135" s="217"/>
      <c r="O135" s="380"/>
      <c r="R135" s="369"/>
      <c r="S135" s="369"/>
      <c r="T135" s="382"/>
      <c r="U135" s="371"/>
    </row>
    <row r="136" spans="2:27" ht="16.5" x14ac:dyDescent="0.25">
      <c r="B136" s="292" t="s">
        <v>119</v>
      </c>
      <c r="C136" s="292"/>
      <c r="D136" s="93">
        <f>E136/E142</f>
        <v>0.53206431343559413</v>
      </c>
      <c r="E136" s="86">
        <v>2879</v>
      </c>
      <c r="G136" s="383" t="s">
        <v>119</v>
      </c>
      <c r="H136" s="383"/>
      <c r="I136" s="93">
        <f>J136/J142</f>
        <v>0.56590599455040869</v>
      </c>
      <c r="J136" s="86">
        <v>3323</v>
      </c>
      <c r="L136" s="97" t="s">
        <v>119</v>
      </c>
      <c r="M136" s="97"/>
      <c r="N136" s="102">
        <f>O136/O142</f>
        <v>0.61421931485625758</v>
      </c>
      <c r="O136" s="99">
        <f>3132+436</f>
        <v>3568</v>
      </c>
      <c r="R136" s="390" t="s">
        <v>119</v>
      </c>
      <c r="S136" s="390"/>
      <c r="T136" s="240">
        <f>U136/U142</f>
        <v>0.68393686165273904</v>
      </c>
      <c r="U136" s="99">
        <f>2648+1035</f>
        <v>3683</v>
      </c>
    </row>
    <row r="137" spans="2:27" ht="16.5" x14ac:dyDescent="0.25">
      <c r="B137" s="311" t="s">
        <v>120</v>
      </c>
      <c r="C137" s="311"/>
      <c r="D137" s="93">
        <f>E137/E142</f>
        <v>0.1469229347625208</v>
      </c>
      <c r="E137" s="114">
        <v>795</v>
      </c>
      <c r="G137" s="383" t="s">
        <v>120</v>
      </c>
      <c r="H137" s="383"/>
      <c r="I137" s="93">
        <f>J137/J142</f>
        <v>0.25323569482288827</v>
      </c>
      <c r="J137" s="114">
        <v>1487</v>
      </c>
      <c r="L137" s="175" t="s">
        <v>120</v>
      </c>
      <c r="M137" s="176"/>
      <c r="N137" s="98">
        <f>O137/O142</f>
        <v>0.21397830951971078</v>
      </c>
      <c r="O137" s="218">
        <v>1243</v>
      </c>
      <c r="R137" s="384" t="s">
        <v>293</v>
      </c>
      <c r="S137" s="385"/>
      <c r="T137" s="240">
        <f>U137/U142</f>
        <v>0.11179201485608171</v>
      </c>
      <c r="U137" s="218">
        <v>602</v>
      </c>
    </row>
    <row r="138" spans="2:27" ht="16.5" x14ac:dyDescent="0.3">
      <c r="B138" s="311" t="s">
        <v>121</v>
      </c>
      <c r="C138" s="311"/>
      <c r="D138" s="93">
        <f>E138/E142</f>
        <v>5.2670486046941419E-2</v>
      </c>
      <c r="E138" s="86">
        <v>285</v>
      </c>
      <c r="G138" s="383" t="s">
        <v>121</v>
      </c>
      <c r="H138" s="383"/>
      <c r="I138" s="93">
        <f>J138/J142</f>
        <v>4.8535422343324253E-2</v>
      </c>
      <c r="J138" s="86">
        <v>285</v>
      </c>
      <c r="K138" s="87" t="s">
        <v>292</v>
      </c>
      <c r="L138" s="97" t="s">
        <v>218</v>
      </c>
      <c r="M138" s="96"/>
      <c r="N138" s="98">
        <f>O138/O142</f>
        <v>3.6150800482010671E-2</v>
      </c>
      <c r="O138" s="218">
        <v>210</v>
      </c>
      <c r="Q138" s="87" t="s">
        <v>292</v>
      </c>
      <c r="R138" s="97" t="s">
        <v>218</v>
      </c>
      <c r="S138" s="96"/>
      <c r="T138" s="240">
        <f>U138/U142</f>
        <v>3.8997214484679667E-2</v>
      </c>
      <c r="U138" s="99">
        <v>210</v>
      </c>
      <c r="V138" s="87" t="s">
        <v>292</v>
      </c>
    </row>
    <row r="139" spans="2:27" ht="16.5" x14ac:dyDescent="0.25">
      <c r="B139" s="311" t="s">
        <v>122</v>
      </c>
      <c r="C139" s="311"/>
      <c r="D139" s="93">
        <f>E139/E142</f>
        <v>2.0144150803917946E-2</v>
      </c>
      <c r="E139" s="86">
        <v>109</v>
      </c>
      <c r="G139" s="383" t="s">
        <v>122</v>
      </c>
      <c r="H139" s="383"/>
      <c r="I139" s="93">
        <f>J139/J142</f>
        <v>1.856267029972752E-2</v>
      </c>
      <c r="J139" s="86">
        <v>109</v>
      </c>
      <c r="L139" s="175" t="s">
        <v>122</v>
      </c>
      <c r="M139" s="176"/>
      <c r="N139" s="98">
        <f>O139/O142</f>
        <v>2.2379066965054227E-2</v>
      </c>
      <c r="O139" s="99">
        <v>130</v>
      </c>
      <c r="R139" s="384" t="s">
        <v>122</v>
      </c>
      <c r="S139" s="385"/>
      <c r="T139" s="240">
        <f>U139/U142</f>
        <v>2.414113277623027E-2</v>
      </c>
      <c r="U139" s="99">
        <v>130</v>
      </c>
    </row>
    <row r="140" spans="2:27" ht="16.5" x14ac:dyDescent="0.25">
      <c r="B140" s="311" t="s">
        <v>123</v>
      </c>
      <c r="C140" s="311"/>
      <c r="D140" s="93">
        <f>E140/E142</f>
        <v>3.0308630567362778E-2</v>
      </c>
      <c r="E140" s="86">
        <v>164</v>
      </c>
      <c r="G140" s="383" t="s">
        <v>123</v>
      </c>
      <c r="H140" s="383"/>
      <c r="I140" s="93">
        <f>J140/J142</f>
        <v>3.6784741144414171E-2</v>
      </c>
      <c r="J140" s="86">
        <v>216</v>
      </c>
      <c r="L140" s="175" t="s">
        <v>123</v>
      </c>
      <c r="M140" s="176"/>
      <c r="N140" s="98">
        <f>O140/O142</f>
        <v>2.9264933723532449E-2</v>
      </c>
      <c r="O140" s="99">
        <v>170</v>
      </c>
      <c r="R140" s="384" t="s">
        <v>123</v>
      </c>
      <c r="S140" s="385"/>
      <c r="T140" s="240">
        <f>U140/U142</f>
        <v>2.9712163416898793E-2</v>
      </c>
      <c r="U140" s="99">
        <v>160</v>
      </c>
    </row>
    <row r="141" spans="2:27" ht="79.5" customHeight="1" x14ac:dyDescent="0.25">
      <c r="B141" s="340" t="s">
        <v>137</v>
      </c>
      <c r="C141" s="340"/>
      <c r="D141" s="93">
        <f>E141/E142</f>
        <v>0.11088523378303455</v>
      </c>
      <c r="E141" s="86">
        <v>600</v>
      </c>
      <c r="G141" s="340" t="s">
        <v>137</v>
      </c>
      <c r="H141" s="340"/>
      <c r="I141" s="93">
        <f>J141/J142</f>
        <v>7.6975476839237056E-2</v>
      </c>
      <c r="J141" s="86">
        <v>452</v>
      </c>
      <c r="L141" s="386" t="s">
        <v>219</v>
      </c>
      <c r="M141" s="387"/>
      <c r="N141" s="98">
        <f>O141/O142</f>
        <v>8.4007574453434319E-2</v>
      </c>
      <c r="O141" s="99">
        <v>488</v>
      </c>
      <c r="R141" s="386" t="s">
        <v>219</v>
      </c>
      <c r="S141" s="387"/>
      <c r="T141" s="240">
        <f>U141/U142</f>
        <v>0.11142061281337047</v>
      </c>
      <c r="U141" s="99">
        <v>600</v>
      </c>
    </row>
    <row r="142" spans="2:27" ht="16.5" x14ac:dyDescent="0.25">
      <c r="B142" s="311" t="s">
        <v>125</v>
      </c>
      <c r="C142" s="311"/>
      <c r="D142" s="94">
        <f t="shared" ref="D142" si="37">SUM(D136:D141)</f>
        <v>0.89299574939937165</v>
      </c>
      <c r="E142" s="32">
        <f>SUM(E136:E141)+579</f>
        <v>5411</v>
      </c>
      <c r="G142" s="383" t="s">
        <v>125</v>
      </c>
      <c r="H142" s="383"/>
      <c r="I142" s="94">
        <f t="shared" ref="I142:J142" si="38">SUM(I136:I141)</f>
        <v>1</v>
      </c>
      <c r="J142" s="32">
        <f t="shared" si="38"/>
        <v>5872</v>
      </c>
      <c r="L142" s="177" t="s">
        <v>125</v>
      </c>
      <c r="M142" s="178"/>
      <c r="N142" s="100">
        <v>1</v>
      </c>
      <c r="O142" s="101">
        <f>SUM(O136:O141)</f>
        <v>5809</v>
      </c>
      <c r="R142" s="388" t="s">
        <v>125</v>
      </c>
      <c r="S142" s="389"/>
      <c r="T142" s="100">
        <v>1</v>
      </c>
      <c r="U142" s="101">
        <f>SUM(U136:U141)</f>
        <v>5385</v>
      </c>
      <c r="W142" s="116"/>
    </row>
    <row r="143" spans="2:27" ht="16.5" x14ac:dyDescent="0.25">
      <c r="B143" s="193"/>
      <c r="C143" s="193">
        <f>5154*1.05</f>
        <v>5411.7</v>
      </c>
      <c r="D143" s="223"/>
      <c r="E143" s="199">
        <v>5411</v>
      </c>
      <c r="F143" s="190">
        <f>E143-E142</f>
        <v>0</v>
      </c>
      <c r="G143" s="226"/>
      <c r="H143" s="226"/>
      <c r="I143" s="223"/>
      <c r="J143" s="199"/>
      <c r="L143" s="227"/>
      <c r="M143" s="227"/>
      <c r="N143" s="228"/>
      <c r="O143" s="229">
        <v>5809</v>
      </c>
      <c r="P143" s="116">
        <f>O143-O142</f>
        <v>0</v>
      </c>
      <c r="R143" s="227"/>
      <c r="S143" s="227"/>
      <c r="T143" s="228"/>
      <c r="U143" s="229">
        <v>5385</v>
      </c>
      <c r="V143" s="116">
        <f>U143-U142</f>
        <v>0</v>
      </c>
      <c r="W143" s="116"/>
    </row>
    <row r="145" spans="2:22" ht="25.5" x14ac:dyDescent="0.35">
      <c r="B145" s="327" t="s">
        <v>179</v>
      </c>
      <c r="C145" s="327"/>
      <c r="D145" s="327"/>
      <c r="E145" s="327"/>
      <c r="G145" s="327" t="s">
        <v>179</v>
      </c>
      <c r="H145" s="327"/>
      <c r="I145" s="327"/>
      <c r="J145" s="327"/>
      <c r="K145" s="312"/>
      <c r="L145" s="313"/>
      <c r="M145" s="313"/>
      <c r="N145" s="313"/>
      <c r="P145" s="87">
        <v>5564</v>
      </c>
      <c r="Q145" s="87">
        <f>P145*1.051</f>
        <v>5847.7639999999992</v>
      </c>
      <c r="U145" s="87">
        <v>5124</v>
      </c>
      <c r="V145" s="87">
        <f>U145*1.051</f>
        <v>5385.3239999999996</v>
      </c>
    </row>
    <row r="146" spans="2:22" ht="36.75" customHeight="1" x14ac:dyDescent="0.25">
      <c r="B146" s="328" t="s">
        <v>252</v>
      </c>
      <c r="C146" s="328"/>
      <c r="D146" s="328"/>
      <c r="E146" s="328"/>
      <c r="G146" s="328" t="s">
        <v>255</v>
      </c>
      <c r="H146" s="328"/>
      <c r="I146" s="328"/>
      <c r="J146" s="328"/>
      <c r="K146" s="314"/>
      <c r="L146" s="315"/>
      <c r="M146" s="315"/>
      <c r="N146" s="315"/>
    </row>
    <row r="147" spans="2:22" x14ac:dyDescent="0.25">
      <c r="B147" s="293" t="s">
        <v>114</v>
      </c>
      <c r="C147" s="294"/>
      <c r="D147" s="329" t="s">
        <v>115</v>
      </c>
      <c r="E147" s="297" t="s">
        <v>136</v>
      </c>
      <c r="G147" s="293" t="s">
        <v>114</v>
      </c>
      <c r="H147" s="294"/>
      <c r="I147" s="329" t="s">
        <v>115</v>
      </c>
      <c r="J147" s="297" t="s">
        <v>136</v>
      </c>
      <c r="K147" s="316"/>
      <c r="L147" s="317"/>
      <c r="M147" s="318"/>
      <c r="N147" s="317"/>
    </row>
    <row r="148" spans="2:22" x14ac:dyDescent="0.25">
      <c r="B148" s="295"/>
      <c r="C148" s="296"/>
      <c r="D148" s="330"/>
      <c r="E148" s="331"/>
      <c r="G148" s="295"/>
      <c r="H148" s="296"/>
      <c r="I148" s="330"/>
      <c r="J148" s="331"/>
      <c r="K148" s="316"/>
      <c r="L148" s="317"/>
      <c r="M148" s="319"/>
      <c r="N148" s="320"/>
    </row>
    <row r="149" spans="2:22" x14ac:dyDescent="0.25">
      <c r="B149" s="292" t="s">
        <v>119</v>
      </c>
      <c r="C149" s="292"/>
      <c r="D149" s="107">
        <f>E149/E155</f>
        <v>0.52115619014452375</v>
      </c>
      <c r="E149" s="110">
        <v>2993</v>
      </c>
      <c r="G149" s="292" t="s">
        <v>119</v>
      </c>
      <c r="H149" s="292"/>
      <c r="I149" s="107">
        <f>J149/J155</f>
        <v>0.52115619014452375</v>
      </c>
      <c r="J149" s="110">
        <v>2993</v>
      </c>
      <c r="K149" s="321"/>
      <c r="L149" s="322"/>
      <c r="M149" s="192"/>
      <c r="N149" s="190"/>
    </row>
    <row r="150" spans="2:22" x14ac:dyDescent="0.25">
      <c r="B150" s="311" t="s">
        <v>120</v>
      </c>
      <c r="C150" s="311"/>
      <c r="D150" s="107">
        <f>E150/E155</f>
        <v>0.13337976667247084</v>
      </c>
      <c r="E150" s="220">
        <v>766</v>
      </c>
      <c r="G150" s="311" t="s">
        <v>120</v>
      </c>
      <c r="H150" s="311"/>
      <c r="I150" s="107">
        <f>J150/J155</f>
        <v>0.14191189273898661</v>
      </c>
      <c r="J150" s="220">
        <v>815</v>
      </c>
      <c r="K150" s="323"/>
      <c r="L150" s="324"/>
      <c r="M150" s="192"/>
      <c r="N150" s="194"/>
    </row>
    <row r="151" spans="2:22" x14ac:dyDescent="0.25">
      <c r="B151" s="311" t="s">
        <v>121</v>
      </c>
      <c r="C151" s="311"/>
      <c r="D151" s="107">
        <f>E151/E155</f>
        <v>2.8904753613094202E-2</v>
      </c>
      <c r="E151" s="111">
        <v>166</v>
      </c>
      <c r="G151" s="311" t="s">
        <v>121</v>
      </c>
      <c r="H151" s="311"/>
      <c r="I151" s="107">
        <f>J151/J155</f>
        <v>2.8904753613094202E-2</v>
      </c>
      <c r="J151" s="111">
        <v>166</v>
      </c>
      <c r="K151" s="323"/>
      <c r="L151" s="324"/>
      <c r="M151" s="192"/>
      <c r="N151" s="194"/>
    </row>
    <row r="152" spans="2:22" x14ac:dyDescent="0.25">
      <c r="B152" s="311" t="s">
        <v>122</v>
      </c>
      <c r="C152" s="311"/>
      <c r="D152" s="107">
        <f>E152/E155</f>
        <v>0.12188751523593941</v>
      </c>
      <c r="E152" s="111">
        <v>700</v>
      </c>
      <c r="G152" s="311" t="s">
        <v>122</v>
      </c>
      <c r="H152" s="311"/>
      <c r="I152" s="107">
        <f>J152/J155</f>
        <v>0.13059376632422079</v>
      </c>
      <c r="J152" s="111">
        <v>750</v>
      </c>
      <c r="K152" s="323"/>
      <c r="L152" s="324"/>
      <c r="M152" s="192"/>
      <c r="N152" s="194"/>
    </row>
    <row r="153" spans="2:22" x14ac:dyDescent="0.25">
      <c r="B153" s="311" t="s">
        <v>123</v>
      </c>
      <c r="C153" s="311"/>
      <c r="D153" s="107">
        <f>E153/E155</f>
        <v>3.0123628765453596E-2</v>
      </c>
      <c r="E153" s="111">
        <v>173</v>
      </c>
      <c r="G153" s="311" t="s">
        <v>123</v>
      </c>
      <c r="H153" s="311"/>
      <c r="I153" s="107">
        <f>J153/J155</f>
        <v>3.0123628765453596E-2</v>
      </c>
      <c r="J153" s="111">
        <v>173</v>
      </c>
      <c r="K153" s="323"/>
      <c r="L153" s="324"/>
      <c r="M153" s="192"/>
      <c r="N153" s="194"/>
    </row>
    <row r="154" spans="2:22" ht="66" customHeight="1" x14ac:dyDescent="0.25">
      <c r="B154" s="310" t="s">
        <v>137</v>
      </c>
      <c r="C154" s="310"/>
      <c r="D154" s="112">
        <f>E154/E155</f>
        <v>0.11074351384293923</v>
      </c>
      <c r="E154" s="113">
        <v>636</v>
      </c>
      <c r="G154" s="310" t="s">
        <v>137</v>
      </c>
      <c r="H154" s="310"/>
      <c r="I154" s="112">
        <f>J154/J155</f>
        <v>0.11074351384293923</v>
      </c>
      <c r="J154" s="113">
        <v>636</v>
      </c>
      <c r="K154" s="325"/>
      <c r="L154" s="326"/>
      <c r="M154" s="195"/>
      <c r="N154" s="196"/>
    </row>
    <row r="155" spans="2:22" x14ac:dyDescent="0.25">
      <c r="B155" s="311" t="s">
        <v>125</v>
      </c>
      <c r="C155" s="311"/>
      <c r="D155" s="108"/>
      <c r="E155" s="109">
        <f>SUM(E149:E154)+309</f>
        <v>5743</v>
      </c>
      <c r="G155" s="311" t="s">
        <v>125</v>
      </c>
      <c r="H155" s="311"/>
      <c r="I155" s="108"/>
      <c r="J155" s="109">
        <f>SUM(J149:J154)+210</f>
        <v>5743</v>
      </c>
      <c r="K155" s="323"/>
      <c r="L155" s="324"/>
      <c r="N155" s="197"/>
    </row>
    <row r="156" spans="2:22" x14ac:dyDescent="0.25">
      <c r="E156" s="87">
        <v>5743</v>
      </c>
      <c r="F156" s="230">
        <f>E156-E155</f>
        <v>0</v>
      </c>
      <c r="J156" s="87">
        <v>5743</v>
      </c>
      <c r="K156" s="230">
        <f>J156-J155</f>
        <v>0</v>
      </c>
    </row>
  </sheetData>
  <mergeCells count="537">
    <mergeCell ref="AL70:AO70"/>
    <mergeCell ref="AL71:AO71"/>
    <mergeCell ref="AL72:AM73"/>
    <mergeCell ref="AN72:AN73"/>
    <mergeCell ref="AO72:AO73"/>
    <mergeCell ref="AL79:AM79"/>
    <mergeCell ref="L83:O83"/>
    <mergeCell ref="L84:O84"/>
    <mergeCell ref="L85:M86"/>
    <mergeCell ref="Z85:Z86"/>
    <mergeCell ref="R80:S80"/>
    <mergeCell ref="AG79:AH79"/>
    <mergeCell ref="Y85:Y86"/>
    <mergeCell ref="AG71:AJ71"/>
    <mergeCell ref="AB70:AE70"/>
    <mergeCell ref="AB71:AE71"/>
    <mergeCell ref="W70:Z70"/>
    <mergeCell ref="W71:Z71"/>
    <mergeCell ref="AG70:AJ70"/>
    <mergeCell ref="AG74:AH74"/>
    <mergeCell ref="W83:Z83"/>
    <mergeCell ref="G153:H153"/>
    <mergeCell ref="G154:H154"/>
    <mergeCell ref="G155:H155"/>
    <mergeCell ref="L70:O70"/>
    <mergeCell ref="L71:O71"/>
    <mergeCell ref="L72:M73"/>
    <mergeCell ref="N72:N73"/>
    <mergeCell ref="L74:M74"/>
    <mergeCell ref="L75:M75"/>
    <mergeCell ref="L76:M76"/>
    <mergeCell ref="L77:M77"/>
    <mergeCell ref="L78:M78"/>
    <mergeCell ref="L79:M79"/>
    <mergeCell ref="L80:M80"/>
    <mergeCell ref="L92:M92"/>
    <mergeCell ref="L96:O96"/>
    <mergeCell ref="L97:O97"/>
    <mergeCell ref="L104:M104"/>
    <mergeCell ref="L116:M116"/>
    <mergeCell ref="L108:O108"/>
    <mergeCell ref="L109:O109"/>
    <mergeCell ref="L128:M128"/>
    <mergeCell ref="L121:O121"/>
    <mergeCell ref="L120:O120"/>
    <mergeCell ref="G145:J145"/>
    <mergeCell ref="G146:J146"/>
    <mergeCell ref="G147:H148"/>
    <mergeCell ref="I147:I148"/>
    <mergeCell ref="J147:J148"/>
    <mergeCell ref="G149:H149"/>
    <mergeCell ref="G150:H150"/>
    <mergeCell ref="G151:H151"/>
    <mergeCell ref="G152:H152"/>
    <mergeCell ref="G140:H140"/>
    <mergeCell ref="R140:S140"/>
    <mergeCell ref="G141:H141"/>
    <mergeCell ref="R141:S141"/>
    <mergeCell ref="G142:H142"/>
    <mergeCell ref="R142:S142"/>
    <mergeCell ref="L141:M141"/>
    <mergeCell ref="G136:H136"/>
    <mergeCell ref="R136:S136"/>
    <mergeCell ref="G137:H137"/>
    <mergeCell ref="R137:S137"/>
    <mergeCell ref="G138:H138"/>
    <mergeCell ref="G139:H139"/>
    <mergeCell ref="R139:S139"/>
    <mergeCell ref="G133:J133"/>
    <mergeCell ref="R133:U133"/>
    <mergeCell ref="G134:H135"/>
    <mergeCell ref="J134:J135"/>
    <mergeCell ref="R134:S135"/>
    <mergeCell ref="U134:U135"/>
    <mergeCell ref="L133:O133"/>
    <mergeCell ref="L134:M135"/>
    <mergeCell ref="G128:H128"/>
    <mergeCell ref="R128:S128"/>
    <mergeCell ref="O134:O135"/>
    <mergeCell ref="T134:T135"/>
    <mergeCell ref="I134:I135"/>
    <mergeCell ref="W128:X128"/>
    <mergeCell ref="G129:H129"/>
    <mergeCell ref="R129:S129"/>
    <mergeCell ref="W129:X129"/>
    <mergeCell ref="G132:J132"/>
    <mergeCell ref="R132:U132"/>
    <mergeCell ref="L132:O132"/>
    <mergeCell ref="G125:H125"/>
    <mergeCell ref="R125:S125"/>
    <mergeCell ref="W125:X125"/>
    <mergeCell ref="G126:H126"/>
    <mergeCell ref="R126:S126"/>
    <mergeCell ref="W126:X126"/>
    <mergeCell ref="G127:H127"/>
    <mergeCell ref="R127:S127"/>
    <mergeCell ref="W127:X127"/>
    <mergeCell ref="L125:M125"/>
    <mergeCell ref="L126:M126"/>
    <mergeCell ref="L127:M127"/>
    <mergeCell ref="R122:S122"/>
    <mergeCell ref="W122:X122"/>
    <mergeCell ref="G123:H123"/>
    <mergeCell ref="R123:S123"/>
    <mergeCell ref="W123:X123"/>
    <mergeCell ref="G124:H124"/>
    <mergeCell ref="R124:S124"/>
    <mergeCell ref="W124:X124"/>
    <mergeCell ref="L123:M123"/>
    <mergeCell ref="L124:M124"/>
    <mergeCell ref="R116:S116"/>
    <mergeCell ref="W116:X116"/>
    <mergeCell ref="G117:H117"/>
    <mergeCell ref="R117:S117"/>
    <mergeCell ref="W117:X117"/>
    <mergeCell ref="G120:J120"/>
    <mergeCell ref="R120:U120"/>
    <mergeCell ref="W120:Z120"/>
    <mergeCell ref="G121:J121"/>
    <mergeCell ref="R121:U121"/>
    <mergeCell ref="W121:Z121"/>
    <mergeCell ref="R112:S112"/>
    <mergeCell ref="W112:X112"/>
    <mergeCell ref="G113:H113"/>
    <mergeCell ref="R113:S113"/>
    <mergeCell ref="W113:X113"/>
    <mergeCell ref="G114:H114"/>
    <mergeCell ref="R114:S114"/>
    <mergeCell ref="W114:X114"/>
    <mergeCell ref="G115:H115"/>
    <mergeCell ref="R115:S115"/>
    <mergeCell ref="W115:X115"/>
    <mergeCell ref="R108:U108"/>
    <mergeCell ref="W108:Z108"/>
    <mergeCell ref="G109:J109"/>
    <mergeCell ref="R109:U109"/>
    <mergeCell ref="W109:Z109"/>
    <mergeCell ref="G110:H110"/>
    <mergeCell ref="R110:S110"/>
    <mergeCell ref="W110:X110"/>
    <mergeCell ref="G111:H111"/>
    <mergeCell ref="R111:S111"/>
    <mergeCell ref="W111:X111"/>
    <mergeCell ref="R103:S103"/>
    <mergeCell ref="W103:X103"/>
    <mergeCell ref="G104:H104"/>
    <mergeCell ref="R104:S104"/>
    <mergeCell ref="W104:X104"/>
    <mergeCell ref="G105:H105"/>
    <mergeCell ref="R105:S105"/>
    <mergeCell ref="W105:X105"/>
    <mergeCell ref="R100:S100"/>
    <mergeCell ref="W100:X100"/>
    <mergeCell ref="G101:H101"/>
    <mergeCell ref="R101:S101"/>
    <mergeCell ref="W101:X101"/>
    <mergeCell ref="G102:H102"/>
    <mergeCell ref="R102:S102"/>
    <mergeCell ref="W102:X102"/>
    <mergeCell ref="G100:H100"/>
    <mergeCell ref="G103:H103"/>
    <mergeCell ref="R97:U97"/>
    <mergeCell ref="W97:Z97"/>
    <mergeCell ref="G98:H98"/>
    <mergeCell ref="R98:S98"/>
    <mergeCell ref="W98:X98"/>
    <mergeCell ref="G99:H99"/>
    <mergeCell ref="R99:S99"/>
    <mergeCell ref="W99:X99"/>
    <mergeCell ref="W92:X92"/>
    <mergeCell ref="G93:H93"/>
    <mergeCell ref="R93:S93"/>
    <mergeCell ref="W93:X93"/>
    <mergeCell ref="G96:J96"/>
    <mergeCell ref="R96:U96"/>
    <mergeCell ref="W96:Z96"/>
    <mergeCell ref="G97:J97"/>
    <mergeCell ref="W89:X89"/>
    <mergeCell ref="G90:H90"/>
    <mergeCell ref="R90:S90"/>
    <mergeCell ref="W90:X90"/>
    <mergeCell ref="G91:H91"/>
    <mergeCell ref="R91:S91"/>
    <mergeCell ref="W91:X91"/>
    <mergeCell ref="U85:U86"/>
    <mergeCell ref="W85:X86"/>
    <mergeCell ref="G87:H87"/>
    <mergeCell ref="R87:S87"/>
    <mergeCell ref="W87:X87"/>
    <mergeCell ref="G88:H88"/>
    <mergeCell ref="R88:S88"/>
    <mergeCell ref="W88:X88"/>
    <mergeCell ref="O85:O86"/>
    <mergeCell ref="I85:I86"/>
    <mergeCell ref="G83:J83"/>
    <mergeCell ref="R83:U83"/>
    <mergeCell ref="O72:O73"/>
    <mergeCell ref="T72:T73"/>
    <mergeCell ref="G84:J84"/>
    <mergeCell ref="R84:U84"/>
    <mergeCell ref="W84:Z84"/>
    <mergeCell ref="R77:S77"/>
    <mergeCell ref="G78:H78"/>
    <mergeCell ref="R78:S78"/>
    <mergeCell ref="G79:H79"/>
    <mergeCell ref="R79:S79"/>
    <mergeCell ref="R74:S74"/>
    <mergeCell ref="J49:J50"/>
    <mergeCell ref="L49:M50"/>
    <mergeCell ref="T49:T50"/>
    <mergeCell ref="L51:M51"/>
    <mergeCell ref="L52:M52"/>
    <mergeCell ref="L53:M53"/>
    <mergeCell ref="B52:C52"/>
    <mergeCell ref="N49:N50"/>
    <mergeCell ref="O49:O50"/>
    <mergeCell ref="P49:P50"/>
    <mergeCell ref="Q49:Q50"/>
    <mergeCell ref="R49:R50"/>
    <mergeCell ref="S49:S50"/>
    <mergeCell ref="I49:I50"/>
    <mergeCell ref="B53:C53"/>
    <mergeCell ref="T38:T39"/>
    <mergeCell ref="L40:M40"/>
    <mergeCell ref="L41:M41"/>
    <mergeCell ref="L42:M42"/>
    <mergeCell ref="L43:M43"/>
    <mergeCell ref="L44:M44"/>
    <mergeCell ref="L45:M45"/>
    <mergeCell ref="L46:M46"/>
    <mergeCell ref="B48:I48"/>
    <mergeCell ref="L48:S48"/>
    <mergeCell ref="S38:S39"/>
    <mergeCell ref="I38:I39"/>
    <mergeCell ref="B38:C39"/>
    <mergeCell ref="D38:D39"/>
    <mergeCell ref="E38:E39"/>
    <mergeCell ref="F38:F39"/>
    <mergeCell ref="L31:M31"/>
    <mergeCell ref="L32:M32"/>
    <mergeCell ref="Q27:Q28"/>
    <mergeCell ref="R27:R28"/>
    <mergeCell ref="O27:O28"/>
    <mergeCell ref="P27:P28"/>
    <mergeCell ref="J38:J39"/>
    <mergeCell ref="L38:M39"/>
    <mergeCell ref="L37:S37"/>
    <mergeCell ref="R38:R39"/>
    <mergeCell ref="N38:N39"/>
    <mergeCell ref="O38:O39"/>
    <mergeCell ref="P38:P39"/>
    <mergeCell ref="Q38:Q39"/>
    <mergeCell ref="L26:S26"/>
    <mergeCell ref="J27:J28"/>
    <mergeCell ref="L27:M28"/>
    <mergeCell ref="T27:T28"/>
    <mergeCell ref="S27:S28"/>
    <mergeCell ref="I27:I28"/>
    <mergeCell ref="N27:N28"/>
    <mergeCell ref="L29:M29"/>
    <mergeCell ref="L30:M30"/>
    <mergeCell ref="T16:T17"/>
    <mergeCell ref="L18:M18"/>
    <mergeCell ref="L19:M19"/>
    <mergeCell ref="L20:M20"/>
    <mergeCell ref="L21:M21"/>
    <mergeCell ref="S16:S17"/>
    <mergeCell ref="I16:I17"/>
    <mergeCell ref="L22:M22"/>
    <mergeCell ref="L23:M23"/>
    <mergeCell ref="L3:S3"/>
    <mergeCell ref="B4:I4"/>
    <mergeCell ref="L4:S4"/>
    <mergeCell ref="J5:J6"/>
    <mergeCell ref="L5:M6"/>
    <mergeCell ref="T5:T6"/>
    <mergeCell ref="L7:M7"/>
    <mergeCell ref="L8:M8"/>
    <mergeCell ref="L9:M9"/>
    <mergeCell ref="B7:C7"/>
    <mergeCell ref="B8:C8"/>
    <mergeCell ref="B9:C9"/>
    <mergeCell ref="B5:C6"/>
    <mergeCell ref="D5:D6"/>
    <mergeCell ref="E5:E6"/>
    <mergeCell ref="F5:F6"/>
    <mergeCell ref="G5:G6"/>
    <mergeCell ref="H5:H6"/>
    <mergeCell ref="B3:I3"/>
    <mergeCell ref="I5:I6"/>
    <mergeCell ref="P5:P6"/>
    <mergeCell ref="Q5:Q6"/>
    <mergeCell ref="B1:T1"/>
    <mergeCell ref="B126:C126"/>
    <mergeCell ref="B127:C127"/>
    <mergeCell ref="B128:C128"/>
    <mergeCell ref="B110:C110"/>
    <mergeCell ref="B111:C111"/>
    <mergeCell ref="B112:C112"/>
    <mergeCell ref="B113:C113"/>
    <mergeCell ref="B114:C114"/>
    <mergeCell ref="B115:C115"/>
    <mergeCell ref="R5:R6"/>
    <mergeCell ref="R16:R17"/>
    <mergeCell ref="Q16:Q17"/>
    <mergeCell ref="G85:H86"/>
    <mergeCell ref="J85:J86"/>
    <mergeCell ref="R85:S86"/>
    <mergeCell ref="G89:H89"/>
    <mergeCell ref="R89:S89"/>
    <mergeCell ref="G92:H92"/>
    <mergeCell ref="R92:S92"/>
    <mergeCell ref="T85:T86"/>
    <mergeCell ref="R75:S75"/>
    <mergeCell ref="R76:S76"/>
    <mergeCell ref="S5:S6"/>
    <mergeCell ref="B108:E108"/>
    <mergeCell ref="B117:C117"/>
    <mergeCell ref="B116:C116"/>
    <mergeCell ref="B109:E109"/>
    <mergeCell ref="L10:M10"/>
    <mergeCell ref="L11:M11"/>
    <mergeCell ref="L12:M12"/>
    <mergeCell ref="L13:M13"/>
    <mergeCell ref="L14:S14"/>
    <mergeCell ref="B15:I15"/>
    <mergeCell ref="L15:S15"/>
    <mergeCell ref="J16:J17"/>
    <mergeCell ref="L16:M17"/>
    <mergeCell ref="B10:C10"/>
    <mergeCell ref="B11:C11"/>
    <mergeCell ref="F16:F17"/>
    <mergeCell ref="D16:D17"/>
    <mergeCell ref="E16:E17"/>
    <mergeCell ref="G16:G17"/>
    <mergeCell ref="H16:H17"/>
    <mergeCell ref="O16:O17"/>
    <mergeCell ref="P16:P17"/>
    <mergeCell ref="L24:M24"/>
    <mergeCell ref="L25:S25"/>
    <mergeCell ref="G108:J108"/>
    <mergeCell ref="G112:H112"/>
    <mergeCell ref="G116:H116"/>
    <mergeCell ref="G122:H122"/>
    <mergeCell ref="B22:C22"/>
    <mergeCell ref="B23:C23"/>
    <mergeCell ref="B60:C61"/>
    <mergeCell ref="D60:D61"/>
    <mergeCell ref="B66:C66"/>
    <mergeCell ref="B67:C67"/>
    <mergeCell ref="I60:I61"/>
    <mergeCell ref="I72:I73"/>
    <mergeCell ref="B24:C24"/>
    <mergeCell ref="B27:C28"/>
    <mergeCell ref="D27:D28"/>
    <mergeCell ref="E27:E28"/>
    <mergeCell ref="F27:F28"/>
    <mergeCell ref="G27:G28"/>
    <mergeCell ref="H27:H28"/>
    <mergeCell ref="B29:C29"/>
    <mergeCell ref="B30:C30"/>
    <mergeCell ref="B32:C32"/>
    <mergeCell ref="B31:C31"/>
    <mergeCell ref="B120:E120"/>
    <mergeCell ref="B33:C33"/>
    <mergeCell ref="B34:C34"/>
    <mergeCell ref="B35:C35"/>
    <mergeCell ref="B18:C18"/>
    <mergeCell ref="B19:C19"/>
    <mergeCell ref="B20:C20"/>
    <mergeCell ref="B21:C21"/>
    <mergeCell ref="B12:C12"/>
    <mergeCell ref="B13:C13"/>
    <mergeCell ref="B16:C17"/>
    <mergeCell ref="B26:I26"/>
    <mergeCell ref="B37:I37"/>
    <mergeCell ref="N5:N6"/>
    <mergeCell ref="O5:O6"/>
    <mergeCell ref="H49:H50"/>
    <mergeCell ref="B51:C51"/>
    <mergeCell ref="B49:C50"/>
    <mergeCell ref="D49:D50"/>
    <mergeCell ref="E49:E50"/>
    <mergeCell ref="F49:F50"/>
    <mergeCell ref="G49:G50"/>
    <mergeCell ref="B43:C43"/>
    <mergeCell ref="B44:C44"/>
    <mergeCell ref="B45:C45"/>
    <mergeCell ref="B46:C46"/>
    <mergeCell ref="G38:G39"/>
    <mergeCell ref="H38:H39"/>
    <mergeCell ref="B40:C40"/>
    <mergeCell ref="B41:C41"/>
    <mergeCell ref="B42:C42"/>
    <mergeCell ref="N16:N17"/>
    <mergeCell ref="L33:M33"/>
    <mergeCell ref="L34:M34"/>
    <mergeCell ref="L35:M35"/>
    <mergeCell ref="L36:S36"/>
    <mergeCell ref="G70:J70"/>
    <mergeCell ref="G71:J71"/>
    <mergeCell ref="G72:H73"/>
    <mergeCell ref="J60:J61"/>
    <mergeCell ref="J72:J73"/>
    <mergeCell ref="B77:C77"/>
    <mergeCell ref="B78:C78"/>
    <mergeCell ref="G75:H75"/>
    <mergeCell ref="G76:H76"/>
    <mergeCell ref="H60:H61"/>
    <mergeCell ref="B62:C62"/>
    <mergeCell ref="B63:C63"/>
    <mergeCell ref="B64:C64"/>
    <mergeCell ref="L54:M54"/>
    <mergeCell ref="L55:M55"/>
    <mergeCell ref="L56:M56"/>
    <mergeCell ref="L57:M57"/>
    <mergeCell ref="L59:S59"/>
    <mergeCell ref="B54:C54"/>
    <mergeCell ref="B55:C55"/>
    <mergeCell ref="B56:C56"/>
    <mergeCell ref="B57:C57"/>
    <mergeCell ref="B59:I59"/>
    <mergeCell ref="B68:C68"/>
    <mergeCell ref="E72:E73"/>
    <mergeCell ref="F60:F61"/>
    <mergeCell ref="G60:G61"/>
    <mergeCell ref="B87:C87"/>
    <mergeCell ref="B85:C86"/>
    <mergeCell ref="D85:D86"/>
    <mergeCell ref="E85:E86"/>
    <mergeCell ref="B83:E83"/>
    <mergeCell ref="B84:E84"/>
    <mergeCell ref="G77:H77"/>
    <mergeCell ref="G80:H80"/>
    <mergeCell ref="B65:C65"/>
    <mergeCell ref="E60:E61"/>
    <mergeCell ref="B80:C80"/>
    <mergeCell ref="B70:E70"/>
    <mergeCell ref="B71:E71"/>
    <mergeCell ref="B72:C73"/>
    <mergeCell ref="D72:D73"/>
    <mergeCell ref="B74:C74"/>
    <mergeCell ref="B75:C75"/>
    <mergeCell ref="B76:C76"/>
    <mergeCell ref="B79:C79"/>
    <mergeCell ref="G74:H74"/>
    <mergeCell ref="B88:C88"/>
    <mergeCell ref="B89:C89"/>
    <mergeCell ref="B90:C90"/>
    <mergeCell ref="B91:C91"/>
    <mergeCell ref="B92:C92"/>
    <mergeCell ref="B93:C93"/>
    <mergeCell ref="B101:C101"/>
    <mergeCell ref="B103:C103"/>
    <mergeCell ref="B104:C104"/>
    <mergeCell ref="B102:C102"/>
    <mergeCell ref="B105:C105"/>
    <mergeCell ref="B96:E96"/>
    <mergeCell ref="B97:E97"/>
    <mergeCell ref="B98:C98"/>
    <mergeCell ref="B99:C99"/>
    <mergeCell ref="B100:C100"/>
    <mergeCell ref="B142:C142"/>
    <mergeCell ref="B132:E132"/>
    <mergeCell ref="B133:E133"/>
    <mergeCell ref="B134:C135"/>
    <mergeCell ref="D134:D135"/>
    <mergeCell ref="E134:E135"/>
    <mergeCell ref="B136:C136"/>
    <mergeCell ref="B137:C137"/>
    <mergeCell ref="B138:C138"/>
    <mergeCell ref="B139:C139"/>
    <mergeCell ref="B140:C140"/>
    <mergeCell ref="B141:C141"/>
    <mergeCell ref="B129:C129"/>
    <mergeCell ref="B121:E121"/>
    <mergeCell ref="B122:C122"/>
    <mergeCell ref="B123:C123"/>
    <mergeCell ref="B124:C124"/>
    <mergeCell ref="B125:C125"/>
    <mergeCell ref="AB93:AC93"/>
    <mergeCell ref="AB83:AE83"/>
    <mergeCell ref="AB84:AE84"/>
    <mergeCell ref="AB85:AC86"/>
    <mergeCell ref="AD85:AD86"/>
    <mergeCell ref="AE85:AE86"/>
    <mergeCell ref="AB87:AC87"/>
    <mergeCell ref="AB88:AC88"/>
    <mergeCell ref="AB89:AC89"/>
    <mergeCell ref="AB90:AC90"/>
    <mergeCell ref="AB91:AC91"/>
    <mergeCell ref="AB92:AC92"/>
    <mergeCell ref="B153:C153"/>
    <mergeCell ref="B154:C154"/>
    <mergeCell ref="B155:C155"/>
    <mergeCell ref="K145:N145"/>
    <mergeCell ref="K146:N146"/>
    <mergeCell ref="K147:L148"/>
    <mergeCell ref="M147:M148"/>
    <mergeCell ref="N147:N148"/>
    <mergeCell ref="K149:L149"/>
    <mergeCell ref="K150:L150"/>
    <mergeCell ref="K151:L151"/>
    <mergeCell ref="K152:L152"/>
    <mergeCell ref="K153:L153"/>
    <mergeCell ref="K154:L154"/>
    <mergeCell ref="K155:L155"/>
    <mergeCell ref="B145:E145"/>
    <mergeCell ref="B146:E146"/>
    <mergeCell ref="B147:C148"/>
    <mergeCell ref="D147:D148"/>
    <mergeCell ref="E147:E148"/>
    <mergeCell ref="B149:C149"/>
    <mergeCell ref="B150:C150"/>
    <mergeCell ref="B151:C151"/>
    <mergeCell ref="B152:C152"/>
    <mergeCell ref="T60:T61"/>
    <mergeCell ref="L66:M66"/>
    <mergeCell ref="AG72:AH73"/>
    <mergeCell ref="AI72:AI73"/>
    <mergeCell ref="AJ72:AJ73"/>
    <mergeCell ref="AB72:AC73"/>
    <mergeCell ref="AD72:AD73"/>
    <mergeCell ref="AE72:AE73"/>
    <mergeCell ref="Y72:Y73"/>
    <mergeCell ref="Z72:Z73"/>
    <mergeCell ref="R72:S73"/>
    <mergeCell ref="U72:U73"/>
    <mergeCell ref="R70:U70"/>
    <mergeCell ref="R71:U71"/>
    <mergeCell ref="L61:M61"/>
    <mergeCell ref="L62:M62"/>
    <mergeCell ref="L63:M63"/>
    <mergeCell ref="L64:M64"/>
    <mergeCell ref="L65:M65"/>
    <mergeCell ref="L67:M67"/>
    <mergeCell ref="L68:M6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59"/>
  <sheetViews>
    <sheetView topLeftCell="A44" zoomScale="112" zoomScaleNormal="112" workbookViewId="0">
      <selection activeCell="L4" sqref="L4:P136"/>
    </sheetView>
  </sheetViews>
  <sheetFormatPr baseColWidth="10" defaultRowHeight="15" x14ac:dyDescent="0.25"/>
  <cols>
    <col min="1" max="1" width="7.85546875" style="24" bestFit="1" customWidth="1"/>
    <col min="2" max="2" width="15.140625" style="24" customWidth="1"/>
    <col min="3" max="3" width="28.140625" style="24" bestFit="1" customWidth="1"/>
    <col min="4" max="4" width="25" style="24" customWidth="1"/>
    <col min="5" max="9" width="6.5703125" style="24" customWidth="1"/>
    <col min="10" max="10" width="7.140625" style="39" customWidth="1"/>
    <col min="11" max="11" width="9.28515625" style="24" customWidth="1"/>
    <col min="12" max="16" width="8.28515625" style="39" customWidth="1"/>
    <col min="17" max="17" width="11.140625" style="39" customWidth="1"/>
    <col min="18" max="18" width="12.42578125" style="24" customWidth="1"/>
    <col min="19" max="19" width="13.140625" style="24" customWidth="1"/>
    <col min="20" max="20" width="12.28515625" style="24" bestFit="1" customWidth="1"/>
    <col min="21" max="21" width="19.140625" style="24" customWidth="1"/>
    <col min="22" max="22" width="12.7109375" style="24" customWidth="1"/>
    <col min="23" max="23" width="19.28515625" style="24" bestFit="1" customWidth="1"/>
    <col min="24" max="16384" width="11.42578125" style="24"/>
  </cols>
  <sheetData>
    <row r="1" spans="1:23" ht="38.25" customHeight="1" x14ac:dyDescent="0.25">
      <c r="A1" s="410" t="s">
        <v>288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</row>
    <row r="2" spans="1:23" ht="15.75" x14ac:dyDescent="0.25">
      <c r="A2" s="416" t="s">
        <v>59</v>
      </c>
      <c r="B2" s="405" t="s">
        <v>0</v>
      </c>
      <c r="C2" s="404" t="s">
        <v>60</v>
      </c>
      <c r="D2" s="417" t="s">
        <v>79</v>
      </c>
      <c r="E2" s="404" t="s">
        <v>80</v>
      </c>
      <c r="F2" s="404"/>
      <c r="G2" s="404"/>
      <c r="H2" s="404"/>
      <c r="I2" s="404"/>
      <c r="J2" s="407" t="s">
        <v>96</v>
      </c>
      <c r="K2" s="414" t="s">
        <v>97</v>
      </c>
      <c r="L2" s="407" t="s">
        <v>98</v>
      </c>
      <c r="M2" s="407" t="s">
        <v>86</v>
      </c>
      <c r="N2" s="407" t="s">
        <v>87</v>
      </c>
      <c r="O2" s="407" t="s">
        <v>99</v>
      </c>
      <c r="P2" s="407" t="s">
        <v>100</v>
      </c>
      <c r="Q2" s="412" t="s">
        <v>88</v>
      </c>
      <c r="R2" s="407" t="s">
        <v>98</v>
      </c>
      <c r="S2" s="407" t="s">
        <v>86</v>
      </c>
      <c r="T2" s="407" t="s">
        <v>87</v>
      </c>
      <c r="U2" s="407" t="s">
        <v>99</v>
      </c>
      <c r="V2" s="407" t="s">
        <v>100</v>
      </c>
      <c r="W2" s="407" t="s">
        <v>63</v>
      </c>
    </row>
    <row r="3" spans="1:23" ht="35.25" customHeight="1" x14ac:dyDescent="0.25">
      <c r="A3" s="416"/>
      <c r="B3" s="406"/>
      <c r="C3" s="404"/>
      <c r="D3" s="417"/>
      <c r="E3" s="33" t="s">
        <v>101</v>
      </c>
      <c r="F3" s="33" t="s">
        <v>102</v>
      </c>
      <c r="G3" s="33" t="s">
        <v>103</v>
      </c>
      <c r="H3" s="33" t="s">
        <v>104</v>
      </c>
      <c r="I3" s="33" t="s">
        <v>105</v>
      </c>
      <c r="J3" s="408"/>
      <c r="K3" s="415"/>
      <c r="L3" s="408"/>
      <c r="M3" s="408"/>
      <c r="N3" s="408"/>
      <c r="O3" s="408"/>
      <c r="P3" s="409"/>
      <c r="Q3" s="413"/>
      <c r="R3" s="411"/>
      <c r="S3" s="411"/>
      <c r="T3" s="411"/>
      <c r="U3" s="408"/>
      <c r="V3" s="409"/>
      <c r="W3" s="409"/>
    </row>
    <row r="4" spans="1:23" x14ac:dyDescent="0.25">
      <c r="A4" s="34" t="s">
        <v>66</v>
      </c>
      <c r="B4" s="36" t="s">
        <v>1</v>
      </c>
      <c r="C4" s="26" t="s">
        <v>58</v>
      </c>
      <c r="D4" s="26" t="s">
        <v>90</v>
      </c>
      <c r="E4" s="69">
        <v>69</v>
      </c>
      <c r="F4" s="69">
        <v>310</v>
      </c>
      <c r="G4" s="69">
        <v>200</v>
      </c>
      <c r="H4" s="69">
        <v>182</v>
      </c>
      <c r="I4" s="69">
        <v>82</v>
      </c>
      <c r="J4" s="70">
        <f t="shared" ref="J4:J5" si="0">SUM(E4:I4)</f>
        <v>843</v>
      </c>
      <c r="K4" s="29">
        <f t="shared" ref="K4:K67" si="1">J4*Q4</f>
        <v>108747</v>
      </c>
      <c r="L4" s="222">
        <f>'1,1 SUMINISTRAR COM. PRE UNI. '!E35</f>
        <v>4145</v>
      </c>
      <c r="M4" s="222">
        <f>'1,1 SUMINISTRAR COM. PRE UNI. '!F35</f>
        <v>4327</v>
      </c>
      <c r="N4" s="222">
        <f>'1,1 SUMINISTRAR COM. PRE UNI. '!G35</f>
        <v>4586</v>
      </c>
      <c r="O4" s="222">
        <f>'1,1 SUMINISTRAR COM. PRE UNI. '!H35</f>
        <v>4919</v>
      </c>
      <c r="P4" s="222">
        <f>'1,1 SUMINISTRAR COM. PRE UNI. '!I35</f>
        <v>5228</v>
      </c>
      <c r="Q4" s="35">
        <v>129</v>
      </c>
      <c r="R4" s="104">
        <f>E4*L4*Q4</f>
        <v>36894645</v>
      </c>
      <c r="S4" s="104">
        <f>F4*M4*Q4</f>
        <v>173036730</v>
      </c>
      <c r="T4" s="104">
        <f>G4*N4*Q4</f>
        <v>118318800</v>
      </c>
      <c r="U4" s="104">
        <f t="shared" ref="U4" si="2">H4*O4*Q4</f>
        <v>115488282</v>
      </c>
      <c r="V4" s="104">
        <f>I4*P4*Q4</f>
        <v>55301784</v>
      </c>
      <c r="W4" s="104">
        <f t="shared" ref="W4:W67" si="3">SUM(R4:V4)</f>
        <v>499040241</v>
      </c>
    </row>
    <row r="5" spans="1:23" x14ac:dyDescent="0.25">
      <c r="A5" s="34" t="s">
        <v>66</v>
      </c>
      <c r="B5" s="36" t="s">
        <v>1</v>
      </c>
      <c r="C5" s="26" t="s">
        <v>58</v>
      </c>
      <c r="D5" s="26" t="s">
        <v>89</v>
      </c>
      <c r="E5" s="69">
        <v>47</v>
      </c>
      <c r="F5" s="69">
        <v>140</v>
      </c>
      <c r="G5" s="69">
        <v>104</v>
      </c>
      <c r="H5" s="69">
        <v>228</v>
      </c>
      <c r="I5" s="69">
        <v>165</v>
      </c>
      <c r="J5" s="70">
        <f t="shared" si="0"/>
        <v>684</v>
      </c>
      <c r="K5" s="29">
        <f t="shared" si="1"/>
        <v>88236</v>
      </c>
      <c r="L5" s="222">
        <f>'1,1 SUMINISTRAR COM. PRE UNI. '!O35</f>
        <v>4619</v>
      </c>
      <c r="M5" s="222">
        <f>'1,1 SUMINISTRAR COM. PRE UNI. '!P35</f>
        <v>5003</v>
      </c>
      <c r="N5" s="222">
        <f>'1,1 SUMINISTRAR COM. PRE UNI. '!Q35</f>
        <v>5349</v>
      </c>
      <c r="O5" s="222">
        <f>'1,1 SUMINISTRAR COM. PRE UNI. '!R35</f>
        <v>5930</v>
      </c>
      <c r="P5" s="222">
        <f>'1,1 SUMINISTRAR COM. PRE UNI. '!S35</f>
        <v>6415</v>
      </c>
      <c r="Q5" s="35">
        <f>$Q$4</f>
        <v>129</v>
      </c>
      <c r="R5" s="104">
        <f t="shared" ref="R5:R11" si="4">E5*L5*Q5</f>
        <v>28004997</v>
      </c>
      <c r="S5" s="104">
        <f t="shared" ref="S5:S11" si="5">F5*M5*Q5</f>
        <v>90354180</v>
      </c>
      <c r="T5" s="104">
        <f t="shared" ref="T5:T11" si="6">G5*N5*Q5</f>
        <v>71762184</v>
      </c>
      <c r="U5" s="104">
        <f t="shared" ref="U5:U11" si="7">H5*O5*Q5</f>
        <v>174413160</v>
      </c>
      <c r="V5" s="104">
        <f t="shared" ref="V5:V11" si="8">I5*P5*Q5</f>
        <v>136543275</v>
      </c>
      <c r="W5" s="104">
        <f t="shared" si="3"/>
        <v>501077796</v>
      </c>
    </row>
    <row r="6" spans="1:23" x14ac:dyDescent="0.25">
      <c r="A6" s="34" t="s">
        <v>66</v>
      </c>
      <c r="B6" s="21" t="s">
        <v>1</v>
      </c>
      <c r="C6" s="26" t="s">
        <v>224</v>
      </c>
      <c r="D6" s="26" t="s">
        <v>91</v>
      </c>
      <c r="E6" s="69">
        <v>30</v>
      </c>
      <c r="F6" s="69">
        <v>107</v>
      </c>
      <c r="G6" s="69">
        <v>76</v>
      </c>
      <c r="H6" s="69">
        <v>84</v>
      </c>
      <c r="I6" s="69">
        <v>51</v>
      </c>
      <c r="J6" s="70">
        <f>SUM(E6:I6)</f>
        <v>348</v>
      </c>
      <c r="K6" s="29">
        <f t="shared" si="1"/>
        <v>44892</v>
      </c>
      <c r="L6" s="198">
        <f>'1,1 SUMINISTRAR COM. PRE UNI. '!E80</f>
        <v>5411</v>
      </c>
      <c r="M6" s="198">
        <f>L$6</f>
        <v>5411</v>
      </c>
      <c r="N6" s="198">
        <f t="shared" ref="N6:P6" si="9">M$6</f>
        <v>5411</v>
      </c>
      <c r="O6" s="198">
        <f t="shared" si="9"/>
        <v>5411</v>
      </c>
      <c r="P6" s="198">
        <f t="shared" si="9"/>
        <v>5411</v>
      </c>
      <c r="Q6" s="118">
        <f t="shared" ref="Q6:Q69" si="10">$Q$4</f>
        <v>129</v>
      </c>
      <c r="R6" s="104">
        <f t="shared" si="4"/>
        <v>20940570</v>
      </c>
      <c r="S6" s="104">
        <f t="shared" si="5"/>
        <v>74688033</v>
      </c>
      <c r="T6" s="104">
        <f t="shared" si="6"/>
        <v>53049444</v>
      </c>
      <c r="U6" s="104">
        <f t="shared" si="7"/>
        <v>58633596</v>
      </c>
      <c r="V6" s="104">
        <f t="shared" si="8"/>
        <v>35598969</v>
      </c>
      <c r="W6" s="104">
        <f t="shared" si="3"/>
        <v>242910612</v>
      </c>
    </row>
    <row r="7" spans="1:23" x14ac:dyDescent="0.25">
      <c r="A7" s="34" t="s">
        <v>67</v>
      </c>
      <c r="B7" s="36" t="s">
        <v>2</v>
      </c>
      <c r="C7" s="26" t="s">
        <v>58</v>
      </c>
      <c r="D7" s="26" t="s">
        <v>90</v>
      </c>
      <c r="E7" s="69">
        <v>419</v>
      </c>
      <c r="F7" s="69">
        <v>1355</v>
      </c>
      <c r="G7" s="69">
        <v>1072</v>
      </c>
      <c r="H7" s="69">
        <v>1396</v>
      </c>
      <c r="I7" s="69">
        <v>268</v>
      </c>
      <c r="J7" s="70">
        <f t="shared" ref="J7:J87" si="11">SUM(E7:I7)</f>
        <v>4510</v>
      </c>
      <c r="K7" s="29">
        <f t="shared" si="1"/>
        <v>581790</v>
      </c>
      <c r="L7" s="222">
        <f>'1,1 SUMINISTRAR COM. PRE UNI. '!E57</f>
        <v>3981</v>
      </c>
      <c r="M7" s="222">
        <f>'1,1 SUMINISTRAR COM. PRE UNI. '!F57</f>
        <v>4163</v>
      </c>
      <c r="N7" s="222">
        <f>'1,1 SUMINISTRAR COM. PRE UNI. '!G57</f>
        <v>4422</v>
      </c>
      <c r="O7" s="222">
        <f>'1,1 SUMINISTRAR COM. PRE UNI. '!H57</f>
        <v>4755</v>
      </c>
      <c r="P7" s="222">
        <f>'1,1 SUMINISTRAR COM. PRE UNI. '!I57</f>
        <v>5064</v>
      </c>
      <c r="Q7" s="35">
        <f t="shared" si="10"/>
        <v>129</v>
      </c>
      <c r="R7" s="104">
        <f t="shared" si="4"/>
        <v>215177031</v>
      </c>
      <c r="S7" s="104">
        <f t="shared" si="5"/>
        <v>727671585</v>
      </c>
      <c r="T7" s="104">
        <f t="shared" si="6"/>
        <v>611509536</v>
      </c>
      <c r="U7" s="104">
        <f t="shared" si="7"/>
        <v>856299420</v>
      </c>
      <c r="V7" s="104">
        <f t="shared" si="8"/>
        <v>175072608</v>
      </c>
      <c r="W7" s="104">
        <f t="shared" si="3"/>
        <v>2585730180</v>
      </c>
    </row>
    <row r="8" spans="1:23" x14ac:dyDescent="0.25">
      <c r="A8" s="34" t="s">
        <v>67</v>
      </c>
      <c r="B8" s="36" t="s">
        <v>2</v>
      </c>
      <c r="C8" s="26" t="s">
        <v>58</v>
      </c>
      <c r="D8" s="26" t="s">
        <v>89</v>
      </c>
      <c r="E8" s="69">
        <v>0</v>
      </c>
      <c r="F8" s="69">
        <v>0</v>
      </c>
      <c r="G8" s="69">
        <v>0</v>
      </c>
      <c r="H8" s="69">
        <v>0</v>
      </c>
      <c r="I8" s="69">
        <v>267</v>
      </c>
      <c r="J8" s="70">
        <f t="shared" si="11"/>
        <v>267</v>
      </c>
      <c r="K8" s="29">
        <f t="shared" si="1"/>
        <v>34443</v>
      </c>
      <c r="L8" s="198">
        <f>'1,1 SUMINISTRAR COM. PRE UNI. '!O57</f>
        <v>4588</v>
      </c>
      <c r="M8" s="198">
        <f>'1,1 SUMINISTRAR COM. PRE UNI. '!P57</f>
        <v>4972</v>
      </c>
      <c r="N8" s="198">
        <f>'1,1 SUMINISTRAR COM. PRE UNI. '!Q57</f>
        <v>5318</v>
      </c>
      <c r="O8" s="198">
        <f>'1,1 SUMINISTRAR COM. PRE UNI. '!R57</f>
        <v>5899</v>
      </c>
      <c r="P8" s="198">
        <f>'1,1 SUMINISTRAR COM. PRE UNI. '!S57</f>
        <v>6384</v>
      </c>
      <c r="Q8" s="35">
        <f t="shared" si="10"/>
        <v>129</v>
      </c>
      <c r="R8" s="104">
        <f t="shared" si="4"/>
        <v>0</v>
      </c>
      <c r="S8" s="104">
        <f t="shared" si="5"/>
        <v>0</v>
      </c>
      <c r="T8" s="104">
        <f t="shared" si="6"/>
        <v>0</v>
      </c>
      <c r="U8" s="104">
        <f t="shared" si="7"/>
        <v>0</v>
      </c>
      <c r="V8" s="104">
        <f t="shared" si="8"/>
        <v>219884112</v>
      </c>
      <c r="W8" s="104">
        <f t="shared" si="3"/>
        <v>219884112</v>
      </c>
    </row>
    <row r="9" spans="1:23" x14ac:dyDescent="0.25">
      <c r="A9" s="34" t="s">
        <v>67</v>
      </c>
      <c r="B9" s="36" t="s">
        <v>3</v>
      </c>
      <c r="C9" s="26" t="s">
        <v>58</v>
      </c>
      <c r="D9" s="26" t="s">
        <v>157</v>
      </c>
      <c r="E9" s="69">
        <v>247</v>
      </c>
      <c r="F9" s="69">
        <v>721</v>
      </c>
      <c r="G9" s="69">
        <v>564</v>
      </c>
      <c r="H9" s="69">
        <v>997</v>
      </c>
      <c r="I9" s="69">
        <v>348</v>
      </c>
      <c r="J9" s="70">
        <f t="shared" si="11"/>
        <v>2877</v>
      </c>
      <c r="K9" s="29">
        <f t="shared" si="1"/>
        <v>371133</v>
      </c>
      <c r="L9" s="222">
        <f>$L$7</f>
        <v>3981</v>
      </c>
      <c r="M9" s="222">
        <f>$M$7</f>
        <v>4163</v>
      </c>
      <c r="N9" s="222">
        <f>$N$7</f>
        <v>4422</v>
      </c>
      <c r="O9" s="222">
        <f>$O$7</f>
        <v>4755</v>
      </c>
      <c r="P9" s="222">
        <f>$P$7</f>
        <v>5064</v>
      </c>
      <c r="Q9" s="35">
        <f t="shared" si="10"/>
        <v>129</v>
      </c>
      <c r="R9" s="104">
        <f t="shared" si="4"/>
        <v>126846603</v>
      </c>
      <c r="S9" s="104">
        <f t="shared" si="5"/>
        <v>387196467</v>
      </c>
      <c r="T9" s="104">
        <f t="shared" si="6"/>
        <v>321727032</v>
      </c>
      <c r="U9" s="104">
        <f t="shared" si="7"/>
        <v>611554815</v>
      </c>
      <c r="V9" s="104">
        <f t="shared" si="8"/>
        <v>227333088</v>
      </c>
      <c r="W9" s="104">
        <f t="shared" si="3"/>
        <v>1674658005</v>
      </c>
    </row>
    <row r="10" spans="1:23" x14ac:dyDescent="0.25">
      <c r="A10" s="34" t="s">
        <v>67</v>
      </c>
      <c r="B10" s="36" t="s">
        <v>3</v>
      </c>
      <c r="C10" s="26" t="s">
        <v>58</v>
      </c>
      <c r="D10" s="31" t="s">
        <v>156</v>
      </c>
      <c r="E10" s="69">
        <v>7</v>
      </c>
      <c r="F10" s="69">
        <v>0</v>
      </c>
      <c r="G10" s="69">
        <v>0</v>
      </c>
      <c r="H10" s="69">
        <v>0</v>
      </c>
      <c r="I10" s="69">
        <v>0</v>
      </c>
      <c r="J10" s="70">
        <f t="shared" si="11"/>
        <v>7</v>
      </c>
      <c r="K10" s="29">
        <f t="shared" si="1"/>
        <v>903</v>
      </c>
      <c r="L10" s="222">
        <f>$L$7</f>
        <v>3981</v>
      </c>
      <c r="M10" s="222">
        <f>$M$7</f>
        <v>4163</v>
      </c>
      <c r="N10" s="222">
        <f>$N$7</f>
        <v>4422</v>
      </c>
      <c r="O10" s="222">
        <f>$O$7</f>
        <v>4755</v>
      </c>
      <c r="P10" s="222">
        <f>$P$7</f>
        <v>5064</v>
      </c>
      <c r="Q10" s="35">
        <f t="shared" si="10"/>
        <v>129</v>
      </c>
      <c r="R10" s="104">
        <f t="shared" si="4"/>
        <v>3594843</v>
      </c>
      <c r="S10" s="104">
        <f t="shared" si="5"/>
        <v>0</v>
      </c>
      <c r="T10" s="104">
        <f t="shared" si="6"/>
        <v>0</v>
      </c>
      <c r="U10" s="104">
        <f t="shared" si="7"/>
        <v>0</v>
      </c>
      <c r="V10" s="104">
        <f t="shared" si="8"/>
        <v>0</v>
      </c>
      <c r="W10" s="104">
        <f t="shared" si="3"/>
        <v>3594843</v>
      </c>
    </row>
    <row r="11" spans="1:23" x14ac:dyDescent="0.25">
      <c r="A11" s="34" t="s">
        <v>67</v>
      </c>
      <c r="B11" s="36" t="s">
        <v>3</v>
      </c>
      <c r="C11" s="26" t="s">
        <v>58</v>
      </c>
      <c r="D11" s="31" t="s">
        <v>89</v>
      </c>
      <c r="E11" s="69">
        <v>0</v>
      </c>
      <c r="F11" s="69">
        <v>0</v>
      </c>
      <c r="G11" s="69">
        <v>0</v>
      </c>
      <c r="H11" s="69">
        <v>0</v>
      </c>
      <c r="I11" s="69">
        <v>56</v>
      </c>
      <c r="J11" s="70">
        <f t="shared" si="11"/>
        <v>56</v>
      </c>
      <c r="K11" s="29">
        <f t="shared" si="1"/>
        <v>7224</v>
      </c>
      <c r="L11" s="198">
        <f>$L$8</f>
        <v>4588</v>
      </c>
      <c r="M11" s="198">
        <f>$M$8</f>
        <v>4972</v>
      </c>
      <c r="N11" s="198">
        <f>$N$8</f>
        <v>5318</v>
      </c>
      <c r="O11" s="198">
        <f>$O$8</f>
        <v>5899</v>
      </c>
      <c r="P11" s="198">
        <f>$P$8</f>
        <v>6384</v>
      </c>
      <c r="Q11" s="35">
        <f t="shared" si="10"/>
        <v>129</v>
      </c>
      <c r="R11" s="104">
        <f t="shared" si="4"/>
        <v>0</v>
      </c>
      <c r="S11" s="104">
        <f t="shared" si="5"/>
        <v>0</v>
      </c>
      <c r="T11" s="104">
        <f t="shared" si="6"/>
        <v>0</v>
      </c>
      <c r="U11" s="104">
        <f t="shared" si="7"/>
        <v>0</v>
      </c>
      <c r="V11" s="104">
        <f t="shared" si="8"/>
        <v>46118016</v>
      </c>
      <c r="W11" s="104">
        <f t="shared" si="3"/>
        <v>46118016</v>
      </c>
    </row>
    <row r="12" spans="1:23" x14ac:dyDescent="0.25">
      <c r="A12" s="34" t="s">
        <v>67</v>
      </c>
      <c r="B12" s="36" t="s">
        <v>4</v>
      </c>
      <c r="C12" s="26" t="s">
        <v>58</v>
      </c>
      <c r="D12" s="31" t="s">
        <v>90</v>
      </c>
      <c r="E12" s="69">
        <v>265</v>
      </c>
      <c r="F12" s="69">
        <v>930</v>
      </c>
      <c r="G12" s="69">
        <v>760</v>
      </c>
      <c r="H12" s="69">
        <v>654</v>
      </c>
      <c r="I12" s="69">
        <v>158</v>
      </c>
      <c r="J12" s="70">
        <f t="shared" si="11"/>
        <v>2767</v>
      </c>
      <c r="K12" s="29">
        <f t="shared" si="1"/>
        <v>356943</v>
      </c>
      <c r="L12" s="222">
        <f>$L$7</f>
        <v>3981</v>
      </c>
      <c r="M12" s="222">
        <f>$M$7</f>
        <v>4163</v>
      </c>
      <c r="N12" s="222">
        <f>$N$7</f>
        <v>4422</v>
      </c>
      <c r="O12" s="222">
        <f>$O$7</f>
        <v>4755</v>
      </c>
      <c r="P12" s="222">
        <f>$P$7</f>
        <v>5064</v>
      </c>
      <c r="Q12" s="35">
        <f t="shared" si="10"/>
        <v>129</v>
      </c>
      <c r="R12" s="104">
        <f t="shared" ref="R12:R75" si="12">E12*L12*Q12</f>
        <v>136090485</v>
      </c>
      <c r="S12" s="104">
        <f t="shared" ref="S12:S75" si="13">F12*M12*Q12</f>
        <v>499435110</v>
      </c>
      <c r="T12" s="104">
        <f t="shared" ref="T12:T75" si="14">G12*N12*Q12</f>
        <v>433532880</v>
      </c>
      <c r="U12" s="104">
        <f t="shared" ref="U12:U75" si="15">H12*O12*Q12</f>
        <v>401160330</v>
      </c>
      <c r="V12" s="104">
        <f t="shared" ref="V12:V75" si="16">I12*P12*Q12</f>
        <v>103214448</v>
      </c>
      <c r="W12" s="104">
        <f t="shared" si="3"/>
        <v>1573433253</v>
      </c>
    </row>
    <row r="13" spans="1:23" x14ac:dyDescent="0.25">
      <c r="A13" s="34" t="s">
        <v>67</v>
      </c>
      <c r="B13" s="36" t="s">
        <v>4</v>
      </c>
      <c r="C13" s="26" t="s">
        <v>58</v>
      </c>
      <c r="D13" s="31" t="s">
        <v>89</v>
      </c>
      <c r="E13" s="69">
        <v>38</v>
      </c>
      <c r="F13" s="69">
        <v>138</v>
      </c>
      <c r="G13" s="69">
        <v>117</v>
      </c>
      <c r="H13" s="69">
        <v>526</v>
      </c>
      <c r="I13" s="69">
        <v>325</v>
      </c>
      <c r="J13" s="70">
        <f t="shared" si="11"/>
        <v>1144</v>
      </c>
      <c r="K13" s="29">
        <f t="shared" si="1"/>
        <v>147576</v>
      </c>
      <c r="L13" s="198">
        <f>$L$8</f>
        <v>4588</v>
      </c>
      <c r="M13" s="198">
        <f>$M$8</f>
        <v>4972</v>
      </c>
      <c r="N13" s="198">
        <f>$N$8</f>
        <v>5318</v>
      </c>
      <c r="O13" s="198">
        <f>$O$8</f>
        <v>5899</v>
      </c>
      <c r="P13" s="198">
        <f>$P$8</f>
        <v>6384</v>
      </c>
      <c r="Q13" s="35">
        <f t="shared" si="10"/>
        <v>129</v>
      </c>
      <c r="R13" s="104">
        <f t="shared" si="12"/>
        <v>22490376</v>
      </c>
      <c r="S13" s="104">
        <f t="shared" si="13"/>
        <v>88511544</v>
      </c>
      <c r="T13" s="104">
        <f t="shared" si="14"/>
        <v>80264574</v>
      </c>
      <c r="U13" s="104">
        <f t="shared" si="15"/>
        <v>400270746</v>
      </c>
      <c r="V13" s="104">
        <f t="shared" si="16"/>
        <v>267649200</v>
      </c>
      <c r="W13" s="104">
        <f t="shared" si="3"/>
        <v>859186440</v>
      </c>
    </row>
    <row r="14" spans="1:23" x14ac:dyDescent="0.25">
      <c r="A14" s="34" t="s">
        <v>67</v>
      </c>
      <c r="B14" s="36" t="s">
        <v>4</v>
      </c>
      <c r="C14" s="26" t="s">
        <v>58</v>
      </c>
      <c r="D14" s="31" t="s">
        <v>156</v>
      </c>
      <c r="E14" s="69">
        <v>12</v>
      </c>
      <c r="F14" s="69">
        <v>0</v>
      </c>
      <c r="G14" s="69">
        <v>0</v>
      </c>
      <c r="H14" s="69">
        <v>0</v>
      </c>
      <c r="I14" s="69">
        <v>0</v>
      </c>
      <c r="J14" s="70">
        <f t="shared" si="11"/>
        <v>12</v>
      </c>
      <c r="K14" s="29">
        <f t="shared" si="1"/>
        <v>1548</v>
      </c>
      <c r="L14" s="222">
        <f>$L$7</f>
        <v>3981</v>
      </c>
      <c r="M14" s="222">
        <f>$M$7</f>
        <v>4163</v>
      </c>
      <c r="N14" s="222">
        <f>$N$7</f>
        <v>4422</v>
      </c>
      <c r="O14" s="222">
        <f>$O$7</f>
        <v>4755</v>
      </c>
      <c r="P14" s="222">
        <f>$P$7</f>
        <v>5064</v>
      </c>
      <c r="Q14" s="35">
        <f t="shared" si="10"/>
        <v>129</v>
      </c>
      <c r="R14" s="104">
        <f t="shared" si="12"/>
        <v>6162588</v>
      </c>
      <c r="S14" s="104">
        <f t="shared" si="13"/>
        <v>0</v>
      </c>
      <c r="T14" s="104">
        <f t="shared" si="14"/>
        <v>0</v>
      </c>
      <c r="U14" s="104">
        <f t="shared" si="15"/>
        <v>0</v>
      </c>
      <c r="V14" s="104">
        <f t="shared" si="16"/>
        <v>0</v>
      </c>
      <c r="W14" s="104">
        <f t="shared" si="3"/>
        <v>6162588</v>
      </c>
    </row>
    <row r="15" spans="1:23" x14ac:dyDescent="0.25">
      <c r="A15" s="34" t="s">
        <v>67</v>
      </c>
      <c r="B15" s="21" t="s">
        <v>4</v>
      </c>
      <c r="C15" s="26" t="s">
        <v>235</v>
      </c>
      <c r="D15" s="26" t="s">
        <v>91</v>
      </c>
      <c r="E15" s="69">
        <v>22</v>
      </c>
      <c r="F15" s="69">
        <v>62</v>
      </c>
      <c r="G15" s="69">
        <v>55</v>
      </c>
      <c r="H15" s="69">
        <v>136</v>
      </c>
      <c r="I15" s="69">
        <v>50</v>
      </c>
      <c r="J15" s="70">
        <f t="shared" si="11"/>
        <v>325</v>
      </c>
      <c r="K15" s="29">
        <f t="shared" si="1"/>
        <v>41925</v>
      </c>
      <c r="L15" s="198">
        <f>'1,1 SUMINISTRAR COM. PRE UNI. '!O80</f>
        <v>5411</v>
      </c>
      <c r="M15" s="198">
        <f>L$15</f>
        <v>5411</v>
      </c>
      <c r="N15" s="198">
        <f t="shared" ref="N15:P15" si="17">M$15</f>
        <v>5411</v>
      </c>
      <c r="O15" s="198">
        <f t="shared" si="17"/>
        <v>5411</v>
      </c>
      <c r="P15" s="198">
        <f t="shared" si="17"/>
        <v>5411</v>
      </c>
      <c r="Q15" s="35">
        <f t="shared" si="10"/>
        <v>129</v>
      </c>
      <c r="R15" s="104">
        <f t="shared" si="12"/>
        <v>15356418</v>
      </c>
      <c r="S15" s="104">
        <f t="shared" si="13"/>
        <v>43277178</v>
      </c>
      <c r="T15" s="104">
        <f t="shared" si="14"/>
        <v>38391045</v>
      </c>
      <c r="U15" s="104">
        <f t="shared" si="15"/>
        <v>94930584</v>
      </c>
      <c r="V15" s="104">
        <f t="shared" si="16"/>
        <v>34900950</v>
      </c>
      <c r="W15" s="104">
        <f t="shared" si="3"/>
        <v>226856175</v>
      </c>
    </row>
    <row r="16" spans="1:23" x14ac:dyDescent="0.25">
      <c r="A16" s="34" t="s">
        <v>68</v>
      </c>
      <c r="B16" s="36" t="s">
        <v>5</v>
      </c>
      <c r="C16" s="26" t="s">
        <v>58</v>
      </c>
      <c r="D16" s="31" t="s">
        <v>90</v>
      </c>
      <c r="E16" s="69">
        <v>254</v>
      </c>
      <c r="F16" s="69">
        <v>913</v>
      </c>
      <c r="G16" s="69">
        <v>650</v>
      </c>
      <c r="H16" s="69">
        <v>661</v>
      </c>
      <c r="I16" s="69">
        <v>84</v>
      </c>
      <c r="J16" s="70">
        <f t="shared" si="11"/>
        <v>2562</v>
      </c>
      <c r="K16" s="29">
        <f t="shared" si="1"/>
        <v>330498</v>
      </c>
      <c r="L16" s="222">
        <f>'1,1 SUMINISTRAR COM. PRE UNI. '!E46</f>
        <v>3265</v>
      </c>
      <c r="M16" s="222">
        <f>'1,1 SUMINISTRAR COM. PRE UNI. '!F46</f>
        <v>3447</v>
      </c>
      <c r="N16" s="222">
        <f>'1,1 SUMINISTRAR COM. PRE UNI. '!G46</f>
        <v>3706</v>
      </c>
      <c r="O16" s="222">
        <f>'1,1 SUMINISTRAR COM. PRE UNI. '!H46</f>
        <v>4039</v>
      </c>
      <c r="P16" s="222">
        <f>'1,1 SUMINISTRAR COM. PRE UNI. '!I46</f>
        <v>4348</v>
      </c>
      <c r="Q16" s="35">
        <f t="shared" si="10"/>
        <v>129</v>
      </c>
      <c r="R16" s="104">
        <f t="shared" si="12"/>
        <v>106980990</v>
      </c>
      <c r="S16" s="104">
        <f t="shared" si="13"/>
        <v>405977319</v>
      </c>
      <c r="T16" s="104">
        <f t="shared" si="14"/>
        <v>310748100</v>
      </c>
      <c r="U16" s="104">
        <f t="shared" si="15"/>
        <v>344401491</v>
      </c>
      <c r="V16" s="104">
        <f t="shared" si="16"/>
        <v>47114928</v>
      </c>
      <c r="W16" s="104">
        <f t="shared" si="3"/>
        <v>1215222828</v>
      </c>
    </row>
    <row r="17" spans="1:23" x14ac:dyDescent="0.25">
      <c r="A17" s="34" t="s">
        <v>68</v>
      </c>
      <c r="B17" s="36" t="s">
        <v>5</v>
      </c>
      <c r="C17" s="26" t="s">
        <v>58</v>
      </c>
      <c r="D17" s="31" t="s">
        <v>89</v>
      </c>
      <c r="E17" s="69">
        <v>0</v>
      </c>
      <c r="F17" s="69">
        <v>22</v>
      </c>
      <c r="G17" s="69">
        <v>13</v>
      </c>
      <c r="H17" s="69">
        <v>39</v>
      </c>
      <c r="I17" s="69">
        <v>228</v>
      </c>
      <c r="J17" s="70">
        <f t="shared" si="11"/>
        <v>302</v>
      </c>
      <c r="K17" s="29">
        <f t="shared" si="1"/>
        <v>38958</v>
      </c>
      <c r="L17" s="222">
        <f>'1,1 SUMINISTRAR COM. PRE UNI. '!O46</f>
        <v>4304</v>
      </c>
      <c r="M17" s="222">
        <f>'1,1 SUMINISTRAR COM. PRE UNI. '!P46</f>
        <v>4688</v>
      </c>
      <c r="N17" s="222">
        <f>'1,1 SUMINISTRAR COM. PRE UNI. '!Q46</f>
        <v>5034</v>
      </c>
      <c r="O17" s="222">
        <f>'1,1 SUMINISTRAR COM. PRE UNI. '!R46</f>
        <v>5615</v>
      </c>
      <c r="P17" s="222">
        <f>'1,1 SUMINISTRAR COM. PRE UNI. '!S46</f>
        <v>6035</v>
      </c>
      <c r="Q17" s="35">
        <f t="shared" si="10"/>
        <v>129</v>
      </c>
      <c r="R17" s="104">
        <f t="shared" si="12"/>
        <v>0</v>
      </c>
      <c r="S17" s="104">
        <f t="shared" si="13"/>
        <v>13304544</v>
      </c>
      <c r="T17" s="104">
        <f t="shared" si="14"/>
        <v>8442018</v>
      </c>
      <c r="U17" s="104">
        <f t="shared" si="15"/>
        <v>28249065</v>
      </c>
      <c r="V17" s="104">
        <f t="shared" si="16"/>
        <v>177501420</v>
      </c>
      <c r="W17" s="104">
        <f t="shared" si="3"/>
        <v>227497047</v>
      </c>
    </row>
    <row r="18" spans="1:23" ht="16.5" customHeight="1" x14ac:dyDescent="0.25">
      <c r="A18" s="21" t="s">
        <v>68</v>
      </c>
      <c r="B18" s="21" t="s">
        <v>5</v>
      </c>
      <c r="C18" s="26" t="s">
        <v>226</v>
      </c>
      <c r="D18" s="26" t="s">
        <v>91</v>
      </c>
      <c r="E18" s="69">
        <v>61</v>
      </c>
      <c r="F18" s="69">
        <v>212</v>
      </c>
      <c r="G18" s="69">
        <v>189</v>
      </c>
      <c r="H18" s="69">
        <v>202</v>
      </c>
      <c r="I18" s="69">
        <v>32</v>
      </c>
      <c r="J18" s="70">
        <f t="shared" si="11"/>
        <v>696</v>
      </c>
      <c r="K18" s="29">
        <f t="shared" si="1"/>
        <v>89784</v>
      </c>
      <c r="L18" s="198">
        <f>'1,1 SUMINISTRAR COM. PRE UNI. '!O117</f>
        <v>5411</v>
      </c>
      <c r="M18" s="198">
        <f>$L$18</f>
        <v>5411</v>
      </c>
      <c r="N18" s="198">
        <f t="shared" ref="N18:P18" si="18">$L$18</f>
        <v>5411</v>
      </c>
      <c r="O18" s="198">
        <f t="shared" si="18"/>
        <v>5411</v>
      </c>
      <c r="P18" s="198">
        <f t="shared" si="18"/>
        <v>5411</v>
      </c>
      <c r="Q18" s="35">
        <f t="shared" si="10"/>
        <v>129</v>
      </c>
      <c r="R18" s="104">
        <f t="shared" si="12"/>
        <v>42579159</v>
      </c>
      <c r="S18" s="104">
        <f t="shared" si="13"/>
        <v>147980028</v>
      </c>
      <c r="T18" s="104">
        <f t="shared" si="14"/>
        <v>131925591</v>
      </c>
      <c r="U18" s="104">
        <f t="shared" si="15"/>
        <v>140999838</v>
      </c>
      <c r="V18" s="104">
        <f t="shared" si="16"/>
        <v>22336608</v>
      </c>
      <c r="W18" s="104">
        <f t="shared" si="3"/>
        <v>485821224</v>
      </c>
    </row>
    <row r="19" spans="1:23" ht="16.5" customHeight="1" x14ac:dyDescent="0.25">
      <c r="A19" s="21" t="s">
        <v>68</v>
      </c>
      <c r="B19" s="21" t="s">
        <v>5</v>
      </c>
      <c r="C19" s="26" t="s">
        <v>227</v>
      </c>
      <c r="D19" s="26" t="s">
        <v>91</v>
      </c>
      <c r="E19" s="69">
        <v>46</v>
      </c>
      <c r="F19" s="69">
        <v>106</v>
      </c>
      <c r="G19" s="69">
        <v>82</v>
      </c>
      <c r="H19" s="69">
        <v>85</v>
      </c>
      <c r="I19" s="69">
        <v>39</v>
      </c>
      <c r="J19" s="70">
        <f t="shared" si="11"/>
        <v>358</v>
      </c>
      <c r="K19" s="29">
        <f t="shared" si="1"/>
        <v>46182</v>
      </c>
      <c r="L19" s="198">
        <f>'1,1 SUMINISTRAR COM. PRE UNI. '!J105</f>
        <v>5411</v>
      </c>
      <c r="M19" s="198">
        <f>$L$19</f>
        <v>5411</v>
      </c>
      <c r="N19" s="198">
        <f t="shared" ref="N19:P19" si="19">$L$19</f>
        <v>5411</v>
      </c>
      <c r="O19" s="198">
        <f t="shared" si="19"/>
        <v>5411</v>
      </c>
      <c r="P19" s="198">
        <f t="shared" si="19"/>
        <v>5411</v>
      </c>
      <c r="Q19" s="35">
        <f t="shared" si="10"/>
        <v>129</v>
      </c>
      <c r="R19" s="104">
        <f t="shared" si="12"/>
        <v>32108874</v>
      </c>
      <c r="S19" s="104">
        <f t="shared" si="13"/>
        <v>73990014</v>
      </c>
      <c r="T19" s="104">
        <f t="shared" si="14"/>
        <v>57237558</v>
      </c>
      <c r="U19" s="104">
        <f t="shared" si="15"/>
        <v>59331615</v>
      </c>
      <c r="V19" s="104">
        <f t="shared" si="16"/>
        <v>27222741</v>
      </c>
      <c r="W19" s="104">
        <f t="shared" si="3"/>
        <v>249890802</v>
      </c>
    </row>
    <row r="20" spans="1:23" x14ac:dyDescent="0.25">
      <c r="A20" s="21" t="s">
        <v>68</v>
      </c>
      <c r="B20" s="21" t="s">
        <v>5</v>
      </c>
      <c r="C20" s="26" t="s">
        <v>228</v>
      </c>
      <c r="D20" s="26" t="s">
        <v>91</v>
      </c>
      <c r="E20" s="69">
        <v>10</v>
      </c>
      <c r="F20" s="69">
        <v>38</v>
      </c>
      <c r="G20" s="69">
        <v>36</v>
      </c>
      <c r="H20" s="69">
        <v>90</v>
      </c>
      <c r="I20" s="69">
        <v>33</v>
      </c>
      <c r="J20" s="70">
        <f t="shared" si="11"/>
        <v>207</v>
      </c>
      <c r="K20" s="29">
        <f t="shared" si="1"/>
        <v>26703</v>
      </c>
      <c r="L20" s="198">
        <v>5385</v>
      </c>
      <c r="M20" s="198">
        <v>5385</v>
      </c>
      <c r="N20" s="198">
        <v>5385</v>
      </c>
      <c r="O20" s="198">
        <v>5385</v>
      </c>
      <c r="P20" s="198">
        <v>5385</v>
      </c>
      <c r="Q20" s="35">
        <f t="shared" si="10"/>
        <v>129</v>
      </c>
      <c r="R20" s="104">
        <f t="shared" si="12"/>
        <v>6946650</v>
      </c>
      <c r="S20" s="104">
        <f t="shared" si="13"/>
        <v>26397270</v>
      </c>
      <c r="T20" s="104">
        <f t="shared" si="14"/>
        <v>25007940</v>
      </c>
      <c r="U20" s="104">
        <f t="shared" si="15"/>
        <v>62519850</v>
      </c>
      <c r="V20" s="104">
        <f t="shared" si="16"/>
        <v>22923945</v>
      </c>
      <c r="W20" s="104">
        <f t="shared" si="3"/>
        <v>143795655</v>
      </c>
    </row>
    <row r="21" spans="1:23" x14ac:dyDescent="0.25">
      <c r="A21" s="21" t="s">
        <v>69</v>
      </c>
      <c r="B21" s="21" t="s">
        <v>6</v>
      </c>
      <c r="C21" s="26" t="s">
        <v>58</v>
      </c>
      <c r="D21" s="26" t="s">
        <v>90</v>
      </c>
      <c r="E21" s="69">
        <v>412</v>
      </c>
      <c r="F21" s="69">
        <v>1410</v>
      </c>
      <c r="G21" s="69">
        <v>1045</v>
      </c>
      <c r="H21" s="69">
        <v>1507</v>
      </c>
      <c r="I21" s="69">
        <v>402</v>
      </c>
      <c r="J21" s="70">
        <f t="shared" si="11"/>
        <v>4776</v>
      </c>
      <c r="K21" s="29">
        <f t="shared" si="1"/>
        <v>616104</v>
      </c>
      <c r="L21" s="221">
        <f>'1,1 SUMINISTRAR COM. PRE UNI. '!E13</f>
        <v>3602</v>
      </c>
      <c r="M21" s="221">
        <f>'1,1 SUMINISTRAR COM. PRE UNI. '!F13</f>
        <v>3784</v>
      </c>
      <c r="N21" s="221">
        <f>'1,1 SUMINISTRAR COM. PRE UNI. '!G13</f>
        <v>4043</v>
      </c>
      <c r="O21" s="221">
        <f>'1,1 SUMINISTRAR COM. PRE UNI. '!H13</f>
        <v>4376</v>
      </c>
      <c r="P21" s="221">
        <f>'1,1 SUMINISTRAR COM. PRE UNI. '!I13</f>
        <v>4685</v>
      </c>
      <c r="Q21" s="35">
        <f t="shared" si="10"/>
        <v>129</v>
      </c>
      <c r="R21" s="104">
        <f t="shared" si="12"/>
        <v>191439096</v>
      </c>
      <c r="S21" s="104">
        <f t="shared" si="13"/>
        <v>688271760</v>
      </c>
      <c r="T21" s="104">
        <f t="shared" si="14"/>
        <v>545016615</v>
      </c>
      <c r="U21" s="104">
        <f t="shared" si="15"/>
        <v>850707528</v>
      </c>
      <c r="V21" s="104">
        <f t="shared" si="16"/>
        <v>242954730</v>
      </c>
      <c r="W21" s="104">
        <f t="shared" si="3"/>
        <v>2518389729</v>
      </c>
    </row>
    <row r="22" spans="1:23" x14ac:dyDescent="0.25">
      <c r="A22" s="21" t="s">
        <v>69</v>
      </c>
      <c r="B22" s="21" t="s">
        <v>6</v>
      </c>
      <c r="C22" s="26" t="s">
        <v>58</v>
      </c>
      <c r="D22" s="31" t="s">
        <v>89</v>
      </c>
      <c r="E22" s="71">
        <v>40</v>
      </c>
      <c r="F22" s="71">
        <v>131</v>
      </c>
      <c r="G22" s="71">
        <v>94</v>
      </c>
      <c r="H22" s="71">
        <v>289</v>
      </c>
      <c r="I22" s="71">
        <v>373</v>
      </c>
      <c r="J22" s="70">
        <f t="shared" si="11"/>
        <v>927</v>
      </c>
      <c r="K22" s="29">
        <f t="shared" si="1"/>
        <v>119583</v>
      </c>
      <c r="L22" s="221">
        <f>'1,1 SUMINISTRAR COM. PRE UNI. '!O13</f>
        <v>4717</v>
      </c>
      <c r="M22" s="221">
        <f>'1,1 SUMINISTRAR COM. PRE UNI. '!P13</f>
        <v>5101</v>
      </c>
      <c r="N22" s="221">
        <f>'1,1 SUMINISTRAR COM. PRE UNI. '!Q13</f>
        <v>5447</v>
      </c>
      <c r="O22" s="221">
        <f>'1,1 SUMINISTRAR COM. PRE UNI. '!R13</f>
        <v>6028</v>
      </c>
      <c r="P22" s="221">
        <f>'1,1 SUMINISTRAR COM. PRE UNI. '!S13</f>
        <v>6513</v>
      </c>
      <c r="Q22" s="35">
        <f t="shared" si="10"/>
        <v>129</v>
      </c>
      <c r="R22" s="104">
        <f t="shared" si="12"/>
        <v>24339720</v>
      </c>
      <c r="S22" s="104">
        <f t="shared" si="13"/>
        <v>86201799</v>
      </c>
      <c r="T22" s="104">
        <f t="shared" si="14"/>
        <v>66050322</v>
      </c>
      <c r="U22" s="104">
        <f t="shared" si="15"/>
        <v>224729868</v>
      </c>
      <c r="V22" s="104">
        <f t="shared" si="16"/>
        <v>313386021</v>
      </c>
      <c r="W22" s="104">
        <f t="shared" si="3"/>
        <v>714707730</v>
      </c>
    </row>
    <row r="23" spans="1:23" x14ac:dyDescent="0.25">
      <c r="A23" s="21" t="s">
        <v>68</v>
      </c>
      <c r="B23" s="36" t="s">
        <v>7</v>
      </c>
      <c r="C23" s="26" t="s">
        <v>58</v>
      </c>
      <c r="D23" s="31" t="s">
        <v>90</v>
      </c>
      <c r="E23" s="69">
        <v>12</v>
      </c>
      <c r="F23" s="69">
        <v>88</v>
      </c>
      <c r="G23" s="69">
        <v>65</v>
      </c>
      <c r="H23" s="69">
        <v>241</v>
      </c>
      <c r="I23" s="69">
        <v>0</v>
      </c>
      <c r="J23" s="70">
        <f t="shared" si="11"/>
        <v>406</v>
      </c>
      <c r="K23" s="29">
        <f t="shared" si="1"/>
        <v>52374</v>
      </c>
      <c r="L23" s="222">
        <f>$L$16</f>
        <v>3265</v>
      </c>
      <c r="M23" s="222">
        <f>$M$16</f>
        <v>3447</v>
      </c>
      <c r="N23" s="222">
        <f>$N$16</f>
        <v>3706</v>
      </c>
      <c r="O23" s="222">
        <f>$O$16</f>
        <v>4039</v>
      </c>
      <c r="P23" s="222">
        <f>$P$16</f>
        <v>4348</v>
      </c>
      <c r="Q23" s="35">
        <f t="shared" si="10"/>
        <v>129</v>
      </c>
      <c r="R23" s="104">
        <f t="shared" si="12"/>
        <v>5054220</v>
      </c>
      <c r="S23" s="104">
        <f t="shared" si="13"/>
        <v>39130344</v>
      </c>
      <c r="T23" s="104">
        <f t="shared" si="14"/>
        <v>31074810</v>
      </c>
      <c r="U23" s="104">
        <f t="shared" si="15"/>
        <v>125568471</v>
      </c>
      <c r="V23" s="104">
        <f t="shared" si="16"/>
        <v>0</v>
      </c>
      <c r="W23" s="104">
        <f t="shared" si="3"/>
        <v>200827845</v>
      </c>
    </row>
    <row r="24" spans="1:23" ht="16.5" customHeight="1" x14ac:dyDescent="0.25">
      <c r="A24" s="34" t="s">
        <v>68</v>
      </c>
      <c r="B24" s="36" t="s">
        <v>7</v>
      </c>
      <c r="C24" s="26" t="s">
        <v>58</v>
      </c>
      <c r="D24" s="26" t="s">
        <v>89</v>
      </c>
      <c r="E24" s="69">
        <v>37</v>
      </c>
      <c r="F24" s="69">
        <v>133</v>
      </c>
      <c r="G24" s="69">
        <v>127</v>
      </c>
      <c r="H24" s="69">
        <v>593</v>
      </c>
      <c r="I24" s="69">
        <v>378</v>
      </c>
      <c r="J24" s="70">
        <f t="shared" si="11"/>
        <v>1268</v>
      </c>
      <c r="K24" s="29">
        <f t="shared" si="1"/>
        <v>163572</v>
      </c>
      <c r="L24" s="222">
        <f>$L$17</f>
        <v>4304</v>
      </c>
      <c r="M24" s="222">
        <f>$M$17</f>
        <v>4688</v>
      </c>
      <c r="N24" s="222">
        <f>$N$17</f>
        <v>5034</v>
      </c>
      <c r="O24" s="222">
        <f>$O$17</f>
        <v>5615</v>
      </c>
      <c r="P24" s="222">
        <f>$P$17</f>
        <v>6035</v>
      </c>
      <c r="Q24" s="35">
        <f t="shared" si="10"/>
        <v>129</v>
      </c>
      <c r="R24" s="104">
        <f t="shared" si="12"/>
        <v>20542992</v>
      </c>
      <c r="S24" s="104">
        <f t="shared" si="13"/>
        <v>80432016</v>
      </c>
      <c r="T24" s="104">
        <f t="shared" si="14"/>
        <v>82472022</v>
      </c>
      <c r="U24" s="104">
        <f t="shared" si="15"/>
        <v>429530655</v>
      </c>
      <c r="V24" s="104">
        <f t="shared" si="16"/>
        <v>294278670</v>
      </c>
      <c r="W24" s="104">
        <f t="shared" si="3"/>
        <v>907256355</v>
      </c>
    </row>
    <row r="25" spans="1:23" x14ac:dyDescent="0.25">
      <c r="A25" s="34" t="s">
        <v>68</v>
      </c>
      <c r="B25" s="21" t="s">
        <v>7</v>
      </c>
      <c r="C25" s="26" t="s">
        <v>229</v>
      </c>
      <c r="D25" s="26" t="s">
        <v>91</v>
      </c>
      <c r="E25" s="69">
        <v>571</v>
      </c>
      <c r="F25" s="69">
        <v>1948</v>
      </c>
      <c r="G25" s="69">
        <v>1366</v>
      </c>
      <c r="H25" s="69">
        <v>1845</v>
      </c>
      <c r="I25" s="69">
        <v>670</v>
      </c>
      <c r="J25" s="70">
        <f t="shared" si="11"/>
        <v>6400</v>
      </c>
      <c r="K25" s="29">
        <f t="shared" si="1"/>
        <v>825600</v>
      </c>
      <c r="L25" s="198">
        <f>'1,1 SUMINISTRAR COM. PRE UNI. '!AO80</f>
        <v>5411</v>
      </c>
      <c r="M25" s="198">
        <f>$L$25</f>
        <v>5411</v>
      </c>
      <c r="N25" s="198">
        <f t="shared" ref="N25:P26" si="20">$L$25</f>
        <v>5411</v>
      </c>
      <c r="O25" s="198">
        <f t="shared" si="20"/>
        <v>5411</v>
      </c>
      <c r="P25" s="198">
        <f t="shared" si="20"/>
        <v>5411</v>
      </c>
      <c r="Q25" s="35">
        <f t="shared" si="10"/>
        <v>129</v>
      </c>
      <c r="R25" s="104">
        <f t="shared" si="12"/>
        <v>398568849</v>
      </c>
      <c r="S25" s="104">
        <f t="shared" si="13"/>
        <v>1359741012</v>
      </c>
      <c r="T25" s="104">
        <f t="shared" si="14"/>
        <v>953493954</v>
      </c>
      <c r="U25" s="104">
        <f t="shared" si="15"/>
        <v>1287845055</v>
      </c>
      <c r="V25" s="104">
        <f t="shared" si="16"/>
        <v>467672730</v>
      </c>
      <c r="W25" s="104">
        <f t="shared" si="3"/>
        <v>4467321600</v>
      </c>
    </row>
    <row r="26" spans="1:23" x14ac:dyDescent="0.25">
      <c r="A26" s="34" t="s">
        <v>68</v>
      </c>
      <c r="B26" s="21" t="s">
        <v>7</v>
      </c>
      <c r="C26" s="26" t="s">
        <v>229</v>
      </c>
      <c r="D26" s="26" t="s">
        <v>156</v>
      </c>
      <c r="E26" s="69">
        <v>6</v>
      </c>
      <c r="F26" s="69">
        <v>0</v>
      </c>
      <c r="G26" s="69">
        <v>0</v>
      </c>
      <c r="H26" s="69">
        <v>0</v>
      </c>
      <c r="I26" s="69">
        <v>0</v>
      </c>
      <c r="J26" s="70">
        <f t="shared" si="11"/>
        <v>6</v>
      </c>
      <c r="K26" s="29">
        <f t="shared" si="1"/>
        <v>774</v>
      </c>
      <c r="L26" s="198">
        <f>$L$25</f>
        <v>5411</v>
      </c>
      <c r="M26" s="198">
        <f t="shared" ref="M26" si="21">$L$25</f>
        <v>5411</v>
      </c>
      <c r="N26" s="198">
        <f t="shared" si="20"/>
        <v>5411</v>
      </c>
      <c r="O26" s="198">
        <f t="shared" si="20"/>
        <v>5411</v>
      </c>
      <c r="P26" s="198">
        <f t="shared" si="20"/>
        <v>5411</v>
      </c>
      <c r="Q26" s="35">
        <f t="shared" si="10"/>
        <v>129</v>
      </c>
      <c r="R26" s="104">
        <f t="shared" si="12"/>
        <v>4188114</v>
      </c>
      <c r="S26" s="104">
        <f t="shared" si="13"/>
        <v>0</v>
      </c>
      <c r="T26" s="104">
        <f t="shared" si="14"/>
        <v>0</v>
      </c>
      <c r="U26" s="104">
        <f t="shared" si="15"/>
        <v>0</v>
      </c>
      <c r="V26" s="104">
        <f t="shared" si="16"/>
        <v>0</v>
      </c>
      <c r="W26" s="104">
        <f t="shared" si="3"/>
        <v>4188114</v>
      </c>
    </row>
    <row r="27" spans="1:23" x14ac:dyDescent="0.25">
      <c r="A27" s="34" t="s">
        <v>68</v>
      </c>
      <c r="B27" s="21" t="s">
        <v>7</v>
      </c>
      <c r="C27" s="26" t="s">
        <v>228</v>
      </c>
      <c r="D27" s="26" t="s">
        <v>91</v>
      </c>
      <c r="E27" s="69">
        <v>16</v>
      </c>
      <c r="F27" s="69">
        <v>68</v>
      </c>
      <c r="G27" s="69">
        <v>55</v>
      </c>
      <c r="H27" s="69">
        <v>62</v>
      </c>
      <c r="I27" s="69">
        <v>32</v>
      </c>
      <c r="J27" s="70">
        <f t="shared" si="11"/>
        <v>233</v>
      </c>
      <c r="K27" s="29">
        <f t="shared" si="1"/>
        <v>30057</v>
      </c>
      <c r="L27" s="198">
        <v>5385</v>
      </c>
      <c r="M27" s="198">
        <v>5385</v>
      </c>
      <c r="N27" s="198">
        <v>5385</v>
      </c>
      <c r="O27" s="198">
        <v>5385</v>
      </c>
      <c r="P27" s="198">
        <v>5385</v>
      </c>
      <c r="Q27" s="35">
        <f t="shared" si="10"/>
        <v>129</v>
      </c>
      <c r="R27" s="104">
        <f t="shared" si="12"/>
        <v>11114640</v>
      </c>
      <c r="S27" s="104">
        <f t="shared" si="13"/>
        <v>47237220</v>
      </c>
      <c r="T27" s="104">
        <f t="shared" si="14"/>
        <v>38206575</v>
      </c>
      <c r="U27" s="104">
        <f t="shared" si="15"/>
        <v>43069230</v>
      </c>
      <c r="V27" s="104">
        <f t="shared" si="16"/>
        <v>22229280</v>
      </c>
      <c r="W27" s="104">
        <f t="shared" si="3"/>
        <v>161856945</v>
      </c>
    </row>
    <row r="28" spans="1:23" x14ac:dyDescent="0.25">
      <c r="A28" s="34" t="s">
        <v>68</v>
      </c>
      <c r="B28" s="36" t="s">
        <v>8</v>
      </c>
      <c r="C28" s="26" t="s">
        <v>58</v>
      </c>
      <c r="D28" s="26" t="s">
        <v>90</v>
      </c>
      <c r="E28" s="69">
        <v>147</v>
      </c>
      <c r="F28" s="69">
        <v>637</v>
      </c>
      <c r="G28" s="69">
        <v>453</v>
      </c>
      <c r="H28" s="69">
        <v>736</v>
      </c>
      <c r="I28" s="69">
        <v>0</v>
      </c>
      <c r="J28" s="70">
        <f t="shared" si="11"/>
        <v>1973</v>
      </c>
      <c r="K28" s="29">
        <f t="shared" si="1"/>
        <v>254517</v>
      </c>
      <c r="L28" s="222">
        <f>$L$16</f>
        <v>3265</v>
      </c>
      <c r="M28" s="222">
        <f>$M$16</f>
        <v>3447</v>
      </c>
      <c r="N28" s="222">
        <f>$N$16</f>
        <v>3706</v>
      </c>
      <c r="O28" s="222">
        <f>$O$16</f>
        <v>4039</v>
      </c>
      <c r="P28" s="222">
        <f>$P$16</f>
        <v>4348</v>
      </c>
      <c r="Q28" s="35">
        <f t="shared" si="10"/>
        <v>129</v>
      </c>
      <c r="R28" s="104">
        <f t="shared" si="12"/>
        <v>61914195</v>
      </c>
      <c r="S28" s="104">
        <f t="shared" si="13"/>
        <v>283250331</v>
      </c>
      <c r="T28" s="104">
        <f t="shared" si="14"/>
        <v>216567522</v>
      </c>
      <c r="U28" s="104">
        <f t="shared" si="15"/>
        <v>383478816</v>
      </c>
      <c r="V28" s="104">
        <f t="shared" si="16"/>
        <v>0</v>
      </c>
      <c r="W28" s="104">
        <f t="shared" si="3"/>
        <v>945210864</v>
      </c>
    </row>
    <row r="29" spans="1:23" x14ac:dyDescent="0.25">
      <c r="A29" s="34" t="s">
        <v>68</v>
      </c>
      <c r="B29" s="36" t="s">
        <v>8</v>
      </c>
      <c r="C29" s="26" t="s">
        <v>58</v>
      </c>
      <c r="D29" s="26" t="s">
        <v>89</v>
      </c>
      <c r="E29" s="69">
        <v>0</v>
      </c>
      <c r="F29" s="69">
        <v>0</v>
      </c>
      <c r="G29" s="69">
        <v>0</v>
      </c>
      <c r="H29" s="69">
        <v>0</v>
      </c>
      <c r="I29" s="69">
        <v>255</v>
      </c>
      <c r="J29" s="70">
        <f t="shared" si="11"/>
        <v>255</v>
      </c>
      <c r="K29" s="29">
        <f t="shared" si="1"/>
        <v>32895</v>
      </c>
      <c r="L29" s="222">
        <f>$L$17</f>
        <v>4304</v>
      </c>
      <c r="M29" s="222">
        <f>$M$17</f>
        <v>4688</v>
      </c>
      <c r="N29" s="222">
        <f>$N$17</f>
        <v>5034</v>
      </c>
      <c r="O29" s="222">
        <f>$O$17</f>
        <v>5615</v>
      </c>
      <c r="P29" s="222">
        <f>$P$17</f>
        <v>6035</v>
      </c>
      <c r="Q29" s="35">
        <f t="shared" si="10"/>
        <v>129</v>
      </c>
      <c r="R29" s="104">
        <f t="shared" si="12"/>
        <v>0</v>
      </c>
      <c r="S29" s="104">
        <f t="shared" si="13"/>
        <v>0</v>
      </c>
      <c r="T29" s="104">
        <f t="shared" si="14"/>
        <v>0</v>
      </c>
      <c r="U29" s="104">
        <f t="shared" si="15"/>
        <v>0</v>
      </c>
      <c r="V29" s="104">
        <f t="shared" si="16"/>
        <v>198521325</v>
      </c>
      <c r="W29" s="104">
        <f t="shared" si="3"/>
        <v>198521325</v>
      </c>
    </row>
    <row r="30" spans="1:23" x14ac:dyDescent="0.25">
      <c r="A30" s="34" t="s">
        <v>68</v>
      </c>
      <c r="B30" s="21" t="s">
        <v>8</v>
      </c>
      <c r="C30" s="26" t="s">
        <v>230</v>
      </c>
      <c r="D30" s="26" t="s">
        <v>91</v>
      </c>
      <c r="E30" s="69">
        <v>144</v>
      </c>
      <c r="F30" s="69">
        <v>532</v>
      </c>
      <c r="G30" s="69">
        <v>352</v>
      </c>
      <c r="H30" s="69">
        <v>463</v>
      </c>
      <c r="I30" s="69">
        <v>206</v>
      </c>
      <c r="J30" s="70">
        <f t="shared" si="11"/>
        <v>1697</v>
      </c>
      <c r="K30" s="29">
        <f t="shared" si="1"/>
        <v>218913</v>
      </c>
      <c r="L30" s="198">
        <f>'1,1 SUMINISTRAR COM. PRE UNI. '!O105</f>
        <v>5411</v>
      </c>
      <c r="M30" s="198">
        <f>$L$30</f>
        <v>5411</v>
      </c>
      <c r="N30" s="198">
        <f t="shared" ref="N30:P30" si="22">$L$30</f>
        <v>5411</v>
      </c>
      <c r="O30" s="198">
        <f t="shared" si="22"/>
        <v>5411</v>
      </c>
      <c r="P30" s="198">
        <f t="shared" si="22"/>
        <v>5411</v>
      </c>
      <c r="Q30" s="35">
        <f t="shared" si="10"/>
        <v>129</v>
      </c>
      <c r="R30" s="104">
        <f t="shared" si="12"/>
        <v>100514736</v>
      </c>
      <c r="S30" s="104">
        <f t="shared" si="13"/>
        <v>371346108</v>
      </c>
      <c r="T30" s="104">
        <f t="shared" si="14"/>
        <v>245702688</v>
      </c>
      <c r="U30" s="104">
        <f t="shared" si="15"/>
        <v>323182797</v>
      </c>
      <c r="V30" s="104">
        <f t="shared" si="16"/>
        <v>143791914</v>
      </c>
      <c r="W30" s="104">
        <f t="shared" si="3"/>
        <v>1184538243</v>
      </c>
    </row>
    <row r="31" spans="1:23" x14ac:dyDescent="0.25">
      <c r="A31" s="21" t="s">
        <v>68</v>
      </c>
      <c r="B31" s="36" t="s">
        <v>9</v>
      </c>
      <c r="C31" s="26" t="s">
        <v>58</v>
      </c>
      <c r="D31" s="26" t="s">
        <v>157</v>
      </c>
      <c r="E31" s="69">
        <v>182</v>
      </c>
      <c r="F31" s="69">
        <v>732</v>
      </c>
      <c r="G31" s="69">
        <v>562</v>
      </c>
      <c r="H31" s="69">
        <v>84</v>
      </c>
      <c r="I31" s="69">
        <v>0</v>
      </c>
      <c r="J31" s="70">
        <f t="shared" si="11"/>
        <v>1560</v>
      </c>
      <c r="K31" s="29">
        <f t="shared" si="1"/>
        <v>201240</v>
      </c>
      <c r="L31" s="222">
        <f t="shared" ref="L31:L32" si="23">$L$16</f>
        <v>3265</v>
      </c>
      <c r="M31" s="222">
        <f t="shared" ref="M31:M32" si="24">$M$16</f>
        <v>3447</v>
      </c>
      <c r="N31" s="222">
        <f t="shared" ref="N31:N32" si="25">$N$16</f>
        <v>3706</v>
      </c>
      <c r="O31" s="222">
        <f t="shared" ref="O31:O32" si="26">$O$16</f>
        <v>4039</v>
      </c>
      <c r="P31" s="222">
        <f t="shared" ref="P31:P32" si="27">$P$16</f>
        <v>4348</v>
      </c>
      <c r="Q31" s="35">
        <f t="shared" si="10"/>
        <v>129</v>
      </c>
      <c r="R31" s="104">
        <f t="shared" si="12"/>
        <v>76655670</v>
      </c>
      <c r="S31" s="104">
        <f t="shared" si="13"/>
        <v>325493316</v>
      </c>
      <c r="T31" s="104">
        <f t="shared" si="14"/>
        <v>268677588</v>
      </c>
      <c r="U31" s="104">
        <f t="shared" si="15"/>
        <v>43766604</v>
      </c>
      <c r="V31" s="104">
        <f t="shared" si="16"/>
        <v>0</v>
      </c>
      <c r="W31" s="104">
        <f t="shared" si="3"/>
        <v>714593178</v>
      </c>
    </row>
    <row r="32" spans="1:23" x14ac:dyDescent="0.25">
      <c r="A32" s="21" t="s">
        <v>68</v>
      </c>
      <c r="B32" s="36" t="s">
        <v>9</v>
      </c>
      <c r="C32" s="26" t="s">
        <v>58</v>
      </c>
      <c r="D32" s="26" t="s">
        <v>156</v>
      </c>
      <c r="E32" s="69">
        <v>0</v>
      </c>
      <c r="F32" s="69">
        <v>0</v>
      </c>
      <c r="G32" s="69">
        <v>0</v>
      </c>
      <c r="H32" s="69">
        <v>322</v>
      </c>
      <c r="I32" s="69">
        <v>0</v>
      </c>
      <c r="J32" s="70">
        <f t="shared" si="11"/>
        <v>322</v>
      </c>
      <c r="K32" s="29">
        <f t="shared" si="1"/>
        <v>41538</v>
      </c>
      <c r="L32" s="222">
        <f t="shared" si="23"/>
        <v>3265</v>
      </c>
      <c r="M32" s="222">
        <f t="shared" si="24"/>
        <v>3447</v>
      </c>
      <c r="N32" s="222">
        <f t="shared" si="25"/>
        <v>3706</v>
      </c>
      <c r="O32" s="222">
        <f t="shared" si="26"/>
        <v>4039</v>
      </c>
      <c r="P32" s="222">
        <f t="shared" si="27"/>
        <v>4348</v>
      </c>
      <c r="Q32" s="35">
        <f t="shared" si="10"/>
        <v>129</v>
      </c>
      <c r="R32" s="104">
        <f t="shared" si="12"/>
        <v>0</v>
      </c>
      <c r="S32" s="104">
        <f t="shared" si="13"/>
        <v>0</v>
      </c>
      <c r="T32" s="104">
        <f t="shared" si="14"/>
        <v>0</v>
      </c>
      <c r="U32" s="104">
        <f t="shared" si="15"/>
        <v>167771982</v>
      </c>
      <c r="V32" s="104">
        <f t="shared" si="16"/>
        <v>0</v>
      </c>
      <c r="W32" s="104">
        <f t="shared" si="3"/>
        <v>167771982</v>
      </c>
    </row>
    <row r="33" spans="1:23" x14ac:dyDescent="0.25">
      <c r="A33" s="21" t="s">
        <v>68</v>
      </c>
      <c r="B33" s="36" t="s">
        <v>9</v>
      </c>
      <c r="C33" s="26" t="s">
        <v>58</v>
      </c>
      <c r="D33" s="26" t="s">
        <v>89</v>
      </c>
      <c r="E33" s="69">
        <v>0</v>
      </c>
      <c r="F33" s="69">
        <v>0</v>
      </c>
      <c r="G33" s="69">
        <v>0</v>
      </c>
      <c r="H33" s="69">
        <v>366</v>
      </c>
      <c r="I33" s="69">
        <v>194</v>
      </c>
      <c r="J33" s="70">
        <f t="shared" si="11"/>
        <v>560</v>
      </c>
      <c r="K33" s="29">
        <f t="shared" si="1"/>
        <v>72240</v>
      </c>
      <c r="L33" s="222">
        <f>$L$17</f>
        <v>4304</v>
      </c>
      <c r="M33" s="222">
        <f>$M$17</f>
        <v>4688</v>
      </c>
      <c r="N33" s="222">
        <f>$N$17</f>
        <v>5034</v>
      </c>
      <c r="O33" s="222">
        <f>$O$17</f>
        <v>5615</v>
      </c>
      <c r="P33" s="222">
        <f>$P$17</f>
        <v>6035</v>
      </c>
      <c r="Q33" s="35">
        <f t="shared" si="10"/>
        <v>129</v>
      </c>
      <c r="R33" s="104">
        <f t="shared" si="12"/>
        <v>0</v>
      </c>
      <c r="S33" s="104">
        <f t="shared" si="13"/>
        <v>0</v>
      </c>
      <c r="T33" s="104">
        <f t="shared" si="14"/>
        <v>0</v>
      </c>
      <c r="U33" s="104">
        <f t="shared" si="15"/>
        <v>265106610</v>
      </c>
      <c r="V33" s="104">
        <f t="shared" si="16"/>
        <v>151031910</v>
      </c>
      <c r="W33" s="104">
        <f t="shared" si="3"/>
        <v>416138520</v>
      </c>
    </row>
    <row r="34" spans="1:23" ht="16.5" customHeight="1" x14ac:dyDescent="0.25">
      <c r="A34" s="21" t="s">
        <v>68</v>
      </c>
      <c r="B34" s="21" t="s">
        <v>9</v>
      </c>
      <c r="C34" s="26" t="s">
        <v>231</v>
      </c>
      <c r="D34" s="26" t="s">
        <v>91</v>
      </c>
      <c r="E34" s="69">
        <v>101</v>
      </c>
      <c r="F34" s="69">
        <v>363</v>
      </c>
      <c r="G34" s="69">
        <v>239</v>
      </c>
      <c r="H34" s="69">
        <v>342</v>
      </c>
      <c r="I34" s="69">
        <v>146</v>
      </c>
      <c r="J34" s="70">
        <f t="shared" si="11"/>
        <v>1191</v>
      </c>
      <c r="K34" s="29">
        <f t="shared" si="1"/>
        <v>153639</v>
      </c>
      <c r="L34" s="215">
        <f>'1,1 SUMINISTRAR COM. PRE UNI. '!E105</f>
        <v>5411</v>
      </c>
      <c r="M34" s="215">
        <f>$L$34</f>
        <v>5411</v>
      </c>
      <c r="N34" s="215">
        <f t="shared" ref="N34:P34" si="28">$L$34</f>
        <v>5411</v>
      </c>
      <c r="O34" s="215">
        <f t="shared" si="28"/>
        <v>5411</v>
      </c>
      <c r="P34" s="215">
        <f t="shared" si="28"/>
        <v>5411</v>
      </c>
      <c r="Q34" s="35">
        <f t="shared" si="10"/>
        <v>129</v>
      </c>
      <c r="R34" s="104">
        <f t="shared" si="12"/>
        <v>70499919</v>
      </c>
      <c r="S34" s="104">
        <f t="shared" si="13"/>
        <v>253380897</v>
      </c>
      <c r="T34" s="104">
        <f t="shared" si="14"/>
        <v>166826541</v>
      </c>
      <c r="U34" s="104">
        <f t="shared" si="15"/>
        <v>238722498</v>
      </c>
      <c r="V34" s="104">
        <f t="shared" si="16"/>
        <v>101910774</v>
      </c>
      <c r="W34" s="104">
        <f t="shared" si="3"/>
        <v>831340629</v>
      </c>
    </row>
    <row r="35" spans="1:23" x14ac:dyDescent="0.25">
      <c r="A35" s="34" t="s">
        <v>69</v>
      </c>
      <c r="B35" s="21" t="s">
        <v>10</v>
      </c>
      <c r="C35" s="26" t="s">
        <v>58</v>
      </c>
      <c r="D35" s="31" t="s">
        <v>90</v>
      </c>
      <c r="E35" s="69">
        <v>324</v>
      </c>
      <c r="F35" s="69">
        <v>1048</v>
      </c>
      <c r="G35" s="69">
        <v>752</v>
      </c>
      <c r="H35" s="69">
        <v>1447</v>
      </c>
      <c r="I35" s="69">
        <v>339</v>
      </c>
      <c r="J35" s="70">
        <f t="shared" si="11"/>
        <v>3910</v>
      </c>
      <c r="K35" s="29">
        <f t="shared" si="1"/>
        <v>504390</v>
      </c>
      <c r="L35" s="221">
        <f>$L$21</f>
        <v>3602</v>
      </c>
      <c r="M35" s="221">
        <f>$M$21</f>
        <v>3784</v>
      </c>
      <c r="N35" s="221">
        <f>$N$21</f>
        <v>4043</v>
      </c>
      <c r="O35" s="221">
        <f>$O$21</f>
        <v>4376</v>
      </c>
      <c r="P35" s="221">
        <f>$P$21</f>
        <v>4685</v>
      </c>
      <c r="Q35" s="35">
        <f t="shared" si="10"/>
        <v>129</v>
      </c>
      <c r="R35" s="104">
        <f t="shared" si="12"/>
        <v>150549192</v>
      </c>
      <c r="S35" s="104">
        <f t="shared" si="13"/>
        <v>511566528</v>
      </c>
      <c r="T35" s="104">
        <f t="shared" si="14"/>
        <v>392203344</v>
      </c>
      <c r="U35" s="104">
        <f t="shared" si="15"/>
        <v>816837288</v>
      </c>
      <c r="V35" s="104">
        <f t="shared" si="16"/>
        <v>204879735</v>
      </c>
      <c r="W35" s="104">
        <f t="shared" si="3"/>
        <v>2076036087</v>
      </c>
    </row>
    <row r="36" spans="1:23" x14ac:dyDescent="0.25">
      <c r="A36" s="34" t="s">
        <v>69</v>
      </c>
      <c r="B36" s="21" t="s">
        <v>10</v>
      </c>
      <c r="C36" s="26" t="s">
        <v>58</v>
      </c>
      <c r="D36" s="31" t="s">
        <v>156</v>
      </c>
      <c r="E36" s="69">
        <v>10</v>
      </c>
      <c r="F36" s="69">
        <v>0</v>
      </c>
      <c r="G36" s="69">
        <v>0</v>
      </c>
      <c r="H36" s="69">
        <v>0</v>
      </c>
      <c r="I36" s="69">
        <v>0</v>
      </c>
      <c r="J36" s="70">
        <f t="shared" si="11"/>
        <v>10</v>
      </c>
      <c r="K36" s="29">
        <f t="shared" si="1"/>
        <v>1290</v>
      </c>
      <c r="L36" s="221">
        <f>$L$21</f>
        <v>3602</v>
      </c>
      <c r="M36" s="221">
        <f>$M$21</f>
        <v>3784</v>
      </c>
      <c r="N36" s="221">
        <f>$N$21</f>
        <v>4043</v>
      </c>
      <c r="O36" s="221">
        <f>$O$21</f>
        <v>4376</v>
      </c>
      <c r="P36" s="221">
        <f>$P$21</f>
        <v>4685</v>
      </c>
      <c r="Q36" s="35">
        <f t="shared" si="10"/>
        <v>129</v>
      </c>
      <c r="R36" s="104">
        <f t="shared" si="12"/>
        <v>4646580</v>
      </c>
      <c r="S36" s="104">
        <f t="shared" si="13"/>
        <v>0</v>
      </c>
      <c r="T36" s="104">
        <f t="shared" si="14"/>
        <v>0</v>
      </c>
      <c r="U36" s="104">
        <f t="shared" si="15"/>
        <v>0</v>
      </c>
      <c r="V36" s="104">
        <f t="shared" si="16"/>
        <v>0</v>
      </c>
      <c r="W36" s="104">
        <f t="shared" si="3"/>
        <v>4646580</v>
      </c>
    </row>
    <row r="37" spans="1:23" x14ac:dyDescent="0.25">
      <c r="A37" s="34" t="s">
        <v>69</v>
      </c>
      <c r="B37" s="21" t="s">
        <v>10</v>
      </c>
      <c r="C37" s="26" t="s">
        <v>58</v>
      </c>
      <c r="D37" s="31" t="s">
        <v>89</v>
      </c>
      <c r="E37" s="71">
        <v>0</v>
      </c>
      <c r="F37" s="71">
        <v>0</v>
      </c>
      <c r="G37" s="71">
        <v>0</v>
      </c>
      <c r="H37" s="71">
        <v>76</v>
      </c>
      <c r="I37" s="71">
        <v>255</v>
      </c>
      <c r="J37" s="70">
        <f t="shared" si="11"/>
        <v>331</v>
      </c>
      <c r="K37" s="29">
        <f t="shared" si="1"/>
        <v>42699</v>
      </c>
      <c r="L37" s="221">
        <f>$L$22</f>
        <v>4717</v>
      </c>
      <c r="M37" s="221">
        <f>$M$22</f>
        <v>5101</v>
      </c>
      <c r="N37" s="221">
        <f>$N$22</f>
        <v>5447</v>
      </c>
      <c r="O37" s="221">
        <f>$O$22</f>
        <v>6028</v>
      </c>
      <c r="P37" s="221">
        <f>$P$22</f>
        <v>6513</v>
      </c>
      <c r="Q37" s="35">
        <f t="shared" si="10"/>
        <v>129</v>
      </c>
      <c r="R37" s="104">
        <f t="shared" si="12"/>
        <v>0</v>
      </c>
      <c r="S37" s="104">
        <f t="shared" si="13"/>
        <v>0</v>
      </c>
      <c r="T37" s="104">
        <f t="shared" si="14"/>
        <v>0</v>
      </c>
      <c r="U37" s="104">
        <f t="shared" si="15"/>
        <v>59098512</v>
      </c>
      <c r="V37" s="104">
        <f t="shared" si="16"/>
        <v>214245135</v>
      </c>
      <c r="W37" s="104">
        <f t="shared" si="3"/>
        <v>273343647</v>
      </c>
    </row>
    <row r="38" spans="1:23" x14ac:dyDescent="0.25">
      <c r="A38" s="34" t="s">
        <v>69</v>
      </c>
      <c r="B38" s="21" t="s">
        <v>10</v>
      </c>
      <c r="C38" s="26" t="s">
        <v>232</v>
      </c>
      <c r="D38" s="31" t="s">
        <v>91</v>
      </c>
      <c r="E38" s="69">
        <v>31</v>
      </c>
      <c r="F38" s="69">
        <v>62</v>
      </c>
      <c r="G38" s="69">
        <v>47</v>
      </c>
      <c r="H38" s="69">
        <v>131</v>
      </c>
      <c r="I38" s="69">
        <v>67</v>
      </c>
      <c r="J38" s="70">
        <f t="shared" si="11"/>
        <v>338</v>
      </c>
      <c r="K38" s="29">
        <f t="shared" si="1"/>
        <v>43602</v>
      </c>
      <c r="L38" s="213">
        <f>'1,1 SUMINISTRAR COM. PRE UNI. '!O129</f>
        <v>5411</v>
      </c>
      <c r="M38" s="213">
        <f>$L$38</f>
        <v>5411</v>
      </c>
      <c r="N38" s="213">
        <f t="shared" ref="N38:P38" si="29">$L$38</f>
        <v>5411</v>
      </c>
      <c r="O38" s="213">
        <f t="shared" si="29"/>
        <v>5411</v>
      </c>
      <c r="P38" s="213">
        <f t="shared" si="29"/>
        <v>5411</v>
      </c>
      <c r="Q38" s="35">
        <f t="shared" si="10"/>
        <v>129</v>
      </c>
      <c r="R38" s="104">
        <f t="shared" si="12"/>
        <v>21638589</v>
      </c>
      <c r="S38" s="104">
        <f t="shared" si="13"/>
        <v>43277178</v>
      </c>
      <c r="T38" s="104">
        <f t="shared" si="14"/>
        <v>32806893</v>
      </c>
      <c r="U38" s="104">
        <f t="shared" si="15"/>
        <v>91440489</v>
      </c>
      <c r="V38" s="104">
        <f t="shared" si="16"/>
        <v>46767273</v>
      </c>
      <c r="W38" s="104">
        <f t="shared" si="3"/>
        <v>235930422</v>
      </c>
    </row>
    <row r="39" spans="1:23" x14ac:dyDescent="0.25">
      <c r="A39" s="34" t="s">
        <v>67</v>
      </c>
      <c r="B39" s="36" t="s">
        <v>11</v>
      </c>
      <c r="C39" s="26" t="s">
        <v>58</v>
      </c>
      <c r="D39" s="31" t="s">
        <v>90</v>
      </c>
      <c r="E39" s="69">
        <v>52</v>
      </c>
      <c r="F39" s="69">
        <v>254</v>
      </c>
      <c r="G39" s="69">
        <v>143</v>
      </c>
      <c r="H39" s="69">
        <v>237</v>
      </c>
      <c r="I39" s="69">
        <v>140</v>
      </c>
      <c r="J39" s="70">
        <f t="shared" si="11"/>
        <v>826</v>
      </c>
      <c r="K39" s="29">
        <f t="shared" si="1"/>
        <v>106554</v>
      </c>
      <c r="L39" s="222">
        <f>$L$7</f>
        <v>3981</v>
      </c>
      <c r="M39" s="222">
        <f>$M$7</f>
        <v>4163</v>
      </c>
      <c r="N39" s="222">
        <f>$N$7</f>
        <v>4422</v>
      </c>
      <c r="O39" s="222">
        <f>$O$7</f>
        <v>4755</v>
      </c>
      <c r="P39" s="222">
        <f>$P$7</f>
        <v>5064</v>
      </c>
      <c r="Q39" s="35">
        <f t="shared" si="10"/>
        <v>129</v>
      </c>
      <c r="R39" s="104">
        <f t="shared" si="12"/>
        <v>26704548</v>
      </c>
      <c r="S39" s="104">
        <f t="shared" si="13"/>
        <v>136404858</v>
      </c>
      <c r="T39" s="104">
        <f t="shared" si="14"/>
        <v>81572634</v>
      </c>
      <c r="U39" s="104">
        <f t="shared" si="15"/>
        <v>145374615</v>
      </c>
      <c r="V39" s="104">
        <f t="shared" si="16"/>
        <v>91455840</v>
      </c>
      <c r="W39" s="104">
        <f t="shared" si="3"/>
        <v>481512495</v>
      </c>
    </row>
    <row r="40" spans="1:23" x14ac:dyDescent="0.25">
      <c r="A40" s="21" t="s">
        <v>68</v>
      </c>
      <c r="B40" s="36" t="s">
        <v>12</v>
      </c>
      <c r="C40" s="26" t="s">
        <v>162</v>
      </c>
      <c r="D40" s="31" t="s">
        <v>166</v>
      </c>
      <c r="E40" s="69">
        <v>168</v>
      </c>
      <c r="F40" s="69">
        <v>749</v>
      </c>
      <c r="G40" s="69">
        <v>450</v>
      </c>
      <c r="H40" s="69">
        <v>333</v>
      </c>
      <c r="I40" s="69">
        <v>171</v>
      </c>
      <c r="J40" s="70">
        <f t="shared" si="11"/>
        <v>1871</v>
      </c>
      <c r="K40" s="29">
        <f t="shared" si="1"/>
        <v>241359</v>
      </c>
      <c r="L40" s="222">
        <f>'1,1 SUMINISTRAR COM. PRE UNI. '!E68</f>
        <v>3304</v>
      </c>
      <c r="M40" s="222">
        <f>'1,1 SUMINISTRAR COM. PRE UNI. '!F68</f>
        <v>3486</v>
      </c>
      <c r="N40" s="222">
        <f>'1,1 SUMINISTRAR COM. PRE UNI. '!G68</f>
        <v>3745</v>
      </c>
      <c r="O40" s="222">
        <f>'1,1 SUMINISTRAR COM. PRE UNI. '!H68</f>
        <v>4078</v>
      </c>
      <c r="P40" s="222">
        <f>'1,1 SUMINISTRAR COM. PRE UNI. '!I68</f>
        <v>4387</v>
      </c>
      <c r="Q40" s="35">
        <f t="shared" si="10"/>
        <v>129</v>
      </c>
      <c r="R40" s="104">
        <f t="shared" si="12"/>
        <v>71604288</v>
      </c>
      <c r="S40" s="104">
        <f t="shared" si="13"/>
        <v>336820806</v>
      </c>
      <c r="T40" s="104">
        <f t="shared" si="14"/>
        <v>217397250</v>
      </c>
      <c r="U40" s="104">
        <f t="shared" si="15"/>
        <v>175178646</v>
      </c>
      <c r="V40" s="104">
        <f t="shared" si="16"/>
        <v>96772833</v>
      </c>
      <c r="W40" s="104">
        <f t="shared" si="3"/>
        <v>897773823</v>
      </c>
    </row>
    <row r="41" spans="1:23" x14ac:dyDescent="0.25">
      <c r="A41" s="34" t="s">
        <v>57</v>
      </c>
      <c r="B41" s="22" t="s">
        <v>13</v>
      </c>
      <c r="C41" s="26" t="s">
        <v>58</v>
      </c>
      <c r="D41" s="31" t="s">
        <v>90</v>
      </c>
      <c r="E41" s="71">
        <v>108</v>
      </c>
      <c r="F41" s="71">
        <v>893</v>
      </c>
      <c r="G41" s="71">
        <v>579</v>
      </c>
      <c r="H41" s="71">
        <v>444</v>
      </c>
      <c r="I41" s="71">
        <v>156</v>
      </c>
      <c r="J41" s="70">
        <f t="shared" si="11"/>
        <v>2180</v>
      </c>
      <c r="K41" s="29">
        <f t="shared" si="1"/>
        <v>281220</v>
      </c>
      <c r="L41" s="222">
        <f>'1,1 SUMINISTRAR COM. PRE UNI. '!E24</f>
        <v>4097</v>
      </c>
      <c r="M41" s="222">
        <f>'1,1 SUMINISTRAR COM. PRE UNI. '!F24</f>
        <v>4482</v>
      </c>
      <c r="N41" s="222">
        <f>'1,1 SUMINISTRAR COM. PRE UNI. '!G24</f>
        <v>4735</v>
      </c>
      <c r="O41" s="222">
        <f>'1,1 SUMINISTRAR COM. PRE UNI. '!H24</f>
        <v>5187</v>
      </c>
      <c r="P41" s="222">
        <f>'1,1 SUMINISTRAR COM. PRE UNI. '!I24</f>
        <v>5482</v>
      </c>
      <c r="Q41" s="35">
        <f t="shared" si="10"/>
        <v>129</v>
      </c>
      <c r="R41" s="104">
        <f t="shared" si="12"/>
        <v>57079404</v>
      </c>
      <c r="S41" s="104">
        <f t="shared" si="13"/>
        <v>516312954</v>
      </c>
      <c r="T41" s="104">
        <f t="shared" si="14"/>
        <v>353661885</v>
      </c>
      <c r="U41" s="104">
        <f t="shared" si="15"/>
        <v>297090612</v>
      </c>
      <c r="V41" s="104">
        <f t="shared" si="16"/>
        <v>110319768</v>
      </c>
      <c r="W41" s="104">
        <f t="shared" si="3"/>
        <v>1334464623</v>
      </c>
    </row>
    <row r="42" spans="1:23" x14ac:dyDescent="0.25">
      <c r="A42" s="34" t="s">
        <v>57</v>
      </c>
      <c r="B42" s="22" t="s">
        <v>13</v>
      </c>
      <c r="C42" s="26" t="s">
        <v>58</v>
      </c>
      <c r="D42" s="31" t="s">
        <v>156</v>
      </c>
      <c r="E42" s="71">
        <v>10</v>
      </c>
      <c r="F42" s="71">
        <v>0</v>
      </c>
      <c r="G42" s="71">
        <v>0</v>
      </c>
      <c r="H42" s="71">
        <v>0</v>
      </c>
      <c r="I42" s="71">
        <v>0</v>
      </c>
      <c r="J42" s="70">
        <f t="shared" si="11"/>
        <v>10</v>
      </c>
      <c r="K42" s="29">
        <f t="shared" si="1"/>
        <v>1290</v>
      </c>
      <c r="L42" s="222">
        <f>$L$41</f>
        <v>4097</v>
      </c>
      <c r="M42" s="222">
        <f>$M$41</f>
        <v>4482</v>
      </c>
      <c r="N42" s="222">
        <f>$N$41</f>
        <v>4735</v>
      </c>
      <c r="O42" s="222">
        <f>$O$41</f>
        <v>5187</v>
      </c>
      <c r="P42" s="222">
        <f>$P$41</f>
        <v>5482</v>
      </c>
      <c r="Q42" s="35">
        <f t="shared" si="10"/>
        <v>129</v>
      </c>
      <c r="R42" s="104">
        <f t="shared" si="12"/>
        <v>5285130</v>
      </c>
      <c r="S42" s="104">
        <f t="shared" si="13"/>
        <v>0</v>
      </c>
      <c r="T42" s="104">
        <f t="shared" si="14"/>
        <v>0</v>
      </c>
      <c r="U42" s="104">
        <f t="shared" si="15"/>
        <v>0</v>
      </c>
      <c r="V42" s="104">
        <f t="shared" si="16"/>
        <v>0</v>
      </c>
      <c r="W42" s="104">
        <f t="shared" si="3"/>
        <v>5285130</v>
      </c>
    </row>
    <row r="43" spans="1:23" x14ac:dyDescent="0.25">
      <c r="A43" s="21" t="s">
        <v>57</v>
      </c>
      <c r="B43" s="22" t="s">
        <v>13</v>
      </c>
      <c r="C43" s="26" t="s">
        <v>58</v>
      </c>
      <c r="D43" s="26" t="s">
        <v>89</v>
      </c>
      <c r="E43" s="69">
        <v>191</v>
      </c>
      <c r="F43" s="69">
        <v>290</v>
      </c>
      <c r="G43" s="69">
        <v>247</v>
      </c>
      <c r="H43" s="69">
        <v>1227</v>
      </c>
      <c r="I43" s="69">
        <v>514</v>
      </c>
      <c r="J43" s="70">
        <f t="shared" si="11"/>
        <v>2469</v>
      </c>
      <c r="K43" s="29">
        <f t="shared" si="1"/>
        <v>318501</v>
      </c>
      <c r="L43" s="222">
        <f>'1,1 SUMINISTRAR COM. PRE UNI. '!O24</f>
        <v>4691</v>
      </c>
      <c r="M43" s="222">
        <f>'1,1 SUMINISTRAR COM. PRE UNI. '!P24</f>
        <v>5175</v>
      </c>
      <c r="N43" s="222">
        <f>'1,1 SUMINISTRAR COM. PRE UNI. '!Q24</f>
        <v>5556</v>
      </c>
      <c r="O43" s="222">
        <f>'1,1 SUMINISTRAR COM. PRE UNI. '!R24</f>
        <v>6176</v>
      </c>
      <c r="P43" s="222">
        <f>'1,1 SUMINISTRAR COM. PRE UNI. '!S24</f>
        <v>6681</v>
      </c>
      <c r="Q43" s="35">
        <f t="shared" si="10"/>
        <v>129</v>
      </c>
      <c r="R43" s="104">
        <f t="shared" si="12"/>
        <v>115581549</v>
      </c>
      <c r="S43" s="104">
        <f t="shared" si="13"/>
        <v>193596750</v>
      </c>
      <c r="T43" s="104">
        <f t="shared" si="14"/>
        <v>177030828</v>
      </c>
      <c r="U43" s="104">
        <f t="shared" si="15"/>
        <v>977555808</v>
      </c>
      <c r="V43" s="104">
        <f t="shared" si="16"/>
        <v>442990386</v>
      </c>
      <c r="W43" s="104">
        <f t="shared" si="3"/>
        <v>1906755321</v>
      </c>
    </row>
    <row r="44" spans="1:23" ht="16.5" customHeight="1" x14ac:dyDescent="0.25">
      <c r="A44" s="21" t="s">
        <v>70</v>
      </c>
      <c r="B44" s="21" t="s">
        <v>14</v>
      </c>
      <c r="C44" s="26" t="s">
        <v>233</v>
      </c>
      <c r="D44" s="26" t="s">
        <v>91</v>
      </c>
      <c r="E44" s="69">
        <v>578</v>
      </c>
      <c r="F44" s="69">
        <v>1584</v>
      </c>
      <c r="G44" s="69">
        <v>1239</v>
      </c>
      <c r="H44" s="69">
        <v>2129</v>
      </c>
      <c r="I44" s="69">
        <v>795</v>
      </c>
      <c r="J44" s="70">
        <f t="shared" si="11"/>
        <v>6325</v>
      </c>
      <c r="K44" s="29">
        <f t="shared" si="1"/>
        <v>815925</v>
      </c>
      <c r="L44" s="198">
        <f>'1,1 SUMINISTRAR COM. PRE UNI. '!E142</f>
        <v>5411</v>
      </c>
      <c r="M44" s="198">
        <f>$L$44</f>
        <v>5411</v>
      </c>
      <c r="N44" s="198">
        <f t="shared" ref="N44:P44" si="30">$L$44</f>
        <v>5411</v>
      </c>
      <c r="O44" s="198">
        <f t="shared" si="30"/>
        <v>5411</v>
      </c>
      <c r="P44" s="198">
        <f t="shared" si="30"/>
        <v>5411</v>
      </c>
      <c r="Q44" s="35">
        <f t="shared" si="10"/>
        <v>129</v>
      </c>
      <c r="R44" s="104">
        <f t="shared" si="12"/>
        <v>403454982</v>
      </c>
      <c r="S44" s="104">
        <f t="shared" si="13"/>
        <v>1105662096</v>
      </c>
      <c r="T44" s="104">
        <f t="shared" si="14"/>
        <v>864845541</v>
      </c>
      <c r="U44" s="104">
        <f t="shared" si="15"/>
        <v>1486082451</v>
      </c>
      <c r="V44" s="104">
        <f t="shared" si="16"/>
        <v>554925105</v>
      </c>
      <c r="W44" s="104">
        <f t="shared" si="3"/>
        <v>4414970175</v>
      </c>
    </row>
    <row r="45" spans="1:23" ht="16.5" customHeight="1" x14ac:dyDescent="0.25">
      <c r="A45" s="21" t="s">
        <v>70</v>
      </c>
      <c r="B45" s="21" t="s">
        <v>14</v>
      </c>
      <c r="C45" s="26" t="s">
        <v>233</v>
      </c>
      <c r="D45" s="26" t="s">
        <v>89</v>
      </c>
      <c r="E45" s="69">
        <v>0</v>
      </c>
      <c r="F45" s="69">
        <v>0</v>
      </c>
      <c r="G45" s="69">
        <v>0</v>
      </c>
      <c r="H45" s="69">
        <v>0</v>
      </c>
      <c r="I45" s="69">
        <v>89</v>
      </c>
      <c r="J45" s="70">
        <f t="shared" si="11"/>
        <v>89</v>
      </c>
      <c r="K45" s="29">
        <f t="shared" si="1"/>
        <v>11481</v>
      </c>
      <c r="L45" s="198">
        <f>'1,1 SUMINISTRAR COM. PRE UNI. '!J142</f>
        <v>5872</v>
      </c>
      <c r="M45" s="198">
        <f>$L$45</f>
        <v>5872</v>
      </c>
      <c r="N45" s="198">
        <f t="shared" ref="N45:P45" si="31">$L$45</f>
        <v>5872</v>
      </c>
      <c r="O45" s="198">
        <f t="shared" si="31"/>
        <v>5872</v>
      </c>
      <c r="P45" s="198">
        <f t="shared" si="31"/>
        <v>5872</v>
      </c>
      <c r="Q45" s="35">
        <f t="shared" si="10"/>
        <v>129</v>
      </c>
      <c r="R45" s="104">
        <f t="shared" si="12"/>
        <v>0</v>
      </c>
      <c r="S45" s="104">
        <f t="shared" si="13"/>
        <v>0</v>
      </c>
      <c r="T45" s="104">
        <f t="shared" si="14"/>
        <v>0</v>
      </c>
      <c r="U45" s="104">
        <f t="shared" si="15"/>
        <v>0</v>
      </c>
      <c r="V45" s="104">
        <f t="shared" si="16"/>
        <v>67416432</v>
      </c>
      <c r="W45" s="104">
        <f t="shared" si="3"/>
        <v>67416432</v>
      </c>
    </row>
    <row r="46" spans="1:23" ht="16.5" customHeight="1" x14ac:dyDescent="0.25">
      <c r="A46" s="21" t="s">
        <v>70</v>
      </c>
      <c r="B46" s="21" t="s">
        <v>15</v>
      </c>
      <c r="C46" s="26" t="s">
        <v>234</v>
      </c>
      <c r="D46" s="26" t="s">
        <v>91</v>
      </c>
      <c r="E46" s="69">
        <v>252</v>
      </c>
      <c r="F46" s="69">
        <v>874</v>
      </c>
      <c r="G46" s="69">
        <v>639</v>
      </c>
      <c r="H46" s="69">
        <v>1139</v>
      </c>
      <c r="I46" s="69">
        <v>476</v>
      </c>
      <c r="J46" s="70">
        <f t="shared" si="11"/>
        <v>3380</v>
      </c>
      <c r="K46" s="29">
        <f t="shared" si="1"/>
        <v>436020</v>
      </c>
      <c r="L46" s="198">
        <f>'1,1 SUMINISTRAR COM. PRE UNI. '!U105</f>
        <v>5411</v>
      </c>
      <c r="M46" s="198">
        <f>$L$46</f>
        <v>5411</v>
      </c>
      <c r="N46" s="198">
        <f t="shared" ref="N46:P46" si="32">$L$46</f>
        <v>5411</v>
      </c>
      <c r="O46" s="198">
        <f t="shared" si="32"/>
        <v>5411</v>
      </c>
      <c r="P46" s="198">
        <f t="shared" si="32"/>
        <v>5411</v>
      </c>
      <c r="Q46" s="35">
        <f t="shared" si="10"/>
        <v>129</v>
      </c>
      <c r="R46" s="104">
        <f t="shared" si="12"/>
        <v>175900788</v>
      </c>
      <c r="S46" s="104">
        <f t="shared" si="13"/>
        <v>610068606</v>
      </c>
      <c r="T46" s="104">
        <f t="shared" si="14"/>
        <v>446034141</v>
      </c>
      <c r="U46" s="104">
        <f t="shared" si="15"/>
        <v>795043641</v>
      </c>
      <c r="V46" s="104">
        <f t="shared" si="16"/>
        <v>332257044</v>
      </c>
      <c r="W46" s="104">
        <f t="shared" si="3"/>
        <v>2359304220</v>
      </c>
    </row>
    <row r="47" spans="1:23" ht="16.5" customHeight="1" x14ac:dyDescent="0.25">
      <c r="A47" s="21" t="s">
        <v>66</v>
      </c>
      <c r="B47" s="36" t="s">
        <v>16</v>
      </c>
      <c r="C47" s="26" t="s">
        <v>58</v>
      </c>
      <c r="D47" s="26" t="s">
        <v>90</v>
      </c>
      <c r="E47" s="69">
        <v>62</v>
      </c>
      <c r="F47" s="69">
        <v>272</v>
      </c>
      <c r="G47" s="69">
        <v>208</v>
      </c>
      <c r="H47" s="69">
        <v>455</v>
      </c>
      <c r="I47" s="69">
        <v>116</v>
      </c>
      <c r="J47" s="70">
        <f t="shared" si="11"/>
        <v>1113</v>
      </c>
      <c r="K47" s="29">
        <f t="shared" si="1"/>
        <v>143577</v>
      </c>
      <c r="L47" s="222">
        <f>$L$4</f>
        <v>4145</v>
      </c>
      <c r="M47" s="222">
        <f>$M$4</f>
        <v>4327</v>
      </c>
      <c r="N47" s="222">
        <f>$N$4</f>
        <v>4586</v>
      </c>
      <c r="O47" s="222">
        <f>$O$4</f>
        <v>4919</v>
      </c>
      <c r="P47" s="222">
        <f>$P$4</f>
        <v>5228</v>
      </c>
      <c r="Q47" s="35">
        <f t="shared" si="10"/>
        <v>129</v>
      </c>
      <c r="R47" s="104">
        <f t="shared" si="12"/>
        <v>33151710</v>
      </c>
      <c r="S47" s="104">
        <f t="shared" si="13"/>
        <v>151825776</v>
      </c>
      <c r="T47" s="104">
        <f t="shared" si="14"/>
        <v>123051552</v>
      </c>
      <c r="U47" s="104">
        <f t="shared" si="15"/>
        <v>288720705</v>
      </c>
      <c r="V47" s="104">
        <f t="shared" si="16"/>
        <v>78231792</v>
      </c>
      <c r="W47" s="104">
        <f t="shared" si="3"/>
        <v>674981535</v>
      </c>
    </row>
    <row r="48" spans="1:23" ht="16.5" customHeight="1" x14ac:dyDescent="0.25">
      <c r="A48" s="21" t="s">
        <v>66</v>
      </c>
      <c r="B48" s="36" t="s">
        <v>16</v>
      </c>
      <c r="C48" s="26" t="s">
        <v>58</v>
      </c>
      <c r="D48" s="26" t="s">
        <v>89</v>
      </c>
      <c r="E48" s="69">
        <v>0</v>
      </c>
      <c r="F48" s="69">
        <v>19</v>
      </c>
      <c r="G48" s="69">
        <v>11</v>
      </c>
      <c r="H48" s="69">
        <v>51</v>
      </c>
      <c r="I48" s="69">
        <v>111</v>
      </c>
      <c r="J48" s="70">
        <f t="shared" si="11"/>
        <v>192</v>
      </c>
      <c r="K48" s="29">
        <f t="shared" si="1"/>
        <v>24768</v>
      </c>
      <c r="L48" s="222">
        <f>$L$5</f>
        <v>4619</v>
      </c>
      <c r="M48" s="222">
        <f>$M$5</f>
        <v>5003</v>
      </c>
      <c r="N48" s="222">
        <f>$N$5</f>
        <v>5349</v>
      </c>
      <c r="O48" s="222">
        <f>$O$5</f>
        <v>5930</v>
      </c>
      <c r="P48" s="222">
        <f>$P$5</f>
        <v>6415</v>
      </c>
      <c r="Q48" s="35">
        <f t="shared" si="10"/>
        <v>129</v>
      </c>
      <c r="R48" s="104">
        <f t="shared" si="12"/>
        <v>0</v>
      </c>
      <c r="S48" s="104">
        <f t="shared" si="13"/>
        <v>12262353</v>
      </c>
      <c r="T48" s="104">
        <f t="shared" si="14"/>
        <v>7590231</v>
      </c>
      <c r="U48" s="104">
        <f t="shared" si="15"/>
        <v>39013470</v>
      </c>
      <c r="V48" s="104">
        <f t="shared" si="16"/>
        <v>91856385</v>
      </c>
      <c r="W48" s="104">
        <f t="shared" si="3"/>
        <v>150722439</v>
      </c>
    </row>
    <row r="49" spans="1:23" ht="16.5" customHeight="1" x14ac:dyDescent="0.25">
      <c r="A49" s="21" t="s">
        <v>66</v>
      </c>
      <c r="B49" s="21" t="s">
        <v>16</v>
      </c>
      <c r="C49" s="26" t="s">
        <v>225</v>
      </c>
      <c r="D49" s="26" t="s">
        <v>91</v>
      </c>
      <c r="E49" s="69">
        <v>21</v>
      </c>
      <c r="F49" s="69">
        <v>69</v>
      </c>
      <c r="G49" s="69">
        <v>55</v>
      </c>
      <c r="H49" s="69">
        <v>38</v>
      </c>
      <c r="I49" s="69">
        <v>18</v>
      </c>
      <c r="J49" s="70">
        <f t="shared" si="11"/>
        <v>201</v>
      </c>
      <c r="K49" s="29">
        <f t="shared" si="1"/>
        <v>25929</v>
      </c>
      <c r="L49" s="198">
        <f>'1,1 SUMINISTRAR COM. PRE UNI. '!U80</f>
        <v>5411</v>
      </c>
      <c r="M49" s="198">
        <f>$L$49</f>
        <v>5411</v>
      </c>
      <c r="N49" s="198">
        <f t="shared" ref="N49:P49" si="33">$L$49</f>
        <v>5411</v>
      </c>
      <c r="O49" s="198">
        <f t="shared" si="33"/>
        <v>5411</v>
      </c>
      <c r="P49" s="198">
        <f t="shared" si="33"/>
        <v>5411</v>
      </c>
      <c r="Q49" s="35">
        <f t="shared" si="10"/>
        <v>129</v>
      </c>
      <c r="R49" s="104">
        <f t="shared" si="12"/>
        <v>14658399</v>
      </c>
      <c r="S49" s="104">
        <f t="shared" si="13"/>
        <v>48163311</v>
      </c>
      <c r="T49" s="104">
        <f t="shared" si="14"/>
        <v>38391045</v>
      </c>
      <c r="U49" s="104">
        <f t="shared" si="15"/>
        <v>26524722</v>
      </c>
      <c r="V49" s="104">
        <f t="shared" si="16"/>
        <v>12564342</v>
      </c>
      <c r="W49" s="104">
        <f t="shared" si="3"/>
        <v>140301819</v>
      </c>
    </row>
    <row r="50" spans="1:23" ht="16.5" customHeight="1" x14ac:dyDescent="0.25">
      <c r="A50" s="21" t="s">
        <v>66</v>
      </c>
      <c r="B50" s="36" t="s">
        <v>17</v>
      </c>
      <c r="C50" s="26" t="s">
        <v>58</v>
      </c>
      <c r="D50" s="26" t="s">
        <v>157</v>
      </c>
      <c r="E50" s="69">
        <v>181</v>
      </c>
      <c r="F50" s="69">
        <v>439</v>
      </c>
      <c r="G50" s="69">
        <v>314</v>
      </c>
      <c r="H50" s="69">
        <v>587</v>
      </c>
      <c r="I50" s="69">
        <v>106</v>
      </c>
      <c r="J50" s="70">
        <f t="shared" si="11"/>
        <v>1627</v>
      </c>
      <c r="K50" s="29">
        <f t="shared" si="1"/>
        <v>209883</v>
      </c>
      <c r="L50" s="222">
        <f t="shared" ref="L50:L51" si="34">$L$4</f>
        <v>4145</v>
      </c>
      <c r="M50" s="222">
        <f t="shared" ref="M50:M51" si="35">$M$4</f>
        <v>4327</v>
      </c>
      <c r="N50" s="222">
        <f t="shared" ref="N50:N51" si="36">$N$4</f>
        <v>4586</v>
      </c>
      <c r="O50" s="222">
        <f t="shared" ref="O50:O51" si="37">$O$4</f>
        <v>4919</v>
      </c>
      <c r="P50" s="222">
        <f t="shared" ref="P50:P51" si="38">$P$4</f>
        <v>5228</v>
      </c>
      <c r="Q50" s="35">
        <f t="shared" si="10"/>
        <v>129</v>
      </c>
      <c r="R50" s="104">
        <f t="shared" si="12"/>
        <v>96781605</v>
      </c>
      <c r="S50" s="104">
        <f t="shared" si="13"/>
        <v>245042337</v>
      </c>
      <c r="T50" s="104">
        <f t="shared" si="14"/>
        <v>185760516</v>
      </c>
      <c r="U50" s="104">
        <f t="shared" si="15"/>
        <v>372481437</v>
      </c>
      <c r="V50" s="104">
        <f t="shared" si="16"/>
        <v>71487672</v>
      </c>
      <c r="W50" s="104">
        <f t="shared" si="3"/>
        <v>971553567</v>
      </c>
    </row>
    <row r="51" spans="1:23" ht="16.5" customHeight="1" x14ac:dyDescent="0.25">
      <c r="A51" s="21" t="s">
        <v>66</v>
      </c>
      <c r="B51" s="36" t="s">
        <v>17</v>
      </c>
      <c r="C51" s="26" t="s">
        <v>58</v>
      </c>
      <c r="D51" s="26" t="s">
        <v>156</v>
      </c>
      <c r="E51" s="69">
        <v>1</v>
      </c>
      <c r="F51" s="69">
        <v>0</v>
      </c>
      <c r="G51" s="69">
        <v>0</v>
      </c>
      <c r="H51" s="69">
        <v>0</v>
      </c>
      <c r="I51" s="69">
        <v>0</v>
      </c>
      <c r="J51" s="70">
        <f t="shared" si="11"/>
        <v>1</v>
      </c>
      <c r="K51" s="29">
        <f t="shared" si="1"/>
        <v>129</v>
      </c>
      <c r="L51" s="222">
        <f t="shared" si="34"/>
        <v>4145</v>
      </c>
      <c r="M51" s="222">
        <f t="shared" si="35"/>
        <v>4327</v>
      </c>
      <c r="N51" s="222">
        <f t="shared" si="36"/>
        <v>4586</v>
      </c>
      <c r="O51" s="222">
        <f t="shared" si="37"/>
        <v>4919</v>
      </c>
      <c r="P51" s="222">
        <f t="shared" si="38"/>
        <v>5228</v>
      </c>
      <c r="Q51" s="35">
        <f t="shared" si="10"/>
        <v>129</v>
      </c>
      <c r="R51" s="104">
        <f t="shared" si="12"/>
        <v>534705</v>
      </c>
      <c r="S51" s="104">
        <f t="shared" si="13"/>
        <v>0</v>
      </c>
      <c r="T51" s="104">
        <f t="shared" si="14"/>
        <v>0</v>
      </c>
      <c r="U51" s="104">
        <f t="shared" si="15"/>
        <v>0</v>
      </c>
      <c r="V51" s="104">
        <f t="shared" si="16"/>
        <v>0</v>
      </c>
      <c r="W51" s="104">
        <f t="shared" ref="W51" si="39">SUM(R51:V51)</f>
        <v>534705</v>
      </c>
    </row>
    <row r="52" spans="1:23" ht="16.5" customHeight="1" x14ac:dyDescent="0.25">
      <c r="A52" s="21" t="s">
        <v>66</v>
      </c>
      <c r="B52" s="36" t="s">
        <v>17</v>
      </c>
      <c r="C52" s="26" t="s">
        <v>58</v>
      </c>
      <c r="D52" s="26" t="s">
        <v>89</v>
      </c>
      <c r="E52" s="69">
        <v>0</v>
      </c>
      <c r="F52" s="69">
        <v>0</v>
      </c>
      <c r="G52" s="69">
        <v>0</v>
      </c>
      <c r="H52" s="69">
        <v>0</v>
      </c>
      <c r="I52" s="69">
        <v>159</v>
      </c>
      <c r="J52" s="70">
        <f t="shared" si="11"/>
        <v>159</v>
      </c>
      <c r="K52" s="29">
        <f t="shared" si="1"/>
        <v>20511</v>
      </c>
      <c r="L52" s="222">
        <f>$L$5</f>
        <v>4619</v>
      </c>
      <c r="M52" s="222">
        <f>$M$5</f>
        <v>5003</v>
      </c>
      <c r="N52" s="222">
        <f>$N$5</f>
        <v>5349</v>
      </c>
      <c r="O52" s="222">
        <f>$O$5</f>
        <v>5930</v>
      </c>
      <c r="P52" s="222">
        <f>$P$5</f>
        <v>6415</v>
      </c>
      <c r="Q52" s="35">
        <f t="shared" si="10"/>
        <v>129</v>
      </c>
      <c r="R52" s="104">
        <f t="shared" si="12"/>
        <v>0</v>
      </c>
      <c r="S52" s="104">
        <f t="shared" si="13"/>
        <v>0</v>
      </c>
      <c r="T52" s="104">
        <f t="shared" si="14"/>
        <v>0</v>
      </c>
      <c r="U52" s="104">
        <f t="shared" si="15"/>
        <v>0</v>
      </c>
      <c r="V52" s="104">
        <f t="shared" si="16"/>
        <v>131578065</v>
      </c>
      <c r="W52" s="104">
        <f t="shared" si="3"/>
        <v>131578065</v>
      </c>
    </row>
    <row r="53" spans="1:23" ht="16.5" customHeight="1" x14ac:dyDescent="0.25">
      <c r="A53" s="21" t="s">
        <v>66</v>
      </c>
      <c r="B53" s="21" t="s">
        <v>17</v>
      </c>
      <c r="C53" s="26" t="s">
        <v>225</v>
      </c>
      <c r="D53" s="26" t="s">
        <v>91</v>
      </c>
      <c r="E53" s="69">
        <v>14</v>
      </c>
      <c r="F53" s="69">
        <v>48</v>
      </c>
      <c r="G53" s="69">
        <v>29</v>
      </c>
      <c r="H53" s="69">
        <v>46</v>
      </c>
      <c r="I53" s="69">
        <v>0</v>
      </c>
      <c r="J53" s="70">
        <f t="shared" si="11"/>
        <v>137</v>
      </c>
      <c r="K53" s="29">
        <f t="shared" si="1"/>
        <v>17673</v>
      </c>
      <c r="L53" s="198">
        <f t="shared" ref="L53:P53" si="40">$L$49</f>
        <v>5411</v>
      </c>
      <c r="M53" s="198">
        <f t="shared" si="40"/>
        <v>5411</v>
      </c>
      <c r="N53" s="198">
        <f t="shared" si="40"/>
        <v>5411</v>
      </c>
      <c r="O53" s="198">
        <f t="shared" si="40"/>
        <v>5411</v>
      </c>
      <c r="P53" s="198">
        <f t="shared" si="40"/>
        <v>5411</v>
      </c>
      <c r="Q53" s="35">
        <f t="shared" si="10"/>
        <v>129</v>
      </c>
      <c r="R53" s="104">
        <f t="shared" si="12"/>
        <v>9772266</v>
      </c>
      <c r="S53" s="104">
        <f t="shared" si="13"/>
        <v>33504912</v>
      </c>
      <c r="T53" s="104">
        <f t="shared" si="14"/>
        <v>20242551</v>
      </c>
      <c r="U53" s="104">
        <f t="shared" si="15"/>
        <v>32108874</v>
      </c>
      <c r="V53" s="104">
        <f t="shared" si="16"/>
        <v>0</v>
      </c>
      <c r="W53" s="104">
        <f t="shared" si="3"/>
        <v>95628603</v>
      </c>
    </row>
    <row r="54" spans="1:23" ht="16.5" customHeight="1" x14ac:dyDescent="0.25">
      <c r="A54" s="21" t="s">
        <v>66</v>
      </c>
      <c r="B54" s="21" t="s">
        <v>17</v>
      </c>
      <c r="C54" s="26" t="s">
        <v>225</v>
      </c>
      <c r="D54" s="26" t="s">
        <v>89</v>
      </c>
      <c r="E54" s="69">
        <v>9</v>
      </c>
      <c r="F54" s="69">
        <v>51</v>
      </c>
      <c r="G54" s="69">
        <v>23</v>
      </c>
      <c r="H54" s="69">
        <v>42</v>
      </c>
      <c r="I54" s="69">
        <v>10</v>
      </c>
      <c r="J54" s="70">
        <f t="shared" si="11"/>
        <v>135</v>
      </c>
      <c r="K54" s="29">
        <f t="shared" si="1"/>
        <v>17415</v>
      </c>
      <c r="L54" s="198">
        <f>'1,1 SUMINISTRAR COM. PRE UNI. '!Z80</f>
        <v>7522</v>
      </c>
      <c r="M54" s="198">
        <f>$L$54</f>
        <v>7522</v>
      </c>
      <c r="N54" s="198">
        <f t="shared" ref="N54:P54" si="41">$L$54</f>
        <v>7522</v>
      </c>
      <c r="O54" s="198">
        <f t="shared" si="41"/>
        <v>7522</v>
      </c>
      <c r="P54" s="198">
        <f t="shared" si="41"/>
        <v>7522</v>
      </c>
      <c r="Q54" s="35">
        <f t="shared" si="10"/>
        <v>129</v>
      </c>
      <c r="R54" s="104">
        <f t="shared" si="12"/>
        <v>8733042</v>
      </c>
      <c r="S54" s="104">
        <f t="shared" si="13"/>
        <v>49487238</v>
      </c>
      <c r="T54" s="104">
        <f t="shared" si="14"/>
        <v>22317774</v>
      </c>
      <c r="U54" s="104">
        <f t="shared" si="15"/>
        <v>40754196</v>
      </c>
      <c r="V54" s="104">
        <f t="shared" si="16"/>
        <v>9703380</v>
      </c>
      <c r="W54" s="104">
        <f t="shared" si="3"/>
        <v>130995630</v>
      </c>
    </row>
    <row r="55" spans="1:23" ht="16.5" customHeight="1" x14ac:dyDescent="0.25">
      <c r="A55" s="21" t="s">
        <v>66</v>
      </c>
      <c r="B55" s="21" t="s">
        <v>17</v>
      </c>
      <c r="C55" s="26" t="s">
        <v>235</v>
      </c>
      <c r="D55" s="26" t="s">
        <v>89</v>
      </c>
      <c r="E55" s="69">
        <v>14</v>
      </c>
      <c r="F55" s="69">
        <v>112</v>
      </c>
      <c r="G55" s="69">
        <v>63</v>
      </c>
      <c r="H55" s="69">
        <v>78</v>
      </c>
      <c r="I55" s="69">
        <v>30</v>
      </c>
      <c r="J55" s="70">
        <f t="shared" si="11"/>
        <v>297</v>
      </c>
      <c r="K55" s="29">
        <f t="shared" si="1"/>
        <v>38313</v>
      </c>
      <c r="L55" s="198">
        <f>'1,1 SUMINISTRAR COM. PRE UNI. '!J80</f>
        <v>7143</v>
      </c>
      <c r="M55" s="198">
        <f>L$55</f>
        <v>7143</v>
      </c>
      <c r="N55" s="198">
        <f t="shared" ref="N55:P55" si="42">M$55</f>
        <v>7143</v>
      </c>
      <c r="O55" s="198">
        <f t="shared" si="42"/>
        <v>7143</v>
      </c>
      <c r="P55" s="198">
        <f t="shared" si="42"/>
        <v>7143</v>
      </c>
      <c r="Q55" s="35">
        <f t="shared" si="10"/>
        <v>129</v>
      </c>
      <c r="R55" s="104">
        <f t="shared" si="12"/>
        <v>12900258</v>
      </c>
      <c r="S55" s="104">
        <f t="shared" si="13"/>
        <v>103202064</v>
      </c>
      <c r="T55" s="104">
        <f t="shared" si="14"/>
        <v>58051161</v>
      </c>
      <c r="U55" s="104">
        <f t="shared" si="15"/>
        <v>71872866</v>
      </c>
      <c r="V55" s="104">
        <f t="shared" si="16"/>
        <v>27643410</v>
      </c>
      <c r="W55" s="104">
        <f t="shared" si="3"/>
        <v>273669759</v>
      </c>
    </row>
    <row r="56" spans="1:23" ht="16.5" customHeight="1" x14ac:dyDescent="0.25">
      <c r="A56" s="21" t="s">
        <v>57</v>
      </c>
      <c r="B56" s="22" t="s">
        <v>82</v>
      </c>
      <c r="C56" s="26" t="s">
        <v>58</v>
      </c>
      <c r="D56" s="31" t="s">
        <v>90</v>
      </c>
      <c r="E56" s="71">
        <v>247</v>
      </c>
      <c r="F56" s="71">
        <v>816</v>
      </c>
      <c r="G56" s="71">
        <v>558</v>
      </c>
      <c r="H56" s="71">
        <v>396</v>
      </c>
      <c r="I56" s="71">
        <v>144</v>
      </c>
      <c r="J56" s="70">
        <f t="shared" si="11"/>
        <v>2161</v>
      </c>
      <c r="K56" s="29">
        <f t="shared" si="1"/>
        <v>278769</v>
      </c>
      <c r="L56" s="222">
        <f t="shared" ref="L56:L57" si="43">$L$41</f>
        <v>4097</v>
      </c>
      <c r="M56" s="222">
        <f t="shared" ref="M56:M57" si="44">$M$41</f>
        <v>4482</v>
      </c>
      <c r="N56" s="222">
        <f t="shared" ref="N56:N57" si="45">$N$41</f>
        <v>4735</v>
      </c>
      <c r="O56" s="222">
        <f t="shared" ref="O56:O57" si="46">$O$41</f>
        <v>5187</v>
      </c>
      <c r="P56" s="222">
        <f t="shared" ref="P56:P57" si="47">$P$41</f>
        <v>5482</v>
      </c>
      <c r="Q56" s="35">
        <f t="shared" si="10"/>
        <v>129</v>
      </c>
      <c r="R56" s="104">
        <f t="shared" si="12"/>
        <v>130542711</v>
      </c>
      <c r="S56" s="104">
        <f t="shared" si="13"/>
        <v>471793248</v>
      </c>
      <c r="T56" s="104">
        <f t="shared" si="14"/>
        <v>340834770</v>
      </c>
      <c r="U56" s="104">
        <f t="shared" si="15"/>
        <v>264972708</v>
      </c>
      <c r="V56" s="104">
        <f t="shared" si="16"/>
        <v>101833632</v>
      </c>
      <c r="W56" s="104">
        <f t="shared" si="3"/>
        <v>1309977069</v>
      </c>
    </row>
    <row r="57" spans="1:23" ht="16.5" customHeight="1" x14ac:dyDescent="0.25">
      <c r="A57" s="21" t="s">
        <v>57</v>
      </c>
      <c r="B57" s="22" t="s">
        <v>82</v>
      </c>
      <c r="C57" s="26" t="s">
        <v>58</v>
      </c>
      <c r="D57" s="31" t="s">
        <v>156</v>
      </c>
      <c r="E57" s="71">
        <v>11</v>
      </c>
      <c r="F57" s="71">
        <v>0</v>
      </c>
      <c r="G57" s="71">
        <v>0</v>
      </c>
      <c r="H57" s="71">
        <v>0</v>
      </c>
      <c r="I57" s="71">
        <v>0</v>
      </c>
      <c r="J57" s="70">
        <f t="shared" si="11"/>
        <v>11</v>
      </c>
      <c r="K57" s="29">
        <f t="shared" si="1"/>
        <v>1419</v>
      </c>
      <c r="L57" s="222">
        <f t="shared" si="43"/>
        <v>4097</v>
      </c>
      <c r="M57" s="222">
        <f t="shared" si="44"/>
        <v>4482</v>
      </c>
      <c r="N57" s="222">
        <f t="shared" si="45"/>
        <v>4735</v>
      </c>
      <c r="O57" s="222">
        <f t="shared" si="46"/>
        <v>5187</v>
      </c>
      <c r="P57" s="222">
        <f t="shared" si="47"/>
        <v>5482</v>
      </c>
      <c r="Q57" s="35">
        <f t="shared" si="10"/>
        <v>129</v>
      </c>
      <c r="R57" s="104">
        <f t="shared" si="12"/>
        <v>5813643</v>
      </c>
      <c r="S57" s="104">
        <f t="shared" si="13"/>
        <v>0</v>
      </c>
      <c r="T57" s="104">
        <f t="shared" si="14"/>
        <v>0</v>
      </c>
      <c r="U57" s="104">
        <f t="shared" si="15"/>
        <v>0</v>
      </c>
      <c r="V57" s="104">
        <f t="shared" si="16"/>
        <v>0</v>
      </c>
      <c r="W57" s="104">
        <f t="shared" si="3"/>
        <v>5813643</v>
      </c>
    </row>
    <row r="58" spans="1:23" ht="16.5" customHeight="1" x14ac:dyDescent="0.25">
      <c r="A58" s="21" t="s">
        <v>57</v>
      </c>
      <c r="B58" s="22" t="s">
        <v>82</v>
      </c>
      <c r="C58" s="26" t="s">
        <v>236</v>
      </c>
      <c r="D58" s="31" t="s">
        <v>91</v>
      </c>
      <c r="E58" s="69">
        <v>62</v>
      </c>
      <c r="F58" s="69">
        <v>197</v>
      </c>
      <c r="G58" s="69">
        <v>130</v>
      </c>
      <c r="H58" s="69">
        <v>213</v>
      </c>
      <c r="I58" s="69">
        <v>79</v>
      </c>
      <c r="J58" s="70">
        <f t="shared" si="11"/>
        <v>681</v>
      </c>
      <c r="K58" s="29">
        <f t="shared" si="1"/>
        <v>87849</v>
      </c>
      <c r="L58" s="198">
        <f>'1,1 SUMINISTRAR COM. PRE UNI. '!J155</f>
        <v>5743</v>
      </c>
      <c r="M58" s="198">
        <f>$L$58</f>
        <v>5743</v>
      </c>
      <c r="N58" s="198">
        <f t="shared" ref="N58:P58" si="48">$L$58</f>
        <v>5743</v>
      </c>
      <c r="O58" s="198">
        <f t="shared" si="48"/>
        <v>5743</v>
      </c>
      <c r="P58" s="198">
        <f t="shared" si="48"/>
        <v>5743</v>
      </c>
      <c r="Q58" s="35">
        <f t="shared" si="10"/>
        <v>129</v>
      </c>
      <c r="R58" s="104">
        <f t="shared" si="12"/>
        <v>45932514</v>
      </c>
      <c r="S58" s="104">
        <f t="shared" si="13"/>
        <v>145946859</v>
      </c>
      <c r="T58" s="104">
        <f t="shared" si="14"/>
        <v>96310110</v>
      </c>
      <c r="U58" s="104">
        <f t="shared" si="15"/>
        <v>157800411</v>
      </c>
      <c r="V58" s="104">
        <f t="shared" si="16"/>
        <v>58526913</v>
      </c>
      <c r="W58" s="104">
        <f t="shared" si="3"/>
        <v>504516807</v>
      </c>
    </row>
    <row r="59" spans="1:23" ht="16.5" customHeight="1" x14ac:dyDescent="0.25">
      <c r="A59" s="21" t="s">
        <v>67</v>
      </c>
      <c r="B59" s="36" t="s">
        <v>19</v>
      </c>
      <c r="C59" s="26" t="s">
        <v>58</v>
      </c>
      <c r="D59" s="31" t="s">
        <v>90</v>
      </c>
      <c r="E59" s="69">
        <v>204</v>
      </c>
      <c r="F59" s="69">
        <v>584</v>
      </c>
      <c r="G59" s="69">
        <v>361</v>
      </c>
      <c r="H59" s="69">
        <v>665</v>
      </c>
      <c r="I59" s="69">
        <v>136</v>
      </c>
      <c r="J59" s="70">
        <f t="shared" si="11"/>
        <v>1950</v>
      </c>
      <c r="K59" s="29">
        <f t="shared" si="1"/>
        <v>251550</v>
      </c>
      <c r="L59" s="222">
        <f>$L$7</f>
        <v>3981</v>
      </c>
      <c r="M59" s="222">
        <f>$M$7</f>
        <v>4163</v>
      </c>
      <c r="N59" s="222">
        <f>$N$7</f>
        <v>4422</v>
      </c>
      <c r="O59" s="222">
        <f>$O$7</f>
        <v>4755</v>
      </c>
      <c r="P59" s="222">
        <f>$P$7</f>
        <v>5064</v>
      </c>
      <c r="Q59" s="35">
        <f t="shared" si="10"/>
        <v>129</v>
      </c>
      <c r="R59" s="104">
        <f t="shared" si="12"/>
        <v>104763996</v>
      </c>
      <c r="S59" s="104">
        <f t="shared" si="13"/>
        <v>313623768</v>
      </c>
      <c r="T59" s="104">
        <f t="shared" si="14"/>
        <v>205928118</v>
      </c>
      <c r="U59" s="104">
        <f t="shared" si="15"/>
        <v>407907675</v>
      </c>
      <c r="V59" s="104">
        <f t="shared" si="16"/>
        <v>88842816</v>
      </c>
      <c r="W59" s="104">
        <f t="shared" si="3"/>
        <v>1121066373</v>
      </c>
    </row>
    <row r="60" spans="1:23" ht="16.5" customHeight="1" x14ac:dyDescent="0.25">
      <c r="A60" s="21" t="s">
        <v>67</v>
      </c>
      <c r="B60" s="36" t="s">
        <v>19</v>
      </c>
      <c r="C60" s="26" t="s">
        <v>58</v>
      </c>
      <c r="D60" s="31" t="s">
        <v>89</v>
      </c>
      <c r="E60" s="69">
        <v>0</v>
      </c>
      <c r="F60" s="69">
        <v>0</v>
      </c>
      <c r="G60" s="69">
        <v>0</v>
      </c>
      <c r="H60" s="69">
        <v>0</v>
      </c>
      <c r="I60" s="69">
        <v>20</v>
      </c>
      <c r="J60" s="70">
        <f t="shared" si="11"/>
        <v>20</v>
      </c>
      <c r="K60" s="29">
        <f t="shared" si="1"/>
        <v>2580</v>
      </c>
      <c r="L60" s="198">
        <f>$L$8</f>
        <v>4588</v>
      </c>
      <c r="M60" s="198">
        <f>$M$8</f>
        <v>4972</v>
      </c>
      <c r="N60" s="198">
        <f>$N$8</f>
        <v>5318</v>
      </c>
      <c r="O60" s="198">
        <f>$O$8</f>
        <v>5899</v>
      </c>
      <c r="P60" s="198">
        <f>$P$8</f>
        <v>6384</v>
      </c>
      <c r="Q60" s="35">
        <f t="shared" si="10"/>
        <v>129</v>
      </c>
      <c r="R60" s="104">
        <f t="shared" si="12"/>
        <v>0</v>
      </c>
      <c r="S60" s="104">
        <f t="shared" si="13"/>
        <v>0</v>
      </c>
      <c r="T60" s="104">
        <f t="shared" si="14"/>
        <v>0</v>
      </c>
      <c r="U60" s="104">
        <f t="shared" si="15"/>
        <v>0</v>
      </c>
      <c r="V60" s="104">
        <f t="shared" si="16"/>
        <v>16470720</v>
      </c>
      <c r="W60" s="104">
        <f t="shared" si="3"/>
        <v>16470720</v>
      </c>
    </row>
    <row r="61" spans="1:23" ht="16.5" customHeight="1" x14ac:dyDescent="0.25">
      <c r="A61" s="21" t="s">
        <v>68</v>
      </c>
      <c r="B61" s="36" t="s">
        <v>20</v>
      </c>
      <c r="C61" s="26" t="s">
        <v>58</v>
      </c>
      <c r="D61" s="31" t="s">
        <v>90</v>
      </c>
      <c r="E61" s="69">
        <v>87</v>
      </c>
      <c r="F61" s="69">
        <v>850</v>
      </c>
      <c r="G61" s="69">
        <v>591</v>
      </c>
      <c r="H61" s="69">
        <v>942</v>
      </c>
      <c r="I61" s="69">
        <v>0</v>
      </c>
      <c r="J61" s="70">
        <f t="shared" si="11"/>
        <v>2470</v>
      </c>
      <c r="K61" s="29">
        <f t="shared" si="1"/>
        <v>318630</v>
      </c>
      <c r="L61" s="222">
        <f>$L$16</f>
        <v>3265</v>
      </c>
      <c r="M61" s="222">
        <f>$M$16</f>
        <v>3447</v>
      </c>
      <c r="N61" s="222">
        <f>$N$16</f>
        <v>3706</v>
      </c>
      <c r="O61" s="222">
        <f>$O$16</f>
        <v>4039</v>
      </c>
      <c r="P61" s="222">
        <f>$P$16</f>
        <v>4348</v>
      </c>
      <c r="Q61" s="35">
        <f t="shared" si="10"/>
        <v>129</v>
      </c>
      <c r="R61" s="104">
        <f t="shared" si="12"/>
        <v>36643095</v>
      </c>
      <c r="S61" s="104">
        <f t="shared" si="13"/>
        <v>377963550</v>
      </c>
      <c r="T61" s="104">
        <f t="shared" si="14"/>
        <v>282541734</v>
      </c>
      <c r="U61" s="104">
        <f t="shared" si="15"/>
        <v>490811202</v>
      </c>
      <c r="V61" s="104">
        <f t="shared" si="16"/>
        <v>0</v>
      </c>
      <c r="W61" s="104">
        <f t="shared" si="3"/>
        <v>1187959581</v>
      </c>
    </row>
    <row r="62" spans="1:23" ht="16.5" customHeight="1" x14ac:dyDescent="0.25">
      <c r="A62" s="21" t="s">
        <v>68</v>
      </c>
      <c r="B62" s="36" t="s">
        <v>20</v>
      </c>
      <c r="C62" s="26" t="s">
        <v>58</v>
      </c>
      <c r="D62" s="26" t="s">
        <v>89</v>
      </c>
      <c r="E62" s="69">
        <v>0</v>
      </c>
      <c r="F62" s="69">
        <v>0</v>
      </c>
      <c r="G62" s="69">
        <v>0</v>
      </c>
      <c r="H62" s="69">
        <v>0</v>
      </c>
      <c r="I62" s="69">
        <v>98</v>
      </c>
      <c r="J62" s="70">
        <f t="shared" si="11"/>
        <v>98</v>
      </c>
      <c r="K62" s="29">
        <f t="shared" si="1"/>
        <v>12642</v>
      </c>
      <c r="L62" s="222">
        <f>$L$17</f>
        <v>4304</v>
      </c>
      <c r="M62" s="222">
        <f>$M$17</f>
        <v>4688</v>
      </c>
      <c r="N62" s="222">
        <f>$N$17</f>
        <v>5034</v>
      </c>
      <c r="O62" s="222">
        <f>$O$17</f>
        <v>5615</v>
      </c>
      <c r="P62" s="222">
        <f>$P$17</f>
        <v>6035</v>
      </c>
      <c r="Q62" s="35">
        <f t="shared" si="10"/>
        <v>129</v>
      </c>
      <c r="R62" s="104">
        <f t="shared" si="12"/>
        <v>0</v>
      </c>
      <c r="S62" s="104">
        <f t="shared" si="13"/>
        <v>0</v>
      </c>
      <c r="T62" s="104">
        <f t="shared" si="14"/>
        <v>0</v>
      </c>
      <c r="U62" s="104">
        <f t="shared" si="15"/>
        <v>0</v>
      </c>
      <c r="V62" s="104">
        <f t="shared" si="16"/>
        <v>76294470</v>
      </c>
      <c r="W62" s="104">
        <f t="shared" si="3"/>
        <v>76294470</v>
      </c>
    </row>
    <row r="63" spans="1:23" ht="16.5" customHeight="1" x14ac:dyDescent="0.25">
      <c r="A63" s="21" t="s">
        <v>68</v>
      </c>
      <c r="B63" s="36" t="s">
        <v>20</v>
      </c>
      <c r="C63" s="26" t="s">
        <v>162</v>
      </c>
      <c r="D63" s="31" t="s">
        <v>166</v>
      </c>
      <c r="E63" s="69">
        <v>62</v>
      </c>
      <c r="F63" s="69">
        <v>256</v>
      </c>
      <c r="G63" s="69">
        <v>148</v>
      </c>
      <c r="H63" s="69">
        <v>396</v>
      </c>
      <c r="I63" s="69">
        <v>20</v>
      </c>
      <c r="J63" s="70">
        <f t="shared" si="11"/>
        <v>882</v>
      </c>
      <c r="K63" s="29">
        <f t="shared" si="1"/>
        <v>113778</v>
      </c>
      <c r="L63" s="222">
        <f>$L$40</f>
        <v>3304</v>
      </c>
      <c r="M63" s="222">
        <f>$M$40</f>
        <v>3486</v>
      </c>
      <c r="N63" s="222">
        <f>$N$40</f>
        <v>3745</v>
      </c>
      <c r="O63" s="222">
        <f>$O$40</f>
        <v>4078</v>
      </c>
      <c r="P63" s="222">
        <f>$P$40</f>
        <v>4387</v>
      </c>
      <c r="Q63" s="35">
        <f t="shared" si="10"/>
        <v>129</v>
      </c>
      <c r="R63" s="104">
        <f t="shared" si="12"/>
        <v>26425392</v>
      </c>
      <c r="S63" s="104">
        <f t="shared" si="13"/>
        <v>115121664</v>
      </c>
      <c r="T63" s="104">
        <f t="shared" si="14"/>
        <v>71499540</v>
      </c>
      <c r="U63" s="104">
        <f t="shared" si="15"/>
        <v>208320552</v>
      </c>
      <c r="V63" s="104">
        <f t="shared" si="16"/>
        <v>11318460</v>
      </c>
      <c r="W63" s="104">
        <f t="shared" si="3"/>
        <v>432685608</v>
      </c>
    </row>
    <row r="64" spans="1:23" ht="16.5" customHeight="1" x14ac:dyDescent="0.25">
      <c r="A64" s="21" t="s">
        <v>68</v>
      </c>
      <c r="B64" s="36" t="s">
        <v>20</v>
      </c>
      <c r="C64" s="26" t="s">
        <v>162</v>
      </c>
      <c r="D64" s="31" t="s">
        <v>89</v>
      </c>
      <c r="E64" s="69">
        <v>0</v>
      </c>
      <c r="F64" s="69">
        <v>0</v>
      </c>
      <c r="G64" s="69">
        <v>0</v>
      </c>
      <c r="H64" s="69">
        <v>0</v>
      </c>
      <c r="I64" s="69">
        <v>148</v>
      </c>
      <c r="J64" s="70">
        <f t="shared" si="11"/>
        <v>148</v>
      </c>
      <c r="K64" s="29">
        <f t="shared" si="1"/>
        <v>19092</v>
      </c>
      <c r="L64" s="222">
        <f>'1,1 SUMINISTRAR COM. PRE UNI. '!O68</f>
        <v>4219</v>
      </c>
      <c r="M64" s="222">
        <f>'1,1 SUMINISTRAR COM. PRE UNI. '!P68</f>
        <v>4603</v>
      </c>
      <c r="N64" s="222">
        <f>'1,1 SUMINISTRAR COM. PRE UNI. '!Q68</f>
        <v>4949</v>
      </c>
      <c r="O64" s="222">
        <f>'1,1 SUMINISTRAR COM. PRE UNI. '!R68</f>
        <v>5530</v>
      </c>
      <c r="P64" s="222">
        <f>'1,1 SUMINISTRAR COM. PRE UNI. '!S68</f>
        <v>6015</v>
      </c>
      <c r="Q64" s="35">
        <f t="shared" si="10"/>
        <v>129</v>
      </c>
      <c r="R64" s="104">
        <f t="shared" si="12"/>
        <v>0</v>
      </c>
      <c r="S64" s="104">
        <f t="shared" si="13"/>
        <v>0</v>
      </c>
      <c r="T64" s="104">
        <f t="shared" si="14"/>
        <v>0</v>
      </c>
      <c r="U64" s="104">
        <f t="shared" si="15"/>
        <v>0</v>
      </c>
      <c r="V64" s="104">
        <f t="shared" si="16"/>
        <v>114838380</v>
      </c>
      <c r="W64" s="104">
        <f t="shared" si="3"/>
        <v>114838380</v>
      </c>
    </row>
    <row r="65" spans="1:23" ht="16.5" customHeight="1" x14ac:dyDescent="0.25">
      <c r="A65" s="21" t="s">
        <v>68</v>
      </c>
      <c r="B65" s="21" t="s">
        <v>20</v>
      </c>
      <c r="C65" s="26" t="s">
        <v>237</v>
      </c>
      <c r="D65" s="31" t="s">
        <v>91</v>
      </c>
      <c r="E65" s="69">
        <v>37</v>
      </c>
      <c r="F65" s="69">
        <v>151</v>
      </c>
      <c r="G65" s="69">
        <v>79</v>
      </c>
      <c r="H65" s="69">
        <v>174</v>
      </c>
      <c r="I65" s="69">
        <v>49</v>
      </c>
      <c r="J65" s="70">
        <f t="shared" si="11"/>
        <v>490</v>
      </c>
      <c r="K65" s="29">
        <f t="shared" si="1"/>
        <v>63210</v>
      </c>
      <c r="L65" s="198">
        <f>'1,1 SUMINISTRAR COM. PRE UNI. '!O93</f>
        <v>5411</v>
      </c>
      <c r="M65" s="198">
        <f>$L$65</f>
        <v>5411</v>
      </c>
      <c r="N65" s="198">
        <f t="shared" ref="N65:P65" si="49">$L$65</f>
        <v>5411</v>
      </c>
      <c r="O65" s="198">
        <f t="shared" si="49"/>
        <v>5411</v>
      </c>
      <c r="P65" s="198">
        <f t="shared" si="49"/>
        <v>5411</v>
      </c>
      <c r="Q65" s="35">
        <f t="shared" si="10"/>
        <v>129</v>
      </c>
      <c r="R65" s="104">
        <f t="shared" si="12"/>
        <v>25826703</v>
      </c>
      <c r="S65" s="104">
        <f t="shared" si="13"/>
        <v>105400869</v>
      </c>
      <c r="T65" s="104">
        <f t="shared" si="14"/>
        <v>55143501</v>
      </c>
      <c r="U65" s="104">
        <f t="shared" si="15"/>
        <v>121455306</v>
      </c>
      <c r="V65" s="104">
        <f t="shared" si="16"/>
        <v>34202931</v>
      </c>
      <c r="W65" s="104">
        <f t="shared" si="3"/>
        <v>342029310</v>
      </c>
    </row>
    <row r="66" spans="1:23" ht="16.5" customHeight="1" x14ac:dyDescent="0.25">
      <c r="A66" s="21" t="s">
        <v>68</v>
      </c>
      <c r="B66" s="21" t="s">
        <v>20</v>
      </c>
      <c r="C66" s="26" t="s">
        <v>237</v>
      </c>
      <c r="D66" s="26" t="s">
        <v>89</v>
      </c>
      <c r="E66" s="69">
        <v>0</v>
      </c>
      <c r="F66" s="69">
        <v>0</v>
      </c>
      <c r="G66" s="69">
        <v>0</v>
      </c>
      <c r="H66" s="69">
        <v>0</v>
      </c>
      <c r="I66" s="69">
        <v>66</v>
      </c>
      <c r="J66" s="70">
        <f t="shared" si="11"/>
        <v>66</v>
      </c>
      <c r="K66" s="29">
        <f t="shared" si="1"/>
        <v>8514</v>
      </c>
      <c r="L66" s="198">
        <f>'1,1 SUMINISTRAR COM. PRE UNI. '!U93</f>
        <v>5842</v>
      </c>
      <c r="M66" s="198">
        <f>$L$66</f>
        <v>5842</v>
      </c>
      <c r="N66" s="198">
        <f t="shared" ref="N66:P66" si="50">$L$66</f>
        <v>5842</v>
      </c>
      <c r="O66" s="198">
        <f t="shared" si="50"/>
        <v>5842</v>
      </c>
      <c r="P66" s="198">
        <f t="shared" si="50"/>
        <v>5842</v>
      </c>
      <c r="Q66" s="35">
        <f t="shared" si="10"/>
        <v>129</v>
      </c>
      <c r="R66" s="104">
        <f t="shared" si="12"/>
        <v>0</v>
      </c>
      <c r="S66" s="104">
        <f t="shared" si="13"/>
        <v>0</v>
      </c>
      <c r="T66" s="104">
        <f t="shared" si="14"/>
        <v>0</v>
      </c>
      <c r="U66" s="104">
        <f t="shared" si="15"/>
        <v>0</v>
      </c>
      <c r="V66" s="104">
        <f t="shared" si="16"/>
        <v>49738788</v>
      </c>
      <c r="W66" s="104">
        <f t="shared" si="3"/>
        <v>49738788</v>
      </c>
    </row>
    <row r="67" spans="1:23" ht="16.5" customHeight="1" x14ac:dyDescent="0.25">
      <c r="A67" s="21" t="s">
        <v>69</v>
      </c>
      <c r="B67" s="21" t="s">
        <v>21</v>
      </c>
      <c r="C67" s="26" t="s">
        <v>58</v>
      </c>
      <c r="D67" s="31" t="s">
        <v>157</v>
      </c>
      <c r="E67" s="69">
        <v>267</v>
      </c>
      <c r="F67" s="69">
        <v>940</v>
      </c>
      <c r="G67" s="69">
        <v>704</v>
      </c>
      <c r="H67" s="69">
        <v>1064</v>
      </c>
      <c r="I67" s="69">
        <v>81</v>
      </c>
      <c r="J67" s="70">
        <f t="shared" si="11"/>
        <v>3056</v>
      </c>
      <c r="K67" s="29">
        <f t="shared" si="1"/>
        <v>394224</v>
      </c>
      <c r="L67" s="221">
        <f t="shared" ref="L67:L68" si="51">$L$21</f>
        <v>3602</v>
      </c>
      <c r="M67" s="221">
        <f t="shared" ref="M67:M68" si="52">$M$21</f>
        <v>3784</v>
      </c>
      <c r="N67" s="221">
        <f t="shared" ref="N67:N68" si="53">$N$21</f>
        <v>4043</v>
      </c>
      <c r="O67" s="221">
        <f t="shared" ref="O67:O68" si="54">$O$21</f>
        <v>4376</v>
      </c>
      <c r="P67" s="221">
        <f t="shared" ref="P67:P68" si="55">$P$21</f>
        <v>4685</v>
      </c>
      <c r="Q67" s="35">
        <f t="shared" si="10"/>
        <v>129</v>
      </c>
      <c r="R67" s="104">
        <f t="shared" si="12"/>
        <v>124063686</v>
      </c>
      <c r="S67" s="104">
        <f t="shared" si="13"/>
        <v>458847840</v>
      </c>
      <c r="T67" s="104">
        <f t="shared" si="14"/>
        <v>367169088</v>
      </c>
      <c r="U67" s="104">
        <f t="shared" si="15"/>
        <v>600632256</v>
      </c>
      <c r="V67" s="104">
        <f t="shared" si="16"/>
        <v>48953565</v>
      </c>
      <c r="W67" s="104">
        <f t="shared" si="3"/>
        <v>1599666435</v>
      </c>
    </row>
    <row r="68" spans="1:23" ht="16.5" customHeight="1" x14ac:dyDescent="0.25">
      <c r="A68" s="21" t="s">
        <v>69</v>
      </c>
      <c r="B68" s="21" t="s">
        <v>21</v>
      </c>
      <c r="C68" s="26" t="s">
        <v>58</v>
      </c>
      <c r="D68" s="31" t="s">
        <v>156</v>
      </c>
      <c r="E68" s="69">
        <v>9</v>
      </c>
      <c r="F68" s="69">
        <v>0</v>
      </c>
      <c r="G68" s="69">
        <v>0</v>
      </c>
      <c r="H68" s="69">
        <v>0</v>
      </c>
      <c r="I68" s="69">
        <v>0</v>
      </c>
      <c r="J68" s="70">
        <f t="shared" si="11"/>
        <v>9</v>
      </c>
      <c r="K68" s="29">
        <f t="shared" ref="K68:K131" si="56">J68*Q68</f>
        <v>1161</v>
      </c>
      <c r="L68" s="221">
        <f t="shared" si="51"/>
        <v>3602</v>
      </c>
      <c r="M68" s="221">
        <f t="shared" si="52"/>
        <v>3784</v>
      </c>
      <c r="N68" s="221">
        <f t="shared" si="53"/>
        <v>4043</v>
      </c>
      <c r="O68" s="221">
        <f t="shared" si="54"/>
        <v>4376</v>
      </c>
      <c r="P68" s="221">
        <f t="shared" si="55"/>
        <v>4685</v>
      </c>
      <c r="Q68" s="35">
        <f t="shared" si="10"/>
        <v>129</v>
      </c>
      <c r="R68" s="104">
        <f t="shared" si="12"/>
        <v>4181922</v>
      </c>
      <c r="S68" s="104">
        <f t="shared" si="13"/>
        <v>0</v>
      </c>
      <c r="T68" s="104">
        <f t="shared" si="14"/>
        <v>0</v>
      </c>
      <c r="U68" s="104">
        <f t="shared" si="15"/>
        <v>0</v>
      </c>
      <c r="V68" s="104">
        <f t="shared" si="16"/>
        <v>0</v>
      </c>
      <c r="W68" s="104">
        <f t="shared" ref="W68:W131" si="57">SUM(R68:V68)</f>
        <v>4181922</v>
      </c>
    </row>
    <row r="69" spans="1:23" ht="16.5" customHeight="1" x14ac:dyDescent="0.25">
      <c r="A69" s="21" t="s">
        <v>69</v>
      </c>
      <c r="B69" s="21" t="s">
        <v>21</v>
      </c>
      <c r="C69" s="26" t="s">
        <v>58</v>
      </c>
      <c r="D69" s="31" t="s">
        <v>89</v>
      </c>
      <c r="E69" s="71">
        <v>0</v>
      </c>
      <c r="F69" s="71">
        <v>0</v>
      </c>
      <c r="G69" s="71">
        <v>0</v>
      </c>
      <c r="H69" s="71">
        <v>0</v>
      </c>
      <c r="I69" s="71">
        <v>113</v>
      </c>
      <c r="J69" s="70">
        <f t="shared" si="11"/>
        <v>113</v>
      </c>
      <c r="K69" s="29">
        <f t="shared" si="56"/>
        <v>14577</v>
      </c>
      <c r="L69" s="221">
        <f>$L$22</f>
        <v>4717</v>
      </c>
      <c r="M69" s="221">
        <f>$M$22</f>
        <v>5101</v>
      </c>
      <c r="N69" s="221">
        <f>$N$22</f>
        <v>5447</v>
      </c>
      <c r="O69" s="221">
        <f>$O$22</f>
        <v>6028</v>
      </c>
      <c r="P69" s="221">
        <f>$P$22</f>
        <v>6513</v>
      </c>
      <c r="Q69" s="35">
        <f t="shared" si="10"/>
        <v>129</v>
      </c>
      <c r="R69" s="104">
        <f t="shared" si="12"/>
        <v>0</v>
      </c>
      <c r="S69" s="104">
        <f t="shared" si="13"/>
        <v>0</v>
      </c>
      <c r="T69" s="104">
        <f t="shared" si="14"/>
        <v>0</v>
      </c>
      <c r="U69" s="104">
        <f t="shared" si="15"/>
        <v>0</v>
      </c>
      <c r="V69" s="104">
        <f t="shared" si="16"/>
        <v>94940001</v>
      </c>
      <c r="W69" s="104">
        <f t="shared" si="57"/>
        <v>94940001</v>
      </c>
    </row>
    <row r="70" spans="1:23" ht="16.5" customHeight="1" x14ac:dyDescent="0.25">
      <c r="A70" s="34" t="s">
        <v>69</v>
      </c>
      <c r="B70" s="34" t="s">
        <v>21</v>
      </c>
      <c r="C70" s="26" t="s">
        <v>238</v>
      </c>
      <c r="D70" s="26" t="s">
        <v>91</v>
      </c>
      <c r="E70" s="69">
        <v>65</v>
      </c>
      <c r="F70" s="69">
        <v>268</v>
      </c>
      <c r="G70" s="69">
        <v>187</v>
      </c>
      <c r="H70" s="69">
        <v>302</v>
      </c>
      <c r="I70" s="69">
        <v>97</v>
      </c>
      <c r="J70" s="70">
        <f t="shared" si="11"/>
        <v>919</v>
      </c>
      <c r="K70" s="29">
        <f t="shared" si="56"/>
        <v>118551</v>
      </c>
      <c r="L70" s="213">
        <f>'1,1 SUMINISTRAR COM. PRE UNI. '!J93</f>
        <v>5411</v>
      </c>
      <c r="M70" s="213">
        <f>$L$70</f>
        <v>5411</v>
      </c>
      <c r="N70" s="213">
        <f t="shared" ref="N70:P70" si="58">$L$70</f>
        <v>5411</v>
      </c>
      <c r="O70" s="213">
        <f t="shared" si="58"/>
        <v>5411</v>
      </c>
      <c r="P70" s="213">
        <f t="shared" si="58"/>
        <v>5411</v>
      </c>
      <c r="Q70" s="35">
        <f t="shared" ref="Q70:Q133" si="59">$Q$4</f>
        <v>129</v>
      </c>
      <c r="R70" s="104">
        <f t="shared" si="12"/>
        <v>45371235</v>
      </c>
      <c r="S70" s="104">
        <f t="shared" si="13"/>
        <v>187069092</v>
      </c>
      <c r="T70" s="104">
        <f t="shared" si="14"/>
        <v>130529553</v>
      </c>
      <c r="U70" s="104">
        <f t="shared" si="15"/>
        <v>210801738</v>
      </c>
      <c r="V70" s="104">
        <f t="shared" si="16"/>
        <v>67707843</v>
      </c>
      <c r="W70" s="104">
        <f t="shared" si="57"/>
        <v>641479461</v>
      </c>
    </row>
    <row r="71" spans="1:23" ht="16.5" customHeight="1" x14ac:dyDescent="0.25">
      <c r="A71" s="34" t="s">
        <v>69</v>
      </c>
      <c r="B71" s="34" t="s">
        <v>21</v>
      </c>
      <c r="C71" s="26" t="s">
        <v>228</v>
      </c>
      <c r="D71" s="26" t="s">
        <v>91</v>
      </c>
      <c r="E71" s="69">
        <v>90</v>
      </c>
      <c r="F71" s="69">
        <v>298</v>
      </c>
      <c r="G71" s="69">
        <v>237</v>
      </c>
      <c r="H71" s="69">
        <v>424</v>
      </c>
      <c r="I71" s="69">
        <v>119</v>
      </c>
      <c r="J71" s="70">
        <f t="shared" si="11"/>
        <v>1168</v>
      </c>
      <c r="K71" s="29">
        <f t="shared" si="56"/>
        <v>150672</v>
      </c>
      <c r="L71" s="198">
        <v>5385</v>
      </c>
      <c r="M71" s="198">
        <v>5385</v>
      </c>
      <c r="N71" s="198">
        <v>5385</v>
      </c>
      <c r="O71" s="198">
        <v>5385</v>
      </c>
      <c r="P71" s="198">
        <v>5385</v>
      </c>
      <c r="Q71" s="35">
        <f t="shared" si="59"/>
        <v>129</v>
      </c>
      <c r="R71" s="104">
        <f t="shared" si="12"/>
        <v>62519850</v>
      </c>
      <c r="S71" s="104">
        <f t="shared" si="13"/>
        <v>207010170</v>
      </c>
      <c r="T71" s="104">
        <f t="shared" si="14"/>
        <v>164635605</v>
      </c>
      <c r="U71" s="104">
        <f t="shared" si="15"/>
        <v>294537960</v>
      </c>
      <c r="V71" s="104">
        <f t="shared" si="16"/>
        <v>82665135</v>
      </c>
      <c r="W71" s="104">
        <f t="shared" si="57"/>
        <v>811368720</v>
      </c>
    </row>
    <row r="72" spans="1:23" ht="16.5" customHeight="1" x14ac:dyDescent="0.25">
      <c r="A72" s="21" t="s">
        <v>69</v>
      </c>
      <c r="B72" s="21" t="s">
        <v>21</v>
      </c>
      <c r="C72" s="26" t="s">
        <v>239</v>
      </c>
      <c r="D72" s="26" t="s">
        <v>91</v>
      </c>
      <c r="E72" s="69">
        <v>149</v>
      </c>
      <c r="F72" s="69">
        <v>463</v>
      </c>
      <c r="G72" s="69">
        <v>309</v>
      </c>
      <c r="H72" s="69">
        <v>409</v>
      </c>
      <c r="I72" s="69">
        <v>151</v>
      </c>
      <c r="J72" s="70">
        <f t="shared" si="11"/>
        <v>1481</v>
      </c>
      <c r="K72" s="29">
        <f t="shared" si="56"/>
        <v>191049</v>
      </c>
      <c r="L72" s="198">
        <f>'1,1 SUMINISTRAR COM. PRE UNI. '!Z129</f>
        <v>5411</v>
      </c>
      <c r="M72" s="198">
        <f>$L$72</f>
        <v>5411</v>
      </c>
      <c r="N72" s="198">
        <f t="shared" ref="N72:P72" si="60">$L$72</f>
        <v>5411</v>
      </c>
      <c r="O72" s="198">
        <f t="shared" si="60"/>
        <v>5411</v>
      </c>
      <c r="P72" s="198">
        <f t="shared" si="60"/>
        <v>5411</v>
      </c>
      <c r="Q72" s="35">
        <f t="shared" si="59"/>
        <v>129</v>
      </c>
      <c r="R72" s="104">
        <f t="shared" si="12"/>
        <v>104004831</v>
      </c>
      <c r="S72" s="104">
        <f t="shared" si="13"/>
        <v>323182797</v>
      </c>
      <c r="T72" s="104">
        <f t="shared" si="14"/>
        <v>215687871</v>
      </c>
      <c r="U72" s="104">
        <f t="shared" si="15"/>
        <v>285489771</v>
      </c>
      <c r="V72" s="104">
        <f t="shared" si="16"/>
        <v>105400869</v>
      </c>
      <c r="W72" s="104">
        <f t="shared" si="57"/>
        <v>1033766139</v>
      </c>
    </row>
    <row r="73" spans="1:23" ht="16.5" customHeight="1" x14ac:dyDescent="0.25">
      <c r="A73" s="34" t="s">
        <v>69</v>
      </c>
      <c r="B73" s="34" t="s">
        <v>21</v>
      </c>
      <c r="C73" s="26" t="s">
        <v>232</v>
      </c>
      <c r="D73" s="26" t="s">
        <v>91</v>
      </c>
      <c r="E73" s="69">
        <v>26</v>
      </c>
      <c r="F73" s="69">
        <v>160</v>
      </c>
      <c r="G73" s="69">
        <v>104</v>
      </c>
      <c r="H73" s="69">
        <v>115</v>
      </c>
      <c r="I73" s="69">
        <v>45</v>
      </c>
      <c r="J73" s="70">
        <f t="shared" si="11"/>
        <v>450</v>
      </c>
      <c r="K73" s="29">
        <f t="shared" si="56"/>
        <v>58050</v>
      </c>
      <c r="L73" s="213">
        <f t="shared" ref="L73:M73" si="61">$L$38</f>
        <v>5411</v>
      </c>
      <c r="M73" s="213">
        <f t="shared" si="61"/>
        <v>5411</v>
      </c>
      <c r="N73" s="213">
        <f t="shared" ref="N73:P73" si="62">$L$38</f>
        <v>5411</v>
      </c>
      <c r="O73" s="213">
        <f t="shared" si="62"/>
        <v>5411</v>
      </c>
      <c r="P73" s="213">
        <f t="shared" si="62"/>
        <v>5411</v>
      </c>
      <c r="Q73" s="35">
        <f t="shared" si="59"/>
        <v>129</v>
      </c>
      <c r="R73" s="104">
        <f t="shared" si="12"/>
        <v>18148494</v>
      </c>
      <c r="S73" s="104">
        <f t="shared" si="13"/>
        <v>111683040</v>
      </c>
      <c r="T73" s="104">
        <f t="shared" si="14"/>
        <v>72593976</v>
      </c>
      <c r="U73" s="104">
        <f t="shared" si="15"/>
        <v>80272185</v>
      </c>
      <c r="V73" s="104">
        <f t="shared" si="16"/>
        <v>31410855</v>
      </c>
      <c r="W73" s="104">
        <f t="shared" si="57"/>
        <v>314108550</v>
      </c>
    </row>
    <row r="74" spans="1:23" ht="16.5" customHeight="1" x14ac:dyDescent="0.25">
      <c r="A74" s="21" t="s">
        <v>68</v>
      </c>
      <c r="B74" s="37" t="s">
        <v>22</v>
      </c>
      <c r="C74" s="26" t="s">
        <v>162</v>
      </c>
      <c r="D74" s="31" t="s">
        <v>166</v>
      </c>
      <c r="E74" s="69">
        <v>50</v>
      </c>
      <c r="F74" s="69">
        <v>410</v>
      </c>
      <c r="G74" s="69">
        <v>236</v>
      </c>
      <c r="H74" s="69">
        <v>435</v>
      </c>
      <c r="I74" s="69">
        <v>37</v>
      </c>
      <c r="J74" s="70">
        <f t="shared" si="11"/>
        <v>1168</v>
      </c>
      <c r="K74" s="29">
        <f t="shared" si="56"/>
        <v>150672</v>
      </c>
      <c r="L74" s="222">
        <f>$L$40</f>
        <v>3304</v>
      </c>
      <c r="M74" s="222">
        <f>$M$40</f>
        <v>3486</v>
      </c>
      <c r="N74" s="222">
        <f>$N$40</f>
        <v>3745</v>
      </c>
      <c r="O74" s="222">
        <f>$O$40</f>
        <v>4078</v>
      </c>
      <c r="P74" s="222">
        <f>$P$40</f>
        <v>4387</v>
      </c>
      <c r="Q74" s="35">
        <f t="shared" si="59"/>
        <v>129</v>
      </c>
      <c r="R74" s="104">
        <f t="shared" si="12"/>
        <v>21310800</v>
      </c>
      <c r="S74" s="104">
        <f t="shared" si="13"/>
        <v>184374540</v>
      </c>
      <c r="T74" s="104">
        <f t="shared" si="14"/>
        <v>114012780</v>
      </c>
      <c r="U74" s="104">
        <f t="shared" si="15"/>
        <v>228836970</v>
      </c>
      <c r="V74" s="104">
        <f t="shared" si="16"/>
        <v>20939151</v>
      </c>
      <c r="W74" s="104">
        <f t="shared" si="57"/>
        <v>569474241</v>
      </c>
    </row>
    <row r="75" spans="1:23" ht="16.5" customHeight="1" x14ac:dyDescent="0.25">
      <c r="A75" s="21" t="s">
        <v>68</v>
      </c>
      <c r="B75" s="37" t="s">
        <v>22</v>
      </c>
      <c r="C75" s="26" t="s">
        <v>162</v>
      </c>
      <c r="D75" s="26" t="s">
        <v>89</v>
      </c>
      <c r="E75" s="69">
        <v>0</v>
      </c>
      <c r="F75" s="69">
        <v>0</v>
      </c>
      <c r="G75" s="69">
        <v>0</v>
      </c>
      <c r="H75" s="69">
        <v>0</v>
      </c>
      <c r="I75" s="69">
        <v>173</v>
      </c>
      <c r="J75" s="70">
        <f t="shared" si="11"/>
        <v>173</v>
      </c>
      <c r="K75" s="29">
        <f t="shared" si="56"/>
        <v>22317</v>
      </c>
      <c r="L75" s="222">
        <f>$L$64</f>
        <v>4219</v>
      </c>
      <c r="M75" s="222">
        <f>$M$64</f>
        <v>4603</v>
      </c>
      <c r="N75" s="222">
        <f>$N$64</f>
        <v>4949</v>
      </c>
      <c r="O75" s="222">
        <f>$O$64</f>
        <v>5530</v>
      </c>
      <c r="P75" s="222">
        <f>$P$64</f>
        <v>6015</v>
      </c>
      <c r="Q75" s="35">
        <f t="shared" si="59"/>
        <v>129</v>
      </c>
      <c r="R75" s="104">
        <f t="shared" si="12"/>
        <v>0</v>
      </c>
      <c r="S75" s="104">
        <f t="shared" si="13"/>
        <v>0</v>
      </c>
      <c r="T75" s="104">
        <f t="shared" si="14"/>
        <v>0</v>
      </c>
      <c r="U75" s="104">
        <f t="shared" si="15"/>
        <v>0</v>
      </c>
      <c r="V75" s="104">
        <f t="shared" si="16"/>
        <v>134236755</v>
      </c>
      <c r="W75" s="104">
        <f t="shared" si="57"/>
        <v>134236755</v>
      </c>
    </row>
    <row r="76" spans="1:23" ht="16.5" customHeight="1" x14ac:dyDescent="0.25">
      <c r="A76" s="21" t="s">
        <v>70</v>
      </c>
      <c r="B76" s="21" t="s">
        <v>23</v>
      </c>
      <c r="C76" s="26" t="s">
        <v>240</v>
      </c>
      <c r="D76" s="26" t="s">
        <v>91</v>
      </c>
      <c r="E76" s="69">
        <v>423</v>
      </c>
      <c r="F76" s="69">
        <v>1949</v>
      </c>
      <c r="G76" s="69">
        <v>1374</v>
      </c>
      <c r="H76" s="69">
        <v>2095</v>
      </c>
      <c r="I76" s="69">
        <v>669</v>
      </c>
      <c r="J76" s="70">
        <f t="shared" si="11"/>
        <v>6510</v>
      </c>
      <c r="K76" s="29">
        <f t="shared" si="56"/>
        <v>839790</v>
      </c>
      <c r="L76" s="198">
        <f>'1,1 SUMINISTRAR COM. PRE UNI. '!AE93</f>
        <v>5411</v>
      </c>
      <c r="M76" s="198">
        <f>$L$76</f>
        <v>5411</v>
      </c>
      <c r="N76" s="198">
        <f t="shared" ref="N76:P76" si="63">$L$76</f>
        <v>5411</v>
      </c>
      <c r="O76" s="198">
        <f t="shared" si="63"/>
        <v>5411</v>
      </c>
      <c r="P76" s="198">
        <f t="shared" si="63"/>
        <v>5411</v>
      </c>
      <c r="Q76" s="35">
        <f t="shared" si="59"/>
        <v>129</v>
      </c>
      <c r="R76" s="104">
        <f t="shared" ref="R76:R136" si="64">E76*L76*Q76</f>
        <v>295262037</v>
      </c>
      <c r="S76" s="104">
        <f t="shared" ref="S76:S136" si="65">F76*M76*Q76</f>
        <v>1360439031</v>
      </c>
      <c r="T76" s="104">
        <f t="shared" ref="T76:T136" si="66">G76*N76*Q76</f>
        <v>959078106</v>
      </c>
      <c r="U76" s="104">
        <f t="shared" ref="U76:U136" si="67">H76*O76*Q76</f>
        <v>1462349805</v>
      </c>
      <c r="V76" s="104">
        <f t="shared" ref="V76:V136" si="68">I76*P76*Q76</f>
        <v>466974711</v>
      </c>
      <c r="W76" s="104">
        <f t="shared" si="57"/>
        <v>4544103690</v>
      </c>
    </row>
    <row r="77" spans="1:23" ht="16.5" customHeight="1" x14ac:dyDescent="0.25">
      <c r="A77" s="34" t="s">
        <v>70</v>
      </c>
      <c r="B77" s="34" t="s">
        <v>23</v>
      </c>
      <c r="C77" s="26" t="s">
        <v>232</v>
      </c>
      <c r="D77" s="26" t="s">
        <v>91</v>
      </c>
      <c r="E77" s="69">
        <v>139</v>
      </c>
      <c r="F77" s="69">
        <v>688</v>
      </c>
      <c r="G77" s="69">
        <v>500</v>
      </c>
      <c r="H77" s="69">
        <v>436</v>
      </c>
      <c r="I77" s="69">
        <v>291</v>
      </c>
      <c r="J77" s="70">
        <f t="shared" si="11"/>
        <v>2054</v>
      </c>
      <c r="K77" s="29">
        <f t="shared" si="56"/>
        <v>264966</v>
      </c>
      <c r="L77" s="213">
        <f t="shared" ref="L77:M77" si="69">$L$38</f>
        <v>5411</v>
      </c>
      <c r="M77" s="213">
        <f t="shared" si="69"/>
        <v>5411</v>
      </c>
      <c r="N77" s="213">
        <f t="shared" ref="N77:P77" si="70">$L$38</f>
        <v>5411</v>
      </c>
      <c r="O77" s="213">
        <f t="shared" si="70"/>
        <v>5411</v>
      </c>
      <c r="P77" s="213">
        <f t="shared" si="70"/>
        <v>5411</v>
      </c>
      <c r="Q77" s="35">
        <f t="shared" si="59"/>
        <v>129</v>
      </c>
      <c r="R77" s="104">
        <f t="shared" si="64"/>
        <v>97024641</v>
      </c>
      <c r="S77" s="104">
        <f t="shared" si="65"/>
        <v>480237072</v>
      </c>
      <c r="T77" s="104">
        <f t="shared" si="66"/>
        <v>349009500</v>
      </c>
      <c r="U77" s="104">
        <f t="shared" si="67"/>
        <v>304336284</v>
      </c>
      <c r="V77" s="104">
        <f t="shared" si="68"/>
        <v>203123529</v>
      </c>
      <c r="W77" s="104">
        <f t="shared" si="57"/>
        <v>1433731026</v>
      </c>
    </row>
    <row r="78" spans="1:23" ht="16.5" customHeight="1" x14ac:dyDescent="0.25">
      <c r="A78" s="21" t="s">
        <v>70</v>
      </c>
      <c r="B78" s="34" t="s">
        <v>23</v>
      </c>
      <c r="C78" s="26" t="s">
        <v>232</v>
      </c>
      <c r="D78" s="26" t="s">
        <v>89</v>
      </c>
      <c r="E78" s="69">
        <v>10</v>
      </c>
      <c r="F78" s="69">
        <v>188</v>
      </c>
      <c r="G78" s="69">
        <v>161</v>
      </c>
      <c r="H78" s="69">
        <v>367</v>
      </c>
      <c r="I78" s="69">
        <v>0</v>
      </c>
      <c r="J78" s="70">
        <f t="shared" si="11"/>
        <v>726</v>
      </c>
      <c r="K78" s="29">
        <f t="shared" si="56"/>
        <v>93654</v>
      </c>
      <c r="L78" s="198">
        <f>'1,1 SUMINISTRAR COM. PRE UNI. '!U129</f>
        <v>5842</v>
      </c>
      <c r="M78" s="198">
        <f>$L$78</f>
        <v>5842</v>
      </c>
      <c r="N78" s="198">
        <f t="shared" ref="N78:P78" si="71">$L$78</f>
        <v>5842</v>
      </c>
      <c r="O78" s="198">
        <f t="shared" si="71"/>
        <v>5842</v>
      </c>
      <c r="P78" s="198">
        <f t="shared" si="71"/>
        <v>5842</v>
      </c>
      <c r="Q78" s="35">
        <f t="shared" si="59"/>
        <v>129</v>
      </c>
      <c r="R78" s="104">
        <f t="shared" si="64"/>
        <v>7536180</v>
      </c>
      <c r="S78" s="104">
        <f t="shared" si="65"/>
        <v>141680184</v>
      </c>
      <c r="T78" s="104">
        <f t="shared" si="66"/>
        <v>121332498</v>
      </c>
      <c r="U78" s="104">
        <f t="shared" si="67"/>
        <v>276577806</v>
      </c>
      <c r="V78" s="104">
        <f t="shared" si="68"/>
        <v>0</v>
      </c>
      <c r="W78" s="104">
        <f t="shared" si="57"/>
        <v>547126668</v>
      </c>
    </row>
    <row r="79" spans="1:23" ht="16.5" customHeight="1" x14ac:dyDescent="0.25">
      <c r="A79" s="34" t="s">
        <v>67</v>
      </c>
      <c r="B79" s="37" t="s">
        <v>62</v>
      </c>
      <c r="C79" s="26" t="s">
        <v>58</v>
      </c>
      <c r="D79" s="26" t="s">
        <v>90</v>
      </c>
      <c r="E79" s="69">
        <v>289</v>
      </c>
      <c r="F79" s="69">
        <v>1055</v>
      </c>
      <c r="G79" s="69">
        <v>821</v>
      </c>
      <c r="H79" s="69">
        <v>1097</v>
      </c>
      <c r="I79" s="69">
        <v>354</v>
      </c>
      <c r="J79" s="70">
        <f t="shared" si="11"/>
        <v>3616</v>
      </c>
      <c r="K79" s="29">
        <f t="shared" si="56"/>
        <v>466464</v>
      </c>
      <c r="L79" s="222">
        <f>$L$7</f>
        <v>3981</v>
      </c>
      <c r="M79" s="222">
        <f>$M$7</f>
        <v>4163</v>
      </c>
      <c r="N79" s="222">
        <f>$N$7</f>
        <v>4422</v>
      </c>
      <c r="O79" s="222">
        <f>$O$7</f>
        <v>4755</v>
      </c>
      <c r="P79" s="222">
        <f>$P$7</f>
        <v>5064</v>
      </c>
      <c r="Q79" s="35">
        <f t="shared" si="59"/>
        <v>129</v>
      </c>
      <c r="R79" s="104">
        <f t="shared" si="64"/>
        <v>148415661</v>
      </c>
      <c r="S79" s="104">
        <f t="shared" si="65"/>
        <v>566563485</v>
      </c>
      <c r="T79" s="104">
        <f t="shared" si="66"/>
        <v>468329598</v>
      </c>
      <c r="U79" s="104">
        <f t="shared" si="67"/>
        <v>672894315</v>
      </c>
      <c r="V79" s="104">
        <f t="shared" si="68"/>
        <v>231252624</v>
      </c>
      <c r="W79" s="104">
        <f t="shared" si="57"/>
        <v>2087455683</v>
      </c>
    </row>
    <row r="80" spans="1:23" ht="16.5" customHeight="1" x14ac:dyDescent="0.25">
      <c r="A80" s="34" t="s">
        <v>67</v>
      </c>
      <c r="B80" s="37" t="s">
        <v>62</v>
      </c>
      <c r="C80" s="26" t="s">
        <v>58</v>
      </c>
      <c r="D80" s="31" t="s">
        <v>89</v>
      </c>
      <c r="E80" s="69">
        <v>114</v>
      </c>
      <c r="F80" s="69">
        <v>387</v>
      </c>
      <c r="G80" s="72">
        <v>282</v>
      </c>
      <c r="H80" s="69">
        <v>547</v>
      </c>
      <c r="I80" s="69">
        <v>293</v>
      </c>
      <c r="J80" s="70">
        <f t="shared" si="11"/>
        <v>1623</v>
      </c>
      <c r="K80" s="29">
        <f t="shared" si="56"/>
        <v>209367</v>
      </c>
      <c r="L80" s="198">
        <f>$L$8</f>
        <v>4588</v>
      </c>
      <c r="M80" s="198">
        <f>$M$8</f>
        <v>4972</v>
      </c>
      <c r="N80" s="198">
        <f>$N$8</f>
        <v>5318</v>
      </c>
      <c r="O80" s="198">
        <f>$O$8</f>
        <v>5899</v>
      </c>
      <c r="P80" s="198">
        <f>$P$8</f>
        <v>6384</v>
      </c>
      <c r="Q80" s="35">
        <f t="shared" si="59"/>
        <v>129</v>
      </c>
      <c r="R80" s="104">
        <f t="shared" si="64"/>
        <v>67471128</v>
      </c>
      <c r="S80" s="104">
        <f t="shared" si="65"/>
        <v>248217156</v>
      </c>
      <c r="T80" s="104">
        <f t="shared" si="66"/>
        <v>193458204</v>
      </c>
      <c r="U80" s="104">
        <f t="shared" si="67"/>
        <v>416251137</v>
      </c>
      <c r="V80" s="104">
        <f t="shared" si="68"/>
        <v>241296048</v>
      </c>
      <c r="W80" s="104">
        <f t="shared" si="57"/>
        <v>1166693673</v>
      </c>
    </row>
    <row r="81" spans="1:23" ht="16.5" customHeight="1" x14ac:dyDescent="0.25">
      <c r="A81" s="34" t="s">
        <v>66</v>
      </c>
      <c r="B81" s="37" t="s">
        <v>24</v>
      </c>
      <c r="C81" s="26" t="s">
        <v>58</v>
      </c>
      <c r="D81" s="31" t="s">
        <v>90</v>
      </c>
      <c r="E81" s="69">
        <v>107</v>
      </c>
      <c r="F81" s="69">
        <v>471</v>
      </c>
      <c r="G81" s="69">
        <v>317</v>
      </c>
      <c r="H81" s="69">
        <v>484</v>
      </c>
      <c r="I81" s="69">
        <v>136</v>
      </c>
      <c r="J81" s="70">
        <f t="shared" si="11"/>
        <v>1515</v>
      </c>
      <c r="K81" s="29">
        <f t="shared" si="56"/>
        <v>195435</v>
      </c>
      <c r="L81" s="222">
        <f>$L$4</f>
        <v>4145</v>
      </c>
      <c r="M81" s="222">
        <f>$M$4</f>
        <v>4327</v>
      </c>
      <c r="N81" s="222">
        <f>$N$4</f>
        <v>4586</v>
      </c>
      <c r="O81" s="222">
        <f>$O$4</f>
        <v>4919</v>
      </c>
      <c r="P81" s="222">
        <f>$P$4</f>
        <v>5228</v>
      </c>
      <c r="Q81" s="35">
        <f t="shared" si="59"/>
        <v>129</v>
      </c>
      <c r="R81" s="104">
        <f t="shared" si="64"/>
        <v>57213435</v>
      </c>
      <c r="S81" s="104">
        <f t="shared" si="65"/>
        <v>262904193</v>
      </c>
      <c r="T81" s="104">
        <f t="shared" si="66"/>
        <v>187535298</v>
      </c>
      <c r="U81" s="104">
        <f t="shared" si="67"/>
        <v>307122684</v>
      </c>
      <c r="V81" s="104">
        <f t="shared" si="68"/>
        <v>91720032</v>
      </c>
      <c r="W81" s="104">
        <f t="shared" si="57"/>
        <v>906495642</v>
      </c>
    </row>
    <row r="82" spans="1:23" ht="16.5" customHeight="1" x14ac:dyDescent="0.25">
      <c r="A82" s="34" t="s">
        <v>66</v>
      </c>
      <c r="B82" s="37" t="s">
        <v>24</v>
      </c>
      <c r="C82" s="26" t="s">
        <v>58</v>
      </c>
      <c r="D82" s="31" t="s">
        <v>89</v>
      </c>
      <c r="E82" s="69">
        <v>0</v>
      </c>
      <c r="F82" s="69">
        <v>6</v>
      </c>
      <c r="G82" s="69">
        <v>3</v>
      </c>
      <c r="H82" s="69">
        <v>0</v>
      </c>
      <c r="I82" s="69">
        <v>0</v>
      </c>
      <c r="J82" s="70">
        <f t="shared" si="11"/>
        <v>9</v>
      </c>
      <c r="K82" s="29">
        <f t="shared" si="56"/>
        <v>1161</v>
      </c>
      <c r="L82" s="222">
        <f>$L$5</f>
        <v>4619</v>
      </c>
      <c r="M82" s="222">
        <f>$M$5</f>
        <v>5003</v>
      </c>
      <c r="N82" s="222">
        <f>$N$5</f>
        <v>5349</v>
      </c>
      <c r="O82" s="222">
        <f>$O$5</f>
        <v>5930</v>
      </c>
      <c r="P82" s="222">
        <f>$P$5</f>
        <v>6415</v>
      </c>
      <c r="Q82" s="35">
        <f t="shared" si="59"/>
        <v>129</v>
      </c>
      <c r="R82" s="104">
        <f t="shared" si="64"/>
        <v>0</v>
      </c>
      <c r="S82" s="104">
        <f t="shared" si="65"/>
        <v>3872322</v>
      </c>
      <c r="T82" s="104">
        <f t="shared" si="66"/>
        <v>2070063</v>
      </c>
      <c r="U82" s="104">
        <f t="shared" si="67"/>
        <v>0</v>
      </c>
      <c r="V82" s="104">
        <f t="shared" si="68"/>
        <v>0</v>
      </c>
      <c r="W82" s="104">
        <f t="shared" si="57"/>
        <v>5942385</v>
      </c>
    </row>
    <row r="83" spans="1:23" ht="16.5" customHeight="1" x14ac:dyDescent="0.25">
      <c r="A83" s="34" t="s">
        <v>66</v>
      </c>
      <c r="B83" s="34" t="s">
        <v>24</v>
      </c>
      <c r="C83" s="26" t="s">
        <v>241</v>
      </c>
      <c r="D83" s="31" t="s">
        <v>91</v>
      </c>
      <c r="E83" s="69">
        <v>17</v>
      </c>
      <c r="F83" s="69">
        <v>67</v>
      </c>
      <c r="G83" s="69">
        <v>52</v>
      </c>
      <c r="H83" s="69">
        <v>0</v>
      </c>
      <c r="I83" s="69">
        <v>0</v>
      </c>
      <c r="J83" s="70">
        <f t="shared" si="11"/>
        <v>136</v>
      </c>
      <c r="K83" s="29">
        <f t="shared" si="56"/>
        <v>17544</v>
      </c>
      <c r="L83" s="198">
        <f>'1,1 SUMINISTRAR COM. PRE UNI. '!AE80</f>
        <v>5499</v>
      </c>
      <c r="M83" s="198">
        <f>$L$83</f>
        <v>5499</v>
      </c>
      <c r="N83" s="198">
        <f t="shared" ref="N83:P83" si="72">$L$83</f>
        <v>5499</v>
      </c>
      <c r="O83" s="198">
        <f t="shared" si="72"/>
        <v>5499</v>
      </c>
      <c r="P83" s="198">
        <f t="shared" si="72"/>
        <v>5499</v>
      </c>
      <c r="Q83" s="35">
        <f t="shared" si="59"/>
        <v>129</v>
      </c>
      <c r="R83" s="104">
        <f t="shared" si="64"/>
        <v>12059307</v>
      </c>
      <c r="S83" s="104">
        <f t="shared" si="65"/>
        <v>47527857</v>
      </c>
      <c r="T83" s="104">
        <f t="shared" si="66"/>
        <v>36887292</v>
      </c>
      <c r="U83" s="104">
        <f t="shared" si="67"/>
        <v>0</v>
      </c>
      <c r="V83" s="104">
        <f t="shared" si="68"/>
        <v>0</v>
      </c>
      <c r="W83" s="104">
        <f t="shared" si="57"/>
        <v>96474456</v>
      </c>
    </row>
    <row r="84" spans="1:23" ht="16.5" customHeight="1" x14ac:dyDescent="0.25">
      <c r="A84" s="34" t="s">
        <v>69</v>
      </c>
      <c r="B84" s="34" t="s">
        <v>25</v>
      </c>
      <c r="C84" s="26" t="s">
        <v>58</v>
      </c>
      <c r="D84" s="31" t="s">
        <v>90</v>
      </c>
      <c r="E84" s="69">
        <f>397-14</f>
        <v>383</v>
      </c>
      <c r="F84" s="69">
        <v>1385</v>
      </c>
      <c r="G84" s="69">
        <v>1086</v>
      </c>
      <c r="H84" s="69">
        <v>1202</v>
      </c>
      <c r="I84" s="69">
        <v>333</v>
      </c>
      <c r="J84" s="70">
        <f t="shared" si="11"/>
        <v>4389</v>
      </c>
      <c r="K84" s="29">
        <f t="shared" si="56"/>
        <v>566181</v>
      </c>
      <c r="L84" s="221">
        <f>$L$21</f>
        <v>3602</v>
      </c>
      <c r="M84" s="221">
        <f>$M$21</f>
        <v>3784</v>
      </c>
      <c r="N84" s="221">
        <f>$N$21</f>
        <v>4043</v>
      </c>
      <c r="O84" s="221">
        <f>$O$21</f>
        <v>4376</v>
      </c>
      <c r="P84" s="221">
        <f>$P$21</f>
        <v>4685</v>
      </c>
      <c r="Q84" s="35">
        <f t="shared" si="59"/>
        <v>129</v>
      </c>
      <c r="R84" s="104">
        <f t="shared" si="64"/>
        <v>177964014</v>
      </c>
      <c r="S84" s="104">
        <f t="shared" si="65"/>
        <v>676068360</v>
      </c>
      <c r="T84" s="104">
        <f t="shared" si="66"/>
        <v>566400042</v>
      </c>
      <c r="U84" s="104">
        <f t="shared" si="67"/>
        <v>678533808</v>
      </c>
      <c r="V84" s="104">
        <f t="shared" si="68"/>
        <v>201253545</v>
      </c>
      <c r="W84" s="104">
        <f t="shared" si="57"/>
        <v>2300219769</v>
      </c>
    </row>
    <row r="85" spans="1:23" ht="16.5" customHeight="1" x14ac:dyDescent="0.25">
      <c r="A85" s="34" t="s">
        <v>69</v>
      </c>
      <c r="B85" s="34" t="s">
        <v>25</v>
      </c>
      <c r="C85" s="26" t="s">
        <v>58</v>
      </c>
      <c r="D85" s="31" t="s">
        <v>89</v>
      </c>
      <c r="E85" s="71">
        <v>14</v>
      </c>
      <c r="F85" s="71">
        <v>79</v>
      </c>
      <c r="G85" s="71">
        <v>66</v>
      </c>
      <c r="H85" s="71">
        <v>81</v>
      </c>
      <c r="I85" s="71">
        <v>38</v>
      </c>
      <c r="J85" s="70">
        <f t="shared" si="11"/>
        <v>278</v>
      </c>
      <c r="K85" s="29">
        <f t="shared" si="56"/>
        <v>35862</v>
      </c>
      <c r="L85" s="221">
        <f>$L$22</f>
        <v>4717</v>
      </c>
      <c r="M85" s="221">
        <f>$M$22</f>
        <v>5101</v>
      </c>
      <c r="N85" s="221">
        <f>$N$22</f>
        <v>5447</v>
      </c>
      <c r="O85" s="221">
        <f>$O$22</f>
        <v>6028</v>
      </c>
      <c r="P85" s="221">
        <f>$P$22</f>
        <v>6513</v>
      </c>
      <c r="Q85" s="35">
        <f t="shared" si="59"/>
        <v>129</v>
      </c>
      <c r="R85" s="104">
        <f t="shared" si="64"/>
        <v>8518902</v>
      </c>
      <c r="S85" s="104">
        <f t="shared" si="65"/>
        <v>51984291</v>
      </c>
      <c r="T85" s="104">
        <f t="shared" si="66"/>
        <v>46375758</v>
      </c>
      <c r="U85" s="104">
        <f t="shared" si="67"/>
        <v>62986572</v>
      </c>
      <c r="V85" s="104">
        <f t="shared" si="68"/>
        <v>31926726</v>
      </c>
      <c r="W85" s="104">
        <f t="shared" si="57"/>
        <v>201792249</v>
      </c>
    </row>
    <row r="86" spans="1:23" ht="16.5" customHeight="1" x14ac:dyDescent="0.25">
      <c r="A86" s="34" t="s">
        <v>69</v>
      </c>
      <c r="B86" s="34" t="s">
        <v>25</v>
      </c>
      <c r="C86" s="26" t="s">
        <v>242</v>
      </c>
      <c r="D86" s="31" t="s">
        <v>91</v>
      </c>
      <c r="E86" s="69">
        <v>24</v>
      </c>
      <c r="F86" s="69">
        <v>55</v>
      </c>
      <c r="G86" s="69">
        <v>44</v>
      </c>
      <c r="H86" s="69">
        <v>91</v>
      </c>
      <c r="I86" s="69">
        <v>33</v>
      </c>
      <c r="J86" s="70">
        <f t="shared" si="11"/>
        <v>247</v>
      </c>
      <c r="K86" s="29">
        <f t="shared" si="56"/>
        <v>31863</v>
      </c>
      <c r="L86" s="213">
        <f>'1,1 SUMINISTRAR COM. PRE UNI. '!E129</f>
        <v>5411</v>
      </c>
      <c r="M86" s="213">
        <f>$L$86</f>
        <v>5411</v>
      </c>
      <c r="N86" s="213">
        <f t="shared" ref="N86:P86" si="73">$L$86</f>
        <v>5411</v>
      </c>
      <c r="O86" s="213">
        <f t="shared" si="73"/>
        <v>5411</v>
      </c>
      <c r="P86" s="213">
        <f t="shared" si="73"/>
        <v>5411</v>
      </c>
      <c r="Q86" s="35">
        <f t="shared" si="59"/>
        <v>129</v>
      </c>
      <c r="R86" s="104">
        <f t="shared" si="64"/>
        <v>16752456</v>
      </c>
      <c r="S86" s="104">
        <f t="shared" si="65"/>
        <v>38391045</v>
      </c>
      <c r="T86" s="104">
        <f t="shared" si="66"/>
        <v>30712836</v>
      </c>
      <c r="U86" s="104">
        <f t="shared" si="67"/>
        <v>63519729</v>
      </c>
      <c r="V86" s="104">
        <f t="shared" si="68"/>
        <v>23034627</v>
      </c>
      <c r="W86" s="104">
        <f t="shared" si="57"/>
        <v>172410693</v>
      </c>
    </row>
    <row r="87" spans="1:23" ht="16.5" customHeight="1" x14ac:dyDescent="0.25">
      <c r="A87" s="34" t="s">
        <v>69</v>
      </c>
      <c r="B87" s="21" t="s">
        <v>25</v>
      </c>
      <c r="C87" s="26" t="s">
        <v>228</v>
      </c>
      <c r="D87" s="26" t="s">
        <v>91</v>
      </c>
      <c r="E87" s="69">
        <v>20</v>
      </c>
      <c r="F87" s="69">
        <v>130</v>
      </c>
      <c r="G87" s="69">
        <v>106</v>
      </c>
      <c r="H87" s="69">
        <v>248</v>
      </c>
      <c r="I87" s="69">
        <v>103</v>
      </c>
      <c r="J87" s="70">
        <f t="shared" si="11"/>
        <v>607</v>
      </c>
      <c r="K87" s="29">
        <f t="shared" si="56"/>
        <v>78303</v>
      </c>
      <c r="L87" s="198">
        <v>5385</v>
      </c>
      <c r="M87" s="198">
        <v>5385</v>
      </c>
      <c r="N87" s="198">
        <v>5385</v>
      </c>
      <c r="O87" s="198">
        <v>5385</v>
      </c>
      <c r="P87" s="198">
        <v>5385</v>
      </c>
      <c r="Q87" s="35">
        <f t="shared" si="59"/>
        <v>129</v>
      </c>
      <c r="R87" s="104">
        <f t="shared" si="64"/>
        <v>13893300</v>
      </c>
      <c r="S87" s="104">
        <f t="shared" si="65"/>
        <v>90306450</v>
      </c>
      <c r="T87" s="104">
        <f t="shared" si="66"/>
        <v>73634490</v>
      </c>
      <c r="U87" s="104">
        <f t="shared" si="67"/>
        <v>172276920</v>
      </c>
      <c r="V87" s="104">
        <f t="shared" si="68"/>
        <v>71550495</v>
      </c>
      <c r="W87" s="104">
        <f t="shared" si="57"/>
        <v>421661655</v>
      </c>
    </row>
    <row r="88" spans="1:23" ht="16.5" customHeight="1" x14ac:dyDescent="0.25">
      <c r="A88" s="21" t="s">
        <v>68</v>
      </c>
      <c r="B88" s="36" t="s">
        <v>84</v>
      </c>
      <c r="C88" s="26" t="s">
        <v>162</v>
      </c>
      <c r="D88" s="31" t="s">
        <v>166</v>
      </c>
      <c r="E88" s="69">
        <v>437</v>
      </c>
      <c r="F88" s="69">
        <v>1363</v>
      </c>
      <c r="G88" s="69">
        <v>1032</v>
      </c>
      <c r="H88" s="69">
        <v>1684</v>
      </c>
      <c r="I88" s="69">
        <v>688</v>
      </c>
      <c r="J88" s="70">
        <f t="shared" ref="J88:J136" si="74">SUM(E88:I88)</f>
        <v>5204</v>
      </c>
      <c r="K88" s="29">
        <f t="shared" si="56"/>
        <v>671316</v>
      </c>
      <c r="L88" s="222">
        <f>$L$40</f>
        <v>3304</v>
      </c>
      <c r="M88" s="222">
        <f>$M$40</f>
        <v>3486</v>
      </c>
      <c r="N88" s="222">
        <f>$N$40</f>
        <v>3745</v>
      </c>
      <c r="O88" s="222">
        <f>$O$40</f>
        <v>4078</v>
      </c>
      <c r="P88" s="222">
        <f>$P$40</f>
        <v>4387</v>
      </c>
      <c r="Q88" s="35">
        <f t="shared" si="59"/>
        <v>129</v>
      </c>
      <c r="R88" s="104">
        <f t="shared" si="64"/>
        <v>186256392</v>
      </c>
      <c r="S88" s="104">
        <f t="shared" si="65"/>
        <v>612932922</v>
      </c>
      <c r="T88" s="104">
        <f t="shared" si="66"/>
        <v>498564360</v>
      </c>
      <c r="U88" s="104">
        <f t="shared" si="67"/>
        <v>885888408</v>
      </c>
      <c r="V88" s="104">
        <f t="shared" si="68"/>
        <v>389355024</v>
      </c>
      <c r="W88" s="104">
        <f t="shared" si="57"/>
        <v>2572997106</v>
      </c>
    </row>
    <row r="89" spans="1:23" ht="16.5" customHeight="1" x14ac:dyDescent="0.25">
      <c r="A89" s="21" t="s">
        <v>68</v>
      </c>
      <c r="B89" s="36" t="s">
        <v>84</v>
      </c>
      <c r="C89" s="26" t="s">
        <v>162</v>
      </c>
      <c r="D89" s="26" t="s">
        <v>89</v>
      </c>
      <c r="E89" s="69">
        <v>0</v>
      </c>
      <c r="F89" s="69">
        <v>0</v>
      </c>
      <c r="G89" s="69">
        <v>0</v>
      </c>
      <c r="H89" s="69">
        <v>178</v>
      </c>
      <c r="I89" s="69">
        <v>135</v>
      </c>
      <c r="J89" s="70">
        <f t="shared" si="74"/>
        <v>313</v>
      </c>
      <c r="K89" s="29">
        <f t="shared" si="56"/>
        <v>40377</v>
      </c>
      <c r="L89" s="222">
        <f>$L$64</f>
        <v>4219</v>
      </c>
      <c r="M89" s="222">
        <f>$M$64</f>
        <v>4603</v>
      </c>
      <c r="N89" s="222">
        <f>$N$64</f>
        <v>4949</v>
      </c>
      <c r="O89" s="222">
        <f>$O$64</f>
        <v>5530</v>
      </c>
      <c r="P89" s="222">
        <f>$P$64</f>
        <v>6015</v>
      </c>
      <c r="Q89" s="35">
        <f t="shared" si="59"/>
        <v>129</v>
      </c>
      <c r="R89" s="104">
        <f t="shared" si="64"/>
        <v>0</v>
      </c>
      <c r="S89" s="104">
        <f t="shared" si="65"/>
        <v>0</v>
      </c>
      <c r="T89" s="104">
        <f t="shared" si="66"/>
        <v>0</v>
      </c>
      <c r="U89" s="104">
        <f t="shared" si="67"/>
        <v>126979860</v>
      </c>
      <c r="V89" s="104">
        <f t="shared" si="68"/>
        <v>104751225</v>
      </c>
      <c r="W89" s="104">
        <f t="shared" si="57"/>
        <v>231731085</v>
      </c>
    </row>
    <row r="90" spans="1:23" ht="16.5" customHeight="1" x14ac:dyDescent="0.25">
      <c r="A90" s="21" t="s">
        <v>70</v>
      </c>
      <c r="B90" s="21" t="s">
        <v>27</v>
      </c>
      <c r="C90" s="26" t="s">
        <v>243</v>
      </c>
      <c r="D90" s="26" t="s">
        <v>91</v>
      </c>
      <c r="E90" s="69">
        <v>76</v>
      </c>
      <c r="F90" s="69">
        <v>222</v>
      </c>
      <c r="G90" s="69">
        <v>185</v>
      </c>
      <c r="H90" s="69">
        <v>473</v>
      </c>
      <c r="I90" s="69">
        <v>82</v>
      </c>
      <c r="J90" s="70">
        <f t="shared" si="74"/>
        <v>1038</v>
      </c>
      <c r="K90" s="29">
        <f t="shared" si="56"/>
        <v>133902</v>
      </c>
      <c r="L90" s="198">
        <f>'1,1 SUMINISTRAR COM. PRE UNI. '!E117</f>
        <v>5411</v>
      </c>
      <c r="M90" s="198">
        <f>$L$90</f>
        <v>5411</v>
      </c>
      <c r="N90" s="198">
        <f t="shared" ref="N90:P90" si="75">$L$90</f>
        <v>5411</v>
      </c>
      <c r="O90" s="198">
        <f t="shared" si="75"/>
        <v>5411</v>
      </c>
      <c r="P90" s="198">
        <f t="shared" si="75"/>
        <v>5411</v>
      </c>
      <c r="Q90" s="35">
        <f t="shared" si="59"/>
        <v>129</v>
      </c>
      <c r="R90" s="104">
        <f t="shared" si="64"/>
        <v>53049444</v>
      </c>
      <c r="S90" s="104">
        <f t="shared" si="65"/>
        <v>154960218</v>
      </c>
      <c r="T90" s="104">
        <f t="shared" si="66"/>
        <v>129133515</v>
      </c>
      <c r="U90" s="104">
        <f t="shared" si="67"/>
        <v>330162987</v>
      </c>
      <c r="V90" s="104">
        <f t="shared" si="68"/>
        <v>57237558</v>
      </c>
      <c r="W90" s="104">
        <f t="shared" si="57"/>
        <v>724543722</v>
      </c>
    </row>
    <row r="91" spans="1:23" ht="16.5" customHeight="1" x14ac:dyDescent="0.25">
      <c r="A91" s="21" t="s">
        <v>70</v>
      </c>
      <c r="B91" s="21" t="s">
        <v>27</v>
      </c>
      <c r="C91" s="26" t="s">
        <v>243</v>
      </c>
      <c r="D91" s="26" t="s">
        <v>89</v>
      </c>
      <c r="E91" s="69">
        <v>0</v>
      </c>
      <c r="F91" s="69">
        <v>0</v>
      </c>
      <c r="G91" s="69">
        <v>0</v>
      </c>
      <c r="H91" s="69">
        <v>0</v>
      </c>
      <c r="I91" s="69">
        <v>81</v>
      </c>
      <c r="J91" s="70">
        <f t="shared" si="74"/>
        <v>81</v>
      </c>
      <c r="K91" s="29">
        <f t="shared" si="56"/>
        <v>10449</v>
      </c>
      <c r="L91" s="198">
        <f>'1,1 SUMINISTRAR COM. PRE UNI. '!J117</f>
        <v>5871</v>
      </c>
      <c r="M91" s="198">
        <f>$L$91</f>
        <v>5871</v>
      </c>
      <c r="N91" s="198">
        <f t="shared" ref="N91:P91" si="76">$L$91</f>
        <v>5871</v>
      </c>
      <c r="O91" s="198">
        <f t="shared" si="76"/>
        <v>5871</v>
      </c>
      <c r="P91" s="198">
        <f t="shared" si="76"/>
        <v>5871</v>
      </c>
      <c r="Q91" s="35">
        <f t="shared" si="59"/>
        <v>129</v>
      </c>
      <c r="R91" s="104">
        <f t="shared" si="64"/>
        <v>0</v>
      </c>
      <c r="S91" s="104">
        <f t="shared" si="65"/>
        <v>0</v>
      </c>
      <c r="T91" s="104">
        <f t="shared" si="66"/>
        <v>0</v>
      </c>
      <c r="U91" s="104">
        <f t="shared" si="67"/>
        <v>0</v>
      </c>
      <c r="V91" s="104">
        <f t="shared" si="68"/>
        <v>61346079</v>
      </c>
      <c r="W91" s="104">
        <f t="shared" si="57"/>
        <v>61346079</v>
      </c>
    </row>
    <row r="92" spans="1:23" ht="16.5" customHeight="1" x14ac:dyDescent="0.25">
      <c r="A92" s="21" t="s">
        <v>70</v>
      </c>
      <c r="B92" s="21" t="s">
        <v>27</v>
      </c>
      <c r="C92" s="26" t="s">
        <v>232</v>
      </c>
      <c r="D92" s="26" t="s">
        <v>91</v>
      </c>
      <c r="E92" s="69">
        <v>131</v>
      </c>
      <c r="F92" s="69">
        <v>390</v>
      </c>
      <c r="G92" s="69">
        <v>352</v>
      </c>
      <c r="H92" s="69">
        <v>470</v>
      </c>
      <c r="I92" s="69">
        <v>211</v>
      </c>
      <c r="J92" s="70">
        <f t="shared" si="74"/>
        <v>1554</v>
      </c>
      <c r="K92" s="29">
        <f t="shared" si="56"/>
        <v>200466</v>
      </c>
      <c r="L92" s="213">
        <f t="shared" ref="L92:M92" si="77">$L$38</f>
        <v>5411</v>
      </c>
      <c r="M92" s="213">
        <f t="shared" si="77"/>
        <v>5411</v>
      </c>
      <c r="N92" s="213">
        <f t="shared" ref="N92:P92" si="78">$L$38</f>
        <v>5411</v>
      </c>
      <c r="O92" s="213">
        <f t="shared" si="78"/>
        <v>5411</v>
      </c>
      <c r="P92" s="213">
        <f t="shared" si="78"/>
        <v>5411</v>
      </c>
      <c r="Q92" s="35">
        <f t="shared" si="59"/>
        <v>129</v>
      </c>
      <c r="R92" s="104">
        <f t="shared" si="64"/>
        <v>91440489</v>
      </c>
      <c r="S92" s="104">
        <f t="shared" si="65"/>
        <v>272227410</v>
      </c>
      <c r="T92" s="104">
        <f t="shared" si="66"/>
        <v>245702688</v>
      </c>
      <c r="U92" s="104">
        <f t="shared" si="67"/>
        <v>328068930</v>
      </c>
      <c r="V92" s="104">
        <f t="shared" si="68"/>
        <v>147282009</v>
      </c>
      <c r="W92" s="104">
        <f t="shared" si="57"/>
        <v>1084721526</v>
      </c>
    </row>
    <row r="93" spans="1:23" ht="16.5" customHeight="1" x14ac:dyDescent="0.25">
      <c r="A93" s="21" t="s">
        <v>66</v>
      </c>
      <c r="B93" s="36" t="s">
        <v>28</v>
      </c>
      <c r="C93" s="26" t="s">
        <v>58</v>
      </c>
      <c r="D93" s="26" t="s">
        <v>90</v>
      </c>
      <c r="E93" s="69">
        <v>67</v>
      </c>
      <c r="F93" s="69">
        <v>164</v>
      </c>
      <c r="G93" s="69">
        <v>129</v>
      </c>
      <c r="H93" s="69">
        <v>244</v>
      </c>
      <c r="I93" s="69">
        <v>24</v>
      </c>
      <c r="J93" s="70">
        <f t="shared" si="74"/>
        <v>628</v>
      </c>
      <c r="K93" s="29">
        <f t="shared" si="56"/>
        <v>81012</v>
      </c>
      <c r="L93" s="222">
        <f>$L$4</f>
        <v>4145</v>
      </c>
      <c r="M93" s="222">
        <f>$M$4</f>
        <v>4327</v>
      </c>
      <c r="N93" s="222">
        <f>$N$4</f>
        <v>4586</v>
      </c>
      <c r="O93" s="222">
        <f>$O$4</f>
        <v>4919</v>
      </c>
      <c r="P93" s="222">
        <f>$P$4</f>
        <v>5228</v>
      </c>
      <c r="Q93" s="35">
        <f t="shared" si="59"/>
        <v>129</v>
      </c>
      <c r="R93" s="104">
        <f t="shared" si="64"/>
        <v>35825235</v>
      </c>
      <c r="S93" s="104">
        <f t="shared" si="65"/>
        <v>91542012</v>
      </c>
      <c r="T93" s="104">
        <f t="shared" si="66"/>
        <v>76315626</v>
      </c>
      <c r="U93" s="104">
        <f t="shared" si="67"/>
        <v>154830444</v>
      </c>
      <c r="V93" s="104">
        <f t="shared" si="68"/>
        <v>16185888</v>
      </c>
      <c r="W93" s="104">
        <f t="shared" si="57"/>
        <v>374699205</v>
      </c>
    </row>
    <row r="94" spans="1:23" ht="16.5" customHeight="1" x14ac:dyDescent="0.25">
      <c r="A94" s="21" t="s">
        <v>66</v>
      </c>
      <c r="B94" s="36" t="s">
        <v>28</v>
      </c>
      <c r="C94" s="26" t="s">
        <v>58</v>
      </c>
      <c r="D94" s="26" t="s">
        <v>89</v>
      </c>
      <c r="E94" s="69">
        <v>0</v>
      </c>
      <c r="F94" s="69">
        <v>0</v>
      </c>
      <c r="G94" s="69">
        <v>0</v>
      </c>
      <c r="H94" s="69">
        <v>0</v>
      </c>
      <c r="I94" s="69">
        <v>71</v>
      </c>
      <c r="J94" s="70">
        <f t="shared" si="74"/>
        <v>71</v>
      </c>
      <c r="K94" s="29">
        <f t="shared" si="56"/>
        <v>9159</v>
      </c>
      <c r="L94" s="222">
        <f>$L$5</f>
        <v>4619</v>
      </c>
      <c r="M94" s="222">
        <f>$M$5</f>
        <v>5003</v>
      </c>
      <c r="N94" s="222">
        <f>$N$5</f>
        <v>5349</v>
      </c>
      <c r="O94" s="222">
        <f>$O$5</f>
        <v>5930</v>
      </c>
      <c r="P94" s="222">
        <f>$P$5</f>
        <v>6415</v>
      </c>
      <c r="Q94" s="35">
        <f t="shared" si="59"/>
        <v>129</v>
      </c>
      <c r="R94" s="104">
        <f t="shared" si="64"/>
        <v>0</v>
      </c>
      <c r="S94" s="104">
        <f t="shared" si="65"/>
        <v>0</v>
      </c>
      <c r="T94" s="104">
        <f t="shared" si="66"/>
        <v>0</v>
      </c>
      <c r="U94" s="104">
        <f t="shared" si="67"/>
        <v>0</v>
      </c>
      <c r="V94" s="104">
        <f t="shared" si="68"/>
        <v>58754985</v>
      </c>
      <c r="W94" s="104">
        <f t="shared" si="57"/>
        <v>58754985</v>
      </c>
    </row>
    <row r="95" spans="1:23" ht="16.5" customHeight="1" x14ac:dyDescent="0.25">
      <c r="A95" s="21" t="s">
        <v>66</v>
      </c>
      <c r="B95" s="36" t="s">
        <v>29</v>
      </c>
      <c r="C95" s="26" t="s">
        <v>58</v>
      </c>
      <c r="D95" s="26" t="s">
        <v>90</v>
      </c>
      <c r="E95" s="69">
        <v>45</v>
      </c>
      <c r="F95" s="69">
        <v>149</v>
      </c>
      <c r="G95" s="69">
        <v>103</v>
      </c>
      <c r="H95" s="69">
        <v>166</v>
      </c>
      <c r="I95" s="69">
        <v>0</v>
      </c>
      <c r="J95" s="70">
        <f t="shared" si="74"/>
        <v>463</v>
      </c>
      <c r="K95" s="29">
        <f t="shared" si="56"/>
        <v>59727</v>
      </c>
      <c r="L95" s="222">
        <f>$L$4</f>
        <v>4145</v>
      </c>
      <c r="M95" s="222">
        <f>$M$4</f>
        <v>4327</v>
      </c>
      <c r="N95" s="222">
        <f>$N$4</f>
        <v>4586</v>
      </c>
      <c r="O95" s="222">
        <f>$O$4</f>
        <v>4919</v>
      </c>
      <c r="P95" s="222">
        <f>$P$4</f>
        <v>5228</v>
      </c>
      <c r="Q95" s="35">
        <f t="shared" si="59"/>
        <v>129</v>
      </c>
      <c r="R95" s="104">
        <f t="shared" si="64"/>
        <v>24061725</v>
      </c>
      <c r="S95" s="104">
        <f t="shared" si="65"/>
        <v>83169267</v>
      </c>
      <c r="T95" s="104">
        <f t="shared" si="66"/>
        <v>60934182</v>
      </c>
      <c r="U95" s="104">
        <f t="shared" si="67"/>
        <v>105335466</v>
      </c>
      <c r="V95" s="104">
        <f t="shared" si="68"/>
        <v>0</v>
      </c>
      <c r="W95" s="104">
        <f t="shared" si="57"/>
        <v>273500640</v>
      </c>
    </row>
    <row r="96" spans="1:23" ht="16.5" customHeight="1" x14ac:dyDescent="0.25">
      <c r="A96" s="21" t="s">
        <v>66</v>
      </c>
      <c r="B96" s="36" t="s">
        <v>29</v>
      </c>
      <c r="C96" s="26" t="s">
        <v>58</v>
      </c>
      <c r="D96" s="26" t="s">
        <v>89</v>
      </c>
      <c r="E96" s="69">
        <v>0</v>
      </c>
      <c r="F96" s="69">
        <v>0</v>
      </c>
      <c r="G96" s="69">
        <v>0</v>
      </c>
      <c r="H96" s="69">
        <v>0</v>
      </c>
      <c r="I96" s="69">
        <v>74</v>
      </c>
      <c r="J96" s="70">
        <f t="shared" si="74"/>
        <v>74</v>
      </c>
      <c r="K96" s="29">
        <f t="shared" si="56"/>
        <v>9546</v>
      </c>
      <c r="L96" s="222">
        <f>$L$5</f>
        <v>4619</v>
      </c>
      <c r="M96" s="222">
        <f>$M$5</f>
        <v>5003</v>
      </c>
      <c r="N96" s="222">
        <f>$N$5</f>
        <v>5349</v>
      </c>
      <c r="O96" s="222">
        <f>$O$5</f>
        <v>5930</v>
      </c>
      <c r="P96" s="222">
        <f>$P$5</f>
        <v>6415</v>
      </c>
      <c r="Q96" s="35">
        <f t="shared" si="59"/>
        <v>129</v>
      </c>
      <c r="R96" s="104">
        <f t="shared" si="64"/>
        <v>0</v>
      </c>
      <c r="S96" s="104">
        <f t="shared" si="65"/>
        <v>0</v>
      </c>
      <c r="T96" s="104">
        <f t="shared" si="66"/>
        <v>0</v>
      </c>
      <c r="U96" s="104">
        <f t="shared" si="67"/>
        <v>0</v>
      </c>
      <c r="V96" s="104">
        <f t="shared" si="68"/>
        <v>61237590</v>
      </c>
      <c r="W96" s="104">
        <f t="shared" si="57"/>
        <v>61237590</v>
      </c>
    </row>
    <row r="97" spans="1:23" ht="16.5" customHeight="1" x14ac:dyDescent="0.25">
      <c r="A97" s="21" t="s">
        <v>66</v>
      </c>
      <c r="B97" s="21" t="s">
        <v>29</v>
      </c>
      <c r="C97" s="26" t="s">
        <v>225</v>
      </c>
      <c r="D97" s="26" t="s">
        <v>91</v>
      </c>
      <c r="E97" s="69">
        <v>41</v>
      </c>
      <c r="F97" s="69">
        <v>110</v>
      </c>
      <c r="G97" s="69">
        <v>57</v>
      </c>
      <c r="H97" s="69">
        <v>125</v>
      </c>
      <c r="I97" s="69">
        <v>23</v>
      </c>
      <c r="J97" s="70">
        <f t="shared" si="74"/>
        <v>356</v>
      </c>
      <c r="K97" s="29">
        <f t="shared" si="56"/>
        <v>45924</v>
      </c>
      <c r="L97" s="198">
        <f t="shared" ref="L97:P97" si="79">$L$49</f>
        <v>5411</v>
      </c>
      <c r="M97" s="198">
        <f t="shared" si="79"/>
        <v>5411</v>
      </c>
      <c r="N97" s="198">
        <f t="shared" si="79"/>
        <v>5411</v>
      </c>
      <c r="O97" s="198">
        <f t="shared" si="79"/>
        <v>5411</v>
      </c>
      <c r="P97" s="198">
        <f t="shared" si="79"/>
        <v>5411</v>
      </c>
      <c r="Q97" s="35">
        <f t="shared" si="59"/>
        <v>129</v>
      </c>
      <c r="R97" s="104">
        <f t="shared" si="64"/>
        <v>28618779</v>
      </c>
      <c r="S97" s="104">
        <f t="shared" si="65"/>
        <v>76782090</v>
      </c>
      <c r="T97" s="104">
        <f t="shared" si="66"/>
        <v>39787083</v>
      </c>
      <c r="U97" s="104">
        <f t="shared" si="67"/>
        <v>87252375</v>
      </c>
      <c r="V97" s="104">
        <f t="shared" si="68"/>
        <v>16054437</v>
      </c>
      <c r="W97" s="104">
        <f t="shared" si="57"/>
        <v>248494764</v>
      </c>
    </row>
    <row r="98" spans="1:23" ht="16.5" customHeight="1" x14ac:dyDescent="0.25">
      <c r="A98" s="21" t="s">
        <v>66</v>
      </c>
      <c r="B98" s="21" t="s">
        <v>29</v>
      </c>
      <c r="C98" s="26" t="s">
        <v>225</v>
      </c>
      <c r="D98" s="26" t="s">
        <v>89</v>
      </c>
      <c r="E98" s="69">
        <v>2</v>
      </c>
      <c r="F98" s="69">
        <v>7</v>
      </c>
      <c r="G98" s="69">
        <v>5</v>
      </c>
      <c r="H98" s="69">
        <v>46</v>
      </c>
      <c r="I98" s="69">
        <v>52</v>
      </c>
      <c r="J98" s="70">
        <f t="shared" si="74"/>
        <v>112</v>
      </c>
      <c r="K98" s="29">
        <f t="shared" si="56"/>
        <v>14448</v>
      </c>
      <c r="L98" s="198">
        <f t="shared" ref="L98:P98" si="80">$L$54</f>
        <v>7522</v>
      </c>
      <c r="M98" s="198">
        <f t="shared" si="80"/>
        <v>7522</v>
      </c>
      <c r="N98" s="198">
        <f t="shared" si="80"/>
        <v>7522</v>
      </c>
      <c r="O98" s="198">
        <f t="shared" si="80"/>
        <v>7522</v>
      </c>
      <c r="P98" s="198">
        <f t="shared" si="80"/>
        <v>7522</v>
      </c>
      <c r="Q98" s="35">
        <f t="shared" si="59"/>
        <v>129</v>
      </c>
      <c r="R98" s="104">
        <f t="shared" si="64"/>
        <v>1940676</v>
      </c>
      <c r="S98" s="104">
        <f t="shared" si="65"/>
        <v>6792366</v>
      </c>
      <c r="T98" s="104">
        <f t="shared" si="66"/>
        <v>4851690</v>
      </c>
      <c r="U98" s="104">
        <f t="shared" si="67"/>
        <v>44635548</v>
      </c>
      <c r="V98" s="104">
        <f t="shared" si="68"/>
        <v>50457576</v>
      </c>
      <c r="W98" s="104">
        <f t="shared" si="57"/>
        <v>108677856</v>
      </c>
    </row>
    <row r="99" spans="1:23" ht="16.5" customHeight="1" x14ac:dyDescent="0.25">
      <c r="A99" s="21" t="s">
        <v>66</v>
      </c>
      <c r="B99" s="36" t="s">
        <v>30</v>
      </c>
      <c r="C99" s="26" t="s">
        <v>58</v>
      </c>
      <c r="D99" s="26" t="s">
        <v>90</v>
      </c>
      <c r="E99" s="69">
        <v>57</v>
      </c>
      <c r="F99" s="69">
        <v>152</v>
      </c>
      <c r="G99" s="69">
        <v>109</v>
      </c>
      <c r="H99" s="69">
        <v>227</v>
      </c>
      <c r="I99" s="69">
        <v>10</v>
      </c>
      <c r="J99" s="70">
        <f t="shared" si="74"/>
        <v>555</v>
      </c>
      <c r="K99" s="29">
        <f t="shared" si="56"/>
        <v>71595</v>
      </c>
      <c r="L99" s="222">
        <f>$L$4</f>
        <v>4145</v>
      </c>
      <c r="M99" s="222">
        <f>$M$4</f>
        <v>4327</v>
      </c>
      <c r="N99" s="222">
        <f>$N$4</f>
        <v>4586</v>
      </c>
      <c r="O99" s="222">
        <f>$O$4</f>
        <v>4919</v>
      </c>
      <c r="P99" s="222">
        <f>$P$4</f>
        <v>5228</v>
      </c>
      <c r="Q99" s="35">
        <f t="shared" si="59"/>
        <v>129</v>
      </c>
      <c r="R99" s="104">
        <f t="shared" si="64"/>
        <v>30478185</v>
      </c>
      <c r="S99" s="104">
        <f t="shared" si="65"/>
        <v>84843816</v>
      </c>
      <c r="T99" s="104">
        <f t="shared" si="66"/>
        <v>64483746</v>
      </c>
      <c r="U99" s="104">
        <f t="shared" si="67"/>
        <v>144043077</v>
      </c>
      <c r="V99" s="104">
        <f t="shared" si="68"/>
        <v>6744120</v>
      </c>
      <c r="W99" s="104">
        <f t="shared" si="57"/>
        <v>330592944</v>
      </c>
    </row>
    <row r="100" spans="1:23" ht="16.5" customHeight="1" x14ac:dyDescent="0.25">
      <c r="A100" s="21" t="s">
        <v>66</v>
      </c>
      <c r="B100" s="36" t="s">
        <v>30</v>
      </c>
      <c r="C100" s="26" t="s">
        <v>58</v>
      </c>
      <c r="D100" s="26" t="s">
        <v>89</v>
      </c>
      <c r="E100" s="69">
        <v>0</v>
      </c>
      <c r="F100" s="69">
        <v>0</v>
      </c>
      <c r="G100" s="69">
        <v>0</v>
      </c>
      <c r="H100" s="69">
        <v>0</v>
      </c>
      <c r="I100" s="69">
        <v>58</v>
      </c>
      <c r="J100" s="70">
        <f t="shared" si="74"/>
        <v>58</v>
      </c>
      <c r="K100" s="29">
        <f t="shared" si="56"/>
        <v>7482</v>
      </c>
      <c r="L100" s="222">
        <f>$L$5</f>
        <v>4619</v>
      </c>
      <c r="M100" s="222">
        <f>$M$5</f>
        <v>5003</v>
      </c>
      <c r="N100" s="222">
        <f>$N$5</f>
        <v>5349</v>
      </c>
      <c r="O100" s="222">
        <f>$O$5</f>
        <v>5930</v>
      </c>
      <c r="P100" s="222">
        <f>$P$5</f>
        <v>6415</v>
      </c>
      <c r="Q100" s="35">
        <f t="shared" si="59"/>
        <v>129</v>
      </c>
      <c r="R100" s="104">
        <f t="shared" si="64"/>
        <v>0</v>
      </c>
      <c r="S100" s="104">
        <f t="shared" si="65"/>
        <v>0</v>
      </c>
      <c r="T100" s="104">
        <f t="shared" si="66"/>
        <v>0</v>
      </c>
      <c r="U100" s="104">
        <f t="shared" si="67"/>
        <v>0</v>
      </c>
      <c r="V100" s="104">
        <f t="shared" si="68"/>
        <v>47997030</v>
      </c>
      <c r="W100" s="104">
        <f t="shared" si="57"/>
        <v>47997030</v>
      </c>
    </row>
    <row r="101" spans="1:23" ht="16.5" customHeight="1" x14ac:dyDescent="0.25">
      <c r="A101" s="21" t="s">
        <v>66</v>
      </c>
      <c r="B101" s="21" t="s">
        <v>30</v>
      </c>
      <c r="C101" s="26" t="s">
        <v>241</v>
      </c>
      <c r="D101" s="26" t="s">
        <v>91</v>
      </c>
      <c r="E101" s="69">
        <v>36</v>
      </c>
      <c r="F101" s="69">
        <v>94</v>
      </c>
      <c r="G101" s="69">
        <v>61</v>
      </c>
      <c r="H101" s="69">
        <v>82</v>
      </c>
      <c r="I101" s="69">
        <v>27</v>
      </c>
      <c r="J101" s="70">
        <f t="shared" si="74"/>
        <v>300</v>
      </c>
      <c r="K101" s="29">
        <f t="shared" si="56"/>
        <v>38700</v>
      </c>
      <c r="L101" s="198">
        <f t="shared" ref="L101:P101" si="81">$L$83</f>
        <v>5499</v>
      </c>
      <c r="M101" s="198">
        <f t="shared" si="81"/>
        <v>5499</v>
      </c>
      <c r="N101" s="198">
        <f t="shared" si="81"/>
        <v>5499</v>
      </c>
      <c r="O101" s="198">
        <f t="shared" si="81"/>
        <v>5499</v>
      </c>
      <c r="P101" s="198">
        <f t="shared" si="81"/>
        <v>5499</v>
      </c>
      <c r="Q101" s="35">
        <f t="shared" si="59"/>
        <v>129</v>
      </c>
      <c r="R101" s="104">
        <f t="shared" si="64"/>
        <v>25537356</v>
      </c>
      <c r="S101" s="104">
        <f t="shared" si="65"/>
        <v>66680874</v>
      </c>
      <c r="T101" s="104">
        <f t="shared" si="66"/>
        <v>43271631</v>
      </c>
      <c r="U101" s="104">
        <f t="shared" si="67"/>
        <v>58168422</v>
      </c>
      <c r="V101" s="104">
        <f t="shared" si="68"/>
        <v>19153017</v>
      </c>
      <c r="W101" s="104">
        <f t="shared" si="57"/>
        <v>212811300</v>
      </c>
    </row>
    <row r="102" spans="1:23" ht="16.5" customHeight="1" x14ac:dyDescent="0.25">
      <c r="A102" s="21" t="s">
        <v>68</v>
      </c>
      <c r="B102" s="21" t="s">
        <v>92</v>
      </c>
      <c r="C102" s="26" t="s">
        <v>58</v>
      </c>
      <c r="D102" s="26" t="s">
        <v>90</v>
      </c>
      <c r="E102" s="69">
        <v>887</v>
      </c>
      <c r="F102" s="69">
        <v>2537</v>
      </c>
      <c r="G102" s="69">
        <v>1898</v>
      </c>
      <c r="H102" s="69">
        <v>2928</v>
      </c>
      <c r="I102" s="69">
        <v>574</v>
      </c>
      <c r="J102" s="70">
        <f t="shared" si="74"/>
        <v>8824</v>
      </c>
      <c r="K102" s="29">
        <f t="shared" si="56"/>
        <v>1138296</v>
      </c>
      <c r="L102" s="222">
        <f t="shared" ref="L102:L103" si="82">$L$16</f>
        <v>3265</v>
      </c>
      <c r="M102" s="222">
        <f t="shared" ref="M102:M103" si="83">$M$16</f>
        <v>3447</v>
      </c>
      <c r="N102" s="222">
        <f t="shared" ref="N102:N103" si="84">$N$16</f>
        <v>3706</v>
      </c>
      <c r="O102" s="222">
        <f t="shared" ref="O102:O103" si="85">$O$16</f>
        <v>4039</v>
      </c>
      <c r="P102" s="222">
        <f t="shared" ref="P102:P103" si="86">$P$16</f>
        <v>4348</v>
      </c>
      <c r="Q102" s="35">
        <f t="shared" si="59"/>
        <v>129</v>
      </c>
      <c r="R102" s="104">
        <f t="shared" si="64"/>
        <v>373591095</v>
      </c>
      <c r="S102" s="104">
        <f t="shared" si="65"/>
        <v>1128110031</v>
      </c>
      <c r="T102" s="104">
        <f t="shared" si="66"/>
        <v>907384452</v>
      </c>
      <c r="U102" s="104">
        <f t="shared" si="67"/>
        <v>1525578768</v>
      </c>
      <c r="V102" s="104">
        <f t="shared" si="68"/>
        <v>321952008</v>
      </c>
      <c r="W102" s="104">
        <f t="shared" si="57"/>
        <v>4256616354</v>
      </c>
    </row>
    <row r="103" spans="1:23" ht="16.5" customHeight="1" x14ac:dyDescent="0.25">
      <c r="A103" s="21" t="s">
        <v>68</v>
      </c>
      <c r="B103" s="21" t="s">
        <v>92</v>
      </c>
      <c r="C103" s="26" t="s">
        <v>58</v>
      </c>
      <c r="D103" s="26" t="s">
        <v>156</v>
      </c>
      <c r="E103" s="69">
        <v>7</v>
      </c>
      <c r="F103" s="69">
        <v>0</v>
      </c>
      <c r="G103" s="69">
        <v>0</v>
      </c>
      <c r="H103" s="69">
        <v>0</v>
      </c>
      <c r="I103" s="69">
        <v>0</v>
      </c>
      <c r="J103" s="70">
        <f t="shared" si="74"/>
        <v>7</v>
      </c>
      <c r="K103" s="29">
        <f t="shared" si="56"/>
        <v>903</v>
      </c>
      <c r="L103" s="222">
        <f t="shared" si="82"/>
        <v>3265</v>
      </c>
      <c r="M103" s="222">
        <f t="shared" si="83"/>
        <v>3447</v>
      </c>
      <c r="N103" s="222">
        <f t="shared" si="84"/>
        <v>3706</v>
      </c>
      <c r="O103" s="222">
        <f t="shared" si="85"/>
        <v>4039</v>
      </c>
      <c r="P103" s="222">
        <f t="shared" si="86"/>
        <v>4348</v>
      </c>
      <c r="Q103" s="35">
        <f t="shared" si="59"/>
        <v>129</v>
      </c>
      <c r="R103" s="104">
        <f t="shared" si="64"/>
        <v>2948295</v>
      </c>
      <c r="S103" s="104">
        <f t="shared" si="65"/>
        <v>0</v>
      </c>
      <c r="T103" s="104">
        <f t="shared" si="66"/>
        <v>0</v>
      </c>
      <c r="U103" s="104">
        <f t="shared" si="67"/>
        <v>0</v>
      </c>
      <c r="V103" s="104">
        <f t="shared" si="68"/>
        <v>0</v>
      </c>
      <c r="W103" s="104">
        <f t="shared" si="57"/>
        <v>2948295</v>
      </c>
    </row>
    <row r="104" spans="1:23" ht="16.5" customHeight="1" x14ac:dyDescent="0.25">
      <c r="A104" s="21" t="s">
        <v>68</v>
      </c>
      <c r="B104" s="21" t="s">
        <v>92</v>
      </c>
      <c r="C104" s="26" t="s">
        <v>58</v>
      </c>
      <c r="D104" s="26" t="s">
        <v>89</v>
      </c>
      <c r="E104" s="69">
        <v>48</v>
      </c>
      <c r="F104" s="69">
        <v>275</v>
      </c>
      <c r="G104" s="69">
        <v>193</v>
      </c>
      <c r="H104" s="69">
        <v>362</v>
      </c>
      <c r="I104" s="69">
        <v>199</v>
      </c>
      <c r="J104" s="70">
        <f t="shared" si="74"/>
        <v>1077</v>
      </c>
      <c r="K104" s="29">
        <f t="shared" si="56"/>
        <v>138933</v>
      </c>
      <c r="L104" s="222">
        <f>$L$17</f>
        <v>4304</v>
      </c>
      <c r="M104" s="222">
        <f>$M$17</f>
        <v>4688</v>
      </c>
      <c r="N104" s="222">
        <f>$N$17</f>
        <v>5034</v>
      </c>
      <c r="O104" s="222">
        <f>$O$17</f>
        <v>5615</v>
      </c>
      <c r="P104" s="222">
        <f>$P$17</f>
        <v>6035</v>
      </c>
      <c r="Q104" s="35">
        <f t="shared" si="59"/>
        <v>129</v>
      </c>
      <c r="R104" s="104">
        <f t="shared" si="64"/>
        <v>26650368</v>
      </c>
      <c r="S104" s="104">
        <f t="shared" si="65"/>
        <v>166306800</v>
      </c>
      <c r="T104" s="104">
        <f t="shared" si="66"/>
        <v>125331498</v>
      </c>
      <c r="U104" s="104">
        <f t="shared" si="67"/>
        <v>262209270</v>
      </c>
      <c r="V104" s="104">
        <f t="shared" si="68"/>
        <v>154924485</v>
      </c>
      <c r="W104" s="104">
        <f t="shared" si="57"/>
        <v>735422421</v>
      </c>
    </row>
    <row r="105" spans="1:23" ht="16.5" customHeight="1" x14ac:dyDescent="0.25">
      <c r="A105" s="21" t="s">
        <v>68</v>
      </c>
      <c r="B105" s="21" t="s">
        <v>92</v>
      </c>
      <c r="C105" s="26" t="s">
        <v>244</v>
      </c>
      <c r="D105" s="26" t="s">
        <v>91</v>
      </c>
      <c r="E105" s="69">
        <v>88</v>
      </c>
      <c r="F105" s="69">
        <v>424</v>
      </c>
      <c r="G105" s="69">
        <v>299</v>
      </c>
      <c r="H105" s="69">
        <v>535</v>
      </c>
      <c r="I105" s="69">
        <v>266</v>
      </c>
      <c r="J105" s="70">
        <f t="shared" si="74"/>
        <v>1612</v>
      </c>
      <c r="K105" s="29">
        <f t="shared" si="56"/>
        <v>207948</v>
      </c>
      <c r="L105" s="198">
        <f>'1,1 SUMINISTRAR COM. PRE UNI. '!E93</f>
        <v>5411</v>
      </c>
      <c r="M105" s="198">
        <f>$L$105</f>
        <v>5411</v>
      </c>
      <c r="N105" s="198">
        <f t="shared" ref="N105:P105" si="87">$L$105</f>
        <v>5411</v>
      </c>
      <c r="O105" s="198">
        <f t="shared" si="87"/>
        <v>5411</v>
      </c>
      <c r="P105" s="198">
        <f t="shared" si="87"/>
        <v>5411</v>
      </c>
      <c r="Q105" s="35">
        <f t="shared" si="59"/>
        <v>129</v>
      </c>
      <c r="R105" s="104">
        <f t="shared" si="64"/>
        <v>61425672</v>
      </c>
      <c r="S105" s="104">
        <f t="shared" si="65"/>
        <v>295960056</v>
      </c>
      <c r="T105" s="104">
        <f t="shared" si="66"/>
        <v>208707681</v>
      </c>
      <c r="U105" s="104">
        <f t="shared" si="67"/>
        <v>373440165</v>
      </c>
      <c r="V105" s="104">
        <f t="shared" si="68"/>
        <v>185673054</v>
      </c>
      <c r="W105" s="104">
        <f t="shared" si="57"/>
        <v>1125206628</v>
      </c>
    </row>
    <row r="106" spans="1:23" ht="16.5" customHeight="1" x14ac:dyDescent="0.25">
      <c r="A106" s="21" t="s">
        <v>68</v>
      </c>
      <c r="B106" s="21" t="s">
        <v>92</v>
      </c>
      <c r="C106" s="26" t="s">
        <v>245</v>
      </c>
      <c r="D106" s="26" t="s">
        <v>91</v>
      </c>
      <c r="E106" s="69">
        <v>50</v>
      </c>
      <c r="F106" s="69">
        <v>119</v>
      </c>
      <c r="G106" s="69">
        <v>98</v>
      </c>
      <c r="H106" s="69">
        <v>140</v>
      </c>
      <c r="I106" s="69">
        <v>58</v>
      </c>
      <c r="J106" s="70">
        <f t="shared" si="74"/>
        <v>465</v>
      </c>
      <c r="K106" s="29">
        <f t="shared" si="56"/>
        <v>59985</v>
      </c>
      <c r="L106" s="198">
        <f>'1,1 SUMINISTRAR COM. PRE UNI. '!Z105</f>
        <v>5411</v>
      </c>
      <c r="M106" s="198">
        <f>$L$106</f>
        <v>5411</v>
      </c>
      <c r="N106" s="198">
        <f t="shared" ref="N106:P106" si="88">$L$106</f>
        <v>5411</v>
      </c>
      <c r="O106" s="198">
        <f t="shared" si="88"/>
        <v>5411</v>
      </c>
      <c r="P106" s="198">
        <f t="shared" si="88"/>
        <v>5411</v>
      </c>
      <c r="Q106" s="35">
        <f t="shared" si="59"/>
        <v>129</v>
      </c>
      <c r="R106" s="104">
        <f t="shared" si="64"/>
        <v>34900950</v>
      </c>
      <c r="S106" s="104">
        <f t="shared" si="65"/>
        <v>83064261</v>
      </c>
      <c r="T106" s="104">
        <f t="shared" si="66"/>
        <v>68405862</v>
      </c>
      <c r="U106" s="104">
        <f t="shared" si="67"/>
        <v>97722660</v>
      </c>
      <c r="V106" s="104">
        <f t="shared" si="68"/>
        <v>40485102</v>
      </c>
      <c r="W106" s="104">
        <f t="shared" si="57"/>
        <v>324578835</v>
      </c>
    </row>
    <row r="107" spans="1:23" ht="16.5" customHeight="1" x14ac:dyDescent="0.25">
      <c r="A107" s="21" t="s">
        <v>68</v>
      </c>
      <c r="B107" s="21" t="s">
        <v>92</v>
      </c>
      <c r="C107" s="26" t="s">
        <v>227</v>
      </c>
      <c r="D107" s="26" t="s">
        <v>91</v>
      </c>
      <c r="E107" s="69">
        <v>36</v>
      </c>
      <c r="F107" s="69">
        <v>128</v>
      </c>
      <c r="G107" s="69">
        <v>101</v>
      </c>
      <c r="H107" s="69">
        <v>136</v>
      </c>
      <c r="I107" s="69">
        <v>40</v>
      </c>
      <c r="J107" s="70">
        <f t="shared" si="74"/>
        <v>441</v>
      </c>
      <c r="K107" s="29">
        <f t="shared" si="56"/>
        <v>56889</v>
      </c>
      <c r="L107" s="198">
        <f t="shared" ref="L107:P107" si="89">$L$19</f>
        <v>5411</v>
      </c>
      <c r="M107" s="198">
        <f t="shared" si="89"/>
        <v>5411</v>
      </c>
      <c r="N107" s="198">
        <f t="shared" si="89"/>
        <v>5411</v>
      </c>
      <c r="O107" s="198">
        <f t="shared" si="89"/>
        <v>5411</v>
      </c>
      <c r="P107" s="198">
        <f t="shared" si="89"/>
        <v>5411</v>
      </c>
      <c r="Q107" s="35">
        <f t="shared" si="59"/>
        <v>129</v>
      </c>
      <c r="R107" s="104">
        <f t="shared" si="64"/>
        <v>25128684</v>
      </c>
      <c r="S107" s="104">
        <f t="shared" si="65"/>
        <v>89346432</v>
      </c>
      <c r="T107" s="104">
        <f t="shared" si="66"/>
        <v>70499919</v>
      </c>
      <c r="U107" s="104">
        <f t="shared" si="67"/>
        <v>94930584</v>
      </c>
      <c r="V107" s="104">
        <f t="shared" si="68"/>
        <v>27920760</v>
      </c>
      <c r="W107" s="104">
        <f t="shared" si="57"/>
        <v>307826379</v>
      </c>
    </row>
    <row r="108" spans="1:23" ht="16.5" customHeight="1" x14ac:dyDescent="0.25">
      <c r="A108" s="21" t="s">
        <v>68</v>
      </c>
      <c r="B108" s="21" t="s">
        <v>92</v>
      </c>
      <c r="C108" s="26" t="s">
        <v>246</v>
      </c>
      <c r="D108" s="26" t="s">
        <v>91</v>
      </c>
      <c r="E108" s="69">
        <v>91</v>
      </c>
      <c r="F108" s="69">
        <v>267</v>
      </c>
      <c r="G108" s="69">
        <v>179</v>
      </c>
      <c r="H108" s="69">
        <v>286</v>
      </c>
      <c r="I108" s="69">
        <v>114</v>
      </c>
      <c r="J108" s="70">
        <f t="shared" si="74"/>
        <v>937</v>
      </c>
      <c r="K108" s="29">
        <f t="shared" si="56"/>
        <v>120873</v>
      </c>
      <c r="L108" s="198">
        <f>'1,1 SUMINISTRAR COM. PRE UNI. '!Z93</f>
        <v>5411</v>
      </c>
      <c r="M108" s="198">
        <f>$L$108</f>
        <v>5411</v>
      </c>
      <c r="N108" s="198">
        <f t="shared" ref="N108:P108" si="90">$L$108</f>
        <v>5411</v>
      </c>
      <c r="O108" s="198">
        <f t="shared" si="90"/>
        <v>5411</v>
      </c>
      <c r="P108" s="198">
        <f t="shared" si="90"/>
        <v>5411</v>
      </c>
      <c r="Q108" s="35">
        <f t="shared" si="59"/>
        <v>129</v>
      </c>
      <c r="R108" s="104">
        <f t="shared" si="64"/>
        <v>63519729</v>
      </c>
      <c r="S108" s="104">
        <f t="shared" si="65"/>
        <v>186371073</v>
      </c>
      <c r="T108" s="104">
        <f t="shared" si="66"/>
        <v>124945401</v>
      </c>
      <c r="U108" s="104">
        <f t="shared" si="67"/>
        <v>199633434</v>
      </c>
      <c r="V108" s="104">
        <f t="shared" si="68"/>
        <v>79574166</v>
      </c>
      <c r="W108" s="104">
        <f t="shared" si="57"/>
        <v>654043803</v>
      </c>
    </row>
    <row r="109" spans="1:23" ht="16.5" customHeight="1" x14ac:dyDescent="0.25">
      <c r="A109" s="21" t="s">
        <v>69</v>
      </c>
      <c r="B109" s="21" t="s">
        <v>31</v>
      </c>
      <c r="C109" s="26" t="s">
        <v>58</v>
      </c>
      <c r="D109" s="26" t="s">
        <v>90</v>
      </c>
      <c r="E109" s="69">
        <v>81</v>
      </c>
      <c r="F109" s="69">
        <v>348</v>
      </c>
      <c r="G109" s="69">
        <v>280</v>
      </c>
      <c r="H109" s="69">
        <v>662</v>
      </c>
      <c r="I109" s="69">
        <v>0</v>
      </c>
      <c r="J109" s="70">
        <f t="shared" si="74"/>
        <v>1371</v>
      </c>
      <c r="K109" s="29">
        <f t="shared" si="56"/>
        <v>176859</v>
      </c>
      <c r="L109" s="221">
        <f>$L$21</f>
        <v>3602</v>
      </c>
      <c r="M109" s="221">
        <f>$M$21</f>
        <v>3784</v>
      </c>
      <c r="N109" s="221">
        <f>$N$21</f>
        <v>4043</v>
      </c>
      <c r="O109" s="221">
        <f>$O$21</f>
        <v>4376</v>
      </c>
      <c r="P109" s="221">
        <f>$P$21</f>
        <v>4685</v>
      </c>
      <c r="Q109" s="35">
        <f t="shared" si="59"/>
        <v>129</v>
      </c>
      <c r="R109" s="104">
        <f t="shared" si="64"/>
        <v>37637298</v>
      </c>
      <c r="S109" s="104">
        <f t="shared" si="65"/>
        <v>169871328</v>
      </c>
      <c r="T109" s="104">
        <f t="shared" si="66"/>
        <v>146033160</v>
      </c>
      <c r="U109" s="104">
        <f t="shared" si="67"/>
        <v>373701648</v>
      </c>
      <c r="V109" s="104">
        <f t="shared" si="68"/>
        <v>0</v>
      </c>
      <c r="W109" s="104">
        <f t="shared" si="57"/>
        <v>727243434</v>
      </c>
    </row>
    <row r="110" spans="1:23" ht="16.5" customHeight="1" x14ac:dyDescent="0.25">
      <c r="A110" s="21" t="s">
        <v>69</v>
      </c>
      <c r="B110" s="21" t="s">
        <v>31</v>
      </c>
      <c r="C110" s="26" t="s">
        <v>58</v>
      </c>
      <c r="D110" s="26" t="s">
        <v>89</v>
      </c>
      <c r="E110" s="71">
        <v>0</v>
      </c>
      <c r="F110" s="71">
        <v>0</v>
      </c>
      <c r="G110" s="71">
        <v>0</v>
      </c>
      <c r="H110" s="71">
        <v>99</v>
      </c>
      <c r="I110" s="71">
        <v>366</v>
      </c>
      <c r="J110" s="70">
        <f t="shared" si="74"/>
        <v>465</v>
      </c>
      <c r="K110" s="29">
        <f t="shared" si="56"/>
        <v>59985</v>
      </c>
      <c r="L110" s="221">
        <f>$L$22</f>
        <v>4717</v>
      </c>
      <c r="M110" s="221">
        <f>$M$22</f>
        <v>5101</v>
      </c>
      <c r="N110" s="221">
        <f>$N$22</f>
        <v>5447</v>
      </c>
      <c r="O110" s="221">
        <f>$O$22</f>
        <v>6028</v>
      </c>
      <c r="P110" s="221">
        <f>$P$22</f>
        <v>6513</v>
      </c>
      <c r="Q110" s="35">
        <f t="shared" si="59"/>
        <v>129</v>
      </c>
      <c r="R110" s="104">
        <f t="shared" si="64"/>
        <v>0</v>
      </c>
      <c r="S110" s="104">
        <f t="shared" si="65"/>
        <v>0</v>
      </c>
      <c r="T110" s="104">
        <f t="shared" si="66"/>
        <v>0</v>
      </c>
      <c r="U110" s="104">
        <f t="shared" si="67"/>
        <v>76983588</v>
      </c>
      <c r="V110" s="104">
        <f t="shared" si="68"/>
        <v>307504782</v>
      </c>
      <c r="W110" s="104">
        <f t="shared" si="57"/>
        <v>384488370</v>
      </c>
    </row>
    <row r="111" spans="1:23" ht="16.5" customHeight="1" x14ac:dyDescent="0.25">
      <c r="A111" s="21" t="s">
        <v>69</v>
      </c>
      <c r="B111" s="21" t="s">
        <v>31</v>
      </c>
      <c r="C111" s="26" t="s">
        <v>247</v>
      </c>
      <c r="D111" s="26" t="s">
        <v>91</v>
      </c>
      <c r="E111" s="69">
        <v>45</v>
      </c>
      <c r="F111" s="69">
        <v>156</v>
      </c>
      <c r="G111" s="69">
        <v>118</v>
      </c>
      <c r="H111" s="69">
        <v>181</v>
      </c>
      <c r="I111" s="69">
        <v>85</v>
      </c>
      <c r="J111" s="70">
        <f t="shared" si="74"/>
        <v>585</v>
      </c>
      <c r="K111" s="29">
        <f t="shared" si="56"/>
        <v>75465</v>
      </c>
      <c r="L111" s="213">
        <f>'1,1 SUMINISTRAR COM. PRE UNI. '!J129</f>
        <v>5838</v>
      </c>
      <c r="M111" s="213">
        <f>$L$111</f>
        <v>5838</v>
      </c>
      <c r="N111" s="213">
        <f t="shared" ref="N111:P111" si="91">$L$111</f>
        <v>5838</v>
      </c>
      <c r="O111" s="213">
        <f t="shared" si="91"/>
        <v>5838</v>
      </c>
      <c r="P111" s="213">
        <f t="shared" si="91"/>
        <v>5838</v>
      </c>
      <c r="Q111" s="35">
        <f t="shared" si="59"/>
        <v>129</v>
      </c>
      <c r="R111" s="104">
        <f t="shared" si="64"/>
        <v>33889590</v>
      </c>
      <c r="S111" s="104">
        <f t="shared" si="65"/>
        <v>117483912</v>
      </c>
      <c r="T111" s="104">
        <f t="shared" si="66"/>
        <v>88866036</v>
      </c>
      <c r="U111" s="104">
        <f t="shared" si="67"/>
        <v>136311462</v>
      </c>
      <c r="V111" s="104">
        <f t="shared" si="68"/>
        <v>64013670</v>
      </c>
      <c r="W111" s="104">
        <f t="shared" si="57"/>
        <v>440564670</v>
      </c>
    </row>
    <row r="112" spans="1:23" ht="16.5" customHeight="1" x14ac:dyDescent="0.25">
      <c r="A112" s="21" t="s">
        <v>69</v>
      </c>
      <c r="B112" s="21" t="s">
        <v>31</v>
      </c>
      <c r="C112" s="26" t="s">
        <v>242</v>
      </c>
      <c r="D112" s="26" t="s">
        <v>91</v>
      </c>
      <c r="E112" s="69">
        <v>201</v>
      </c>
      <c r="F112" s="69">
        <v>636</v>
      </c>
      <c r="G112" s="69">
        <v>451</v>
      </c>
      <c r="H112" s="69">
        <v>582</v>
      </c>
      <c r="I112" s="69">
        <v>212</v>
      </c>
      <c r="J112" s="70">
        <f t="shared" si="74"/>
        <v>2082</v>
      </c>
      <c r="K112" s="29">
        <f t="shared" si="56"/>
        <v>268578</v>
      </c>
      <c r="L112" s="213">
        <f t="shared" ref="L112:P112" si="92">$L$86</f>
        <v>5411</v>
      </c>
      <c r="M112" s="213">
        <f t="shared" si="92"/>
        <v>5411</v>
      </c>
      <c r="N112" s="213">
        <f t="shared" si="92"/>
        <v>5411</v>
      </c>
      <c r="O112" s="213">
        <f t="shared" si="92"/>
        <v>5411</v>
      </c>
      <c r="P112" s="213">
        <f t="shared" si="92"/>
        <v>5411</v>
      </c>
      <c r="Q112" s="35">
        <f t="shared" si="59"/>
        <v>129</v>
      </c>
      <c r="R112" s="104">
        <f t="shared" si="64"/>
        <v>140301819</v>
      </c>
      <c r="S112" s="104">
        <f t="shared" si="65"/>
        <v>443940084</v>
      </c>
      <c r="T112" s="104">
        <f t="shared" si="66"/>
        <v>314806569</v>
      </c>
      <c r="U112" s="104">
        <f t="shared" si="67"/>
        <v>406247058</v>
      </c>
      <c r="V112" s="104">
        <f t="shared" si="68"/>
        <v>147980028</v>
      </c>
      <c r="W112" s="104">
        <f t="shared" si="57"/>
        <v>1453275558</v>
      </c>
    </row>
    <row r="113" spans="1:23" ht="16.5" customHeight="1" x14ac:dyDescent="0.25">
      <c r="A113" s="21" t="s">
        <v>69</v>
      </c>
      <c r="B113" s="21" t="s">
        <v>31</v>
      </c>
      <c r="C113" s="26" t="s">
        <v>228</v>
      </c>
      <c r="D113" s="26" t="s">
        <v>91</v>
      </c>
      <c r="E113" s="69">
        <v>117</v>
      </c>
      <c r="F113" s="69">
        <v>358</v>
      </c>
      <c r="G113" s="69">
        <v>288</v>
      </c>
      <c r="H113" s="69">
        <v>295</v>
      </c>
      <c r="I113" s="69">
        <v>191</v>
      </c>
      <c r="J113" s="70">
        <f t="shared" si="74"/>
        <v>1249</v>
      </c>
      <c r="K113" s="29">
        <f t="shared" si="56"/>
        <v>161121</v>
      </c>
      <c r="L113" s="198">
        <v>5385</v>
      </c>
      <c r="M113" s="198">
        <v>5385</v>
      </c>
      <c r="N113" s="198">
        <v>5385</v>
      </c>
      <c r="O113" s="198">
        <v>5385</v>
      </c>
      <c r="P113" s="198">
        <v>5385</v>
      </c>
      <c r="Q113" s="35">
        <f t="shared" si="59"/>
        <v>129</v>
      </c>
      <c r="R113" s="104">
        <f t="shared" si="64"/>
        <v>81275805</v>
      </c>
      <c r="S113" s="104">
        <f t="shared" si="65"/>
        <v>248690070</v>
      </c>
      <c r="T113" s="104">
        <f t="shared" si="66"/>
        <v>200063520</v>
      </c>
      <c r="U113" s="104">
        <f t="shared" si="67"/>
        <v>204926175</v>
      </c>
      <c r="V113" s="104">
        <f t="shared" si="68"/>
        <v>132681015</v>
      </c>
      <c r="W113" s="104">
        <f t="shared" si="57"/>
        <v>867636585</v>
      </c>
    </row>
    <row r="114" spans="1:23" ht="16.5" customHeight="1" x14ac:dyDescent="0.25">
      <c r="A114" s="21" t="s">
        <v>69</v>
      </c>
      <c r="B114" s="21" t="s">
        <v>31</v>
      </c>
      <c r="C114" s="26" t="s">
        <v>228</v>
      </c>
      <c r="D114" s="26" t="s">
        <v>89</v>
      </c>
      <c r="E114" s="69">
        <v>30</v>
      </c>
      <c r="F114" s="69">
        <v>138</v>
      </c>
      <c r="G114" s="69">
        <v>105</v>
      </c>
      <c r="H114" s="69">
        <v>116</v>
      </c>
      <c r="I114" s="69">
        <v>37</v>
      </c>
      <c r="J114" s="70">
        <f t="shared" si="74"/>
        <v>426</v>
      </c>
      <c r="K114" s="29">
        <f t="shared" si="56"/>
        <v>54954</v>
      </c>
      <c r="L114" s="198">
        <v>5809</v>
      </c>
      <c r="M114" s="198">
        <v>5809</v>
      </c>
      <c r="N114" s="198">
        <v>5809</v>
      </c>
      <c r="O114" s="198">
        <v>5809</v>
      </c>
      <c r="P114" s="198">
        <v>5809</v>
      </c>
      <c r="Q114" s="35">
        <f t="shared" si="59"/>
        <v>129</v>
      </c>
      <c r="R114" s="104">
        <f t="shared" si="64"/>
        <v>22480830</v>
      </c>
      <c r="S114" s="104">
        <f t="shared" si="65"/>
        <v>103411818</v>
      </c>
      <c r="T114" s="104">
        <f t="shared" si="66"/>
        <v>78682905</v>
      </c>
      <c r="U114" s="104">
        <f t="shared" si="67"/>
        <v>86925876</v>
      </c>
      <c r="V114" s="104">
        <f t="shared" si="68"/>
        <v>27726357</v>
      </c>
      <c r="W114" s="104">
        <f t="shared" si="57"/>
        <v>319227786</v>
      </c>
    </row>
    <row r="115" spans="1:23" ht="16.5" customHeight="1" x14ac:dyDescent="0.25">
      <c r="A115" s="21" t="s">
        <v>69</v>
      </c>
      <c r="B115" s="21" t="s">
        <v>32</v>
      </c>
      <c r="C115" s="26" t="s">
        <v>58</v>
      </c>
      <c r="D115" s="26" t="s">
        <v>90</v>
      </c>
      <c r="E115" s="69">
        <v>43</v>
      </c>
      <c r="F115" s="69">
        <v>97</v>
      </c>
      <c r="G115" s="69">
        <v>89</v>
      </c>
      <c r="H115" s="69">
        <v>142</v>
      </c>
      <c r="I115" s="69">
        <v>71</v>
      </c>
      <c r="J115" s="70">
        <f t="shared" si="74"/>
        <v>442</v>
      </c>
      <c r="K115" s="29">
        <f t="shared" si="56"/>
        <v>57018</v>
      </c>
      <c r="L115" s="221">
        <f>$L$21</f>
        <v>3602</v>
      </c>
      <c r="M115" s="221">
        <f>$M$21</f>
        <v>3784</v>
      </c>
      <c r="N115" s="221">
        <f>$N$21</f>
        <v>4043</v>
      </c>
      <c r="O115" s="221">
        <f>$O$21</f>
        <v>4376</v>
      </c>
      <c r="P115" s="221">
        <f>$P$21</f>
        <v>4685</v>
      </c>
      <c r="Q115" s="35">
        <f t="shared" si="59"/>
        <v>129</v>
      </c>
      <c r="R115" s="104">
        <f t="shared" si="64"/>
        <v>19980294</v>
      </c>
      <c r="S115" s="104">
        <f t="shared" si="65"/>
        <v>47349192</v>
      </c>
      <c r="T115" s="104">
        <f t="shared" si="66"/>
        <v>46417683</v>
      </c>
      <c r="U115" s="104">
        <f t="shared" si="67"/>
        <v>80159568</v>
      </c>
      <c r="V115" s="104">
        <f t="shared" si="68"/>
        <v>42909915</v>
      </c>
      <c r="W115" s="104">
        <f t="shared" si="57"/>
        <v>236816652</v>
      </c>
    </row>
    <row r="116" spans="1:23" ht="16.5" customHeight="1" x14ac:dyDescent="0.25">
      <c r="A116" s="21" t="s">
        <v>69</v>
      </c>
      <c r="B116" s="21" t="s">
        <v>32</v>
      </c>
      <c r="C116" s="26" t="s">
        <v>58</v>
      </c>
      <c r="D116" s="26" t="s">
        <v>89</v>
      </c>
      <c r="E116" s="71">
        <v>35</v>
      </c>
      <c r="F116" s="71">
        <v>103</v>
      </c>
      <c r="G116" s="71">
        <v>75</v>
      </c>
      <c r="H116" s="71">
        <v>181</v>
      </c>
      <c r="I116" s="71">
        <v>92</v>
      </c>
      <c r="J116" s="70">
        <f t="shared" si="74"/>
        <v>486</v>
      </c>
      <c r="K116" s="29">
        <f t="shared" si="56"/>
        <v>62694</v>
      </c>
      <c r="L116" s="221">
        <f>$L$22</f>
        <v>4717</v>
      </c>
      <c r="M116" s="221">
        <f>$M$22</f>
        <v>5101</v>
      </c>
      <c r="N116" s="221">
        <f>$N$22</f>
        <v>5447</v>
      </c>
      <c r="O116" s="221">
        <f>$O$22</f>
        <v>6028</v>
      </c>
      <c r="P116" s="221">
        <f>$P$22</f>
        <v>6513</v>
      </c>
      <c r="Q116" s="35">
        <f t="shared" si="59"/>
        <v>129</v>
      </c>
      <c r="R116" s="104">
        <f t="shared" si="64"/>
        <v>21297255</v>
      </c>
      <c r="S116" s="104">
        <f t="shared" si="65"/>
        <v>67776987</v>
      </c>
      <c r="T116" s="104">
        <f t="shared" si="66"/>
        <v>52699725</v>
      </c>
      <c r="U116" s="104">
        <f t="shared" si="67"/>
        <v>140747772</v>
      </c>
      <c r="V116" s="104">
        <f t="shared" si="68"/>
        <v>77296284</v>
      </c>
      <c r="W116" s="104">
        <f t="shared" si="57"/>
        <v>359818023</v>
      </c>
    </row>
    <row r="117" spans="1:23" ht="16.5" customHeight="1" x14ac:dyDescent="0.25">
      <c r="A117" s="21" t="s">
        <v>69</v>
      </c>
      <c r="B117" s="21" t="s">
        <v>32</v>
      </c>
      <c r="C117" s="26" t="s">
        <v>225</v>
      </c>
      <c r="D117" s="26" t="s">
        <v>91</v>
      </c>
      <c r="E117" s="69">
        <v>17</v>
      </c>
      <c r="F117" s="69">
        <v>46</v>
      </c>
      <c r="G117" s="69">
        <v>42</v>
      </c>
      <c r="H117" s="69">
        <v>91</v>
      </c>
      <c r="I117" s="69">
        <v>29</v>
      </c>
      <c r="J117" s="70">
        <f t="shared" si="74"/>
        <v>225</v>
      </c>
      <c r="K117" s="29">
        <f t="shared" si="56"/>
        <v>29025</v>
      </c>
      <c r="L117" s="198">
        <f t="shared" ref="L117:P117" si="93">$L$49</f>
        <v>5411</v>
      </c>
      <c r="M117" s="198">
        <f t="shared" si="93"/>
        <v>5411</v>
      </c>
      <c r="N117" s="198">
        <f t="shared" si="93"/>
        <v>5411</v>
      </c>
      <c r="O117" s="198">
        <f t="shared" si="93"/>
        <v>5411</v>
      </c>
      <c r="P117" s="198">
        <f t="shared" si="93"/>
        <v>5411</v>
      </c>
      <c r="Q117" s="35">
        <f t="shared" si="59"/>
        <v>129</v>
      </c>
      <c r="R117" s="104">
        <f t="shared" si="64"/>
        <v>11866323</v>
      </c>
      <c r="S117" s="104">
        <f t="shared" si="65"/>
        <v>32108874</v>
      </c>
      <c r="T117" s="104">
        <f t="shared" si="66"/>
        <v>29316798</v>
      </c>
      <c r="U117" s="104">
        <f t="shared" si="67"/>
        <v>63519729</v>
      </c>
      <c r="V117" s="104">
        <f t="shared" si="68"/>
        <v>20242551</v>
      </c>
      <c r="W117" s="104">
        <f t="shared" si="57"/>
        <v>157054275</v>
      </c>
    </row>
    <row r="118" spans="1:23" ht="16.5" customHeight="1" x14ac:dyDescent="0.25">
      <c r="A118" s="21" t="s">
        <v>68</v>
      </c>
      <c r="B118" s="36" t="s">
        <v>33</v>
      </c>
      <c r="C118" s="26" t="s">
        <v>58</v>
      </c>
      <c r="D118" s="26" t="s">
        <v>90</v>
      </c>
      <c r="E118" s="69">
        <v>308</v>
      </c>
      <c r="F118" s="69">
        <v>1099</v>
      </c>
      <c r="G118" s="69">
        <v>692</v>
      </c>
      <c r="H118" s="69">
        <v>1120</v>
      </c>
      <c r="I118" s="69">
        <v>247</v>
      </c>
      <c r="J118" s="70">
        <f t="shared" si="74"/>
        <v>3466</v>
      </c>
      <c r="K118" s="29">
        <f t="shared" si="56"/>
        <v>447114</v>
      </c>
      <c r="L118" s="222">
        <f>$L$16</f>
        <v>3265</v>
      </c>
      <c r="M118" s="222">
        <f>$M$16</f>
        <v>3447</v>
      </c>
      <c r="N118" s="222">
        <f>$N$16</f>
        <v>3706</v>
      </c>
      <c r="O118" s="222">
        <f>$O$16</f>
        <v>4039</v>
      </c>
      <c r="P118" s="222">
        <f>$P$16</f>
        <v>4348</v>
      </c>
      <c r="Q118" s="35">
        <f t="shared" si="59"/>
        <v>129</v>
      </c>
      <c r="R118" s="104">
        <f t="shared" si="64"/>
        <v>129724980</v>
      </c>
      <c r="S118" s="104">
        <f t="shared" si="65"/>
        <v>488684637</v>
      </c>
      <c r="T118" s="104">
        <f t="shared" si="66"/>
        <v>330827208</v>
      </c>
      <c r="U118" s="104">
        <f t="shared" si="67"/>
        <v>583554720</v>
      </c>
      <c r="V118" s="104">
        <f t="shared" si="68"/>
        <v>138540324</v>
      </c>
      <c r="W118" s="104">
        <f t="shared" si="57"/>
        <v>1671331869</v>
      </c>
    </row>
    <row r="119" spans="1:23" ht="16.5" customHeight="1" x14ac:dyDescent="0.25">
      <c r="A119" s="21" t="s">
        <v>68</v>
      </c>
      <c r="B119" s="36" t="s">
        <v>33</v>
      </c>
      <c r="C119" s="26" t="s">
        <v>58</v>
      </c>
      <c r="D119" s="26" t="s">
        <v>89</v>
      </c>
      <c r="E119" s="69"/>
      <c r="F119" s="69"/>
      <c r="G119" s="69"/>
      <c r="H119" s="69"/>
      <c r="I119" s="69">
        <v>189</v>
      </c>
      <c r="J119" s="70">
        <f t="shared" si="74"/>
        <v>189</v>
      </c>
      <c r="K119" s="29">
        <f t="shared" si="56"/>
        <v>24381</v>
      </c>
      <c r="L119" s="222">
        <f>$L$17</f>
        <v>4304</v>
      </c>
      <c r="M119" s="222">
        <f>$M$17</f>
        <v>4688</v>
      </c>
      <c r="N119" s="222">
        <f>$N$17</f>
        <v>5034</v>
      </c>
      <c r="O119" s="222">
        <f>$O$17</f>
        <v>5615</v>
      </c>
      <c r="P119" s="222">
        <f>$P$17</f>
        <v>6035</v>
      </c>
      <c r="Q119" s="35">
        <f t="shared" si="59"/>
        <v>129</v>
      </c>
      <c r="R119" s="104">
        <f t="shared" si="64"/>
        <v>0</v>
      </c>
      <c r="S119" s="104">
        <f t="shared" si="65"/>
        <v>0</v>
      </c>
      <c r="T119" s="104">
        <f t="shared" si="66"/>
        <v>0</v>
      </c>
      <c r="U119" s="104">
        <f t="shared" si="67"/>
        <v>0</v>
      </c>
      <c r="V119" s="104">
        <f t="shared" si="68"/>
        <v>147139335</v>
      </c>
      <c r="W119" s="104">
        <f t="shared" si="57"/>
        <v>147139335</v>
      </c>
    </row>
    <row r="120" spans="1:23" ht="16.5" customHeight="1" x14ac:dyDescent="0.25">
      <c r="A120" s="21" t="s">
        <v>68</v>
      </c>
      <c r="B120" s="21" t="s">
        <v>33</v>
      </c>
      <c r="C120" s="26" t="s">
        <v>248</v>
      </c>
      <c r="D120" s="26" t="s">
        <v>91</v>
      </c>
      <c r="E120" s="69">
        <v>87</v>
      </c>
      <c r="F120" s="69">
        <v>377</v>
      </c>
      <c r="G120" s="69">
        <v>244</v>
      </c>
      <c r="H120" s="69">
        <v>364</v>
      </c>
      <c r="I120" s="69">
        <v>91</v>
      </c>
      <c r="J120" s="70">
        <f t="shared" si="74"/>
        <v>1163</v>
      </c>
      <c r="K120" s="29">
        <f t="shared" si="56"/>
        <v>150027</v>
      </c>
      <c r="L120" s="198">
        <f>'1,1 SUMINISTRAR COM. PRE UNI. '!AJ80</f>
        <v>5411</v>
      </c>
      <c r="M120" s="198">
        <f>$L$120</f>
        <v>5411</v>
      </c>
      <c r="N120" s="198">
        <f t="shared" ref="N120:P120" si="94">$L$120</f>
        <v>5411</v>
      </c>
      <c r="O120" s="198">
        <f t="shared" si="94"/>
        <v>5411</v>
      </c>
      <c r="P120" s="198">
        <f t="shared" si="94"/>
        <v>5411</v>
      </c>
      <c r="Q120" s="35">
        <f t="shared" si="59"/>
        <v>129</v>
      </c>
      <c r="R120" s="104">
        <f t="shared" si="64"/>
        <v>60727653</v>
      </c>
      <c r="S120" s="104">
        <f t="shared" si="65"/>
        <v>263153163</v>
      </c>
      <c r="T120" s="104">
        <f t="shared" si="66"/>
        <v>170316636</v>
      </c>
      <c r="U120" s="104">
        <f t="shared" si="67"/>
        <v>254078916</v>
      </c>
      <c r="V120" s="104">
        <f t="shared" si="68"/>
        <v>63519729</v>
      </c>
      <c r="W120" s="104">
        <f t="shared" si="57"/>
        <v>811796097</v>
      </c>
    </row>
    <row r="121" spans="1:23" ht="16.5" customHeight="1" x14ac:dyDescent="0.25">
      <c r="A121" s="21" t="s">
        <v>67</v>
      </c>
      <c r="B121" s="36" t="s">
        <v>34</v>
      </c>
      <c r="C121" s="26" t="s">
        <v>58</v>
      </c>
      <c r="D121" s="26" t="s">
        <v>90</v>
      </c>
      <c r="E121" s="69">
        <v>59</v>
      </c>
      <c r="F121" s="69">
        <v>173</v>
      </c>
      <c r="G121" s="69">
        <v>133</v>
      </c>
      <c r="H121" s="69">
        <v>261</v>
      </c>
      <c r="I121" s="69">
        <v>37</v>
      </c>
      <c r="J121" s="70">
        <f t="shared" si="74"/>
        <v>663</v>
      </c>
      <c r="K121" s="29">
        <f t="shared" si="56"/>
        <v>85527</v>
      </c>
      <c r="L121" s="222">
        <f>$L$7</f>
        <v>3981</v>
      </c>
      <c r="M121" s="222">
        <f>$M$7</f>
        <v>4163</v>
      </c>
      <c r="N121" s="222">
        <f>$N$7</f>
        <v>4422</v>
      </c>
      <c r="O121" s="222">
        <f>$O$7</f>
        <v>4755</v>
      </c>
      <c r="P121" s="222">
        <f>$P$7</f>
        <v>5064</v>
      </c>
      <c r="Q121" s="35">
        <f t="shared" si="59"/>
        <v>129</v>
      </c>
      <c r="R121" s="104">
        <f t="shared" si="64"/>
        <v>30299391</v>
      </c>
      <c r="S121" s="104">
        <f t="shared" si="65"/>
        <v>92905671</v>
      </c>
      <c r="T121" s="104">
        <f t="shared" si="66"/>
        <v>75868254</v>
      </c>
      <c r="U121" s="104">
        <f t="shared" si="67"/>
        <v>160096095</v>
      </c>
      <c r="V121" s="104">
        <f t="shared" si="68"/>
        <v>24170472</v>
      </c>
      <c r="W121" s="104">
        <f t="shared" si="57"/>
        <v>383339883</v>
      </c>
    </row>
    <row r="122" spans="1:23" ht="16.5" customHeight="1" x14ac:dyDescent="0.25">
      <c r="A122" s="21" t="s">
        <v>67</v>
      </c>
      <c r="B122" s="36" t="s">
        <v>34</v>
      </c>
      <c r="C122" s="26" t="s">
        <v>58</v>
      </c>
      <c r="D122" s="26" t="s">
        <v>89</v>
      </c>
      <c r="E122" s="69"/>
      <c r="F122" s="69"/>
      <c r="G122" s="69"/>
      <c r="H122" s="69"/>
      <c r="I122" s="73">
        <v>81</v>
      </c>
      <c r="J122" s="70">
        <f t="shared" si="74"/>
        <v>81</v>
      </c>
      <c r="K122" s="29">
        <f t="shared" si="56"/>
        <v>10449</v>
      </c>
      <c r="L122" s="198">
        <f>$L$8</f>
        <v>4588</v>
      </c>
      <c r="M122" s="198">
        <f>$M$8</f>
        <v>4972</v>
      </c>
      <c r="N122" s="198">
        <f>$N$8</f>
        <v>5318</v>
      </c>
      <c r="O122" s="198">
        <f>$O$8</f>
        <v>5899</v>
      </c>
      <c r="P122" s="198">
        <f>$P$8</f>
        <v>6384</v>
      </c>
      <c r="Q122" s="35">
        <f t="shared" si="59"/>
        <v>129</v>
      </c>
      <c r="R122" s="104">
        <f t="shared" si="64"/>
        <v>0</v>
      </c>
      <c r="S122" s="104">
        <f t="shared" si="65"/>
        <v>0</v>
      </c>
      <c r="T122" s="104">
        <f t="shared" si="66"/>
        <v>0</v>
      </c>
      <c r="U122" s="104">
        <f t="shared" si="67"/>
        <v>0</v>
      </c>
      <c r="V122" s="104">
        <f t="shared" si="68"/>
        <v>66706416</v>
      </c>
      <c r="W122" s="104">
        <f t="shared" si="57"/>
        <v>66706416</v>
      </c>
    </row>
    <row r="123" spans="1:23" ht="16.5" customHeight="1" x14ac:dyDescent="0.25">
      <c r="A123" s="21" t="s">
        <v>66</v>
      </c>
      <c r="B123" s="36" t="s">
        <v>35</v>
      </c>
      <c r="C123" s="26" t="s">
        <v>58</v>
      </c>
      <c r="D123" s="26" t="s">
        <v>90</v>
      </c>
      <c r="E123" s="69">
        <v>286</v>
      </c>
      <c r="F123" s="69">
        <v>1236</v>
      </c>
      <c r="G123" s="69">
        <v>807</v>
      </c>
      <c r="H123" s="69">
        <v>657</v>
      </c>
      <c r="I123" s="69">
        <v>74</v>
      </c>
      <c r="J123" s="70">
        <f t="shared" si="74"/>
        <v>3060</v>
      </c>
      <c r="K123" s="29">
        <f t="shared" si="56"/>
        <v>394740</v>
      </c>
      <c r="L123" s="222">
        <f>$L$4</f>
        <v>4145</v>
      </c>
      <c r="M123" s="222">
        <f>$M$4</f>
        <v>4327</v>
      </c>
      <c r="N123" s="222">
        <f>$N$4</f>
        <v>4586</v>
      </c>
      <c r="O123" s="222">
        <f>$O$4</f>
        <v>4919</v>
      </c>
      <c r="P123" s="222">
        <f>$P$4</f>
        <v>5228</v>
      </c>
      <c r="Q123" s="35">
        <f t="shared" si="59"/>
        <v>129</v>
      </c>
      <c r="R123" s="104">
        <f t="shared" si="64"/>
        <v>152925630</v>
      </c>
      <c r="S123" s="104">
        <f t="shared" si="65"/>
        <v>689914188</v>
      </c>
      <c r="T123" s="104">
        <f t="shared" si="66"/>
        <v>477416358</v>
      </c>
      <c r="U123" s="104">
        <f t="shared" si="67"/>
        <v>416900007</v>
      </c>
      <c r="V123" s="104">
        <f t="shared" si="68"/>
        <v>49906488</v>
      </c>
      <c r="W123" s="104">
        <f t="shared" si="57"/>
        <v>1787062671</v>
      </c>
    </row>
    <row r="124" spans="1:23" ht="16.5" customHeight="1" x14ac:dyDescent="0.25">
      <c r="A124" s="21" t="s">
        <v>66</v>
      </c>
      <c r="B124" s="36" t="s">
        <v>35</v>
      </c>
      <c r="C124" s="26" t="s">
        <v>58</v>
      </c>
      <c r="D124" s="26" t="s">
        <v>89</v>
      </c>
      <c r="E124" s="69">
        <v>11</v>
      </c>
      <c r="F124" s="69">
        <v>35</v>
      </c>
      <c r="G124" s="69">
        <v>28</v>
      </c>
      <c r="H124" s="69">
        <v>471</v>
      </c>
      <c r="I124" s="69">
        <v>513</v>
      </c>
      <c r="J124" s="70">
        <f t="shared" si="74"/>
        <v>1058</v>
      </c>
      <c r="K124" s="29">
        <f t="shared" si="56"/>
        <v>136482</v>
      </c>
      <c r="L124" s="222">
        <f>$L$5</f>
        <v>4619</v>
      </c>
      <c r="M124" s="222">
        <f>$M$5</f>
        <v>5003</v>
      </c>
      <c r="N124" s="222">
        <f>$N$5</f>
        <v>5349</v>
      </c>
      <c r="O124" s="222">
        <f>$O$5</f>
        <v>5930</v>
      </c>
      <c r="P124" s="222">
        <f>$P$5</f>
        <v>6415</v>
      </c>
      <c r="Q124" s="35">
        <f t="shared" si="59"/>
        <v>129</v>
      </c>
      <c r="R124" s="104">
        <f t="shared" si="64"/>
        <v>6554361</v>
      </c>
      <c r="S124" s="104">
        <f t="shared" si="65"/>
        <v>22588545</v>
      </c>
      <c r="T124" s="104">
        <f t="shared" si="66"/>
        <v>19320588</v>
      </c>
      <c r="U124" s="104">
        <f t="shared" si="67"/>
        <v>360300870</v>
      </c>
      <c r="V124" s="104">
        <f t="shared" si="68"/>
        <v>424525455</v>
      </c>
      <c r="W124" s="104">
        <f t="shared" si="57"/>
        <v>833289819</v>
      </c>
    </row>
    <row r="125" spans="1:23" ht="16.5" customHeight="1" x14ac:dyDescent="0.25">
      <c r="A125" s="21" t="s">
        <v>66</v>
      </c>
      <c r="B125" s="21" t="s">
        <v>35</v>
      </c>
      <c r="C125" s="26" t="s">
        <v>232</v>
      </c>
      <c r="D125" s="26" t="s">
        <v>91</v>
      </c>
      <c r="E125" s="69">
        <v>8</v>
      </c>
      <c r="F125" s="69">
        <v>14</v>
      </c>
      <c r="G125" s="69">
        <v>17</v>
      </c>
      <c r="H125" s="69">
        <v>80</v>
      </c>
      <c r="I125" s="69">
        <v>28</v>
      </c>
      <c r="J125" s="70">
        <f t="shared" si="74"/>
        <v>147</v>
      </c>
      <c r="K125" s="29">
        <f t="shared" si="56"/>
        <v>18963</v>
      </c>
      <c r="L125" s="213">
        <f t="shared" ref="L125:M125" si="95">$L$38</f>
        <v>5411</v>
      </c>
      <c r="M125" s="213">
        <f t="shared" si="95"/>
        <v>5411</v>
      </c>
      <c r="N125" s="213">
        <f t="shared" ref="N125:P125" si="96">$L$38</f>
        <v>5411</v>
      </c>
      <c r="O125" s="213">
        <f t="shared" si="96"/>
        <v>5411</v>
      </c>
      <c r="P125" s="213">
        <f t="shared" si="96"/>
        <v>5411</v>
      </c>
      <c r="Q125" s="35">
        <f t="shared" si="59"/>
        <v>129</v>
      </c>
      <c r="R125" s="104">
        <f t="shared" si="64"/>
        <v>5584152</v>
      </c>
      <c r="S125" s="104">
        <f t="shared" si="65"/>
        <v>9772266</v>
      </c>
      <c r="T125" s="104">
        <f t="shared" si="66"/>
        <v>11866323</v>
      </c>
      <c r="U125" s="104">
        <f t="shared" si="67"/>
        <v>55841520</v>
      </c>
      <c r="V125" s="104">
        <f t="shared" si="68"/>
        <v>19544532</v>
      </c>
      <c r="W125" s="104">
        <f t="shared" si="57"/>
        <v>102608793</v>
      </c>
    </row>
    <row r="126" spans="1:23" ht="16.5" customHeight="1" x14ac:dyDescent="0.25">
      <c r="A126" s="34" t="s">
        <v>57</v>
      </c>
      <c r="B126" s="22" t="s">
        <v>83</v>
      </c>
      <c r="C126" s="26" t="s">
        <v>58</v>
      </c>
      <c r="D126" s="26" t="s">
        <v>90</v>
      </c>
      <c r="E126" s="71">
        <v>160</v>
      </c>
      <c r="F126" s="71">
        <v>419</v>
      </c>
      <c r="G126" s="71">
        <v>279</v>
      </c>
      <c r="H126" s="71">
        <v>938</v>
      </c>
      <c r="I126" s="71">
        <v>0</v>
      </c>
      <c r="J126" s="70">
        <f t="shared" ref="J126" si="97">SUM(E126:I126)</f>
        <v>1796</v>
      </c>
      <c r="K126" s="29">
        <f t="shared" si="56"/>
        <v>231684</v>
      </c>
      <c r="L126" s="222">
        <f>$L$41</f>
        <v>4097</v>
      </c>
      <c r="M126" s="222">
        <f>$M$41</f>
        <v>4482</v>
      </c>
      <c r="N126" s="222">
        <f>$N$41</f>
        <v>4735</v>
      </c>
      <c r="O126" s="222">
        <f>$O$41</f>
        <v>5187</v>
      </c>
      <c r="P126" s="222">
        <f>$P$41</f>
        <v>5482</v>
      </c>
      <c r="Q126" s="35">
        <f t="shared" si="59"/>
        <v>129</v>
      </c>
      <c r="R126" s="104">
        <f t="shared" si="64"/>
        <v>84562080</v>
      </c>
      <c r="S126" s="104">
        <f t="shared" si="65"/>
        <v>242256582</v>
      </c>
      <c r="T126" s="104">
        <f t="shared" si="66"/>
        <v>170417385</v>
      </c>
      <c r="U126" s="104">
        <f t="shared" si="67"/>
        <v>627637374</v>
      </c>
      <c r="V126" s="104">
        <f t="shared" si="68"/>
        <v>0</v>
      </c>
      <c r="W126" s="104">
        <f t="shared" si="57"/>
        <v>1124873421</v>
      </c>
    </row>
    <row r="127" spans="1:23" ht="16.5" customHeight="1" x14ac:dyDescent="0.25">
      <c r="A127" s="21" t="s">
        <v>57</v>
      </c>
      <c r="B127" s="22" t="s">
        <v>83</v>
      </c>
      <c r="C127" s="26" t="s">
        <v>58</v>
      </c>
      <c r="D127" s="26" t="s">
        <v>89</v>
      </c>
      <c r="E127" s="69">
        <v>0</v>
      </c>
      <c r="F127" s="69">
        <v>0</v>
      </c>
      <c r="G127" s="69">
        <v>0</v>
      </c>
      <c r="H127" s="69">
        <v>63</v>
      </c>
      <c r="I127" s="69">
        <v>392</v>
      </c>
      <c r="J127" s="70">
        <f t="shared" si="74"/>
        <v>455</v>
      </c>
      <c r="K127" s="29">
        <f t="shared" si="56"/>
        <v>58695</v>
      </c>
      <c r="L127" s="222">
        <f>$L$43</f>
        <v>4691</v>
      </c>
      <c r="M127" s="222">
        <f>$M$43</f>
        <v>5175</v>
      </c>
      <c r="N127" s="222">
        <f>$N$43</f>
        <v>5556</v>
      </c>
      <c r="O127" s="222">
        <f>$O$43</f>
        <v>6176</v>
      </c>
      <c r="P127" s="222">
        <f>$P$43</f>
        <v>6681</v>
      </c>
      <c r="Q127" s="35">
        <f t="shared" si="59"/>
        <v>129</v>
      </c>
      <c r="R127" s="104">
        <f t="shared" si="64"/>
        <v>0</v>
      </c>
      <c r="S127" s="104">
        <f t="shared" si="65"/>
        <v>0</v>
      </c>
      <c r="T127" s="104">
        <f t="shared" si="66"/>
        <v>0</v>
      </c>
      <c r="U127" s="104">
        <f t="shared" si="67"/>
        <v>50192352</v>
      </c>
      <c r="V127" s="104">
        <f t="shared" si="68"/>
        <v>337844808</v>
      </c>
      <c r="W127" s="104">
        <f t="shared" si="57"/>
        <v>388037160</v>
      </c>
    </row>
    <row r="128" spans="1:23" ht="16.5" customHeight="1" x14ac:dyDescent="0.25">
      <c r="A128" s="21" t="s">
        <v>57</v>
      </c>
      <c r="B128" s="22" t="s">
        <v>83</v>
      </c>
      <c r="C128" s="26" t="s">
        <v>249</v>
      </c>
      <c r="D128" s="26" t="s">
        <v>91</v>
      </c>
      <c r="E128" s="69">
        <v>85</v>
      </c>
      <c r="F128" s="69">
        <v>363</v>
      </c>
      <c r="G128" s="69">
        <v>175</v>
      </c>
      <c r="H128" s="69">
        <v>255</v>
      </c>
      <c r="I128" s="69">
        <v>98</v>
      </c>
      <c r="J128" s="70">
        <f t="shared" si="74"/>
        <v>976</v>
      </c>
      <c r="K128" s="29">
        <f t="shared" si="56"/>
        <v>125904</v>
      </c>
      <c r="L128" s="198">
        <f>'1,1 SUMINISTRAR COM. PRE UNI. '!E155</f>
        <v>5743</v>
      </c>
      <c r="M128" s="198">
        <f>$L$128</f>
        <v>5743</v>
      </c>
      <c r="N128" s="198">
        <f t="shared" ref="N128:P128" si="98">$L$128</f>
        <v>5743</v>
      </c>
      <c r="O128" s="198">
        <f t="shared" si="98"/>
        <v>5743</v>
      </c>
      <c r="P128" s="198">
        <f t="shared" si="98"/>
        <v>5743</v>
      </c>
      <c r="Q128" s="35">
        <f t="shared" si="59"/>
        <v>129</v>
      </c>
      <c r="R128" s="104">
        <f t="shared" si="64"/>
        <v>62971995</v>
      </c>
      <c r="S128" s="104">
        <f t="shared" si="65"/>
        <v>268927461</v>
      </c>
      <c r="T128" s="104">
        <f t="shared" si="66"/>
        <v>129648225</v>
      </c>
      <c r="U128" s="104">
        <f t="shared" si="67"/>
        <v>188915985</v>
      </c>
      <c r="V128" s="104">
        <f t="shared" si="68"/>
        <v>72603006</v>
      </c>
      <c r="W128" s="104">
        <f t="shared" si="57"/>
        <v>723066672</v>
      </c>
    </row>
    <row r="129" spans="1:23" ht="16.5" customHeight="1" x14ac:dyDescent="0.25">
      <c r="A129" s="21" t="s">
        <v>57</v>
      </c>
      <c r="B129" s="22" t="s">
        <v>83</v>
      </c>
      <c r="C129" s="26" t="s">
        <v>236</v>
      </c>
      <c r="D129" s="26" t="s">
        <v>91</v>
      </c>
      <c r="E129" s="69">
        <v>42</v>
      </c>
      <c r="F129" s="69">
        <v>167</v>
      </c>
      <c r="G129" s="69">
        <v>128</v>
      </c>
      <c r="H129" s="69">
        <v>154</v>
      </c>
      <c r="I129" s="69">
        <v>62</v>
      </c>
      <c r="J129" s="70">
        <f t="shared" ref="J129" si="99">SUM(E129:I129)</f>
        <v>553</v>
      </c>
      <c r="K129" s="29">
        <f t="shared" si="56"/>
        <v>71337</v>
      </c>
      <c r="L129" s="198">
        <f t="shared" ref="L129:P129" si="100">$L$58</f>
        <v>5743</v>
      </c>
      <c r="M129" s="198">
        <f t="shared" si="100"/>
        <v>5743</v>
      </c>
      <c r="N129" s="198">
        <f t="shared" si="100"/>
        <v>5743</v>
      </c>
      <c r="O129" s="198">
        <f t="shared" si="100"/>
        <v>5743</v>
      </c>
      <c r="P129" s="198">
        <f t="shared" si="100"/>
        <v>5743</v>
      </c>
      <c r="Q129" s="35">
        <f t="shared" si="59"/>
        <v>129</v>
      </c>
      <c r="R129" s="104">
        <f t="shared" si="64"/>
        <v>31115574</v>
      </c>
      <c r="S129" s="104">
        <f t="shared" si="65"/>
        <v>123721449</v>
      </c>
      <c r="T129" s="104">
        <f t="shared" si="66"/>
        <v>94828416</v>
      </c>
      <c r="U129" s="104">
        <f t="shared" si="67"/>
        <v>114090438</v>
      </c>
      <c r="V129" s="104">
        <f t="shared" si="68"/>
        <v>45932514</v>
      </c>
      <c r="W129" s="104">
        <f t="shared" si="57"/>
        <v>409688391</v>
      </c>
    </row>
    <row r="130" spans="1:23" ht="16.5" customHeight="1" x14ac:dyDescent="0.25">
      <c r="A130" s="21" t="s">
        <v>68</v>
      </c>
      <c r="B130" s="21" t="s">
        <v>36</v>
      </c>
      <c r="C130" s="26" t="s">
        <v>248</v>
      </c>
      <c r="D130" s="26" t="s">
        <v>91</v>
      </c>
      <c r="E130" s="69">
        <v>549</v>
      </c>
      <c r="F130" s="69">
        <v>1841</v>
      </c>
      <c r="G130" s="69">
        <v>1197</v>
      </c>
      <c r="H130" s="69">
        <v>1837</v>
      </c>
      <c r="I130" s="69">
        <v>854</v>
      </c>
      <c r="J130" s="70">
        <f t="shared" si="74"/>
        <v>6278</v>
      </c>
      <c r="K130" s="29">
        <f t="shared" si="56"/>
        <v>809862</v>
      </c>
      <c r="L130" s="198">
        <f>$L$120</f>
        <v>5411</v>
      </c>
      <c r="M130" s="198">
        <f t="shared" ref="M130:P130" si="101">$L$120</f>
        <v>5411</v>
      </c>
      <c r="N130" s="198">
        <f t="shared" si="101"/>
        <v>5411</v>
      </c>
      <c r="O130" s="198">
        <f t="shared" si="101"/>
        <v>5411</v>
      </c>
      <c r="P130" s="198">
        <f t="shared" si="101"/>
        <v>5411</v>
      </c>
      <c r="Q130" s="35">
        <f t="shared" si="59"/>
        <v>129</v>
      </c>
      <c r="R130" s="104">
        <f t="shared" si="64"/>
        <v>383212431</v>
      </c>
      <c r="S130" s="104">
        <f t="shared" si="65"/>
        <v>1285052979</v>
      </c>
      <c r="T130" s="104">
        <f t="shared" si="66"/>
        <v>835528743</v>
      </c>
      <c r="U130" s="104">
        <f t="shared" si="67"/>
        <v>1282260903</v>
      </c>
      <c r="V130" s="104">
        <f t="shared" si="68"/>
        <v>596108226</v>
      </c>
      <c r="W130" s="104">
        <f t="shared" si="57"/>
        <v>4382163282</v>
      </c>
    </row>
    <row r="131" spans="1:23" ht="16.5" customHeight="1" x14ac:dyDescent="0.25">
      <c r="A131" s="21" t="s">
        <v>70</v>
      </c>
      <c r="B131" s="21" t="s">
        <v>37</v>
      </c>
      <c r="C131" s="26" t="s">
        <v>228</v>
      </c>
      <c r="D131" s="26" t="s">
        <v>91</v>
      </c>
      <c r="E131" s="69">
        <v>12</v>
      </c>
      <c r="F131" s="69">
        <v>50</v>
      </c>
      <c r="G131" s="69">
        <v>30</v>
      </c>
      <c r="H131" s="69">
        <v>94</v>
      </c>
      <c r="I131" s="69">
        <v>28</v>
      </c>
      <c r="J131" s="70">
        <f t="shared" si="74"/>
        <v>214</v>
      </c>
      <c r="K131" s="29">
        <f t="shared" si="56"/>
        <v>27606</v>
      </c>
      <c r="L131" s="198">
        <v>5385</v>
      </c>
      <c r="M131" s="198">
        <v>5385</v>
      </c>
      <c r="N131" s="198">
        <v>5385</v>
      </c>
      <c r="O131" s="198">
        <v>5385</v>
      </c>
      <c r="P131" s="198">
        <v>5385</v>
      </c>
      <c r="Q131" s="35">
        <f t="shared" si="59"/>
        <v>129</v>
      </c>
      <c r="R131" s="104">
        <f t="shared" si="64"/>
        <v>8335980</v>
      </c>
      <c r="S131" s="104">
        <f t="shared" si="65"/>
        <v>34733250</v>
      </c>
      <c r="T131" s="104">
        <f t="shared" si="66"/>
        <v>20839950</v>
      </c>
      <c r="U131" s="104">
        <f t="shared" si="67"/>
        <v>65298510</v>
      </c>
      <c r="V131" s="104">
        <f t="shared" si="68"/>
        <v>19450620</v>
      </c>
      <c r="W131" s="104">
        <f t="shared" si="57"/>
        <v>148658310</v>
      </c>
    </row>
    <row r="132" spans="1:23" ht="16.5" customHeight="1" x14ac:dyDescent="0.25">
      <c r="A132" s="21" t="s">
        <v>70</v>
      </c>
      <c r="B132" s="21" t="s">
        <v>37</v>
      </c>
      <c r="C132" s="26" t="s">
        <v>250</v>
      </c>
      <c r="D132" s="26" t="s">
        <v>91</v>
      </c>
      <c r="E132" s="69">
        <v>125</v>
      </c>
      <c r="F132" s="69">
        <v>347</v>
      </c>
      <c r="G132" s="69">
        <v>253</v>
      </c>
      <c r="H132" s="69">
        <v>296</v>
      </c>
      <c r="I132" s="69">
        <v>114</v>
      </c>
      <c r="J132" s="70">
        <f t="shared" si="74"/>
        <v>1135</v>
      </c>
      <c r="K132" s="29">
        <f t="shared" ref="K132:K136" si="102">J132*Q132</f>
        <v>146415</v>
      </c>
      <c r="L132" s="215">
        <f>'1,1 SUMINISTRAR COM. PRE UNI. '!U117</f>
        <v>5411</v>
      </c>
      <c r="M132" s="215">
        <f>$L$132</f>
        <v>5411</v>
      </c>
      <c r="N132" s="215">
        <f t="shared" ref="N132:P132" si="103">$L$132</f>
        <v>5411</v>
      </c>
      <c r="O132" s="215">
        <f t="shared" si="103"/>
        <v>5411</v>
      </c>
      <c r="P132" s="215">
        <f t="shared" si="103"/>
        <v>5411</v>
      </c>
      <c r="Q132" s="35">
        <f t="shared" si="59"/>
        <v>129</v>
      </c>
      <c r="R132" s="104">
        <f t="shared" si="64"/>
        <v>87252375</v>
      </c>
      <c r="S132" s="104">
        <f t="shared" si="65"/>
        <v>242212593</v>
      </c>
      <c r="T132" s="104">
        <f t="shared" si="66"/>
        <v>176598807</v>
      </c>
      <c r="U132" s="104">
        <f t="shared" si="67"/>
        <v>206613624</v>
      </c>
      <c r="V132" s="104">
        <f t="shared" si="68"/>
        <v>79574166</v>
      </c>
      <c r="W132" s="104">
        <f t="shared" ref="W132:W136" si="104">SUM(R132:V132)</f>
        <v>792251565</v>
      </c>
    </row>
    <row r="133" spans="1:23" ht="16.5" customHeight="1" x14ac:dyDescent="0.25">
      <c r="A133" s="21" t="s">
        <v>70</v>
      </c>
      <c r="B133" s="21" t="s">
        <v>37</v>
      </c>
      <c r="C133" s="26" t="s">
        <v>250</v>
      </c>
      <c r="D133" s="26" t="s">
        <v>89</v>
      </c>
      <c r="E133" s="69">
        <v>87</v>
      </c>
      <c r="F133" s="69">
        <v>235</v>
      </c>
      <c r="G133" s="69">
        <v>194</v>
      </c>
      <c r="H133" s="69">
        <v>514</v>
      </c>
      <c r="I133" s="69">
        <v>151</v>
      </c>
      <c r="J133" s="70">
        <f t="shared" si="74"/>
        <v>1181</v>
      </c>
      <c r="K133" s="29">
        <f t="shared" si="102"/>
        <v>152349</v>
      </c>
      <c r="L133" s="215">
        <f>'1,1 SUMINISTRAR COM. PRE UNI. '!Z117</f>
        <v>5842</v>
      </c>
      <c r="M133" s="215">
        <f>$L$133</f>
        <v>5842</v>
      </c>
      <c r="N133" s="215">
        <f t="shared" ref="N133:P133" si="105">$L$133</f>
        <v>5842</v>
      </c>
      <c r="O133" s="215">
        <f t="shared" si="105"/>
        <v>5842</v>
      </c>
      <c r="P133" s="215">
        <f t="shared" si="105"/>
        <v>5842</v>
      </c>
      <c r="Q133" s="35">
        <f t="shared" si="59"/>
        <v>129</v>
      </c>
      <c r="R133" s="104">
        <f t="shared" si="64"/>
        <v>65564766</v>
      </c>
      <c r="S133" s="104">
        <f t="shared" si="65"/>
        <v>177100230</v>
      </c>
      <c r="T133" s="104">
        <f t="shared" si="66"/>
        <v>146201892</v>
      </c>
      <c r="U133" s="104">
        <f t="shared" si="67"/>
        <v>387359652</v>
      </c>
      <c r="V133" s="104">
        <f t="shared" si="68"/>
        <v>113796318</v>
      </c>
      <c r="W133" s="104">
        <f t="shared" si="104"/>
        <v>890022858</v>
      </c>
    </row>
    <row r="134" spans="1:23" ht="16.5" customHeight="1" x14ac:dyDescent="0.25">
      <c r="A134" s="21" t="s">
        <v>70</v>
      </c>
      <c r="B134" s="21" t="s">
        <v>37</v>
      </c>
      <c r="C134" s="26" t="s">
        <v>242</v>
      </c>
      <c r="D134" s="26" t="s">
        <v>91</v>
      </c>
      <c r="E134" s="69">
        <v>119</v>
      </c>
      <c r="F134" s="69">
        <v>356</v>
      </c>
      <c r="G134" s="69">
        <v>288</v>
      </c>
      <c r="H134" s="69">
        <v>422</v>
      </c>
      <c r="I134" s="69">
        <v>192</v>
      </c>
      <c r="J134" s="70">
        <f t="shared" si="74"/>
        <v>1377</v>
      </c>
      <c r="K134" s="29">
        <f t="shared" si="102"/>
        <v>177633</v>
      </c>
      <c r="L134" s="213">
        <f t="shared" ref="L134:P134" si="106">$L$86</f>
        <v>5411</v>
      </c>
      <c r="M134" s="213">
        <f t="shared" si="106"/>
        <v>5411</v>
      </c>
      <c r="N134" s="213">
        <f t="shared" si="106"/>
        <v>5411</v>
      </c>
      <c r="O134" s="213">
        <f t="shared" si="106"/>
        <v>5411</v>
      </c>
      <c r="P134" s="213">
        <f t="shared" si="106"/>
        <v>5411</v>
      </c>
      <c r="Q134" s="35">
        <f t="shared" ref="Q134:Q136" si="107">$Q$4</f>
        <v>129</v>
      </c>
      <c r="R134" s="104">
        <f t="shared" si="64"/>
        <v>83064261</v>
      </c>
      <c r="S134" s="104">
        <f t="shared" si="65"/>
        <v>248494764</v>
      </c>
      <c r="T134" s="104">
        <f t="shared" si="66"/>
        <v>201029472</v>
      </c>
      <c r="U134" s="104">
        <f t="shared" si="67"/>
        <v>294564018</v>
      </c>
      <c r="V134" s="104">
        <f t="shared" si="68"/>
        <v>134019648</v>
      </c>
      <c r="W134" s="104">
        <f t="shared" si="104"/>
        <v>961172163</v>
      </c>
    </row>
    <row r="135" spans="1:23" ht="16.5" customHeight="1" x14ac:dyDescent="0.25">
      <c r="A135" s="21" t="s">
        <v>68</v>
      </c>
      <c r="B135" s="36" t="s">
        <v>85</v>
      </c>
      <c r="C135" s="26" t="s">
        <v>162</v>
      </c>
      <c r="D135" s="26" t="s">
        <v>166</v>
      </c>
      <c r="E135" s="69">
        <v>169</v>
      </c>
      <c r="F135" s="69">
        <v>600</v>
      </c>
      <c r="G135" s="69">
        <v>473</v>
      </c>
      <c r="H135" s="69">
        <v>850</v>
      </c>
      <c r="I135" s="69">
        <v>27</v>
      </c>
      <c r="J135" s="70">
        <f t="shared" si="74"/>
        <v>2119</v>
      </c>
      <c r="K135" s="29">
        <f t="shared" si="102"/>
        <v>273351</v>
      </c>
      <c r="L135" s="222">
        <f>$L$40</f>
        <v>3304</v>
      </c>
      <c r="M135" s="222">
        <f>$M$40</f>
        <v>3486</v>
      </c>
      <c r="N135" s="222">
        <f>$N$40</f>
        <v>3745</v>
      </c>
      <c r="O135" s="222">
        <f>$O$40</f>
        <v>4078</v>
      </c>
      <c r="P135" s="222">
        <f>$P$40</f>
        <v>4387</v>
      </c>
      <c r="Q135" s="35">
        <f t="shared" si="107"/>
        <v>129</v>
      </c>
      <c r="R135" s="104">
        <f t="shared" si="64"/>
        <v>72030504</v>
      </c>
      <c r="S135" s="104">
        <f t="shared" si="65"/>
        <v>269816400</v>
      </c>
      <c r="T135" s="104">
        <f t="shared" si="66"/>
        <v>228508665</v>
      </c>
      <c r="U135" s="104">
        <f t="shared" si="67"/>
        <v>447152700</v>
      </c>
      <c r="V135" s="104">
        <f t="shared" si="68"/>
        <v>15279921</v>
      </c>
      <c r="W135" s="104">
        <f t="shared" si="104"/>
        <v>1032788190</v>
      </c>
    </row>
    <row r="136" spans="1:23" ht="16.5" customHeight="1" x14ac:dyDescent="0.25">
      <c r="A136" s="21" t="s">
        <v>68</v>
      </c>
      <c r="B136" s="36" t="s">
        <v>85</v>
      </c>
      <c r="C136" s="26" t="s">
        <v>162</v>
      </c>
      <c r="D136" s="26" t="s">
        <v>89</v>
      </c>
      <c r="E136" s="69"/>
      <c r="F136" s="69"/>
      <c r="G136" s="69"/>
      <c r="H136" s="69"/>
      <c r="I136" s="69">
        <v>335</v>
      </c>
      <c r="J136" s="70">
        <f t="shared" si="74"/>
        <v>335</v>
      </c>
      <c r="K136" s="29">
        <f t="shared" si="102"/>
        <v>43215</v>
      </c>
      <c r="L136" s="222">
        <f>$L$64</f>
        <v>4219</v>
      </c>
      <c r="M136" s="222">
        <f>$M$64</f>
        <v>4603</v>
      </c>
      <c r="N136" s="222">
        <f>$N$64</f>
        <v>4949</v>
      </c>
      <c r="O136" s="222">
        <f>$O$64</f>
        <v>5530</v>
      </c>
      <c r="P136" s="222">
        <f>$P$64</f>
        <v>6015</v>
      </c>
      <c r="Q136" s="35">
        <f t="shared" si="107"/>
        <v>129</v>
      </c>
      <c r="R136" s="104">
        <f t="shared" si="64"/>
        <v>0</v>
      </c>
      <c r="S136" s="104">
        <f t="shared" si="65"/>
        <v>0</v>
      </c>
      <c r="T136" s="104">
        <f t="shared" si="66"/>
        <v>0</v>
      </c>
      <c r="U136" s="104">
        <f t="shared" si="67"/>
        <v>0</v>
      </c>
      <c r="V136" s="104">
        <f t="shared" si="68"/>
        <v>259938225</v>
      </c>
      <c r="W136" s="104">
        <f t="shared" si="104"/>
        <v>259938225</v>
      </c>
    </row>
    <row r="137" spans="1:23" ht="16.5" customHeight="1" x14ac:dyDescent="0.25">
      <c r="A137" s="66" t="s">
        <v>54</v>
      </c>
      <c r="B137" s="67"/>
      <c r="C137" s="67"/>
      <c r="D137" s="68"/>
      <c r="E137" s="71">
        <f t="shared" ref="E137:J137" si="108">SUM(E4:E136)</f>
        <v>12902</v>
      </c>
      <c r="F137" s="71">
        <f t="shared" si="108"/>
        <v>45308</v>
      </c>
      <c r="G137" s="71">
        <f t="shared" si="108"/>
        <v>32718</v>
      </c>
      <c r="H137" s="71">
        <f t="shared" si="108"/>
        <v>51580</v>
      </c>
      <c r="I137" s="71">
        <f t="shared" si="108"/>
        <v>19603</v>
      </c>
      <c r="J137" s="71">
        <f t="shared" si="108"/>
        <v>162111</v>
      </c>
      <c r="K137" s="38">
        <f>SUM(K4:K136)</f>
        <v>20912319</v>
      </c>
      <c r="L137" s="54"/>
      <c r="M137" s="54"/>
      <c r="N137" s="54"/>
      <c r="O137" s="54"/>
      <c r="P137" s="55"/>
      <c r="Q137" s="35">
        <f>Q4</f>
        <v>129</v>
      </c>
      <c r="R137" s="105">
        <f t="shared" ref="R137:V137" si="109">SUM(R4:R136)</f>
        <v>7329671769</v>
      </c>
      <c r="S137" s="105">
        <f t="shared" si="109"/>
        <v>26442767526</v>
      </c>
      <c r="T137" s="105">
        <f t="shared" si="109"/>
        <v>19763095668</v>
      </c>
      <c r="U137" s="105">
        <f t="shared" si="109"/>
        <v>33098859990</v>
      </c>
      <c r="V137" s="105">
        <f t="shared" si="109"/>
        <v>14096082582</v>
      </c>
      <c r="W137" s="105">
        <f>SUM(W4:W136)</f>
        <v>100730477535</v>
      </c>
    </row>
    <row r="140" spans="1:23" x14ac:dyDescent="0.25">
      <c r="W140" s="28"/>
    </row>
    <row r="141" spans="1:23" x14ac:dyDescent="0.25">
      <c r="W141" s="28"/>
    </row>
    <row r="142" spans="1:23" x14ac:dyDescent="0.25">
      <c r="W142" s="28"/>
    </row>
    <row r="143" spans="1:23" x14ac:dyDescent="0.25">
      <c r="R143" s="56"/>
      <c r="W143" s="65"/>
    </row>
    <row r="144" spans="1:23" x14ac:dyDescent="0.25">
      <c r="R144" s="56"/>
      <c r="W144" s="65"/>
    </row>
    <row r="145" spans="10:23" x14ac:dyDescent="0.25">
      <c r="R145" s="56"/>
    </row>
    <row r="154" spans="10:23" x14ac:dyDescent="0.25">
      <c r="J154" s="39">
        <f>SUBTOTAL(9,J4:J136)</f>
        <v>162111</v>
      </c>
      <c r="U154" s="56">
        <f>SUBTOTAL(9,U4:U153)</f>
        <v>66197719980</v>
      </c>
      <c r="W154" s="56">
        <f>SUBTOTAL(9,W4:W136)</f>
        <v>100730477535</v>
      </c>
    </row>
    <row r="157" spans="10:23" x14ac:dyDescent="0.25">
      <c r="M157" s="39">
        <v>5154</v>
      </c>
      <c r="N157" s="39">
        <f>M157*1.051</f>
        <v>5416.8539999999994</v>
      </c>
    </row>
    <row r="159" spans="10:23" x14ac:dyDescent="0.25">
      <c r="J159" s="39" t="s">
        <v>256</v>
      </c>
    </row>
  </sheetData>
  <autoFilter ref="A3:W153" xr:uid="{00000000-0009-0000-0000-000002000000}"/>
  <sortState xmlns:xlrd2="http://schemas.microsoft.com/office/spreadsheetml/2017/richdata2" ref="A5:W154">
    <sortCondition ref="B4:B154"/>
  </sortState>
  <mergeCells count="20">
    <mergeCell ref="P2:P3"/>
    <mergeCell ref="L2:L3"/>
    <mergeCell ref="A1:W1"/>
    <mergeCell ref="R2:R3"/>
    <mergeCell ref="W2:W3"/>
    <mergeCell ref="Q2:Q3"/>
    <mergeCell ref="S2:S3"/>
    <mergeCell ref="T2:T3"/>
    <mergeCell ref="U2:U3"/>
    <mergeCell ref="V2:V3"/>
    <mergeCell ref="K2:K3"/>
    <mergeCell ref="A2:A3"/>
    <mergeCell ref="J2:J3"/>
    <mergeCell ref="D2:D3"/>
    <mergeCell ref="E2:I2"/>
    <mergeCell ref="C2:C3"/>
    <mergeCell ref="B2:B3"/>
    <mergeCell ref="M2:M3"/>
    <mergeCell ref="N2:N3"/>
    <mergeCell ref="O2:O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4"/>
  <sheetViews>
    <sheetView workbookViewId="0">
      <selection activeCell="F18" sqref="F18"/>
    </sheetView>
  </sheetViews>
  <sheetFormatPr baseColWidth="10" defaultRowHeight="15" x14ac:dyDescent="0.25"/>
  <cols>
    <col min="4" max="4" width="15.140625" bestFit="1" customWidth="1"/>
    <col min="5" max="5" width="16.42578125" bestFit="1" customWidth="1"/>
    <col min="6" max="6" width="17.28515625" bestFit="1" customWidth="1"/>
  </cols>
  <sheetData>
    <row r="2" spans="2:8" ht="15.75" x14ac:dyDescent="0.25">
      <c r="B2" s="290" t="s">
        <v>286</v>
      </c>
      <c r="C2" s="290"/>
      <c r="D2" s="290"/>
      <c r="E2" s="290"/>
      <c r="F2" s="290"/>
      <c r="G2" s="290"/>
      <c r="H2" s="290"/>
    </row>
    <row r="3" spans="2:8" ht="16.5" x14ac:dyDescent="0.25">
      <c r="D3" s="10" t="s">
        <v>110</v>
      </c>
      <c r="E3" s="10" t="s">
        <v>111</v>
      </c>
      <c r="F3" s="10" t="s">
        <v>112</v>
      </c>
    </row>
    <row r="4" spans="2:8" ht="16.5" x14ac:dyDescent="0.25">
      <c r="D4" s="23">
        <v>36644</v>
      </c>
      <c r="E4" s="52">
        <v>130600</v>
      </c>
      <c r="F4" s="117">
        <v>4785706400</v>
      </c>
    </row>
  </sheetData>
  <mergeCells count="1">
    <mergeCell ref="B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P66"/>
  <sheetViews>
    <sheetView topLeftCell="C13" zoomScale="98" zoomScaleNormal="98" workbookViewId="0">
      <selection activeCell="I10" sqref="I10"/>
    </sheetView>
  </sheetViews>
  <sheetFormatPr baseColWidth="10" defaultRowHeight="15" x14ac:dyDescent="0.25"/>
  <cols>
    <col min="3" max="3" width="15.85546875" customWidth="1"/>
    <col min="4" max="4" width="55.42578125" customWidth="1"/>
    <col min="5" max="5" width="14" customWidth="1"/>
    <col min="6" max="6" width="14.140625" customWidth="1"/>
    <col min="7" max="7" width="13" customWidth="1"/>
    <col min="8" max="8" width="14.7109375" customWidth="1"/>
    <col min="9" max="9" width="14.28515625" customWidth="1"/>
    <col min="10" max="10" width="20.42578125" bestFit="1" customWidth="1"/>
    <col min="11" max="11" width="18.140625" bestFit="1" customWidth="1"/>
    <col min="12" max="12" width="18" bestFit="1" customWidth="1"/>
    <col min="13" max="13" width="15.5703125" customWidth="1"/>
    <col min="14" max="14" width="14.42578125" bestFit="1" customWidth="1"/>
  </cols>
  <sheetData>
    <row r="2" spans="3:13" ht="25.5" x14ac:dyDescent="0.35">
      <c r="C2" s="418" t="s">
        <v>72</v>
      </c>
      <c r="D2" s="419"/>
      <c r="E2" s="419"/>
      <c r="F2" s="419"/>
      <c r="G2" s="419"/>
      <c r="H2" s="419"/>
    </row>
    <row r="3" spans="3:13" ht="36" x14ac:dyDescent="0.25">
      <c r="C3" s="121" t="s">
        <v>65</v>
      </c>
      <c r="D3" s="121" t="s">
        <v>140</v>
      </c>
      <c r="E3" s="121" t="s">
        <v>48</v>
      </c>
      <c r="F3" s="121" t="s">
        <v>40</v>
      </c>
      <c r="G3" s="121" t="s">
        <v>52</v>
      </c>
      <c r="H3" s="121" t="s">
        <v>49</v>
      </c>
    </row>
    <row r="4" spans="3:13" ht="33" x14ac:dyDescent="0.25">
      <c r="C4" s="420" t="s">
        <v>50</v>
      </c>
      <c r="D4" s="103" t="s">
        <v>138</v>
      </c>
      <c r="E4" s="14">
        <v>1</v>
      </c>
      <c r="F4" s="8">
        <v>3136000.0000000005</v>
      </c>
      <c r="G4" s="14">
        <v>12</v>
      </c>
      <c r="H4" s="8">
        <f>E4*F4*G4</f>
        <v>37632000.000000007</v>
      </c>
    </row>
    <row r="5" spans="3:13" ht="33" x14ac:dyDescent="0.25">
      <c r="C5" s="420"/>
      <c r="D5" s="103" t="s">
        <v>139</v>
      </c>
      <c r="E5" s="14">
        <v>2</v>
      </c>
      <c r="F5" s="8">
        <v>2800000.0000000005</v>
      </c>
      <c r="G5" s="14">
        <v>12</v>
      </c>
      <c r="H5" s="8">
        <f>E5*F5*G5</f>
        <v>67200000.000000015</v>
      </c>
    </row>
    <row r="6" spans="3:13" ht="18.75" customHeight="1" x14ac:dyDescent="0.25">
      <c r="C6" s="420"/>
      <c r="D6" s="59" t="s">
        <v>145</v>
      </c>
      <c r="E6" s="14">
        <v>1</v>
      </c>
      <c r="F6" s="8">
        <v>4704000</v>
      </c>
      <c r="G6" s="14">
        <v>12</v>
      </c>
      <c r="H6" s="8">
        <f>E6*F6*G6</f>
        <v>56448000</v>
      </c>
      <c r="K6" s="60"/>
      <c r="L6" s="61"/>
      <c r="M6" s="62"/>
    </row>
    <row r="7" spans="3:13" ht="36.75" customHeight="1" x14ac:dyDescent="0.25">
      <c r="C7" s="420"/>
      <c r="D7" s="59" t="s">
        <v>141</v>
      </c>
      <c r="E7" s="14">
        <v>1</v>
      </c>
      <c r="F7" s="8">
        <v>4256000</v>
      </c>
      <c r="G7" s="14">
        <v>12</v>
      </c>
      <c r="H7" s="8">
        <f t="shared" ref="H7:H15" si="0">E7*F7*G7</f>
        <v>51072000</v>
      </c>
      <c r="K7" s="60"/>
      <c r="L7" s="53"/>
    </row>
    <row r="8" spans="3:13" ht="37.5" customHeight="1" x14ac:dyDescent="0.25">
      <c r="C8" s="420"/>
      <c r="D8" s="59" t="s">
        <v>146</v>
      </c>
      <c r="E8" s="14">
        <v>1</v>
      </c>
      <c r="F8" s="8">
        <v>4256000</v>
      </c>
      <c r="G8" s="14">
        <v>12</v>
      </c>
      <c r="H8" s="8">
        <f t="shared" si="0"/>
        <v>51072000</v>
      </c>
      <c r="K8" s="58"/>
    </row>
    <row r="9" spans="3:13" ht="24" customHeight="1" x14ac:dyDescent="0.25">
      <c r="C9" s="420"/>
      <c r="D9" s="59" t="s">
        <v>147</v>
      </c>
      <c r="E9" s="14">
        <v>1</v>
      </c>
      <c r="F9" s="8">
        <v>4256000</v>
      </c>
      <c r="G9" s="14">
        <v>12</v>
      </c>
      <c r="H9" s="8">
        <f t="shared" si="0"/>
        <v>51072000</v>
      </c>
    </row>
    <row r="10" spans="3:13" ht="24" customHeight="1" x14ac:dyDescent="0.25">
      <c r="C10" s="420"/>
      <c r="D10" s="59" t="s">
        <v>148</v>
      </c>
      <c r="E10" s="14">
        <v>1</v>
      </c>
      <c r="F10" s="8">
        <v>4256000</v>
      </c>
      <c r="G10" s="14">
        <v>12</v>
      </c>
      <c r="H10" s="8">
        <f t="shared" si="0"/>
        <v>51072000</v>
      </c>
    </row>
    <row r="11" spans="3:13" ht="34.5" customHeight="1" x14ac:dyDescent="0.25">
      <c r="C11" s="420" t="s">
        <v>53</v>
      </c>
      <c r="D11" s="59" t="s">
        <v>149</v>
      </c>
      <c r="E11" s="14">
        <v>1</v>
      </c>
      <c r="F11" s="8">
        <v>4256000</v>
      </c>
      <c r="G11" s="14">
        <v>12</v>
      </c>
      <c r="H11" s="8">
        <f t="shared" si="0"/>
        <v>51072000</v>
      </c>
    </row>
    <row r="12" spans="3:13" ht="33" customHeight="1" x14ac:dyDescent="0.25">
      <c r="C12" s="420"/>
      <c r="D12" s="124" t="s">
        <v>150</v>
      </c>
      <c r="E12" s="14">
        <v>3</v>
      </c>
      <c r="F12" s="8">
        <v>4256000</v>
      </c>
      <c r="G12" s="14">
        <v>12</v>
      </c>
      <c r="H12" s="8">
        <f t="shared" si="0"/>
        <v>153216000</v>
      </c>
    </row>
    <row r="13" spans="3:13" ht="32.25" customHeight="1" x14ac:dyDescent="0.25">
      <c r="C13" s="420"/>
      <c r="D13" s="124" t="s">
        <v>152</v>
      </c>
      <c r="E13" s="10">
        <v>10</v>
      </c>
      <c r="F13" s="8">
        <v>4256000</v>
      </c>
      <c r="G13" s="14">
        <v>12</v>
      </c>
      <c r="H13" s="8">
        <f t="shared" si="0"/>
        <v>510720000</v>
      </c>
    </row>
    <row r="14" spans="3:13" ht="34.5" customHeight="1" x14ac:dyDescent="0.25">
      <c r="C14" s="420"/>
      <c r="D14" s="124" t="s">
        <v>153</v>
      </c>
      <c r="E14" s="14">
        <v>3</v>
      </c>
      <c r="F14" s="8">
        <v>4256000</v>
      </c>
      <c r="G14" s="14">
        <v>12</v>
      </c>
      <c r="H14" s="8">
        <f t="shared" si="0"/>
        <v>153216000</v>
      </c>
    </row>
    <row r="15" spans="3:13" ht="34.5" customHeight="1" x14ac:dyDescent="0.25">
      <c r="C15" s="420"/>
      <c r="D15" s="124" t="s">
        <v>154</v>
      </c>
      <c r="E15" s="14">
        <v>3</v>
      </c>
      <c r="F15" s="8">
        <v>4256000</v>
      </c>
      <c r="G15" s="14">
        <v>12</v>
      </c>
      <c r="H15" s="8">
        <f t="shared" si="0"/>
        <v>153216000</v>
      </c>
    </row>
    <row r="16" spans="3:13" ht="16.5" x14ac:dyDescent="0.3">
      <c r="C16" s="5" t="s">
        <v>54</v>
      </c>
      <c r="D16" s="6"/>
      <c r="E16" s="10">
        <f>SUM(E4:E15)</f>
        <v>28</v>
      </c>
      <c r="F16" s="9"/>
      <c r="G16" s="9"/>
      <c r="H16" s="13">
        <f>SUM(H4:H15)</f>
        <v>1387008000</v>
      </c>
    </row>
    <row r="19" spans="3:16" ht="36" customHeight="1" x14ac:dyDescent="0.25">
      <c r="C19" s="246" t="s">
        <v>73</v>
      </c>
      <c r="D19" s="246"/>
      <c r="E19" s="246"/>
      <c r="F19" s="246"/>
      <c r="G19" s="246"/>
      <c r="H19" s="246"/>
      <c r="I19" s="246"/>
      <c r="J19" s="246"/>
      <c r="K19" s="246"/>
      <c r="L19" s="246"/>
      <c r="M19" s="135"/>
    </row>
    <row r="20" spans="3:16" ht="111" customHeight="1" x14ac:dyDescent="0.25">
      <c r="C20" s="247" t="s">
        <v>282</v>
      </c>
      <c r="D20" s="247"/>
      <c r="E20" s="247"/>
      <c r="F20" s="247"/>
      <c r="G20" s="247"/>
      <c r="H20" s="247"/>
      <c r="I20" s="247"/>
      <c r="J20" s="247"/>
      <c r="K20" s="247"/>
      <c r="L20" s="247"/>
      <c r="M20" s="134"/>
    </row>
    <row r="21" spans="3:16" ht="22.5" customHeight="1" x14ac:dyDescent="0.25">
      <c r="C21" s="241" t="s">
        <v>281</v>
      </c>
      <c r="D21" s="241"/>
      <c r="E21" s="241"/>
      <c r="F21" s="241"/>
      <c r="G21" s="241"/>
      <c r="H21" s="241"/>
      <c r="I21" s="241"/>
      <c r="J21" s="241"/>
      <c r="K21" s="241"/>
      <c r="L21" s="241"/>
      <c r="M21" s="133"/>
    </row>
    <row r="22" spans="3:16" ht="18" x14ac:dyDescent="0.25">
      <c r="C22" s="136" t="s">
        <v>257</v>
      </c>
      <c r="D22" s="137">
        <v>1423500</v>
      </c>
      <c r="E22" s="241"/>
      <c r="F22" s="241"/>
      <c r="G22" s="241"/>
      <c r="H22" s="241"/>
      <c r="I22" s="241"/>
      <c r="J22" s="241"/>
      <c r="K22" s="241"/>
      <c r="L22" s="241"/>
      <c r="M22" s="125"/>
      <c r="N22" s="126"/>
      <c r="O22" s="127"/>
      <c r="P22" s="123"/>
    </row>
    <row r="23" spans="3:16" ht="60" x14ac:dyDescent="0.25">
      <c r="C23" s="138" t="s">
        <v>258</v>
      </c>
      <c r="D23" s="138" t="s">
        <v>259</v>
      </c>
      <c r="E23" s="139" t="s">
        <v>122</v>
      </c>
      <c r="F23" s="139" t="s">
        <v>260</v>
      </c>
      <c r="G23" s="139" t="s">
        <v>261</v>
      </c>
      <c r="H23" s="139" t="s">
        <v>262</v>
      </c>
      <c r="I23" s="139" t="s">
        <v>263</v>
      </c>
      <c r="J23" s="139" t="s">
        <v>264</v>
      </c>
      <c r="K23" s="139" t="s">
        <v>265</v>
      </c>
      <c r="L23" s="140" t="s">
        <v>266</v>
      </c>
      <c r="M23" s="125"/>
      <c r="N23" s="128"/>
      <c r="O23" s="127"/>
      <c r="P23" s="123"/>
    </row>
    <row r="24" spans="3:16" ht="18" x14ac:dyDescent="0.25">
      <c r="C24" s="141" t="s">
        <v>69</v>
      </c>
      <c r="D24" s="142" t="s">
        <v>6</v>
      </c>
      <c r="E24" s="143">
        <v>4500000</v>
      </c>
      <c r="F24" s="141">
        <v>30</v>
      </c>
      <c r="G24" s="141">
        <v>0</v>
      </c>
      <c r="H24" s="144">
        <v>0.05</v>
      </c>
      <c r="I24" s="145">
        <v>0</v>
      </c>
      <c r="J24" s="143">
        <f>(D$22*H24)*F24</f>
        <v>2135250</v>
      </c>
      <c r="K24" s="146">
        <f>(D$22*I24)*G24</f>
        <v>0</v>
      </c>
      <c r="L24" s="147">
        <f t="shared" ref="L24:L31" si="1">+E24+J24+K24</f>
        <v>6635250</v>
      </c>
      <c r="M24" s="125"/>
      <c r="N24" s="126"/>
      <c r="O24" s="127"/>
      <c r="P24" s="123"/>
    </row>
    <row r="25" spans="3:16" ht="18" x14ac:dyDescent="0.25">
      <c r="C25" s="141" t="s">
        <v>69</v>
      </c>
      <c r="D25" s="142" t="s">
        <v>10</v>
      </c>
      <c r="E25" s="143">
        <v>4800000</v>
      </c>
      <c r="F25" s="141">
        <v>26</v>
      </c>
      <c r="G25" s="141">
        <v>4</v>
      </c>
      <c r="H25" s="145">
        <v>0.05</v>
      </c>
      <c r="I25" s="145">
        <v>0.1</v>
      </c>
      <c r="J25" s="143">
        <f t="shared" ref="J25:J64" si="2">(D$22*H25)*F25</f>
        <v>1850550</v>
      </c>
      <c r="K25" s="146">
        <f t="shared" ref="K25:K64" si="3">(D$22*I25)*G25</f>
        <v>569400</v>
      </c>
      <c r="L25" s="147">
        <f t="shared" si="1"/>
        <v>7219950</v>
      </c>
      <c r="M25" s="125"/>
      <c r="N25" s="126"/>
      <c r="O25" s="127"/>
      <c r="P25" s="123"/>
    </row>
    <row r="26" spans="3:16" ht="18" x14ac:dyDescent="0.25">
      <c r="C26" s="141" t="s">
        <v>69</v>
      </c>
      <c r="D26" s="142" t="s">
        <v>21</v>
      </c>
      <c r="E26" s="143">
        <v>6400000</v>
      </c>
      <c r="F26" s="141">
        <v>30</v>
      </c>
      <c r="G26" s="141">
        <v>10</v>
      </c>
      <c r="H26" s="145">
        <v>0.05</v>
      </c>
      <c r="I26" s="145">
        <v>0.1</v>
      </c>
      <c r="J26" s="143">
        <f t="shared" si="2"/>
        <v>2135250</v>
      </c>
      <c r="K26" s="146">
        <f t="shared" si="3"/>
        <v>1423500</v>
      </c>
      <c r="L26" s="147">
        <f t="shared" si="1"/>
        <v>9958750</v>
      </c>
      <c r="M26" s="125"/>
      <c r="N26" s="126"/>
      <c r="O26" s="127"/>
      <c r="P26" s="123"/>
    </row>
    <row r="27" spans="3:16" ht="18" x14ac:dyDescent="0.25">
      <c r="C27" s="141" t="s">
        <v>69</v>
      </c>
      <c r="D27" s="142" t="s">
        <v>25</v>
      </c>
      <c r="E27" s="143">
        <v>2800000</v>
      </c>
      <c r="F27" s="141">
        <v>28</v>
      </c>
      <c r="G27" s="141">
        <v>0</v>
      </c>
      <c r="H27" s="145">
        <v>0.05</v>
      </c>
      <c r="I27" s="145">
        <v>0</v>
      </c>
      <c r="J27" s="143">
        <f t="shared" si="2"/>
        <v>1992900</v>
      </c>
      <c r="K27" s="146">
        <f t="shared" si="3"/>
        <v>0</v>
      </c>
      <c r="L27" s="147">
        <f t="shared" si="1"/>
        <v>4792900</v>
      </c>
      <c r="M27" s="125"/>
      <c r="N27" s="126"/>
      <c r="O27" s="127"/>
      <c r="P27" s="123"/>
    </row>
    <row r="28" spans="3:16" ht="18" x14ac:dyDescent="0.25">
      <c r="C28" s="141" t="s">
        <v>69</v>
      </c>
      <c r="D28" s="142" t="s">
        <v>267</v>
      </c>
      <c r="E28" s="143">
        <v>2334150</v>
      </c>
      <c r="F28" s="141">
        <v>20</v>
      </c>
      <c r="G28" s="141">
        <v>0</v>
      </c>
      <c r="H28" s="145">
        <v>0.05</v>
      </c>
      <c r="I28" s="145">
        <v>0</v>
      </c>
      <c r="J28" s="143">
        <f t="shared" si="2"/>
        <v>1423500</v>
      </c>
      <c r="K28" s="146">
        <f t="shared" si="3"/>
        <v>0</v>
      </c>
      <c r="L28" s="147">
        <f t="shared" si="1"/>
        <v>3757650</v>
      </c>
      <c r="M28" s="125"/>
      <c r="N28" s="126"/>
      <c r="O28" s="127"/>
      <c r="P28" s="123"/>
    </row>
    <row r="29" spans="3:16" ht="18" x14ac:dyDescent="0.25">
      <c r="C29" s="141" t="s">
        <v>69</v>
      </c>
      <c r="D29" s="142" t="s">
        <v>31</v>
      </c>
      <c r="E29" s="143">
        <v>4900000</v>
      </c>
      <c r="F29" s="141">
        <v>30</v>
      </c>
      <c r="G29" s="141">
        <v>0</v>
      </c>
      <c r="H29" s="145">
        <v>0.05</v>
      </c>
      <c r="I29" s="145">
        <v>0</v>
      </c>
      <c r="J29" s="143">
        <f t="shared" si="2"/>
        <v>2135250</v>
      </c>
      <c r="K29" s="146">
        <f t="shared" si="3"/>
        <v>0</v>
      </c>
      <c r="L29" s="147">
        <f t="shared" si="1"/>
        <v>7035250</v>
      </c>
      <c r="M29" s="125"/>
      <c r="N29" s="126"/>
      <c r="O29" s="127"/>
      <c r="P29" s="123"/>
    </row>
    <row r="30" spans="3:16" ht="18" x14ac:dyDescent="0.25">
      <c r="C30" s="142" t="s">
        <v>69</v>
      </c>
      <c r="D30" s="142" t="s">
        <v>268</v>
      </c>
      <c r="E30" s="143">
        <v>1900000</v>
      </c>
      <c r="F30" s="141">
        <v>16</v>
      </c>
      <c r="G30" s="141">
        <v>0</v>
      </c>
      <c r="H30" s="148">
        <v>0.05</v>
      </c>
      <c r="I30" s="148">
        <v>0</v>
      </c>
      <c r="J30" s="143">
        <f t="shared" si="2"/>
        <v>1138800</v>
      </c>
      <c r="K30" s="146">
        <f t="shared" si="3"/>
        <v>0</v>
      </c>
      <c r="L30" s="147">
        <f t="shared" si="1"/>
        <v>3038800</v>
      </c>
      <c r="M30" s="125"/>
      <c r="N30" s="126"/>
      <c r="O30" s="127"/>
      <c r="P30" s="123"/>
    </row>
    <row r="31" spans="3:16" ht="18" x14ac:dyDescent="0.25">
      <c r="C31" s="149" t="s">
        <v>69</v>
      </c>
      <c r="D31" s="142" t="s">
        <v>35</v>
      </c>
      <c r="E31" s="143">
        <v>2000000</v>
      </c>
      <c r="F31" s="141">
        <v>20</v>
      </c>
      <c r="G31" s="141">
        <v>0</v>
      </c>
      <c r="H31" s="145">
        <v>0.05</v>
      </c>
      <c r="I31" s="145">
        <v>0</v>
      </c>
      <c r="J31" s="143">
        <f t="shared" si="2"/>
        <v>1423500</v>
      </c>
      <c r="K31" s="146">
        <f t="shared" si="3"/>
        <v>0</v>
      </c>
      <c r="L31" s="147">
        <f t="shared" si="1"/>
        <v>3423500</v>
      </c>
      <c r="M31" s="125"/>
      <c r="N31" s="126"/>
      <c r="O31" s="127"/>
      <c r="P31" s="123"/>
    </row>
    <row r="32" spans="3:16" ht="18" x14ac:dyDescent="0.25">
      <c r="C32" s="141" t="s">
        <v>269</v>
      </c>
      <c r="D32" s="142" t="s">
        <v>13</v>
      </c>
      <c r="E32" s="143">
        <v>11000000</v>
      </c>
      <c r="F32" s="141">
        <v>2</v>
      </c>
      <c r="G32" s="141">
        <v>10</v>
      </c>
      <c r="H32" s="148">
        <v>0.08</v>
      </c>
      <c r="I32" s="148">
        <v>0.15</v>
      </c>
      <c r="J32" s="143">
        <f t="shared" si="2"/>
        <v>227760</v>
      </c>
      <c r="K32" s="146">
        <f t="shared" si="3"/>
        <v>2135250</v>
      </c>
      <c r="L32" s="147">
        <f>(J32*F32)+(K32*G32)+E32</f>
        <v>32808020</v>
      </c>
      <c r="M32" s="125"/>
      <c r="N32" s="126"/>
      <c r="O32" s="127"/>
      <c r="P32" s="123"/>
    </row>
    <row r="33" spans="3:16" ht="18" x14ac:dyDescent="0.25">
      <c r="C33" s="142" t="s">
        <v>269</v>
      </c>
      <c r="D33" s="142" t="s">
        <v>18</v>
      </c>
      <c r="E33" s="143">
        <v>10000000</v>
      </c>
      <c r="F33" s="141">
        <v>2</v>
      </c>
      <c r="G33" s="141">
        <v>10</v>
      </c>
      <c r="H33" s="148">
        <v>0.08</v>
      </c>
      <c r="I33" s="148">
        <v>0.15</v>
      </c>
      <c r="J33" s="143">
        <f t="shared" si="2"/>
        <v>227760</v>
      </c>
      <c r="K33" s="146">
        <f t="shared" si="3"/>
        <v>2135250</v>
      </c>
      <c r="L33" s="147">
        <f>(J33*F33)+(K33*G33)+E33</f>
        <v>31808020</v>
      </c>
      <c r="M33" s="125"/>
      <c r="N33" s="126"/>
      <c r="O33" s="127"/>
      <c r="P33" s="123"/>
    </row>
    <row r="34" spans="3:16" ht="18" x14ac:dyDescent="0.25">
      <c r="C34" s="141" t="s">
        <v>269</v>
      </c>
      <c r="D34" s="142" t="s">
        <v>83</v>
      </c>
      <c r="E34" s="143">
        <v>9000000</v>
      </c>
      <c r="F34" s="141">
        <v>2</v>
      </c>
      <c r="G34" s="141">
        <v>10</v>
      </c>
      <c r="H34" s="148">
        <v>0.08</v>
      </c>
      <c r="I34" s="148">
        <v>0.15</v>
      </c>
      <c r="J34" s="143">
        <f t="shared" si="2"/>
        <v>227760</v>
      </c>
      <c r="K34" s="146">
        <f t="shared" si="3"/>
        <v>2135250</v>
      </c>
      <c r="L34" s="147">
        <f>(J34*F34)+(K34*G34)+E34</f>
        <v>30808020</v>
      </c>
      <c r="M34" s="125"/>
      <c r="N34" s="126"/>
      <c r="O34" s="127"/>
      <c r="P34" s="123"/>
    </row>
    <row r="35" spans="3:16" ht="18" x14ac:dyDescent="0.25">
      <c r="C35" s="141" t="s">
        <v>66</v>
      </c>
      <c r="D35" s="142" t="s">
        <v>270</v>
      </c>
      <c r="E35" s="143">
        <v>4800000</v>
      </c>
      <c r="F35" s="141">
        <v>8</v>
      </c>
      <c r="G35" s="141">
        <v>16</v>
      </c>
      <c r="H35" s="148">
        <v>0.05</v>
      </c>
      <c r="I35" s="148">
        <v>0.1</v>
      </c>
      <c r="J35" s="143">
        <f t="shared" si="2"/>
        <v>569400</v>
      </c>
      <c r="K35" s="146">
        <f t="shared" si="3"/>
        <v>2277600</v>
      </c>
      <c r="L35" s="150">
        <f>+E35+J35+K35</f>
        <v>7647000</v>
      </c>
      <c r="M35" s="125"/>
      <c r="N35" s="126"/>
      <c r="O35" s="127"/>
      <c r="P35" s="123"/>
    </row>
    <row r="36" spans="3:16" ht="18" x14ac:dyDescent="0.25">
      <c r="C36" s="141" t="s">
        <v>66</v>
      </c>
      <c r="D36" s="151" t="s">
        <v>16</v>
      </c>
      <c r="E36" s="143">
        <v>2251800</v>
      </c>
      <c r="F36" s="141">
        <v>18</v>
      </c>
      <c r="G36" s="141">
        <v>0</v>
      </c>
      <c r="H36" s="148">
        <v>0.05</v>
      </c>
      <c r="I36" s="148">
        <v>0</v>
      </c>
      <c r="J36" s="143">
        <f t="shared" si="2"/>
        <v>1281150</v>
      </c>
      <c r="K36" s="146">
        <f t="shared" si="3"/>
        <v>0</v>
      </c>
      <c r="L36" s="150">
        <f>+E36+J36+K36</f>
        <v>3532950</v>
      </c>
      <c r="M36" s="125"/>
      <c r="N36" s="126"/>
      <c r="O36" s="127"/>
      <c r="P36" s="123"/>
    </row>
    <row r="37" spans="3:16" ht="18" x14ac:dyDescent="0.25">
      <c r="C37" s="141" t="s">
        <v>66</v>
      </c>
      <c r="D37" s="142" t="s">
        <v>17</v>
      </c>
      <c r="E37" s="143">
        <v>2700000</v>
      </c>
      <c r="F37" s="141">
        <v>9</v>
      </c>
      <c r="G37" s="141">
        <v>9</v>
      </c>
      <c r="H37" s="148">
        <v>0.05</v>
      </c>
      <c r="I37" s="148">
        <v>0.1</v>
      </c>
      <c r="J37" s="143">
        <f t="shared" si="2"/>
        <v>640575</v>
      </c>
      <c r="K37" s="146">
        <f t="shared" si="3"/>
        <v>1281150</v>
      </c>
      <c r="L37" s="150">
        <f>+E37+J37+K37</f>
        <v>4621725</v>
      </c>
      <c r="M37" s="125"/>
      <c r="N37" s="126"/>
      <c r="O37" s="127"/>
      <c r="P37" s="123"/>
    </row>
    <row r="38" spans="3:16" ht="18" x14ac:dyDescent="0.25">
      <c r="C38" s="141" t="s">
        <v>66</v>
      </c>
      <c r="D38" s="142" t="s">
        <v>24</v>
      </c>
      <c r="E38" s="143">
        <v>2880000</v>
      </c>
      <c r="F38" s="141"/>
      <c r="G38" s="141">
        <v>10</v>
      </c>
      <c r="H38" s="148">
        <v>0.08</v>
      </c>
      <c r="I38" s="148">
        <v>0.15</v>
      </c>
      <c r="J38" s="143">
        <f t="shared" si="2"/>
        <v>0</v>
      </c>
      <c r="K38" s="146">
        <f t="shared" si="3"/>
        <v>2135250</v>
      </c>
      <c r="L38" s="147">
        <f>(J38*F38)+(K38*G38)+E38</f>
        <v>24232500</v>
      </c>
      <c r="M38" s="125"/>
      <c r="N38" s="126"/>
      <c r="O38" s="127"/>
      <c r="P38" s="123"/>
    </row>
    <row r="39" spans="3:16" ht="18" x14ac:dyDescent="0.25">
      <c r="C39" s="141" t="s">
        <v>66</v>
      </c>
      <c r="D39" s="142" t="s">
        <v>28</v>
      </c>
      <c r="E39" s="143">
        <v>1900000</v>
      </c>
      <c r="F39" s="141">
        <v>16</v>
      </c>
      <c r="G39" s="141">
        <v>0</v>
      </c>
      <c r="H39" s="148">
        <v>0.05</v>
      </c>
      <c r="I39" s="148">
        <v>0</v>
      </c>
      <c r="J39" s="143">
        <f t="shared" si="2"/>
        <v>1138800</v>
      </c>
      <c r="K39" s="146">
        <f t="shared" si="3"/>
        <v>0</v>
      </c>
      <c r="L39" s="150">
        <f t="shared" ref="L39:L61" si="4">+E39+J39+K39</f>
        <v>3038800</v>
      </c>
      <c r="M39" s="125"/>
      <c r="N39" s="126"/>
      <c r="O39" s="127"/>
      <c r="P39" s="123"/>
    </row>
    <row r="40" spans="3:16" ht="18" x14ac:dyDescent="0.25">
      <c r="C40" s="141" t="s">
        <v>66</v>
      </c>
      <c r="D40" s="142" t="s">
        <v>271</v>
      </c>
      <c r="E40" s="143">
        <v>2700000</v>
      </c>
      <c r="F40" s="141">
        <v>7</v>
      </c>
      <c r="G40" s="141">
        <v>14</v>
      </c>
      <c r="H40" s="148">
        <v>0.05</v>
      </c>
      <c r="I40" s="148">
        <v>0.1</v>
      </c>
      <c r="J40" s="143">
        <f t="shared" si="2"/>
        <v>498225</v>
      </c>
      <c r="K40" s="146">
        <f t="shared" si="3"/>
        <v>1992900</v>
      </c>
      <c r="L40" s="147">
        <f t="shared" si="4"/>
        <v>5191125</v>
      </c>
      <c r="M40" s="125"/>
      <c r="N40" s="126"/>
      <c r="O40" s="127"/>
      <c r="P40" s="123"/>
    </row>
    <row r="41" spans="3:16" ht="18" x14ac:dyDescent="0.25">
      <c r="C41" s="141" t="s">
        <v>66</v>
      </c>
      <c r="D41" s="141" t="s">
        <v>30</v>
      </c>
      <c r="E41" s="143">
        <v>5000000</v>
      </c>
      <c r="F41" s="141">
        <v>7</v>
      </c>
      <c r="G41" s="141">
        <v>14</v>
      </c>
      <c r="H41" s="148">
        <v>0.05</v>
      </c>
      <c r="I41" s="148">
        <v>0.15</v>
      </c>
      <c r="J41" s="143">
        <f t="shared" si="2"/>
        <v>498225</v>
      </c>
      <c r="K41" s="146">
        <f t="shared" si="3"/>
        <v>2989350</v>
      </c>
      <c r="L41" s="150">
        <f t="shared" si="4"/>
        <v>8487575</v>
      </c>
      <c r="M41" s="125"/>
      <c r="N41" s="126"/>
      <c r="O41" s="127"/>
      <c r="P41" s="123"/>
    </row>
    <row r="42" spans="3:16" ht="18" x14ac:dyDescent="0.25">
      <c r="C42" s="141" t="s">
        <v>68</v>
      </c>
      <c r="D42" s="142" t="s">
        <v>5</v>
      </c>
      <c r="E42" s="143">
        <v>2600000</v>
      </c>
      <c r="F42" s="141">
        <v>10</v>
      </c>
      <c r="G42" s="141">
        <v>10</v>
      </c>
      <c r="H42" s="145">
        <v>0.05</v>
      </c>
      <c r="I42" s="145">
        <v>0.1</v>
      </c>
      <c r="J42" s="143">
        <f t="shared" si="2"/>
        <v>711750</v>
      </c>
      <c r="K42" s="146">
        <f t="shared" si="3"/>
        <v>1423500</v>
      </c>
      <c r="L42" s="150">
        <f t="shared" si="4"/>
        <v>4735250</v>
      </c>
      <c r="M42" s="129"/>
      <c r="N42" s="126"/>
      <c r="O42" s="127"/>
      <c r="P42" s="123"/>
    </row>
    <row r="43" spans="3:16" ht="18" x14ac:dyDescent="0.25">
      <c r="C43" s="141" t="s">
        <v>68</v>
      </c>
      <c r="D43" s="142" t="s">
        <v>7</v>
      </c>
      <c r="E43" s="143">
        <v>4403000</v>
      </c>
      <c r="F43" s="141">
        <v>30</v>
      </c>
      <c r="G43" s="141">
        <v>0</v>
      </c>
      <c r="H43" s="145">
        <v>0.05</v>
      </c>
      <c r="I43" s="145">
        <v>0</v>
      </c>
      <c r="J43" s="143">
        <f t="shared" si="2"/>
        <v>2135250</v>
      </c>
      <c r="K43" s="146">
        <f t="shared" si="3"/>
        <v>0</v>
      </c>
      <c r="L43" s="150">
        <f t="shared" si="4"/>
        <v>6538250</v>
      </c>
      <c r="M43" s="125"/>
      <c r="N43" s="126"/>
      <c r="O43" s="127"/>
      <c r="P43" s="123"/>
    </row>
    <row r="44" spans="3:16" ht="18" x14ac:dyDescent="0.25">
      <c r="C44" s="141" t="s">
        <v>68</v>
      </c>
      <c r="D44" s="142" t="s">
        <v>8</v>
      </c>
      <c r="E44" s="143">
        <v>2634150</v>
      </c>
      <c r="F44" s="141">
        <v>9</v>
      </c>
      <c r="G44" s="141">
        <v>9</v>
      </c>
      <c r="H44" s="145">
        <v>0.05</v>
      </c>
      <c r="I44" s="145">
        <v>0.1</v>
      </c>
      <c r="J44" s="143">
        <f t="shared" si="2"/>
        <v>640575</v>
      </c>
      <c r="K44" s="146">
        <f t="shared" si="3"/>
        <v>1281150</v>
      </c>
      <c r="L44" s="150">
        <f t="shared" si="4"/>
        <v>4555875</v>
      </c>
      <c r="M44" s="125"/>
      <c r="N44" s="126"/>
      <c r="O44" s="127"/>
      <c r="P44" s="123"/>
    </row>
    <row r="45" spans="3:16" ht="18" x14ac:dyDescent="0.25">
      <c r="C45" s="152" t="s">
        <v>68</v>
      </c>
      <c r="D45" s="142" t="s">
        <v>9</v>
      </c>
      <c r="E45" s="143">
        <v>3000000</v>
      </c>
      <c r="F45" s="141">
        <v>10</v>
      </c>
      <c r="G45" s="141">
        <v>10</v>
      </c>
      <c r="H45" s="145">
        <v>0.05</v>
      </c>
      <c r="I45" s="145">
        <v>0.1</v>
      </c>
      <c r="J45" s="143">
        <f t="shared" si="2"/>
        <v>711750</v>
      </c>
      <c r="K45" s="146">
        <f t="shared" si="3"/>
        <v>1423500</v>
      </c>
      <c r="L45" s="147">
        <f t="shared" si="4"/>
        <v>5135250</v>
      </c>
      <c r="M45" s="125"/>
      <c r="N45" s="126"/>
      <c r="O45" s="127"/>
      <c r="P45" s="123"/>
    </row>
    <row r="46" spans="3:16" ht="18" x14ac:dyDescent="0.25">
      <c r="C46" s="141" t="s">
        <v>68</v>
      </c>
      <c r="D46" s="142" t="s">
        <v>272</v>
      </c>
      <c r="E46" s="143">
        <v>1400000</v>
      </c>
      <c r="F46" s="141">
        <v>5</v>
      </c>
      <c r="G46" s="141">
        <v>5</v>
      </c>
      <c r="H46" s="145">
        <v>0.05</v>
      </c>
      <c r="I46" s="145">
        <v>0.1</v>
      </c>
      <c r="J46" s="143">
        <f t="shared" si="2"/>
        <v>355875</v>
      </c>
      <c r="K46" s="146">
        <f t="shared" si="3"/>
        <v>711750</v>
      </c>
      <c r="L46" s="150">
        <f t="shared" si="4"/>
        <v>2467625</v>
      </c>
      <c r="M46" s="125"/>
      <c r="N46" s="126"/>
      <c r="O46" s="127"/>
      <c r="P46" s="123"/>
    </row>
    <row r="47" spans="3:16" ht="18" x14ac:dyDescent="0.25">
      <c r="C47" s="141" t="s">
        <v>68</v>
      </c>
      <c r="D47" s="142" t="s">
        <v>273</v>
      </c>
      <c r="E47" s="143">
        <v>2600000</v>
      </c>
      <c r="F47" s="141">
        <v>6</v>
      </c>
      <c r="G47" s="141">
        <v>10</v>
      </c>
      <c r="H47" s="145">
        <v>0.05</v>
      </c>
      <c r="I47" s="145">
        <v>0.1</v>
      </c>
      <c r="J47" s="143">
        <f t="shared" si="2"/>
        <v>427050</v>
      </c>
      <c r="K47" s="146">
        <f t="shared" si="3"/>
        <v>1423500</v>
      </c>
      <c r="L47" s="147">
        <f t="shared" si="4"/>
        <v>4450550</v>
      </c>
      <c r="M47" s="125"/>
      <c r="N47" s="126"/>
      <c r="O47" s="127"/>
      <c r="P47" s="123"/>
    </row>
    <row r="48" spans="3:16" ht="18" x14ac:dyDescent="0.25">
      <c r="C48" s="141" t="s">
        <v>68</v>
      </c>
      <c r="D48" s="142" t="s">
        <v>22</v>
      </c>
      <c r="E48" s="143">
        <v>1000000</v>
      </c>
      <c r="F48" s="141">
        <v>6</v>
      </c>
      <c r="G48" s="141">
        <v>6</v>
      </c>
      <c r="H48" s="145">
        <v>0.05</v>
      </c>
      <c r="I48" s="145">
        <v>0.1</v>
      </c>
      <c r="J48" s="143">
        <f t="shared" si="2"/>
        <v>427050</v>
      </c>
      <c r="K48" s="146">
        <f t="shared" si="3"/>
        <v>854100</v>
      </c>
      <c r="L48" s="147">
        <f t="shared" si="4"/>
        <v>2281150</v>
      </c>
      <c r="M48" s="125"/>
      <c r="N48" s="126"/>
      <c r="O48" s="127"/>
      <c r="P48" s="123"/>
    </row>
    <row r="49" spans="3:16" ht="18" x14ac:dyDescent="0.25">
      <c r="C49" s="141" t="s">
        <v>68</v>
      </c>
      <c r="D49" s="142" t="s">
        <v>26</v>
      </c>
      <c r="E49" s="143">
        <v>2700000</v>
      </c>
      <c r="F49" s="141">
        <v>22</v>
      </c>
      <c r="G49" s="141">
        <v>0</v>
      </c>
      <c r="H49" s="145">
        <v>0.05</v>
      </c>
      <c r="I49" s="145">
        <v>0</v>
      </c>
      <c r="J49" s="143">
        <f t="shared" si="2"/>
        <v>1565850</v>
      </c>
      <c r="K49" s="146">
        <f t="shared" si="3"/>
        <v>0</v>
      </c>
      <c r="L49" s="150">
        <f t="shared" si="4"/>
        <v>4265850</v>
      </c>
      <c r="M49" s="125"/>
      <c r="N49" s="126"/>
      <c r="O49" s="127"/>
      <c r="P49" s="123"/>
    </row>
    <row r="50" spans="3:16" ht="18" x14ac:dyDescent="0.25">
      <c r="C50" s="141" t="s">
        <v>68</v>
      </c>
      <c r="D50" s="142" t="s">
        <v>274</v>
      </c>
      <c r="E50" s="153">
        <v>4900000</v>
      </c>
      <c r="F50" s="141">
        <v>30</v>
      </c>
      <c r="G50" s="154">
        <v>15</v>
      </c>
      <c r="H50" s="155">
        <v>0.05</v>
      </c>
      <c r="I50" s="155">
        <v>0.15</v>
      </c>
      <c r="J50" s="143">
        <f t="shared" si="2"/>
        <v>2135250</v>
      </c>
      <c r="K50" s="146">
        <f t="shared" si="3"/>
        <v>3202875</v>
      </c>
      <c r="L50" s="147">
        <f t="shared" si="4"/>
        <v>10238125</v>
      </c>
      <c r="M50" s="125"/>
      <c r="N50" s="126"/>
      <c r="O50" s="127"/>
      <c r="P50" s="123"/>
    </row>
    <row r="51" spans="3:16" ht="18" x14ac:dyDescent="0.25">
      <c r="C51" s="141" t="s">
        <v>68</v>
      </c>
      <c r="D51" s="142" t="s">
        <v>33</v>
      </c>
      <c r="E51" s="143">
        <v>3500000</v>
      </c>
      <c r="F51" s="141">
        <v>10</v>
      </c>
      <c r="G51" s="141">
        <v>10</v>
      </c>
      <c r="H51" s="145">
        <v>0.05</v>
      </c>
      <c r="I51" s="145">
        <v>0.1</v>
      </c>
      <c r="J51" s="143">
        <f t="shared" si="2"/>
        <v>711750</v>
      </c>
      <c r="K51" s="146">
        <f t="shared" si="3"/>
        <v>1423500</v>
      </c>
      <c r="L51" s="150">
        <f t="shared" si="4"/>
        <v>5635250</v>
      </c>
      <c r="M51" s="125"/>
      <c r="N51" s="126"/>
      <c r="O51" s="127"/>
      <c r="P51" s="123"/>
    </row>
    <row r="52" spans="3:16" ht="18" x14ac:dyDescent="0.25">
      <c r="C52" s="141" t="s">
        <v>68</v>
      </c>
      <c r="D52" s="142" t="s">
        <v>275</v>
      </c>
      <c r="E52" s="143">
        <v>4000000</v>
      </c>
      <c r="F52" s="141">
        <v>8</v>
      </c>
      <c r="G52" s="141">
        <v>16</v>
      </c>
      <c r="H52" s="145">
        <v>0.05</v>
      </c>
      <c r="I52" s="145">
        <v>0.1</v>
      </c>
      <c r="J52" s="143">
        <f t="shared" si="2"/>
        <v>569400</v>
      </c>
      <c r="K52" s="146">
        <f t="shared" si="3"/>
        <v>2277600</v>
      </c>
      <c r="L52" s="147">
        <f t="shared" si="4"/>
        <v>6847000</v>
      </c>
      <c r="M52" s="125"/>
      <c r="N52" s="126"/>
      <c r="O52" s="127"/>
      <c r="P52" s="123"/>
    </row>
    <row r="53" spans="3:16" ht="18" x14ac:dyDescent="0.25">
      <c r="C53" s="141" t="s">
        <v>68</v>
      </c>
      <c r="D53" s="156" t="s">
        <v>38</v>
      </c>
      <c r="E53" s="143">
        <v>950000</v>
      </c>
      <c r="F53" s="141">
        <v>8</v>
      </c>
      <c r="G53" s="141">
        <v>0</v>
      </c>
      <c r="H53" s="145">
        <v>0.05</v>
      </c>
      <c r="I53" s="145">
        <v>0</v>
      </c>
      <c r="J53" s="143">
        <f t="shared" si="2"/>
        <v>569400</v>
      </c>
      <c r="K53" s="146">
        <f t="shared" si="3"/>
        <v>0</v>
      </c>
      <c r="L53" s="150">
        <f t="shared" si="4"/>
        <v>1519400</v>
      </c>
      <c r="M53" s="125"/>
      <c r="N53" s="126"/>
      <c r="O53" s="127"/>
      <c r="P53" s="123"/>
    </row>
    <row r="54" spans="3:16" ht="18" x14ac:dyDescent="0.25">
      <c r="C54" s="141" t="s">
        <v>70</v>
      </c>
      <c r="D54" s="142" t="s">
        <v>276</v>
      </c>
      <c r="E54" s="143">
        <v>3800000</v>
      </c>
      <c r="F54" s="141">
        <v>10</v>
      </c>
      <c r="G54" s="141">
        <v>16</v>
      </c>
      <c r="H54" s="148">
        <v>0.05</v>
      </c>
      <c r="I54" s="148">
        <v>0.1</v>
      </c>
      <c r="J54" s="143">
        <f t="shared" si="2"/>
        <v>711750</v>
      </c>
      <c r="K54" s="146">
        <f t="shared" si="3"/>
        <v>2277600</v>
      </c>
      <c r="L54" s="147">
        <f t="shared" si="4"/>
        <v>6789350</v>
      </c>
      <c r="M54" s="125"/>
      <c r="N54" s="126"/>
      <c r="O54" s="127"/>
      <c r="P54" s="123"/>
    </row>
    <row r="55" spans="3:16" ht="18" x14ac:dyDescent="0.25">
      <c r="C55" s="141" t="s">
        <v>70</v>
      </c>
      <c r="D55" s="142" t="s">
        <v>15</v>
      </c>
      <c r="E55" s="143">
        <v>2900000</v>
      </c>
      <c r="F55" s="141">
        <v>10</v>
      </c>
      <c r="G55" s="141">
        <v>10</v>
      </c>
      <c r="H55" s="145">
        <v>0.05</v>
      </c>
      <c r="I55" s="145">
        <v>0.1</v>
      </c>
      <c r="J55" s="143">
        <f t="shared" si="2"/>
        <v>711750</v>
      </c>
      <c r="K55" s="146">
        <f t="shared" si="3"/>
        <v>1423500</v>
      </c>
      <c r="L55" s="147">
        <f t="shared" si="4"/>
        <v>5035250</v>
      </c>
      <c r="M55" s="125"/>
      <c r="N55" s="126"/>
      <c r="O55" s="127"/>
      <c r="P55" s="123"/>
    </row>
    <row r="56" spans="3:16" ht="18" x14ac:dyDescent="0.25">
      <c r="C56" s="141" t="s">
        <v>70</v>
      </c>
      <c r="D56" s="142" t="s">
        <v>23</v>
      </c>
      <c r="E56" s="143">
        <v>6092465</v>
      </c>
      <c r="F56" s="141">
        <v>10</v>
      </c>
      <c r="G56" s="141">
        <v>20</v>
      </c>
      <c r="H56" s="148">
        <v>0.05</v>
      </c>
      <c r="I56" s="148">
        <v>0.1</v>
      </c>
      <c r="J56" s="143">
        <f t="shared" si="2"/>
        <v>711750</v>
      </c>
      <c r="K56" s="146">
        <f t="shared" si="3"/>
        <v>2847000</v>
      </c>
      <c r="L56" s="147">
        <f t="shared" si="4"/>
        <v>9651215</v>
      </c>
      <c r="M56" s="125"/>
      <c r="N56" s="126"/>
      <c r="O56" s="127"/>
      <c r="P56" s="123"/>
    </row>
    <row r="57" spans="3:16" ht="18" x14ac:dyDescent="0.25">
      <c r="C57" s="141" t="s">
        <v>70</v>
      </c>
      <c r="D57" s="142" t="s">
        <v>277</v>
      </c>
      <c r="E57" s="143">
        <v>1200000</v>
      </c>
      <c r="F57" s="141">
        <v>10</v>
      </c>
      <c r="G57" s="141">
        <v>0</v>
      </c>
      <c r="H57" s="148">
        <v>0.05</v>
      </c>
      <c r="I57" s="148">
        <v>0</v>
      </c>
      <c r="J57" s="143">
        <f t="shared" si="2"/>
        <v>711750</v>
      </c>
      <c r="K57" s="146">
        <f t="shared" si="3"/>
        <v>0</v>
      </c>
      <c r="L57" s="147">
        <f t="shared" si="4"/>
        <v>1911750</v>
      </c>
      <c r="M57" s="125"/>
      <c r="N57" s="126"/>
      <c r="O57" s="127"/>
      <c r="P57" s="123"/>
    </row>
    <row r="58" spans="3:16" ht="18" x14ac:dyDescent="0.25">
      <c r="C58" s="141" t="s">
        <v>67</v>
      </c>
      <c r="D58" s="142" t="s">
        <v>2</v>
      </c>
      <c r="E58" s="143">
        <v>3900000</v>
      </c>
      <c r="F58" s="141">
        <v>10</v>
      </c>
      <c r="G58" s="141">
        <v>16</v>
      </c>
      <c r="H58" s="148">
        <v>0.05</v>
      </c>
      <c r="I58" s="148">
        <v>0.1</v>
      </c>
      <c r="J58" s="143">
        <f t="shared" si="2"/>
        <v>711750</v>
      </c>
      <c r="K58" s="146">
        <f t="shared" si="3"/>
        <v>2277600</v>
      </c>
      <c r="L58" s="147">
        <f t="shared" si="4"/>
        <v>6889350</v>
      </c>
      <c r="M58" s="125"/>
      <c r="N58" s="126"/>
      <c r="O58" s="127"/>
      <c r="P58" s="123"/>
    </row>
    <row r="59" spans="3:16" ht="18" x14ac:dyDescent="0.25">
      <c r="C59" s="141" t="s">
        <v>67</v>
      </c>
      <c r="D59" s="142" t="s">
        <v>3</v>
      </c>
      <c r="E59" s="143">
        <v>3000000</v>
      </c>
      <c r="F59" s="141">
        <v>7</v>
      </c>
      <c r="G59" s="141">
        <v>14</v>
      </c>
      <c r="H59" s="148">
        <v>0.05</v>
      </c>
      <c r="I59" s="148">
        <v>0.1</v>
      </c>
      <c r="J59" s="143">
        <f t="shared" si="2"/>
        <v>498225</v>
      </c>
      <c r="K59" s="146">
        <f t="shared" si="3"/>
        <v>1992900</v>
      </c>
      <c r="L59" s="147">
        <f t="shared" si="4"/>
        <v>5491125</v>
      </c>
      <c r="M59" s="125"/>
      <c r="N59" s="126"/>
      <c r="O59" s="127"/>
      <c r="P59" s="123"/>
    </row>
    <row r="60" spans="3:16" ht="18" x14ac:dyDescent="0.25">
      <c r="C60" s="141" t="s">
        <v>67</v>
      </c>
      <c r="D60" s="142" t="s">
        <v>4</v>
      </c>
      <c r="E60" s="143">
        <v>4800000</v>
      </c>
      <c r="F60" s="141">
        <v>15</v>
      </c>
      <c r="G60" s="141">
        <v>18</v>
      </c>
      <c r="H60" s="148">
        <v>0.05</v>
      </c>
      <c r="I60" s="148">
        <v>0.1</v>
      </c>
      <c r="J60" s="143">
        <f t="shared" si="2"/>
        <v>1067625</v>
      </c>
      <c r="K60" s="146">
        <f t="shared" si="3"/>
        <v>2562300</v>
      </c>
      <c r="L60" s="147">
        <f t="shared" si="4"/>
        <v>8429925</v>
      </c>
      <c r="M60" s="125"/>
      <c r="N60" s="126"/>
      <c r="O60" s="127"/>
      <c r="P60" s="123"/>
    </row>
    <row r="61" spans="3:16" ht="18" x14ac:dyDescent="0.25">
      <c r="C61" s="157" t="s">
        <v>67</v>
      </c>
      <c r="D61" s="142" t="s">
        <v>11</v>
      </c>
      <c r="E61" s="143">
        <v>1200000</v>
      </c>
      <c r="F61" s="141">
        <v>5</v>
      </c>
      <c r="G61" s="141">
        <v>5</v>
      </c>
      <c r="H61" s="148">
        <v>0.05</v>
      </c>
      <c r="I61" s="148">
        <v>0.1</v>
      </c>
      <c r="J61" s="143">
        <f t="shared" si="2"/>
        <v>355875</v>
      </c>
      <c r="K61" s="146">
        <f t="shared" si="3"/>
        <v>711750</v>
      </c>
      <c r="L61" s="150">
        <f t="shared" si="4"/>
        <v>2267625</v>
      </c>
      <c r="M61" s="125"/>
      <c r="N61" s="126"/>
      <c r="O61" s="127"/>
      <c r="P61" s="123"/>
    </row>
    <row r="62" spans="3:16" ht="18" x14ac:dyDescent="0.25">
      <c r="C62" s="141" t="s">
        <v>67</v>
      </c>
      <c r="D62" s="142" t="s">
        <v>19</v>
      </c>
      <c r="E62" s="143">
        <v>3200000</v>
      </c>
      <c r="F62" s="141">
        <v>20</v>
      </c>
      <c r="G62" s="141"/>
      <c r="H62" s="148">
        <v>0.05</v>
      </c>
      <c r="I62" s="148">
        <v>0</v>
      </c>
      <c r="J62" s="143">
        <f t="shared" si="2"/>
        <v>1423500</v>
      </c>
      <c r="K62" s="146">
        <f t="shared" si="3"/>
        <v>0</v>
      </c>
      <c r="L62" s="147">
        <f>(J62*F62)+(K62*G62)+E62</f>
        <v>31670000</v>
      </c>
      <c r="M62" s="125"/>
      <c r="N62" s="126"/>
      <c r="O62" s="127"/>
      <c r="P62" s="123"/>
    </row>
    <row r="63" spans="3:16" ht="15.75" x14ac:dyDescent="0.25">
      <c r="C63" s="141" t="s">
        <v>67</v>
      </c>
      <c r="D63" s="142" t="s">
        <v>278</v>
      </c>
      <c r="E63" s="153">
        <v>4800000</v>
      </c>
      <c r="F63" s="141">
        <v>40</v>
      </c>
      <c r="G63" s="154">
        <v>0</v>
      </c>
      <c r="H63" s="158">
        <v>0.05</v>
      </c>
      <c r="I63" s="158">
        <v>0</v>
      </c>
      <c r="J63" s="143">
        <f t="shared" si="2"/>
        <v>2847000</v>
      </c>
      <c r="K63" s="146">
        <f t="shared" si="3"/>
        <v>0</v>
      </c>
      <c r="L63" s="147">
        <f>+E63+J63+K63</f>
        <v>7647000</v>
      </c>
      <c r="M63" s="130"/>
      <c r="O63" s="131"/>
    </row>
    <row r="64" spans="3:16" x14ac:dyDescent="0.25">
      <c r="C64" s="141" t="s">
        <v>67</v>
      </c>
      <c r="D64" s="142" t="s">
        <v>34</v>
      </c>
      <c r="E64" s="143">
        <v>2200000</v>
      </c>
      <c r="F64" s="141">
        <v>6</v>
      </c>
      <c r="G64" s="141">
        <v>6</v>
      </c>
      <c r="H64" s="148">
        <v>0.05</v>
      </c>
      <c r="I64" s="148">
        <v>0.1</v>
      </c>
      <c r="J64" s="143">
        <f t="shared" si="2"/>
        <v>427050</v>
      </c>
      <c r="K64" s="146">
        <f t="shared" si="3"/>
        <v>854100</v>
      </c>
      <c r="L64" s="150">
        <f>+E64+J64+K64</f>
        <v>3481150</v>
      </c>
      <c r="M64" s="132"/>
    </row>
    <row r="65" spans="3:12" x14ac:dyDescent="0.25">
      <c r="C65" s="159"/>
      <c r="D65" s="160"/>
      <c r="E65" s="160"/>
      <c r="F65" s="160"/>
      <c r="G65" s="160"/>
      <c r="H65" s="160"/>
      <c r="I65" s="161"/>
      <c r="J65" s="279" t="s">
        <v>81</v>
      </c>
      <c r="K65" s="280"/>
      <c r="L65" s="162">
        <f>SUM(L24:L64)</f>
        <v>345971100</v>
      </c>
    </row>
    <row r="66" spans="3:12" x14ac:dyDescent="0.25">
      <c r="C66" s="281" t="s">
        <v>279</v>
      </c>
      <c r="D66" s="282"/>
      <c r="E66" s="163">
        <f>SUM(E24:E64)</f>
        <v>152645565</v>
      </c>
      <c r="F66" s="283" t="s">
        <v>280</v>
      </c>
      <c r="G66" s="283"/>
      <c r="H66" s="283"/>
      <c r="I66" s="164">
        <f>+L65-E66</f>
        <v>193325535</v>
      </c>
      <c r="J66" s="165"/>
      <c r="K66" s="165"/>
      <c r="L66" s="166"/>
    </row>
  </sheetData>
  <autoFilter ref="C22:P22" xr:uid="{00000000-0001-0000-0400-000000000000}"/>
  <mergeCells count="10">
    <mergeCell ref="J65:K65"/>
    <mergeCell ref="C20:L20"/>
    <mergeCell ref="C19:L19"/>
    <mergeCell ref="C21:L21"/>
    <mergeCell ref="E22:L22"/>
    <mergeCell ref="C2:H2"/>
    <mergeCell ref="C4:C10"/>
    <mergeCell ref="C11:C15"/>
    <mergeCell ref="C66:D66"/>
    <mergeCell ref="F66:H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PRESUPUESTO </vt:lpstr>
      <vt:lpstr>1,1 SUMINISTRAR COM. PRE UNI. </vt:lpstr>
      <vt:lpstr>1,1COMPLPORZONA</vt:lpstr>
      <vt:lpstr>1,2 SUMINISTRAR CANASTA R.E </vt:lpstr>
      <vt:lpstr>1.3 SEGUMIENTO MyC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Jose</cp:lastModifiedBy>
  <cp:lastPrinted>2025-10-01T22:10:13Z</cp:lastPrinted>
  <dcterms:created xsi:type="dcterms:W3CDTF">2019-04-22T22:35:29Z</dcterms:created>
  <dcterms:modified xsi:type="dcterms:W3CDTF">2025-10-13T04:09:32Z</dcterms:modified>
</cp:coreProperties>
</file>