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9"/>
  <workbookPr/>
  <mc:AlternateContent xmlns:mc="http://schemas.openxmlformats.org/markup-compatibility/2006">
    <mc:Choice Requires="x15">
      <x15ac:absPath xmlns:x15ac="http://schemas.microsoft.com/office/spreadsheetml/2010/11/ac" url="D:\MATERIAL ICA\MANTENIMIENTO DE EQUIPOS DE LABORATORIOS\Nueva carpeta\POR TERMINAR\PROCESOS 2025\SELECCION ABREVIADA MENOR CUANTIA\CARAC AGUAS RESIDUALES\nuevo\"/>
    </mc:Choice>
  </mc:AlternateContent>
  <xr:revisionPtr revIDLastSave="1" documentId="11_773B877E84615BBBA26BAE95A4744F327B9C4935" xr6:coauthVersionLast="47" xr6:coauthVersionMax="47" xr10:uidLastSave="{9A03359E-9989-4890-A3A3-A138CAC9EAD5}"/>
  <bookViews>
    <workbookView xWindow="0" yWindow="0" windowWidth="20490" windowHeight="7530" xr2:uid="{00000000-000D-0000-FFFF-FFFF00000000}"/>
  </bookViews>
  <sheets>
    <sheet name="EM Caracterizacion Aguas (2)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2" l="1"/>
  <c r="K30" i="2" l="1"/>
  <c r="J32" i="2" l="1"/>
  <c r="J33" i="2"/>
  <c r="J35" i="2"/>
  <c r="K35" i="2" s="1"/>
  <c r="L35" i="2" s="1"/>
  <c r="M35" i="2" s="1"/>
  <c r="J31" i="2"/>
  <c r="K31" i="2" s="1"/>
  <c r="L31" i="2" s="1"/>
  <c r="M31" i="2" s="1"/>
  <c r="J29" i="2"/>
  <c r="J27" i="2"/>
  <c r="J26" i="2"/>
  <c r="K26" i="2" s="1"/>
  <c r="L26" i="2" s="1"/>
  <c r="M26" i="2" s="1"/>
  <c r="J24" i="2"/>
  <c r="K24" i="2" s="1"/>
  <c r="L24" i="2" s="1"/>
  <c r="M24" i="2" s="1"/>
  <c r="J22" i="2"/>
  <c r="K22" i="2" s="1"/>
  <c r="L22" i="2" s="1"/>
  <c r="M22" i="2" s="1"/>
  <c r="J21" i="2"/>
  <c r="K21" i="2" s="1"/>
  <c r="L21" i="2" s="1"/>
  <c r="M21" i="2" s="1"/>
  <c r="J20" i="2"/>
  <c r="K20" i="2" s="1"/>
  <c r="L20" i="2" s="1"/>
  <c r="M20" i="2" s="1"/>
  <c r="J16" i="2"/>
  <c r="K16" i="2" s="1"/>
  <c r="L16" i="2" s="1"/>
  <c r="M16" i="2" s="1"/>
  <c r="J15" i="2"/>
  <c r="K15" i="2" s="1"/>
  <c r="L15" i="2" s="1"/>
  <c r="M15" i="2" s="1"/>
  <c r="J10" i="2"/>
  <c r="K10" i="2" s="1"/>
  <c r="L10" i="2" s="1"/>
  <c r="M10" i="2" s="1"/>
  <c r="J8" i="2"/>
  <c r="K8" i="2" s="1"/>
  <c r="L8" i="2" s="1"/>
  <c r="M8" i="2" s="1"/>
  <c r="J5" i="2"/>
  <c r="K5" i="2" s="1"/>
  <c r="L5" i="2" s="1"/>
  <c r="M5" i="2" s="1"/>
  <c r="L30" i="2"/>
  <c r="O41" i="2"/>
  <c r="P41" i="2" s="1"/>
  <c r="Q41" i="2" s="1"/>
  <c r="P40" i="2"/>
  <c r="O6" i="2"/>
  <c r="P6" i="2" s="1"/>
  <c r="Q6" i="2" s="1"/>
  <c r="O7" i="2"/>
  <c r="P7" i="2" s="1"/>
  <c r="Q7" i="2" s="1"/>
  <c r="O8" i="2"/>
  <c r="P8" i="2" s="1"/>
  <c r="Q8" i="2" s="1"/>
  <c r="O9" i="2"/>
  <c r="P9" i="2" s="1"/>
  <c r="Q9" i="2" s="1"/>
  <c r="O10" i="2"/>
  <c r="P10" i="2" s="1"/>
  <c r="Q10" i="2" s="1"/>
  <c r="O11" i="2"/>
  <c r="P11" i="2" s="1"/>
  <c r="Q11" i="2" s="1"/>
  <c r="O12" i="2"/>
  <c r="P12" i="2" s="1"/>
  <c r="Q12" i="2" s="1"/>
  <c r="O13" i="2"/>
  <c r="P13" i="2" s="1"/>
  <c r="Q13" i="2" s="1"/>
  <c r="O14" i="2"/>
  <c r="P14" i="2" s="1"/>
  <c r="Q14" i="2" s="1"/>
  <c r="O15" i="2"/>
  <c r="P15" i="2" s="1"/>
  <c r="Q15" i="2" s="1"/>
  <c r="O16" i="2"/>
  <c r="P16" i="2" s="1"/>
  <c r="Q16" i="2" s="1"/>
  <c r="O17" i="2"/>
  <c r="P17" i="2" s="1"/>
  <c r="Q17" i="2" s="1"/>
  <c r="O18" i="2"/>
  <c r="P18" i="2" s="1"/>
  <c r="Q18" i="2" s="1"/>
  <c r="O19" i="2"/>
  <c r="P19" i="2" s="1"/>
  <c r="Q19" i="2" s="1"/>
  <c r="O20" i="2"/>
  <c r="P20" i="2" s="1"/>
  <c r="Q20" i="2" s="1"/>
  <c r="O21" i="2"/>
  <c r="P21" i="2" s="1"/>
  <c r="Q21" i="2" s="1"/>
  <c r="O22" i="2"/>
  <c r="P22" i="2" s="1"/>
  <c r="Q22" i="2" s="1"/>
  <c r="O23" i="2"/>
  <c r="P23" i="2" s="1"/>
  <c r="Q23" i="2" s="1"/>
  <c r="O24" i="2"/>
  <c r="P24" i="2" s="1"/>
  <c r="Q24" i="2" s="1"/>
  <c r="O25" i="2"/>
  <c r="P25" i="2" s="1"/>
  <c r="Q25" i="2" s="1"/>
  <c r="O26" i="2"/>
  <c r="P26" i="2" s="1"/>
  <c r="Q26" i="2" s="1"/>
  <c r="O27" i="2"/>
  <c r="P27" i="2" s="1"/>
  <c r="Q27" i="2" s="1"/>
  <c r="O28" i="2"/>
  <c r="P28" i="2" s="1"/>
  <c r="Q28" i="2" s="1"/>
  <c r="O29" i="2"/>
  <c r="P29" i="2" s="1"/>
  <c r="Q29" i="2" s="1"/>
  <c r="O30" i="2"/>
  <c r="P30" i="2" s="1"/>
  <c r="Q30" i="2" s="1"/>
  <c r="O31" i="2"/>
  <c r="P31" i="2" s="1"/>
  <c r="Q31" i="2" s="1"/>
  <c r="O32" i="2"/>
  <c r="P32" i="2" s="1"/>
  <c r="Q32" i="2" s="1"/>
  <c r="O33" i="2"/>
  <c r="P33" i="2" s="1"/>
  <c r="Q33" i="2" s="1"/>
  <c r="O34" i="2"/>
  <c r="P34" i="2" s="1"/>
  <c r="Q34" i="2" s="1"/>
  <c r="O35" i="2"/>
  <c r="P35" i="2" s="1"/>
  <c r="Q35" i="2" s="1"/>
  <c r="O36" i="2"/>
  <c r="P36" i="2" s="1"/>
  <c r="Q36" i="2" s="1"/>
  <c r="O37" i="2"/>
  <c r="P37" i="2" s="1"/>
  <c r="Q37" i="2" s="1"/>
  <c r="O38" i="2"/>
  <c r="P38" i="2" s="1"/>
  <c r="Q38" i="2" s="1"/>
  <c r="O39" i="2"/>
  <c r="P39" i="2" s="1"/>
  <c r="Q39" i="2" s="1"/>
  <c r="O5" i="2"/>
  <c r="P5" i="2" s="1"/>
  <c r="Q5" i="2" s="1"/>
  <c r="K41" i="2"/>
  <c r="L41" i="2" s="1"/>
  <c r="M41" i="2" s="1"/>
  <c r="L40" i="2"/>
  <c r="K6" i="2"/>
  <c r="L6" i="2" s="1"/>
  <c r="M6" i="2" s="1"/>
  <c r="K7" i="2"/>
  <c r="L7" i="2" s="1"/>
  <c r="M7" i="2" s="1"/>
  <c r="K9" i="2"/>
  <c r="L9" i="2" s="1"/>
  <c r="M9" i="2" s="1"/>
  <c r="K11" i="2"/>
  <c r="L11" i="2" s="1"/>
  <c r="M11" i="2" s="1"/>
  <c r="K12" i="2"/>
  <c r="L12" i="2" s="1"/>
  <c r="M12" i="2" s="1"/>
  <c r="K13" i="2"/>
  <c r="L13" i="2" s="1"/>
  <c r="M13" i="2" s="1"/>
  <c r="K14" i="2"/>
  <c r="L14" i="2" s="1"/>
  <c r="M14" i="2" s="1"/>
  <c r="K17" i="2"/>
  <c r="L17" i="2" s="1"/>
  <c r="M17" i="2" s="1"/>
  <c r="K18" i="2"/>
  <c r="L18" i="2" s="1"/>
  <c r="M18" i="2" s="1"/>
  <c r="K19" i="2"/>
  <c r="L19" i="2" s="1"/>
  <c r="M19" i="2" s="1"/>
  <c r="K23" i="2"/>
  <c r="L23" i="2" s="1"/>
  <c r="M23" i="2" s="1"/>
  <c r="K25" i="2"/>
  <c r="L25" i="2" s="1"/>
  <c r="M25" i="2" s="1"/>
  <c r="K27" i="2"/>
  <c r="L27" i="2" s="1"/>
  <c r="M27" i="2" s="1"/>
  <c r="K28" i="2"/>
  <c r="L28" i="2" s="1"/>
  <c r="M28" i="2" s="1"/>
  <c r="K29" i="2"/>
  <c r="L29" i="2" s="1"/>
  <c r="M29" i="2" s="1"/>
  <c r="K32" i="2"/>
  <c r="L32" i="2" s="1"/>
  <c r="M32" i="2" s="1"/>
  <c r="K33" i="2"/>
  <c r="L33" i="2" s="1"/>
  <c r="M33" i="2" s="1"/>
  <c r="K34" i="2"/>
  <c r="L34" i="2" s="1"/>
  <c r="M34" i="2" s="1"/>
  <c r="K36" i="2"/>
  <c r="L36" i="2" s="1"/>
  <c r="M36" i="2" s="1"/>
  <c r="K37" i="2"/>
  <c r="L37" i="2" s="1"/>
  <c r="M37" i="2" s="1"/>
  <c r="K38" i="2"/>
  <c r="L38" i="2" s="1"/>
  <c r="M38" i="2" s="1"/>
  <c r="K39" i="2"/>
  <c r="L39" i="2" s="1"/>
  <c r="M39" i="2" s="1"/>
  <c r="G41" i="2"/>
  <c r="H41" i="2" s="1"/>
  <c r="U41" i="2" s="1"/>
  <c r="V41" i="2" s="1"/>
  <c r="W41" i="2" s="1"/>
  <c r="H40" i="2"/>
  <c r="G6" i="2"/>
  <c r="H6" i="2" s="1"/>
  <c r="G7" i="2"/>
  <c r="H7" i="2" s="1"/>
  <c r="G8" i="2"/>
  <c r="H8" i="2" s="1"/>
  <c r="U8" i="2" s="1"/>
  <c r="V8" i="2" s="1"/>
  <c r="W8" i="2" s="1"/>
  <c r="G9" i="2"/>
  <c r="H9" i="2" s="1"/>
  <c r="U9" i="2" s="1"/>
  <c r="V9" i="2" s="1"/>
  <c r="W9" i="2" s="1"/>
  <c r="G10" i="2"/>
  <c r="H10" i="2" s="1"/>
  <c r="G11" i="2"/>
  <c r="H11" i="2" s="1"/>
  <c r="G12" i="2"/>
  <c r="H12" i="2" s="1"/>
  <c r="U12" i="2" s="1"/>
  <c r="V12" i="2" s="1"/>
  <c r="W12" i="2" s="1"/>
  <c r="G13" i="2"/>
  <c r="H13" i="2" s="1"/>
  <c r="U13" i="2" s="1"/>
  <c r="V13" i="2" s="1"/>
  <c r="W13" i="2" s="1"/>
  <c r="G14" i="2"/>
  <c r="H14" i="2" s="1"/>
  <c r="G15" i="2"/>
  <c r="H15" i="2" s="1"/>
  <c r="U15" i="2" s="1"/>
  <c r="V15" i="2" s="1"/>
  <c r="W15" i="2" s="1"/>
  <c r="G16" i="2"/>
  <c r="H16" i="2" s="1"/>
  <c r="G17" i="2"/>
  <c r="H17" i="2" s="1"/>
  <c r="U17" i="2" s="1"/>
  <c r="V17" i="2" s="1"/>
  <c r="W17" i="2" s="1"/>
  <c r="G18" i="2"/>
  <c r="H18" i="2" s="1"/>
  <c r="G19" i="2"/>
  <c r="H19" i="2" s="1"/>
  <c r="U19" i="2" s="1"/>
  <c r="V19" i="2" s="1"/>
  <c r="W19" i="2" s="1"/>
  <c r="G20" i="2"/>
  <c r="H20" i="2" s="1"/>
  <c r="U20" i="2" s="1"/>
  <c r="V20" i="2" s="1"/>
  <c r="W20" i="2" s="1"/>
  <c r="G21" i="2"/>
  <c r="H21" i="2" s="1"/>
  <c r="U21" i="2" s="1"/>
  <c r="V21" i="2" s="1"/>
  <c r="W21" i="2" s="1"/>
  <c r="G22" i="2"/>
  <c r="H22" i="2" s="1"/>
  <c r="G23" i="2"/>
  <c r="H23" i="2" s="1"/>
  <c r="U23" i="2" s="1"/>
  <c r="V23" i="2" s="1"/>
  <c r="W23" i="2" s="1"/>
  <c r="G24" i="2"/>
  <c r="H24" i="2" s="1"/>
  <c r="G25" i="2"/>
  <c r="H25" i="2" s="1"/>
  <c r="U25" i="2" s="1"/>
  <c r="V25" i="2" s="1"/>
  <c r="W25" i="2" s="1"/>
  <c r="G26" i="2"/>
  <c r="H26" i="2" s="1"/>
  <c r="G27" i="2"/>
  <c r="H27" i="2" s="1"/>
  <c r="U27" i="2" s="1"/>
  <c r="V27" i="2" s="1"/>
  <c r="W27" i="2" s="1"/>
  <c r="G28" i="2"/>
  <c r="H28" i="2" s="1"/>
  <c r="U28" i="2" s="1"/>
  <c r="V28" i="2" s="1"/>
  <c r="W28" i="2" s="1"/>
  <c r="G29" i="2"/>
  <c r="H29" i="2" s="1"/>
  <c r="U29" i="2" s="1"/>
  <c r="V29" i="2" s="1"/>
  <c r="W29" i="2" s="1"/>
  <c r="G30" i="2"/>
  <c r="H30" i="2" s="1"/>
  <c r="G31" i="2"/>
  <c r="H31" i="2" s="1"/>
  <c r="G32" i="2"/>
  <c r="H32" i="2" s="1"/>
  <c r="G33" i="2"/>
  <c r="H33" i="2" s="1"/>
  <c r="U33" i="2" s="1"/>
  <c r="V33" i="2" s="1"/>
  <c r="W33" i="2" s="1"/>
  <c r="G34" i="2"/>
  <c r="H34" i="2" s="1"/>
  <c r="G35" i="2"/>
  <c r="H35" i="2" s="1"/>
  <c r="U35" i="2" s="1"/>
  <c r="V35" i="2" s="1"/>
  <c r="W35" i="2" s="1"/>
  <c r="G36" i="2"/>
  <c r="H36" i="2" s="1"/>
  <c r="U36" i="2" s="1"/>
  <c r="V36" i="2" s="1"/>
  <c r="W36" i="2" s="1"/>
  <c r="G37" i="2"/>
  <c r="H37" i="2" s="1"/>
  <c r="U37" i="2" s="1"/>
  <c r="V37" i="2" s="1"/>
  <c r="W37" i="2" s="1"/>
  <c r="G38" i="2"/>
  <c r="H38" i="2" s="1"/>
  <c r="G39" i="2"/>
  <c r="H39" i="2" s="1"/>
  <c r="U39" i="2" s="1"/>
  <c r="V39" i="2" s="1"/>
  <c r="W39" i="2" s="1"/>
  <c r="G5" i="2"/>
  <c r="H5" i="2" s="1"/>
  <c r="U7" i="2" l="1"/>
  <c r="V7" i="2" s="1"/>
  <c r="U24" i="2"/>
  <c r="V24" i="2" s="1"/>
  <c r="W24" i="2" s="1"/>
  <c r="U16" i="2"/>
  <c r="V16" i="2" s="1"/>
  <c r="W16" i="2" s="1"/>
  <c r="U32" i="2"/>
  <c r="V32" i="2" s="1"/>
  <c r="W32" i="2" s="1"/>
  <c r="U31" i="2"/>
  <c r="V31" i="2" s="1"/>
  <c r="W31" i="2" s="1"/>
  <c r="U11" i="2"/>
  <c r="V11" i="2" s="1"/>
  <c r="W11" i="2" s="1"/>
  <c r="U5" i="2"/>
  <c r="U38" i="2"/>
  <c r="V38" i="2" s="1"/>
  <c r="W38" i="2" s="1"/>
  <c r="U34" i="2"/>
  <c r="V34" i="2" s="1"/>
  <c r="W34" i="2" s="1"/>
  <c r="I30" i="2"/>
  <c r="U30" i="2"/>
  <c r="V30" i="2" s="1"/>
  <c r="W30" i="2" s="1"/>
  <c r="U26" i="2"/>
  <c r="V26" i="2" s="1"/>
  <c r="W26" i="2" s="1"/>
  <c r="U22" i="2"/>
  <c r="V22" i="2" s="1"/>
  <c r="W22" i="2" s="1"/>
  <c r="U18" i="2"/>
  <c r="V18" i="2" s="1"/>
  <c r="W18" i="2" s="1"/>
  <c r="U14" i="2"/>
  <c r="V14" i="2" s="1"/>
  <c r="W14" i="2" s="1"/>
  <c r="U10" i="2"/>
  <c r="V10" i="2" s="1"/>
  <c r="W10" i="2" s="1"/>
  <c r="U6" i="2"/>
  <c r="V6" i="2" s="1"/>
  <c r="W6" i="2" s="1"/>
  <c r="I38" i="2"/>
  <c r="R38" i="2" s="1"/>
  <c r="T38" i="2"/>
  <c r="I10" i="2"/>
  <c r="R10" i="2" s="1"/>
  <c r="T10" i="2"/>
  <c r="I22" i="2"/>
  <c r="R22" i="2" s="1"/>
  <c r="T22" i="2"/>
  <c r="T5" i="2"/>
  <c r="I36" i="2"/>
  <c r="R36" i="2" s="1"/>
  <c r="T36" i="2"/>
  <c r="I32" i="2"/>
  <c r="R32" i="2" s="1"/>
  <c r="T32" i="2"/>
  <c r="I28" i="2"/>
  <c r="R28" i="2" s="1"/>
  <c r="T28" i="2"/>
  <c r="I24" i="2"/>
  <c r="R24" i="2" s="1"/>
  <c r="T24" i="2"/>
  <c r="I20" i="2"/>
  <c r="R20" i="2" s="1"/>
  <c r="T20" i="2"/>
  <c r="I16" i="2"/>
  <c r="R16" i="2" s="1"/>
  <c r="T16" i="2"/>
  <c r="I12" i="2"/>
  <c r="R12" i="2" s="1"/>
  <c r="T12" i="2"/>
  <c r="I8" i="2"/>
  <c r="R8" i="2" s="1"/>
  <c r="T8" i="2"/>
  <c r="I34" i="2"/>
  <c r="R34" i="2" s="1"/>
  <c r="T34" i="2"/>
  <c r="I26" i="2"/>
  <c r="R26" i="2" s="1"/>
  <c r="T26" i="2"/>
  <c r="I18" i="2"/>
  <c r="R18" i="2" s="1"/>
  <c r="T18" i="2"/>
  <c r="I14" i="2"/>
  <c r="R14" i="2" s="1"/>
  <c r="T14" i="2"/>
  <c r="I6" i="2"/>
  <c r="R6" i="2" s="1"/>
  <c r="T6" i="2"/>
  <c r="I37" i="2"/>
  <c r="R37" i="2" s="1"/>
  <c r="T37" i="2"/>
  <c r="I33" i="2"/>
  <c r="R33" i="2" s="1"/>
  <c r="T33" i="2"/>
  <c r="I29" i="2"/>
  <c r="R29" i="2" s="1"/>
  <c r="T29" i="2"/>
  <c r="I25" i="2"/>
  <c r="R25" i="2" s="1"/>
  <c r="T25" i="2"/>
  <c r="I21" i="2"/>
  <c r="R21" i="2" s="1"/>
  <c r="T21" i="2"/>
  <c r="I17" i="2"/>
  <c r="R17" i="2" s="1"/>
  <c r="T17" i="2"/>
  <c r="I13" i="2"/>
  <c r="R13" i="2" s="1"/>
  <c r="T13" i="2"/>
  <c r="I9" i="2"/>
  <c r="R9" i="2" s="1"/>
  <c r="T9" i="2"/>
  <c r="I39" i="2"/>
  <c r="R39" i="2" s="1"/>
  <c r="T39" i="2"/>
  <c r="I35" i="2"/>
  <c r="R35" i="2" s="1"/>
  <c r="T35" i="2"/>
  <c r="I31" i="2"/>
  <c r="R31" i="2" s="1"/>
  <c r="T31" i="2"/>
  <c r="I27" i="2"/>
  <c r="R27" i="2" s="1"/>
  <c r="T27" i="2"/>
  <c r="I23" i="2"/>
  <c r="R23" i="2" s="1"/>
  <c r="T23" i="2"/>
  <c r="I19" i="2"/>
  <c r="R19" i="2" s="1"/>
  <c r="T19" i="2"/>
  <c r="I15" i="2"/>
  <c r="R15" i="2" s="1"/>
  <c r="T15" i="2"/>
  <c r="I11" i="2"/>
  <c r="R11" i="2" s="1"/>
  <c r="T11" i="2"/>
  <c r="I7" i="2"/>
  <c r="R7" i="2" s="1"/>
  <c r="T7" i="2"/>
  <c r="I41" i="2"/>
  <c r="R41" i="2" s="1"/>
  <c r="T41" i="2"/>
  <c r="T30" i="2"/>
  <c r="I5" i="2"/>
  <c r="Q40" i="2"/>
  <c r="Q42" i="2" s="1"/>
  <c r="M30" i="2"/>
  <c r="M40" i="2" s="1"/>
  <c r="S41" i="2" l="1"/>
  <c r="T42" i="2"/>
  <c r="S11" i="2"/>
  <c r="S19" i="2"/>
  <c r="S27" i="2"/>
  <c r="S35" i="2"/>
  <c r="S9" i="2"/>
  <c r="S17" i="2"/>
  <c r="S25" i="2"/>
  <c r="S33" i="2"/>
  <c r="S6" i="2"/>
  <c r="S18" i="2"/>
  <c r="S34" i="2"/>
  <c r="S12" i="2"/>
  <c r="S20" i="2"/>
  <c r="S28" i="2"/>
  <c r="S36" i="2"/>
  <c r="V5" i="2"/>
  <c r="W5" i="2" s="1"/>
  <c r="U42" i="2"/>
  <c r="W7" i="2"/>
  <c r="W40" i="2" s="1"/>
  <c r="W42" i="2" s="1"/>
  <c r="V42" i="2"/>
  <c r="S7" i="2"/>
  <c r="S15" i="2"/>
  <c r="S23" i="2"/>
  <c r="S31" i="2"/>
  <c r="S39" i="2"/>
  <c r="S13" i="2"/>
  <c r="S21" i="2"/>
  <c r="S29" i="2"/>
  <c r="S37" i="2"/>
  <c r="S14" i="2"/>
  <c r="S26" i="2"/>
  <c r="S8" i="2"/>
  <c r="S16" i="2"/>
  <c r="S24" i="2"/>
  <c r="S32" i="2"/>
  <c r="I40" i="2"/>
  <c r="I42" i="2" s="1"/>
  <c r="R5" i="2"/>
  <c r="S5" i="2" s="1"/>
  <c r="S10" i="2"/>
  <c r="S22" i="2"/>
  <c r="S38" i="2"/>
  <c r="R30" i="2"/>
  <c r="S30" i="2" s="1"/>
  <c r="M4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M4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Diferencia con respecto a cotización
</t>
        </r>
      </text>
    </comment>
  </commentList>
</comments>
</file>

<file path=xl/sharedStrings.xml><?xml version="1.0" encoding="utf-8"?>
<sst xmlns="http://schemas.openxmlformats.org/spreadsheetml/2006/main" count="138" uniqueCount="65">
  <si>
    <t>ESTUDIO DE MERCADO - AGUAS RESIDUALES NO DOMESTICAS</t>
  </si>
  <si>
    <t>Laboratorios seccionales - ICA</t>
  </si>
  <si>
    <t>ANASCOL</t>
  </si>
  <si>
    <t>SGS COLOMBIA S.A.S</t>
  </si>
  <si>
    <t>SERAMBIENTE</t>
  </si>
  <si>
    <t>Desviacion estandar</t>
  </si>
  <si>
    <t>Dispersión</t>
  </si>
  <si>
    <t>Promedio valor unitario</t>
  </si>
  <si>
    <t>Media geometrica</t>
  </si>
  <si>
    <t>Valor unitario de referencia</t>
  </si>
  <si>
    <t>Valor total</t>
  </si>
  <si>
    <t>No.</t>
  </si>
  <si>
    <t>Seccional</t>
  </si>
  <si>
    <t>Tipo de monitoreo</t>
  </si>
  <si>
    <t>No. Puntos a monitorear</t>
  </si>
  <si>
    <t>Sitio de Disposicion</t>
  </si>
  <si>
    <t>Valor Unitario sin IVA</t>
  </si>
  <si>
    <t>IVA</t>
  </si>
  <si>
    <t>Valor unitario IVA incluido</t>
  </si>
  <si>
    <t>Valor total monitoreo</t>
  </si>
  <si>
    <t>Antioquia (Bello)</t>
  </si>
  <si>
    <t>Puntual</t>
  </si>
  <si>
    <t>Alcant.</t>
  </si>
  <si>
    <t>Antioquia (Carepa)</t>
  </si>
  <si>
    <t xml:space="preserve">Puntual </t>
  </si>
  <si>
    <t>pozo séptico</t>
  </si>
  <si>
    <t>Arauca (Arauca)</t>
  </si>
  <si>
    <t>Atlantico (Soledad)</t>
  </si>
  <si>
    <t>Compuesto</t>
  </si>
  <si>
    <t>Boyacá (Sogamoso)</t>
  </si>
  <si>
    <t>Caldas (Manizales)</t>
  </si>
  <si>
    <t>Caldas (Dorada)</t>
  </si>
  <si>
    <t>Caquetá (Florencia)</t>
  </si>
  <si>
    <t>Casanare (Yopal)</t>
  </si>
  <si>
    <t>Cesar (Aguachica)</t>
  </si>
  <si>
    <t>Cesar (Valledupar)</t>
  </si>
  <si>
    <t>Tolima (Ibague)</t>
  </si>
  <si>
    <t>Huila (Neiva)</t>
  </si>
  <si>
    <t>Magdalena (Fundacion)</t>
  </si>
  <si>
    <t>Magdalena (El Banco)</t>
  </si>
  <si>
    <t>Magdalena (Zona Bananera)</t>
  </si>
  <si>
    <t>Meta  (Villavicencio)</t>
  </si>
  <si>
    <t>Nariño (Pasto)</t>
  </si>
  <si>
    <t>Norte de Santander (Cúcuta)</t>
  </si>
  <si>
    <t>Santander (Bucaramanga)</t>
  </si>
  <si>
    <t>Santander (Barrancabermeja)</t>
  </si>
  <si>
    <t>Cordoba (Cereté)</t>
  </si>
  <si>
    <t>Sucre (Sincelejo)</t>
  </si>
  <si>
    <t>Quindío (Armenia)</t>
  </si>
  <si>
    <t>Valle del cauca (Palmira)</t>
  </si>
  <si>
    <t>Valle del Cauca (Tuluá)</t>
  </si>
  <si>
    <t>Laboratorio Nacional de Diagnostico Veterinario LNDV (Bogota)</t>
  </si>
  <si>
    <t>Laboratorio Nacional de Semillas (mosquera)</t>
  </si>
  <si>
    <t>Lab. Nacional de Insumos Pecuarios (Mosquera)</t>
  </si>
  <si>
    <t>Lab. Tratamientos Cuarentenarios (Mosquera)</t>
  </si>
  <si>
    <t>Lab. Cuarentena vegetal (Mosquera)</t>
  </si>
  <si>
    <t>Lab. Nacional de diagnóstico Fitosanitario (TIBAITATÁ)</t>
  </si>
  <si>
    <t>Lab. Nacional de Insumos Agrícolas (TIBAITATÁ)</t>
  </si>
  <si>
    <t>Lab. OGM (Tibaitatá)</t>
  </si>
  <si>
    <t>Centro de Inspeccion y Transito Agropecuario – CITAG – Aeropuerto el Dorado (Bogota)</t>
  </si>
  <si>
    <t>Subtotal</t>
  </si>
  <si>
    <t>Transporte</t>
  </si>
  <si>
    <t>Valor Cotización ANASCOL</t>
  </si>
  <si>
    <t>Valor Cotización SGS Colombia SAS</t>
  </si>
  <si>
    <t>Valor Cotización SERAMBIENTE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</si>
</sst>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[$$-240A]\ * #,##0.00_-;\-[$$-240A]\ * #,##0.00_-;_-[$$-240A]\ * &quot;-&quot;??_-;_-@_-"/>
    <numFmt numFmtId="165" formatCode="_-[$$-240A]\ * #,##0_-;\-[$$-240A]\ * #,##0_-;_-[$$-240A]\ * &quot;-&quot;??_-;_-@_-"/>
    <numFmt numFmtId="166" formatCode="_-[$$-540A]* #,##0.00_ ;_-[$$-540A]* \-#,##0.00\ ;_-[$$-540A]* &quot;-&quot;??_ ;_-@_ "/>
    <numFmt numFmtId="167" formatCode="_-[$$-1004]* #,##0.00_-;\-[$$-1004]* #,##0.00_-;_-[$$-1004]* &quot;-&quot;??_-;_-@_-"/>
  </numFmts>
  <fonts count="14">
    <font>
      <sz val="11"/>
      <color theme="1"/>
      <name val="Calibri"/>
      <family val="2"/>
      <scheme val="minor"/>
    </font>
    <font>
      <sz val="9"/>
      <color theme="1"/>
      <name val="Helvetica"/>
    </font>
    <font>
      <b/>
      <sz val="8"/>
      <color theme="1"/>
      <name val="Helvetica"/>
    </font>
    <font>
      <sz val="8"/>
      <color theme="1"/>
      <name val="Helvetica"/>
    </font>
    <font>
      <b/>
      <sz val="9"/>
      <color theme="1"/>
      <name val="Helvetica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0"/>
      <name val="Helvetica"/>
    </font>
    <font>
      <b/>
      <sz val="8"/>
      <name val="Helvetica"/>
    </font>
    <font>
      <b/>
      <sz val="9"/>
      <name val="Helvetica"/>
    </font>
    <font>
      <b/>
      <sz val="8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167" fontId="6" fillId="0" borderId="3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6" fontId="7" fillId="0" borderId="5" xfId="0" applyNumberFormat="1" applyFont="1" applyBorder="1" applyAlignment="1">
      <alignment vertical="center"/>
    </xf>
    <xf numFmtId="165" fontId="3" fillId="0" borderId="8" xfId="0" applyNumberFormat="1" applyFont="1" applyBorder="1" applyAlignment="1">
      <alignment horizontal="center" vertical="center"/>
    </xf>
    <xf numFmtId="164" fontId="3" fillId="4" borderId="11" xfId="0" applyNumberFormat="1" applyFont="1" applyFill="1" applyBorder="1" applyAlignment="1">
      <alignment horizontal="center" vertical="center"/>
    </xf>
    <xf numFmtId="164" fontId="3" fillId="2" borderId="11" xfId="0" applyNumberFormat="1" applyFont="1" applyFill="1" applyBorder="1" applyAlignment="1">
      <alignment vertical="center"/>
    </xf>
    <xf numFmtId="164" fontId="3" fillId="0" borderId="6" xfId="0" applyNumberFormat="1" applyFont="1" applyBorder="1" applyAlignment="1">
      <alignment horizontal="center" vertical="center"/>
    </xf>
    <xf numFmtId="41" fontId="1" fillId="0" borderId="0" xfId="1" applyFont="1"/>
    <xf numFmtId="167" fontId="1" fillId="0" borderId="0" xfId="0" applyNumberFormat="1" applyFont="1"/>
    <xf numFmtId="165" fontId="3" fillId="0" borderId="6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7" fontId="11" fillId="0" borderId="3" xfId="0" applyNumberFormat="1" applyFont="1" applyBorder="1" applyAlignment="1">
      <alignment horizontal="right" vertical="center"/>
    </xf>
    <xf numFmtId="164" fontId="3" fillId="0" borderId="6" xfId="0" applyNumberFormat="1" applyFont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164" fontId="3" fillId="5" borderId="10" xfId="0" applyNumberFormat="1" applyFont="1" applyFill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5" fontId="4" fillId="7" borderId="1" xfId="0" applyNumberFormat="1" applyFont="1" applyFill="1" applyBorder="1" applyAlignment="1">
      <alignment horizontal="center" vertical="top"/>
    </xf>
    <xf numFmtId="167" fontId="11" fillId="10" borderId="3" xfId="0" applyNumberFormat="1" applyFont="1" applyFill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9" fontId="1" fillId="0" borderId="0" xfId="2" applyFont="1"/>
    <xf numFmtId="41" fontId="1" fillId="0" borderId="0" xfId="1" applyFont="1" applyAlignment="1">
      <alignment wrapText="1"/>
    </xf>
    <xf numFmtId="41" fontId="3" fillId="0" borderId="1" xfId="1" applyFont="1" applyBorder="1" applyAlignment="1">
      <alignment vertical="center"/>
    </xf>
    <xf numFmtId="9" fontId="3" fillId="0" borderId="1" xfId="2" applyFont="1" applyBorder="1" applyAlignment="1">
      <alignment horizontal="center" vertical="center"/>
    </xf>
    <xf numFmtId="165" fontId="3" fillId="11" borderId="7" xfId="0" applyNumberFormat="1" applyFont="1" applyFill="1" applyBorder="1" applyAlignment="1">
      <alignment horizontal="center" vertical="center"/>
    </xf>
    <xf numFmtId="0" fontId="10" fillId="9" borderId="20" xfId="0" applyFont="1" applyFill="1" applyBorder="1" applyAlignment="1">
      <alignment horizontal="center" vertical="center" wrapText="1"/>
    </xf>
    <xf numFmtId="0" fontId="10" fillId="9" borderId="14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8" fillId="6" borderId="23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3" fillId="3" borderId="13" xfId="0" applyNumberFormat="1" applyFont="1" applyFill="1" applyBorder="1" applyAlignment="1">
      <alignment horizontal="center" vertical="top"/>
    </xf>
    <xf numFmtId="164" fontId="3" fillId="3" borderId="12" xfId="0" applyNumberFormat="1" applyFont="1" applyFill="1" applyBorder="1" applyAlignment="1">
      <alignment horizontal="center" vertical="top"/>
    </xf>
    <xf numFmtId="164" fontId="3" fillId="3" borderId="8" xfId="0" applyNumberFormat="1" applyFont="1" applyFill="1" applyBorder="1" applyAlignment="1">
      <alignment horizontal="center" vertical="top"/>
    </xf>
    <xf numFmtId="0" fontId="9" fillId="9" borderId="20" xfId="0" applyFont="1" applyFill="1" applyBorder="1" applyAlignment="1">
      <alignment horizontal="center" vertical="center" wrapText="1"/>
    </xf>
    <xf numFmtId="0" fontId="9" fillId="9" borderId="14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8" borderId="17" xfId="0" applyFont="1" applyFill="1" applyBorder="1" applyAlignment="1">
      <alignment horizontal="center" vertical="center"/>
    </xf>
    <xf numFmtId="0" fontId="9" fillId="8" borderId="1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8"/>
  <sheetViews>
    <sheetView tabSelected="1" topLeftCell="A16" zoomScaleNormal="100" workbookViewId="0">
      <selection activeCell="C30" sqref="C30"/>
    </sheetView>
  </sheetViews>
  <sheetFormatPr defaultColWidth="11.42578125" defaultRowHeight="12"/>
  <cols>
    <col min="1" max="1" width="3.28515625" style="5" customWidth="1"/>
    <col min="2" max="2" width="23.140625" style="12" customWidth="1"/>
    <col min="3" max="3" width="8.7109375" style="5" customWidth="1"/>
    <col min="4" max="4" width="9.5703125" style="5" customWidth="1"/>
    <col min="5" max="5" width="9.85546875" style="5" customWidth="1"/>
    <col min="6" max="8" width="13.28515625" style="5" bestFit="1" customWidth="1"/>
    <col min="9" max="9" width="14.140625" style="5" bestFit="1" customWidth="1"/>
    <col min="10" max="10" width="13.28515625" style="1" bestFit="1" customWidth="1"/>
    <col min="11" max="11" width="12.7109375" style="1" bestFit="1" customWidth="1"/>
    <col min="12" max="12" width="13.28515625" style="1" bestFit="1" customWidth="1"/>
    <col min="13" max="13" width="14.140625" style="1" bestFit="1" customWidth="1"/>
    <col min="14" max="14" width="11.140625" style="1" bestFit="1" customWidth="1"/>
    <col min="15" max="15" width="13" style="1" customWidth="1"/>
    <col min="16" max="16" width="12.28515625" style="1" customWidth="1"/>
    <col min="17" max="17" width="15.85546875" style="1" customWidth="1"/>
    <col min="18" max="19" width="0" style="1" hidden="1" customWidth="1"/>
    <col min="20" max="20" width="15.85546875" style="1" hidden="1" customWidth="1"/>
    <col min="21" max="21" width="14" style="1" customWidth="1"/>
    <col min="22" max="22" width="14.140625" style="1" customWidth="1"/>
    <col min="23" max="23" width="15.140625" style="1" customWidth="1"/>
    <col min="24" max="24" width="12" style="1" bestFit="1" customWidth="1"/>
    <col min="25" max="16384" width="11.42578125" style="1"/>
  </cols>
  <sheetData>
    <row r="1" spans="1:24" ht="12" customHeight="1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4"/>
    </row>
    <row r="2" spans="1:24" ht="12.75" customHeight="1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7"/>
    </row>
    <row r="3" spans="1:24" ht="24" customHeight="1">
      <c r="A3" s="68" t="s">
        <v>1</v>
      </c>
      <c r="B3" s="69"/>
      <c r="C3" s="69"/>
      <c r="D3" s="69"/>
      <c r="E3" s="70"/>
      <c r="F3" s="71" t="s">
        <v>2</v>
      </c>
      <c r="G3" s="72"/>
      <c r="H3" s="72"/>
      <c r="I3" s="73"/>
      <c r="J3" s="74" t="s">
        <v>3</v>
      </c>
      <c r="K3" s="75"/>
      <c r="L3" s="75"/>
      <c r="M3" s="76"/>
      <c r="N3" s="77" t="s">
        <v>4</v>
      </c>
      <c r="O3" s="78"/>
      <c r="P3" s="78"/>
      <c r="Q3" s="78"/>
      <c r="R3" s="79" t="s">
        <v>5</v>
      </c>
      <c r="S3" s="80" t="s">
        <v>6</v>
      </c>
      <c r="T3" s="63" t="s">
        <v>7</v>
      </c>
      <c r="U3" s="50" t="s">
        <v>8</v>
      </c>
      <c r="V3" s="50" t="s">
        <v>9</v>
      </c>
      <c r="W3" s="50" t="s">
        <v>10</v>
      </c>
    </row>
    <row r="4" spans="1:24" ht="45">
      <c r="A4" s="29" t="s">
        <v>11</v>
      </c>
      <c r="B4" s="30" t="s">
        <v>12</v>
      </c>
      <c r="C4" s="31" t="s">
        <v>13</v>
      </c>
      <c r="D4" s="31" t="s">
        <v>14</v>
      </c>
      <c r="E4" s="32" t="s">
        <v>15</v>
      </c>
      <c r="F4" s="29" t="s">
        <v>16</v>
      </c>
      <c r="G4" s="31" t="s">
        <v>17</v>
      </c>
      <c r="H4" s="32" t="s">
        <v>18</v>
      </c>
      <c r="I4" s="33" t="s">
        <v>19</v>
      </c>
      <c r="J4" s="29" t="s">
        <v>16</v>
      </c>
      <c r="K4" s="31" t="s">
        <v>17</v>
      </c>
      <c r="L4" s="32" t="s">
        <v>18</v>
      </c>
      <c r="M4" s="33" t="s">
        <v>19</v>
      </c>
      <c r="N4" s="34" t="s">
        <v>16</v>
      </c>
      <c r="O4" s="31" t="s">
        <v>17</v>
      </c>
      <c r="P4" s="32" t="s">
        <v>18</v>
      </c>
      <c r="Q4" s="32" t="s">
        <v>19</v>
      </c>
      <c r="R4" s="79"/>
      <c r="S4" s="80"/>
      <c r="T4" s="64"/>
      <c r="U4" s="51"/>
      <c r="V4" s="51"/>
      <c r="W4" s="51"/>
    </row>
    <row r="5" spans="1:24">
      <c r="A5" s="7">
        <v>1</v>
      </c>
      <c r="B5" s="10" t="s">
        <v>20</v>
      </c>
      <c r="C5" s="3" t="s">
        <v>21</v>
      </c>
      <c r="D5" s="3">
        <v>3</v>
      </c>
      <c r="E5" s="9" t="s">
        <v>22</v>
      </c>
      <c r="F5" s="14">
        <v>4122866.6666666665</v>
      </c>
      <c r="G5" s="15">
        <f>F5*19%</f>
        <v>783344.66666666663</v>
      </c>
      <c r="H5" s="15">
        <f>F5+G5</f>
        <v>4906211.333333333</v>
      </c>
      <c r="I5" s="16">
        <f>D5*H5</f>
        <v>14718634</v>
      </c>
      <c r="J5" s="14">
        <f>8748961/3</f>
        <v>2916320.3333333335</v>
      </c>
      <c r="K5" s="15">
        <f>J5*19%</f>
        <v>554100.8633333334</v>
      </c>
      <c r="L5" s="24">
        <f>J5+K5</f>
        <v>3470421.1966666668</v>
      </c>
      <c r="M5" s="13">
        <f>D5*L5</f>
        <v>10411263.59</v>
      </c>
      <c r="N5" s="17">
        <v>3258606</v>
      </c>
      <c r="O5" s="15">
        <f>N5*19%</f>
        <v>619135.14</v>
      </c>
      <c r="P5" s="27">
        <f>N5+O5</f>
        <v>3877741.14</v>
      </c>
      <c r="Q5" s="37">
        <f>D5*P5</f>
        <v>11633223.42</v>
      </c>
      <c r="R5" s="47">
        <f t="shared" ref="R5:R39" si="0">STDEVA(I5,M5,Q5)</f>
        <v>2219849.2487198808</v>
      </c>
      <c r="S5" s="48">
        <f t="shared" ref="S5:S39" si="1">R5/T5</f>
        <v>0.54344255280622211</v>
      </c>
      <c r="T5" s="40">
        <f t="shared" ref="T5:T39" si="2">ROUND(AVERAGE(H5,L5,P5),0)</f>
        <v>4084791</v>
      </c>
      <c r="U5" s="40">
        <f t="shared" ref="U5:U39" si="3">ROUND(GEOMEAN(H5,L5,P5),0)</f>
        <v>4041747</v>
      </c>
      <c r="V5" s="40">
        <f>U5</f>
        <v>4041747</v>
      </c>
      <c r="W5" s="40">
        <f>D5*V5</f>
        <v>12125241</v>
      </c>
      <c r="X5" s="25"/>
    </row>
    <row r="6" spans="1:24">
      <c r="A6" s="7">
        <v>2</v>
      </c>
      <c r="B6" s="10" t="s">
        <v>23</v>
      </c>
      <c r="C6" s="3" t="s">
        <v>24</v>
      </c>
      <c r="D6" s="3">
        <v>1</v>
      </c>
      <c r="E6" s="9" t="s">
        <v>25</v>
      </c>
      <c r="F6" s="14">
        <v>4122900</v>
      </c>
      <c r="G6" s="15">
        <f t="shared" ref="G6:G39" si="4">F6*19%</f>
        <v>783351</v>
      </c>
      <c r="H6" s="15">
        <f t="shared" ref="H6:H40" si="5">F6+G6</f>
        <v>4906251</v>
      </c>
      <c r="I6" s="16">
        <f t="shared" ref="I6:I39" si="6">D6*H6</f>
        <v>4906251</v>
      </c>
      <c r="J6" s="14">
        <v>2501314</v>
      </c>
      <c r="K6" s="15">
        <f t="shared" ref="K6:K39" si="7">J6*19%</f>
        <v>475249.66000000003</v>
      </c>
      <c r="L6" s="24">
        <f t="shared" ref="L6:L40" si="8">J6+K6</f>
        <v>2976563.66</v>
      </c>
      <c r="M6" s="13">
        <f t="shared" ref="M6:M39" si="9">D6*L6</f>
        <v>2976563.66</v>
      </c>
      <c r="N6" s="17">
        <v>1189582</v>
      </c>
      <c r="O6" s="15">
        <f t="shared" ref="O6:O39" si="10">N6*19%</f>
        <v>226020.58000000002</v>
      </c>
      <c r="P6" s="27">
        <f t="shared" ref="P6:P40" si="11">N6+O6</f>
        <v>1415602.58</v>
      </c>
      <c r="Q6" s="37">
        <f t="shared" ref="Q6:Q39" si="12">D6*P6</f>
        <v>1415602.58</v>
      </c>
      <c r="R6" s="47">
        <f t="shared" si="0"/>
        <v>1748566.9902084358</v>
      </c>
      <c r="S6" s="48">
        <f t="shared" si="1"/>
        <v>0.56414995528542788</v>
      </c>
      <c r="T6" s="40">
        <f t="shared" si="2"/>
        <v>3099472</v>
      </c>
      <c r="U6" s="40">
        <f t="shared" si="3"/>
        <v>2744535</v>
      </c>
      <c r="V6" s="40">
        <f t="shared" ref="V6:V39" si="13">U6</f>
        <v>2744535</v>
      </c>
      <c r="W6" s="40">
        <f t="shared" ref="W6:W39" si="14">D6*V6</f>
        <v>2744535</v>
      </c>
      <c r="X6" s="25"/>
    </row>
    <row r="7" spans="1:24">
      <c r="A7" s="7">
        <v>3</v>
      </c>
      <c r="B7" s="10" t="s">
        <v>26</v>
      </c>
      <c r="C7" s="3" t="s">
        <v>21</v>
      </c>
      <c r="D7" s="3">
        <v>1</v>
      </c>
      <c r="E7" s="9" t="s">
        <v>22</v>
      </c>
      <c r="F7" s="14">
        <v>4122900</v>
      </c>
      <c r="G7" s="15">
        <f t="shared" si="4"/>
        <v>783351</v>
      </c>
      <c r="H7" s="15">
        <f t="shared" si="5"/>
        <v>4906251</v>
      </c>
      <c r="I7" s="16">
        <f t="shared" si="6"/>
        <v>4906251</v>
      </c>
      <c r="J7" s="14">
        <v>2239898</v>
      </c>
      <c r="K7" s="15">
        <f t="shared" si="7"/>
        <v>425580.62</v>
      </c>
      <c r="L7" s="24">
        <f t="shared" si="8"/>
        <v>2665478.62</v>
      </c>
      <c r="M7" s="13">
        <f t="shared" si="9"/>
        <v>2665478.62</v>
      </c>
      <c r="N7" s="49">
        <v>3258606</v>
      </c>
      <c r="O7" s="15">
        <f t="shared" si="10"/>
        <v>619135.14</v>
      </c>
      <c r="P7" s="27">
        <f t="shared" si="11"/>
        <v>3877741.14</v>
      </c>
      <c r="Q7" s="37">
        <f t="shared" si="12"/>
        <v>3877741.14</v>
      </c>
      <c r="R7" s="47">
        <f t="shared" si="0"/>
        <v>1121641.1940013655</v>
      </c>
      <c r="S7" s="48">
        <f t="shared" si="1"/>
        <v>0.29389339262027819</v>
      </c>
      <c r="T7" s="40">
        <f t="shared" si="2"/>
        <v>3816490</v>
      </c>
      <c r="U7" s="40">
        <f t="shared" si="3"/>
        <v>3701416</v>
      </c>
      <c r="V7" s="40">
        <f t="shared" si="13"/>
        <v>3701416</v>
      </c>
      <c r="W7" s="40">
        <f t="shared" si="14"/>
        <v>3701416</v>
      </c>
      <c r="X7" s="25"/>
    </row>
    <row r="8" spans="1:24">
      <c r="A8" s="7">
        <v>4</v>
      </c>
      <c r="B8" s="10" t="s">
        <v>27</v>
      </c>
      <c r="C8" s="3" t="s">
        <v>28</v>
      </c>
      <c r="D8" s="3">
        <v>3</v>
      </c>
      <c r="E8" s="9" t="s">
        <v>22</v>
      </c>
      <c r="F8" s="14">
        <v>4122866.6666666665</v>
      </c>
      <c r="G8" s="15">
        <f t="shared" si="4"/>
        <v>783344.66666666663</v>
      </c>
      <c r="H8" s="15">
        <f t="shared" si="5"/>
        <v>4906211.333333333</v>
      </c>
      <c r="I8" s="16">
        <f t="shared" si="6"/>
        <v>14718634</v>
      </c>
      <c r="J8" s="14">
        <f>15030113/3</f>
        <v>5010037.666666667</v>
      </c>
      <c r="K8" s="15">
        <f t="shared" si="7"/>
        <v>951907.15666666673</v>
      </c>
      <c r="L8" s="24">
        <f t="shared" si="8"/>
        <v>5961944.8233333342</v>
      </c>
      <c r="M8" s="13">
        <f t="shared" si="9"/>
        <v>17885834.470000003</v>
      </c>
      <c r="N8" s="49">
        <f>9775818/3</f>
        <v>3258606</v>
      </c>
      <c r="O8" s="15">
        <f t="shared" si="10"/>
        <v>619135.14</v>
      </c>
      <c r="P8" s="27">
        <f t="shared" si="11"/>
        <v>3877741.14</v>
      </c>
      <c r="Q8" s="37">
        <f t="shared" si="12"/>
        <v>11633223.42</v>
      </c>
      <c r="R8" s="47">
        <f t="shared" si="0"/>
        <v>3126394.6809631116</v>
      </c>
      <c r="S8" s="48">
        <f t="shared" si="1"/>
        <v>0.63605381502999336</v>
      </c>
      <c r="T8" s="40">
        <f t="shared" si="2"/>
        <v>4915299</v>
      </c>
      <c r="U8" s="40">
        <f t="shared" si="3"/>
        <v>4840657</v>
      </c>
      <c r="V8" s="40">
        <f t="shared" si="13"/>
        <v>4840657</v>
      </c>
      <c r="W8" s="40">
        <f t="shared" si="14"/>
        <v>14521971</v>
      </c>
      <c r="X8" s="25"/>
    </row>
    <row r="9" spans="1:24">
      <c r="A9" s="7">
        <v>5</v>
      </c>
      <c r="B9" s="10" t="s">
        <v>29</v>
      </c>
      <c r="C9" s="3" t="s">
        <v>21</v>
      </c>
      <c r="D9" s="3">
        <v>1</v>
      </c>
      <c r="E9" s="9" t="s">
        <v>22</v>
      </c>
      <c r="F9" s="14">
        <v>4122900</v>
      </c>
      <c r="G9" s="15">
        <f t="shared" si="4"/>
        <v>783351</v>
      </c>
      <c r="H9" s="15">
        <f t="shared" si="5"/>
        <v>4906251</v>
      </c>
      <c r="I9" s="16">
        <f t="shared" si="6"/>
        <v>4906251</v>
      </c>
      <c r="J9" s="14">
        <v>2230454</v>
      </c>
      <c r="K9" s="15">
        <f t="shared" si="7"/>
        <v>423786.26</v>
      </c>
      <c r="L9" s="24">
        <f t="shared" si="8"/>
        <v>2654240.2599999998</v>
      </c>
      <c r="M9" s="13">
        <f t="shared" si="9"/>
        <v>2654240.2599999998</v>
      </c>
      <c r="N9" s="17">
        <v>3258606</v>
      </c>
      <c r="O9" s="15">
        <f t="shared" si="10"/>
        <v>619135.14</v>
      </c>
      <c r="P9" s="27">
        <f t="shared" si="11"/>
        <v>3877741.14</v>
      </c>
      <c r="Q9" s="37">
        <f t="shared" si="12"/>
        <v>3877741.14</v>
      </c>
      <c r="R9" s="47">
        <f t="shared" si="0"/>
        <v>1127411.4383957414</v>
      </c>
      <c r="S9" s="48">
        <f t="shared" si="1"/>
        <v>0.29569555112951235</v>
      </c>
      <c r="T9" s="40">
        <f t="shared" si="2"/>
        <v>3812744</v>
      </c>
      <c r="U9" s="40">
        <f t="shared" si="3"/>
        <v>3696207</v>
      </c>
      <c r="V9" s="40">
        <f t="shared" si="13"/>
        <v>3696207</v>
      </c>
      <c r="W9" s="40">
        <f t="shared" si="14"/>
        <v>3696207</v>
      </c>
      <c r="X9" s="25"/>
    </row>
    <row r="10" spans="1:24">
      <c r="A10" s="7">
        <v>6</v>
      </c>
      <c r="B10" s="10" t="s">
        <v>30</v>
      </c>
      <c r="C10" s="3" t="s">
        <v>21</v>
      </c>
      <c r="D10" s="3">
        <v>2</v>
      </c>
      <c r="E10" s="9" t="s">
        <v>22</v>
      </c>
      <c r="F10" s="14">
        <v>4122850</v>
      </c>
      <c r="G10" s="15">
        <f t="shared" si="4"/>
        <v>783341.5</v>
      </c>
      <c r="H10" s="15">
        <f t="shared" si="5"/>
        <v>4906191.5</v>
      </c>
      <c r="I10" s="16">
        <f t="shared" si="6"/>
        <v>9812383</v>
      </c>
      <c r="J10" s="14">
        <f>5242054/2</f>
        <v>2621027</v>
      </c>
      <c r="K10" s="15">
        <f t="shared" si="7"/>
        <v>497995.13</v>
      </c>
      <c r="L10" s="24">
        <f t="shared" si="8"/>
        <v>3119022.13</v>
      </c>
      <c r="M10" s="13">
        <f t="shared" si="9"/>
        <v>6238044.2599999998</v>
      </c>
      <c r="N10" s="17">
        <v>3258606</v>
      </c>
      <c r="O10" s="15">
        <f t="shared" si="10"/>
        <v>619135.14</v>
      </c>
      <c r="P10" s="27">
        <f t="shared" si="11"/>
        <v>3877741.14</v>
      </c>
      <c r="Q10" s="37">
        <f t="shared" si="12"/>
        <v>7755482.2800000003</v>
      </c>
      <c r="R10" s="47">
        <f t="shared" si="0"/>
        <v>1793941.4773408293</v>
      </c>
      <c r="S10" s="48">
        <f t="shared" si="1"/>
        <v>0.45214184039851008</v>
      </c>
      <c r="T10" s="40">
        <f t="shared" si="2"/>
        <v>3967652</v>
      </c>
      <c r="U10" s="40">
        <f t="shared" si="3"/>
        <v>3900443</v>
      </c>
      <c r="V10" s="40">
        <f t="shared" si="13"/>
        <v>3900443</v>
      </c>
      <c r="W10" s="40">
        <f t="shared" si="14"/>
        <v>7800886</v>
      </c>
      <c r="X10" s="25"/>
    </row>
    <row r="11" spans="1:24">
      <c r="A11" s="7">
        <v>7</v>
      </c>
      <c r="B11" s="10" t="s">
        <v>31</v>
      </c>
      <c r="C11" s="3" t="s">
        <v>21</v>
      </c>
      <c r="D11" s="3">
        <v>1</v>
      </c>
      <c r="E11" s="9" t="s">
        <v>22</v>
      </c>
      <c r="F11" s="14">
        <v>4122900</v>
      </c>
      <c r="G11" s="15">
        <f t="shared" si="4"/>
        <v>783351</v>
      </c>
      <c r="H11" s="15">
        <f t="shared" si="5"/>
        <v>4906251</v>
      </c>
      <c r="I11" s="16">
        <f t="shared" si="6"/>
        <v>4906251</v>
      </c>
      <c r="J11" s="14">
        <v>2569525</v>
      </c>
      <c r="K11" s="15">
        <f t="shared" si="7"/>
        <v>488209.75</v>
      </c>
      <c r="L11" s="24">
        <f t="shared" si="8"/>
        <v>3057734.75</v>
      </c>
      <c r="M11" s="13">
        <f t="shared" si="9"/>
        <v>3057734.75</v>
      </c>
      <c r="N11" s="17">
        <v>3258606</v>
      </c>
      <c r="O11" s="15">
        <f t="shared" si="10"/>
        <v>619135.14</v>
      </c>
      <c r="P11" s="27">
        <f t="shared" si="11"/>
        <v>3877741.14</v>
      </c>
      <c r="Q11" s="37">
        <f t="shared" si="12"/>
        <v>3877741.14</v>
      </c>
      <c r="R11" s="47">
        <f t="shared" si="0"/>
        <v>926215.89800219669</v>
      </c>
      <c r="S11" s="48">
        <f t="shared" si="1"/>
        <v>0.23464887584855368</v>
      </c>
      <c r="T11" s="40">
        <f t="shared" si="2"/>
        <v>3947242</v>
      </c>
      <c r="U11" s="40">
        <f t="shared" si="3"/>
        <v>3874742</v>
      </c>
      <c r="V11" s="40">
        <f t="shared" si="13"/>
        <v>3874742</v>
      </c>
      <c r="W11" s="40">
        <f t="shared" si="14"/>
        <v>3874742</v>
      </c>
      <c r="X11" s="25"/>
    </row>
    <row r="12" spans="1:24">
      <c r="A12" s="7">
        <v>8</v>
      </c>
      <c r="B12" s="10" t="s">
        <v>32</v>
      </c>
      <c r="C12" s="3" t="s">
        <v>21</v>
      </c>
      <c r="D12" s="3">
        <v>1</v>
      </c>
      <c r="E12" s="9" t="s">
        <v>22</v>
      </c>
      <c r="F12" s="14">
        <v>4122900</v>
      </c>
      <c r="G12" s="15">
        <f t="shared" si="4"/>
        <v>783351</v>
      </c>
      <c r="H12" s="15">
        <f t="shared" si="5"/>
        <v>4906251</v>
      </c>
      <c r="I12" s="16">
        <f t="shared" si="6"/>
        <v>4906251</v>
      </c>
      <c r="J12" s="14">
        <v>2569525</v>
      </c>
      <c r="K12" s="15">
        <f t="shared" si="7"/>
        <v>488209.75</v>
      </c>
      <c r="L12" s="24">
        <f t="shared" si="8"/>
        <v>3057734.75</v>
      </c>
      <c r="M12" s="13">
        <f t="shared" si="9"/>
        <v>3057734.75</v>
      </c>
      <c r="N12" s="17">
        <v>3258606</v>
      </c>
      <c r="O12" s="15">
        <f t="shared" si="10"/>
        <v>619135.14</v>
      </c>
      <c r="P12" s="27">
        <f t="shared" si="11"/>
        <v>3877741.14</v>
      </c>
      <c r="Q12" s="37">
        <f t="shared" si="12"/>
        <v>3877741.14</v>
      </c>
      <c r="R12" s="47">
        <f t="shared" si="0"/>
        <v>926215.89800219669</v>
      </c>
      <c r="S12" s="48">
        <f t="shared" si="1"/>
        <v>0.23464887584855368</v>
      </c>
      <c r="T12" s="40">
        <f t="shared" si="2"/>
        <v>3947242</v>
      </c>
      <c r="U12" s="40">
        <f t="shared" si="3"/>
        <v>3874742</v>
      </c>
      <c r="V12" s="40">
        <f t="shared" si="13"/>
        <v>3874742</v>
      </c>
      <c r="W12" s="40">
        <f t="shared" si="14"/>
        <v>3874742</v>
      </c>
      <c r="X12" s="25"/>
    </row>
    <row r="13" spans="1:24">
      <c r="A13" s="7">
        <v>9</v>
      </c>
      <c r="B13" s="10" t="s">
        <v>33</v>
      </c>
      <c r="C13" s="3" t="s">
        <v>21</v>
      </c>
      <c r="D13" s="3">
        <v>1</v>
      </c>
      <c r="E13" s="9" t="s">
        <v>22</v>
      </c>
      <c r="F13" s="14">
        <v>4122900</v>
      </c>
      <c r="G13" s="15">
        <f t="shared" si="4"/>
        <v>783351</v>
      </c>
      <c r="H13" s="15">
        <f t="shared" si="5"/>
        <v>4906251</v>
      </c>
      <c r="I13" s="16">
        <f t="shared" si="6"/>
        <v>4906251</v>
      </c>
      <c r="J13" s="14">
        <v>2569525</v>
      </c>
      <c r="K13" s="15">
        <f t="shared" si="7"/>
        <v>488209.75</v>
      </c>
      <c r="L13" s="24">
        <f t="shared" si="8"/>
        <v>3057734.75</v>
      </c>
      <c r="M13" s="13">
        <f t="shared" si="9"/>
        <v>3057734.75</v>
      </c>
      <c r="N13" s="17">
        <v>3258606</v>
      </c>
      <c r="O13" s="15">
        <f t="shared" si="10"/>
        <v>619135.14</v>
      </c>
      <c r="P13" s="27">
        <f t="shared" si="11"/>
        <v>3877741.14</v>
      </c>
      <c r="Q13" s="37">
        <f t="shared" si="12"/>
        <v>3877741.14</v>
      </c>
      <c r="R13" s="47">
        <f t="shared" si="0"/>
        <v>926215.89800219669</v>
      </c>
      <c r="S13" s="48">
        <f t="shared" si="1"/>
        <v>0.23464887584855368</v>
      </c>
      <c r="T13" s="40">
        <f t="shared" si="2"/>
        <v>3947242</v>
      </c>
      <c r="U13" s="40">
        <f t="shared" si="3"/>
        <v>3874742</v>
      </c>
      <c r="V13" s="40">
        <f t="shared" si="13"/>
        <v>3874742</v>
      </c>
      <c r="W13" s="40">
        <f t="shared" si="14"/>
        <v>3874742</v>
      </c>
      <c r="X13" s="25"/>
    </row>
    <row r="14" spans="1:24">
      <c r="A14" s="7">
        <v>10</v>
      </c>
      <c r="B14" s="10" t="s">
        <v>34</v>
      </c>
      <c r="C14" s="3" t="s">
        <v>21</v>
      </c>
      <c r="D14" s="3">
        <v>1</v>
      </c>
      <c r="E14" s="9" t="s">
        <v>22</v>
      </c>
      <c r="F14" s="14">
        <v>4122900</v>
      </c>
      <c r="G14" s="15">
        <f t="shared" si="4"/>
        <v>783351</v>
      </c>
      <c r="H14" s="15">
        <f t="shared" si="5"/>
        <v>4906251</v>
      </c>
      <c r="I14" s="16">
        <f t="shared" si="6"/>
        <v>4906251</v>
      </c>
      <c r="J14" s="14">
        <v>2210523</v>
      </c>
      <c r="K14" s="15">
        <f t="shared" si="7"/>
        <v>419999.37</v>
      </c>
      <c r="L14" s="24">
        <f t="shared" si="8"/>
        <v>2630522.37</v>
      </c>
      <c r="M14" s="13">
        <f t="shared" si="9"/>
        <v>2630522.37</v>
      </c>
      <c r="N14" s="17">
        <v>3258606</v>
      </c>
      <c r="O14" s="15">
        <f t="shared" si="10"/>
        <v>619135.14</v>
      </c>
      <c r="P14" s="27">
        <f t="shared" si="11"/>
        <v>3877741.14</v>
      </c>
      <c r="Q14" s="37">
        <f t="shared" si="12"/>
        <v>3877741.14</v>
      </c>
      <c r="R14" s="47">
        <f t="shared" si="0"/>
        <v>1139614.5539727628</v>
      </c>
      <c r="S14" s="48">
        <f t="shared" si="1"/>
        <v>0.29951723410372866</v>
      </c>
      <c r="T14" s="40">
        <f t="shared" si="2"/>
        <v>3804838</v>
      </c>
      <c r="U14" s="40">
        <f t="shared" si="3"/>
        <v>3685164</v>
      </c>
      <c r="V14" s="40">
        <f t="shared" si="13"/>
        <v>3685164</v>
      </c>
      <c r="W14" s="40">
        <f t="shared" si="14"/>
        <v>3685164</v>
      </c>
      <c r="X14" s="25"/>
    </row>
    <row r="15" spans="1:24">
      <c r="A15" s="7">
        <v>11</v>
      </c>
      <c r="B15" s="10" t="s">
        <v>35</v>
      </c>
      <c r="C15" s="3" t="s">
        <v>21</v>
      </c>
      <c r="D15" s="3">
        <v>2</v>
      </c>
      <c r="E15" s="9" t="s">
        <v>22</v>
      </c>
      <c r="F15" s="14">
        <v>4122850</v>
      </c>
      <c r="G15" s="15">
        <f t="shared" si="4"/>
        <v>783341.5</v>
      </c>
      <c r="H15" s="15">
        <f t="shared" si="5"/>
        <v>4906191.5</v>
      </c>
      <c r="I15" s="16">
        <f t="shared" si="6"/>
        <v>9812383</v>
      </c>
      <c r="J15" s="14">
        <f>5514012/2</f>
        <v>2757006</v>
      </c>
      <c r="K15" s="15">
        <f t="shared" si="7"/>
        <v>523831.14</v>
      </c>
      <c r="L15" s="24">
        <f t="shared" si="8"/>
        <v>3280837.14</v>
      </c>
      <c r="M15" s="13">
        <f t="shared" si="9"/>
        <v>6561674.2800000003</v>
      </c>
      <c r="N15" s="17">
        <v>3258606</v>
      </c>
      <c r="O15" s="15">
        <f t="shared" si="10"/>
        <v>619135.14</v>
      </c>
      <c r="P15" s="27">
        <f t="shared" si="11"/>
        <v>3877741.14</v>
      </c>
      <c r="Q15" s="37">
        <f t="shared" si="12"/>
        <v>7755482.2800000003</v>
      </c>
      <c r="R15" s="47">
        <f t="shared" si="0"/>
        <v>1644340.0548084348</v>
      </c>
      <c r="S15" s="48">
        <f t="shared" si="1"/>
        <v>0.40887809418872506</v>
      </c>
      <c r="T15" s="40">
        <f t="shared" si="2"/>
        <v>4021590</v>
      </c>
      <c r="U15" s="40">
        <f t="shared" si="3"/>
        <v>3966761</v>
      </c>
      <c r="V15" s="40">
        <f t="shared" si="13"/>
        <v>3966761</v>
      </c>
      <c r="W15" s="40">
        <f t="shared" si="14"/>
        <v>7933522</v>
      </c>
      <c r="X15" s="25"/>
    </row>
    <row r="16" spans="1:24">
      <c r="A16" s="7">
        <v>12</v>
      </c>
      <c r="B16" s="10" t="s">
        <v>36</v>
      </c>
      <c r="C16" s="3" t="s">
        <v>21</v>
      </c>
      <c r="D16" s="3">
        <v>3</v>
      </c>
      <c r="E16" s="9" t="s">
        <v>22</v>
      </c>
      <c r="F16" s="14">
        <v>4122866.6666666665</v>
      </c>
      <c r="G16" s="15">
        <f t="shared" si="4"/>
        <v>783344.66666666663</v>
      </c>
      <c r="H16" s="15">
        <f t="shared" si="5"/>
        <v>4906211.333333333</v>
      </c>
      <c r="I16" s="16">
        <f t="shared" si="6"/>
        <v>14718634</v>
      </c>
      <c r="J16" s="14">
        <f>8846542/3</f>
        <v>2948847.3333333335</v>
      </c>
      <c r="K16" s="15">
        <f t="shared" si="7"/>
        <v>560280.9933333334</v>
      </c>
      <c r="L16" s="24">
        <f t="shared" si="8"/>
        <v>3509128.3266666671</v>
      </c>
      <c r="M16" s="13">
        <f t="shared" si="9"/>
        <v>10527384.98</v>
      </c>
      <c r="N16" s="17">
        <v>3258606</v>
      </c>
      <c r="O16" s="15">
        <f t="shared" si="10"/>
        <v>619135.14</v>
      </c>
      <c r="P16" s="27">
        <f t="shared" si="11"/>
        <v>3877741.14</v>
      </c>
      <c r="Q16" s="37">
        <f t="shared" si="12"/>
        <v>11633223.42</v>
      </c>
      <c r="R16" s="47">
        <f t="shared" si="0"/>
        <v>2172142.0092544812</v>
      </c>
      <c r="S16" s="48">
        <f t="shared" si="1"/>
        <v>0.53008887663512239</v>
      </c>
      <c r="T16" s="40">
        <f t="shared" si="2"/>
        <v>4097694</v>
      </c>
      <c r="U16" s="40">
        <f t="shared" si="3"/>
        <v>4056718</v>
      </c>
      <c r="V16" s="40">
        <f t="shared" si="13"/>
        <v>4056718</v>
      </c>
      <c r="W16" s="40">
        <f t="shared" si="14"/>
        <v>12170154</v>
      </c>
      <c r="X16" s="25"/>
    </row>
    <row r="17" spans="1:24">
      <c r="A17" s="7">
        <v>13</v>
      </c>
      <c r="B17" s="10" t="s">
        <v>37</v>
      </c>
      <c r="C17" s="3" t="s">
        <v>21</v>
      </c>
      <c r="D17" s="3">
        <v>1</v>
      </c>
      <c r="E17" s="9" t="s">
        <v>22</v>
      </c>
      <c r="F17" s="14">
        <v>4122900</v>
      </c>
      <c r="G17" s="15">
        <f t="shared" si="4"/>
        <v>783351</v>
      </c>
      <c r="H17" s="15">
        <f t="shared" si="5"/>
        <v>4906251</v>
      </c>
      <c r="I17" s="16">
        <f t="shared" si="6"/>
        <v>4906251</v>
      </c>
      <c r="J17" s="14">
        <v>2507650</v>
      </c>
      <c r="K17" s="15">
        <f t="shared" si="7"/>
        <v>476453.5</v>
      </c>
      <c r="L17" s="24">
        <f t="shared" si="8"/>
        <v>2984103.5</v>
      </c>
      <c r="M17" s="13">
        <f t="shared" si="9"/>
        <v>2984103.5</v>
      </c>
      <c r="N17" s="17">
        <v>3258606</v>
      </c>
      <c r="O17" s="15">
        <f t="shared" si="10"/>
        <v>619135.14</v>
      </c>
      <c r="P17" s="27">
        <f t="shared" si="11"/>
        <v>3877741.14</v>
      </c>
      <c r="Q17" s="37">
        <f t="shared" si="12"/>
        <v>3877741.14</v>
      </c>
      <c r="R17" s="47">
        <f t="shared" si="0"/>
        <v>961862.06352558848</v>
      </c>
      <c r="S17" s="48">
        <f t="shared" si="1"/>
        <v>0.24520414732957804</v>
      </c>
      <c r="T17" s="40">
        <f t="shared" si="2"/>
        <v>3922699</v>
      </c>
      <c r="U17" s="40">
        <f t="shared" si="3"/>
        <v>3843387</v>
      </c>
      <c r="V17" s="40">
        <f t="shared" si="13"/>
        <v>3843387</v>
      </c>
      <c r="W17" s="40">
        <f t="shared" si="14"/>
        <v>3843387</v>
      </c>
      <c r="X17" s="25"/>
    </row>
    <row r="18" spans="1:24">
      <c r="A18" s="7">
        <v>14</v>
      </c>
      <c r="B18" s="10" t="s">
        <v>38</v>
      </c>
      <c r="C18" s="3" t="s">
        <v>21</v>
      </c>
      <c r="D18" s="3">
        <v>1</v>
      </c>
      <c r="E18" s="9" t="s">
        <v>22</v>
      </c>
      <c r="F18" s="14">
        <v>4122900</v>
      </c>
      <c r="G18" s="15">
        <f t="shared" si="4"/>
        <v>783351</v>
      </c>
      <c r="H18" s="15">
        <f t="shared" si="5"/>
        <v>4906251</v>
      </c>
      <c r="I18" s="16">
        <f t="shared" si="6"/>
        <v>4906251</v>
      </c>
      <c r="J18" s="14">
        <v>2101314</v>
      </c>
      <c r="K18" s="15">
        <f t="shared" si="7"/>
        <v>399249.66000000003</v>
      </c>
      <c r="L18" s="24">
        <f t="shared" si="8"/>
        <v>2500563.66</v>
      </c>
      <c r="M18" s="13">
        <f t="shared" si="9"/>
        <v>2500563.66</v>
      </c>
      <c r="N18" s="17">
        <v>3258606</v>
      </c>
      <c r="O18" s="15">
        <f t="shared" si="10"/>
        <v>619135.14</v>
      </c>
      <c r="P18" s="27">
        <f t="shared" si="11"/>
        <v>3877741.14</v>
      </c>
      <c r="Q18" s="37">
        <f t="shared" si="12"/>
        <v>3877741.14</v>
      </c>
      <c r="R18" s="47">
        <f t="shared" si="0"/>
        <v>1207047.4943274211</v>
      </c>
      <c r="S18" s="48">
        <f t="shared" si="1"/>
        <v>0.32089363215430283</v>
      </c>
      <c r="T18" s="40">
        <f t="shared" si="2"/>
        <v>3761519</v>
      </c>
      <c r="U18" s="40">
        <f t="shared" si="3"/>
        <v>3623449</v>
      </c>
      <c r="V18" s="40">
        <f t="shared" si="13"/>
        <v>3623449</v>
      </c>
      <c r="W18" s="40">
        <f t="shared" si="14"/>
        <v>3623449</v>
      </c>
      <c r="X18" s="25"/>
    </row>
    <row r="19" spans="1:24">
      <c r="A19" s="7">
        <v>15</v>
      </c>
      <c r="B19" s="10" t="s">
        <v>39</v>
      </c>
      <c r="C19" s="3" t="s">
        <v>21</v>
      </c>
      <c r="D19" s="3">
        <v>1</v>
      </c>
      <c r="E19" s="9" t="s">
        <v>25</v>
      </c>
      <c r="F19" s="14">
        <v>1537100</v>
      </c>
      <c r="G19" s="15">
        <f t="shared" si="4"/>
        <v>292049</v>
      </c>
      <c r="H19" s="15">
        <f t="shared" si="5"/>
        <v>1829149</v>
      </c>
      <c r="I19" s="16">
        <f t="shared" si="6"/>
        <v>1829149</v>
      </c>
      <c r="J19" s="14">
        <v>2101314</v>
      </c>
      <c r="K19" s="15">
        <f t="shared" si="7"/>
        <v>399249.66000000003</v>
      </c>
      <c r="L19" s="24">
        <f t="shared" si="8"/>
        <v>2500563.66</v>
      </c>
      <c r="M19" s="13">
        <f t="shared" si="9"/>
        <v>2500563.66</v>
      </c>
      <c r="N19" s="17">
        <v>999649</v>
      </c>
      <c r="O19" s="15">
        <f t="shared" si="10"/>
        <v>189933.31</v>
      </c>
      <c r="P19" s="27">
        <f t="shared" si="11"/>
        <v>1189582.31</v>
      </c>
      <c r="Q19" s="37">
        <f t="shared" si="12"/>
        <v>1189582.31</v>
      </c>
      <c r="R19" s="47">
        <f t="shared" si="0"/>
        <v>655555.14599819505</v>
      </c>
      <c r="S19" s="48">
        <f t="shared" si="1"/>
        <v>0.35632547961190425</v>
      </c>
      <c r="T19" s="40">
        <f t="shared" si="2"/>
        <v>1839765</v>
      </c>
      <c r="U19" s="40">
        <f t="shared" si="3"/>
        <v>1758843</v>
      </c>
      <c r="V19" s="40">
        <f t="shared" si="13"/>
        <v>1758843</v>
      </c>
      <c r="W19" s="40">
        <f t="shared" si="14"/>
        <v>1758843</v>
      </c>
      <c r="X19" s="25"/>
    </row>
    <row r="20" spans="1:24">
      <c r="A20" s="7">
        <v>16</v>
      </c>
      <c r="B20" s="10" t="s">
        <v>40</v>
      </c>
      <c r="C20" s="3" t="s">
        <v>21</v>
      </c>
      <c r="D20" s="3">
        <v>2</v>
      </c>
      <c r="E20" s="9" t="s">
        <v>25</v>
      </c>
      <c r="F20" s="14">
        <v>1537100</v>
      </c>
      <c r="G20" s="15">
        <f t="shared" si="4"/>
        <v>292049</v>
      </c>
      <c r="H20" s="15">
        <f t="shared" si="5"/>
        <v>1829149</v>
      </c>
      <c r="I20" s="16">
        <f t="shared" si="6"/>
        <v>3658298</v>
      </c>
      <c r="J20" s="14">
        <f>5202628/2</f>
        <v>2601314</v>
      </c>
      <c r="K20" s="15">
        <f t="shared" si="7"/>
        <v>494249.66000000003</v>
      </c>
      <c r="L20" s="24">
        <f t="shared" si="8"/>
        <v>3095563.66</v>
      </c>
      <c r="M20" s="13">
        <f t="shared" si="9"/>
        <v>6191127.3200000003</v>
      </c>
      <c r="N20" s="17">
        <v>999649</v>
      </c>
      <c r="O20" s="15">
        <f t="shared" si="10"/>
        <v>189933.31</v>
      </c>
      <c r="P20" s="27">
        <f t="shared" si="11"/>
        <v>1189582.31</v>
      </c>
      <c r="Q20" s="37">
        <f t="shared" si="12"/>
        <v>2379164.62</v>
      </c>
      <c r="R20" s="47">
        <f t="shared" si="0"/>
        <v>1940037.2073009806</v>
      </c>
      <c r="S20" s="48">
        <f t="shared" si="1"/>
        <v>0.95188612485806889</v>
      </c>
      <c r="T20" s="40">
        <f t="shared" si="2"/>
        <v>2038098</v>
      </c>
      <c r="U20" s="40">
        <f t="shared" si="3"/>
        <v>1888547</v>
      </c>
      <c r="V20" s="40">
        <f t="shared" si="13"/>
        <v>1888547</v>
      </c>
      <c r="W20" s="40">
        <f t="shared" si="14"/>
        <v>3777094</v>
      </c>
      <c r="X20" s="25"/>
    </row>
    <row r="21" spans="1:24">
      <c r="A21" s="7">
        <v>17</v>
      </c>
      <c r="B21" s="10" t="s">
        <v>41</v>
      </c>
      <c r="C21" s="3" t="s">
        <v>21</v>
      </c>
      <c r="D21" s="3">
        <v>3</v>
      </c>
      <c r="E21" s="9" t="s">
        <v>22</v>
      </c>
      <c r="F21" s="14">
        <v>4122866.6666666665</v>
      </c>
      <c r="G21" s="15">
        <f t="shared" si="4"/>
        <v>783344.66666666663</v>
      </c>
      <c r="H21" s="15">
        <f t="shared" si="5"/>
        <v>4906211.333333333</v>
      </c>
      <c r="I21" s="16">
        <f t="shared" si="6"/>
        <v>14718634</v>
      </c>
      <c r="J21" s="14">
        <f>8840030/3</f>
        <v>2946676.6666666665</v>
      </c>
      <c r="K21" s="15">
        <f t="shared" si="7"/>
        <v>559868.56666666665</v>
      </c>
      <c r="L21" s="24">
        <f t="shared" si="8"/>
        <v>3506545.2333333334</v>
      </c>
      <c r="M21" s="13">
        <f t="shared" si="9"/>
        <v>10519635.699999999</v>
      </c>
      <c r="N21" s="17">
        <v>3258606</v>
      </c>
      <c r="O21" s="15">
        <f t="shared" si="10"/>
        <v>619135.14</v>
      </c>
      <c r="P21" s="27">
        <f t="shared" si="11"/>
        <v>3877741.14</v>
      </c>
      <c r="Q21" s="37">
        <f t="shared" si="12"/>
        <v>11633223.42</v>
      </c>
      <c r="R21" s="47">
        <f t="shared" si="0"/>
        <v>2175293.9564081049</v>
      </c>
      <c r="S21" s="48">
        <f t="shared" si="1"/>
        <v>0.53096964323615459</v>
      </c>
      <c r="T21" s="40">
        <f t="shared" si="2"/>
        <v>4096833</v>
      </c>
      <c r="U21" s="40">
        <f t="shared" si="3"/>
        <v>4055722</v>
      </c>
      <c r="V21" s="40">
        <f t="shared" si="13"/>
        <v>4055722</v>
      </c>
      <c r="W21" s="40">
        <f t="shared" si="14"/>
        <v>12167166</v>
      </c>
      <c r="X21" s="25"/>
    </row>
    <row r="22" spans="1:24">
      <c r="A22" s="7">
        <v>18</v>
      </c>
      <c r="B22" s="10" t="s">
        <v>42</v>
      </c>
      <c r="C22" s="3" t="s">
        <v>21</v>
      </c>
      <c r="D22" s="3">
        <v>2</v>
      </c>
      <c r="E22" s="9" t="s">
        <v>22</v>
      </c>
      <c r="F22" s="14">
        <v>4122850</v>
      </c>
      <c r="G22" s="15">
        <f t="shared" si="4"/>
        <v>783341.5</v>
      </c>
      <c r="H22" s="15">
        <f t="shared" si="5"/>
        <v>4906191.5</v>
      </c>
      <c r="I22" s="16">
        <f t="shared" si="6"/>
        <v>9812383</v>
      </c>
      <c r="J22" s="14">
        <f>5442054/2</f>
        <v>2721027</v>
      </c>
      <c r="K22" s="15">
        <f t="shared" si="7"/>
        <v>516995.13</v>
      </c>
      <c r="L22" s="24">
        <f t="shared" si="8"/>
        <v>3238022.13</v>
      </c>
      <c r="M22" s="13">
        <f t="shared" si="9"/>
        <v>6476044.2599999998</v>
      </c>
      <c r="N22" s="17">
        <v>3258606</v>
      </c>
      <c r="O22" s="15">
        <f t="shared" si="10"/>
        <v>619135.14</v>
      </c>
      <c r="P22" s="27">
        <f t="shared" si="11"/>
        <v>3877741.14</v>
      </c>
      <c r="Q22" s="37">
        <f t="shared" si="12"/>
        <v>7755482.2800000003</v>
      </c>
      <c r="R22" s="47">
        <f t="shared" si="0"/>
        <v>1683199.2557321135</v>
      </c>
      <c r="S22" s="48">
        <f t="shared" si="1"/>
        <v>0.42003136654792894</v>
      </c>
      <c r="T22" s="40">
        <f t="shared" si="2"/>
        <v>4007318</v>
      </c>
      <c r="U22" s="40">
        <f t="shared" si="3"/>
        <v>3949430</v>
      </c>
      <c r="V22" s="40">
        <f t="shared" si="13"/>
        <v>3949430</v>
      </c>
      <c r="W22" s="40">
        <f t="shared" si="14"/>
        <v>7898860</v>
      </c>
      <c r="X22" s="25"/>
    </row>
    <row r="23" spans="1:24">
      <c r="A23" s="7">
        <v>19</v>
      </c>
      <c r="B23" s="10" t="s">
        <v>43</v>
      </c>
      <c r="C23" s="3" t="s">
        <v>21</v>
      </c>
      <c r="D23" s="3">
        <v>1</v>
      </c>
      <c r="E23" s="9" t="s">
        <v>22</v>
      </c>
      <c r="F23" s="14">
        <v>4122900</v>
      </c>
      <c r="G23" s="15">
        <f t="shared" si="4"/>
        <v>783351</v>
      </c>
      <c r="H23" s="15">
        <f t="shared" si="5"/>
        <v>4906251</v>
      </c>
      <c r="I23" s="16">
        <f t="shared" si="6"/>
        <v>4906251</v>
      </c>
      <c r="J23" s="14">
        <v>2130454</v>
      </c>
      <c r="K23" s="15">
        <f t="shared" si="7"/>
        <v>404786.26</v>
      </c>
      <c r="L23" s="24">
        <f t="shared" si="8"/>
        <v>2535240.2599999998</v>
      </c>
      <c r="M23" s="13">
        <f t="shared" si="9"/>
        <v>2535240.2599999998</v>
      </c>
      <c r="N23" s="17">
        <v>6517212</v>
      </c>
      <c r="O23" s="15">
        <f t="shared" si="10"/>
        <v>1238270.28</v>
      </c>
      <c r="P23" s="27">
        <f t="shared" si="11"/>
        <v>7755482.2800000003</v>
      </c>
      <c r="Q23" s="37">
        <f t="shared" si="12"/>
        <v>7755482.2800000003</v>
      </c>
      <c r="R23" s="47">
        <f t="shared" si="0"/>
        <v>2613769.2311901958</v>
      </c>
      <c r="S23" s="48">
        <f t="shared" si="1"/>
        <v>0.51597822655816794</v>
      </c>
      <c r="T23" s="40">
        <f t="shared" si="2"/>
        <v>5065658</v>
      </c>
      <c r="U23" s="40">
        <f t="shared" si="3"/>
        <v>4586266</v>
      </c>
      <c r="V23" s="40">
        <f t="shared" si="13"/>
        <v>4586266</v>
      </c>
      <c r="W23" s="40">
        <f t="shared" si="14"/>
        <v>4586266</v>
      </c>
      <c r="X23" s="25"/>
    </row>
    <row r="24" spans="1:24">
      <c r="A24" s="7">
        <v>20</v>
      </c>
      <c r="B24" s="10" t="s">
        <v>44</v>
      </c>
      <c r="C24" s="3" t="s">
        <v>21</v>
      </c>
      <c r="D24" s="3">
        <v>3</v>
      </c>
      <c r="E24" s="9" t="s">
        <v>22</v>
      </c>
      <c r="F24" s="14">
        <v>4122866.6666666665</v>
      </c>
      <c r="G24" s="15">
        <f t="shared" si="4"/>
        <v>783344.66666666663</v>
      </c>
      <c r="H24" s="15">
        <f t="shared" si="5"/>
        <v>4906211.333333333</v>
      </c>
      <c r="I24" s="16">
        <f t="shared" si="6"/>
        <v>14718634</v>
      </c>
      <c r="J24" s="14">
        <f>8719724/3</f>
        <v>2906574.6666666665</v>
      </c>
      <c r="K24" s="15">
        <f t="shared" si="7"/>
        <v>552249.18666666665</v>
      </c>
      <c r="L24" s="24">
        <f t="shared" si="8"/>
        <v>3458823.853333333</v>
      </c>
      <c r="M24" s="13">
        <f t="shared" si="9"/>
        <v>10376471.559999999</v>
      </c>
      <c r="N24" s="17">
        <v>3258606</v>
      </c>
      <c r="O24" s="15">
        <f t="shared" si="10"/>
        <v>619135.14</v>
      </c>
      <c r="P24" s="27">
        <f t="shared" si="11"/>
        <v>3877741.14</v>
      </c>
      <c r="Q24" s="37">
        <f t="shared" si="12"/>
        <v>11633223.42</v>
      </c>
      <c r="R24" s="47">
        <f t="shared" si="0"/>
        <v>2234336.5286715566</v>
      </c>
      <c r="S24" s="48">
        <f t="shared" si="1"/>
        <v>0.54750737361543189</v>
      </c>
      <c r="T24" s="40">
        <f t="shared" si="2"/>
        <v>4080925</v>
      </c>
      <c r="U24" s="40">
        <f t="shared" si="3"/>
        <v>4037239</v>
      </c>
      <c r="V24" s="40">
        <f t="shared" si="13"/>
        <v>4037239</v>
      </c>
      <c r="W24" s="40">
        <f t="shared" si="14"/>
        <v>12111717</v>
      </c>
      <c r="X24" s="25"/>
    </row>
    <row r="25" spans="1:24">
      <c r="A25" s="7">
        <v>21</v>
      </c>
      <c r="B25" s="10" t="s">
        <v>45</v>
      </c>
      <c r="C25" s="3" t="s">
        <v>21</v>
      </c>
      <c r="D25" s="3">
        <v>1</v>
      </c>
      <c r="E25" s="9" t="s">
        <v>25</v>
      </c>
      <c r="F25" s="14">
        <v>1537100</v>
      </c>
      <c r="G25" s="15">
        <f t="shared" si="4"/>
        <v>292049</v>
      </c>
      <c r="H25" s="15">
        <f t="shared" si="5"/>
        <v>1829149</v>
      </c>
      <c r="I25" s="16">
        <f t="shared" si="6"/>
        <v>1829149</v>
      </c>
      <c r="J25" s="14">
        <v>2530454</v>
      </c>
      <c r="K25" s="15">
        <f t="shared" si="7"/>
        <v>480786.26</v>
      </c>
      <c r="L25" s="24">
        <f t="shared" si="8"/>
        <v>3011240.26</v>
      </c>
      <c r="M25" s="13">
        <f t="shared" si="9"/>
        <v>3011240.26</v>
      </c>
      <c r="N25" s="17">
        <v>999649</v>
      </c>
      <c r="O25" s="15">
        <f t="shared" si="10"/>
        <v>189933.31</v>
      </c>
      <c r="P25" s="27">
        <f t="shared" si="11"/>
        <v>1189582.31</v>
      </c>
      <c r="Q25" s="37">
        <f t="shared" si="12"/>
        <v>1189582.31</v>
      </c>
      <c r="R25" s="47">
        <f t="shared" si="0"/>
        <v>924195.41446638352</v>
      </c>
      <c r="S25" s="48">
        <f t="shared" si="1"/>
        <v>0.4598007724742964</v>
      </c>
      <c r="T25" s="40">
        <f t="shared" si="2"/>
        <v>2009991</v>
      </c>
      <c r="U25" s="40">
        <f t="shared" si="3"/>
        <v>1871241</v>
      </c>
      <c r="V25" s="40">
        <f t="shared" si="13"/>
        <v>1871241</v>
      </c>
      <c r="W25" s="40">
        <f t="shared" si="14"/>
        <v>1871241</v>
      </c>
      <c r="X25" s="25"/>
    </row>
    <row r="26" spans="1:24">
      <c r="A26" s="7">
        <v>22</v>
      </c>
      <c r="B26" s="10" t="s">
        <v>46</v>
      </c>
      <c r="C26" s="3" t="s">
        <v>21</v>
      </c>
      <c r="D26" s="3">
        <v>2</v>
      </c>
      <c r="E26" s="9" t="s">
        <v>25</v>
      </c>
      <c r="F26" s="14">
        <v>1537100</v>
      </c>
      <c r="G26" s="15">
        <f t="shared" si="4"/>
        <v>292049</v>
      </c>
      <c r="H26" s="15">
        <f t="shared" si="5"/>
        <v>1829149</v>
      </c>
      <c r="I26" s="16">
        <f t="shared" si="6"/>
        <v>3658298</v>
      </c>
      <c r="J26" s="14">
        <f>5208140/2</f>
        <v>2604070</v>
      </c>
      <c r="K26" s="15">
        <f t="shared" si="7"/>
        <v>494773.3</v>
      </c>
      <c r="L26" s="24">
        <f t="shared" si="8"/>
        <v>3098843.3</v>
      </c>
      <c r="M26" s="13">
        <f t="shared" si="9"/>
        <v>6197686.5999999996</v>
      </c>
      <c r="N26" s="17">
        <v>999649</v>
      </c>
      <c r="O26" s="15">
        <f t="shared" si="10"/>
        <v>189933.31</v>
      </c>
      <c r="P26" s="27">
        <f t="shared" si="11"/>
        <v>1189582.31</v>
      </c>
      <c r="Q26" s="37">
        <f t="shared" si="12"/>
        <v>2379164.62</v>
      </c>
      <c r="R26" s="47">
        <f t="shared" si="0"/>
        <v>1943612.9063071902</v>
      </c>
      <c r="S26" s="48">
        <f t="shared" si="1"/>
        <v>0.95312893847523439</v>
      </c>
      <c r="T26" s="40">
        <f t="shared" si="2"/>
        <v>2039192</v>
      </c>
      <c r="U26" s="40">
        <f t="shared" si="3"/>
        <v>1889214</v>
      </c>
      <c r="V26" s="40">
        <f t="shared" si="13"/>
        <v>1889214</v>
      </c>
      <c r="W26" s="40">
        <f t="shared" si="14"/>
        <v>3778428</v>
      </c>
      <c r="X26" s="25"/>
    </row>
    <row r="27" spans="1:24">
      <c r="A27" s="7">
        <v>23</v>
      </c>
      <c r="B27" s="10" t="s">
        <v>47</v>
      </c>
      <c r="C27" s="3" t="s">
        <v>21</v>
      </c>
      <c r="D27" s="3">
        <v>2</v>
      </c>
      <c r="E27" s="9" t="s">
        <v>25</v>
      </c>
      <c r="F27" s="14">
        <v>1537100</v>
      </c>
      <c r="G27" s="15">
        <f t="shared" si="4"/>
        <v>292049</v>
      </c>
      <c r="H27" s="15">
        <f t="shared" si="5"/>
        <v>1829149</v>
      </c>
      <c r="I27" s="16">
        <f t="shared" si="6"/>
        <v>3658298</v>
      </c>
      <c r="J27" s="14">
        <f>5208140/2</f>
        <v>2604070</v>
      </c>
      <c r="K27" s="15">
        <f t="shared" si="7"/>
        <v>494773.3</v>
      </c>
      <c r="L27" s="24">
        <f t="shared" si="8"/>
        <v>3098843.3</v>
      </c>
      <c r="M27" s="13">
        <f t="shared" si="9"/>
        <v>6197686.5999999996</v>
      </c>
      <c r="N27" s="17">
        <v>999649</v>
      </c>
      <c r="O27" s="15">
        <f t="shared" si="10"/>
        <v>189933.31</v>
      </c>
      <c r="P27" s="27">
        <f t="shared" si="11"/>
        <v>1189582.31</v>
      </c>
      <c r="Q27" s="37">
        <f t="shared" si="12"/>
        <v>2379164.62</v>
      </c>
      <c r="R27" s="47">
        <f t="shared" si="0"/>
        <v>1943612.9063071902</v>
      </c>
      <c r="S27" s="48">
        <f t="shared" si="1"/>
        <v>0.95312893847523439</v>
      </c>
      <c r="T27" s="40">
        <f t="shared" si="2"/>
        <v>2039192</v>
      </c>
      <c r="U27" s="40">
        <f t="shared" si="3"/>
        <v>1889214</v>
      </c>
      <c r="V27" s="40">
        <f t="shared" si="13"/>
        <v>1889214</v>
      </c>
      <c r="W27" s="40">
        <f t="shared" si="14"/>
        <v>3778428</v>
      </c>
      <c r="X27" s="25"/>
    </row>
    <row r="28" spans="1:24">
      <c r="A28" s="7">
        <v>24</v>
      </c>
      <c r="B28" s="10" t="s">
        <v>48</v>
      </c>
      <c r="C28" s="3" t="s">
        <v>21</v>
      </c>
      <c r="D28" s="3">
        <v>1</v>
      </c>
      <c r="E28" s="9" t="s">
        <v>25</v>
      </c>
      <c r="F28" s="14">
        <v>1537100</v>
      </c>
      <c r="G28" s="15">
        <f t="shared" si="4"/>
        <v>292049</v>
      </c>
      <c r="H28" s="15">
        <f t="shared" si="5"/>
        <v>1829149</v>
      </c>
      <c r="I28" s="16">
        <f t="shared" si="6"/>
        <v>1829149</v>
      </c>
      <c r="J28" s="14">
        <v>2104070</v>
      </c>
      <c r="K28" s="15">
        <f t="shared" si="7"/>
        <v>399773.3</v>
      </c>
      <c r="L28" s="24">
        <f t="shared" si="8"/>
        <v>2503843.2999999998</v>
      </c>
      <c r="M28" s="13">
        <f t="shared" si="9"/>
        <v>2503843.2999999998</v>
      </c>
      <c r="N28" s="17">
        <v>999649</v>
      </c>
      <c r="O28" s="15">
        <f t="shared" si="10"/>
        <v>189933.31</v>
      </c>
      <c r="P28" s="27">
        <f t="shared" si="11"/>
        <v>1189582.31</v>
      </c>
      <c r="Q28" s="37">
        <f t="shared" si="12"/>
        <v>1189582.31</v>
      </c>
      <c r="R28" s="47">
        <f t="shared" si="0"/>
        <v>657208.73133348709</v>
      </c>
      <c r="S28" s="48">
        <f t="shared" si="1"/>
        <v>0.3570121820007231</v>
      </c>
      <c r="T28" s="40">
        <f t="shared" si="2"/>
        <v>1840858</v>
      </c>
      <c r="U28" s="40">
        <f t="shared" si="3"/>
        <v>1759612</v>
      </c>
      <c r="V28" s="40">
        <f t="shared" si="13"/>
        <v>1759612</v>
      </c>
      <c r="W28" s="40">
        <f t="shared" si="14"/>
        <v>1759612</v>
      </c>
      <c r="X28" s="25"/>
    </row>
    <row r="29" spans="1:24">
      <c r="A29" s="7">
        <v>25</v>
      </c>
      <c r="B29" s="10" t="s">
        <v>49</v>
      </c>
      <c r="C29" s="3" t="s">
        <v>21</v>
      </c>
      <c r="D29" s="3">
        <v>3</v>
      </c>
      <c r="E29" s="9" t="s">
        <v>25</v>
      </c>
      <c r="F29" s="14">
        <v>1537100</v>
      </c>
      <c r="G29" s="15">
        <f t="shared" si="4"/>
        <v>292049</v>
      </c>
      <c r="H29" s="15">
        <f t="shared" si="5"/>
        <v>1829149</v>
      </c>
      <c r="I29" s="16">
        <f t="shared" si="6"/>
        <v>5487447</v>
      </c>
      <c r="J29" s="14">
        <f>8312210/3</f>
        <v>2770736.6666666665</v>
      </c>
      <c r="K29" s="15">
        <f t="shared" si="7"/>
        <v>526439.96666666667</v>
      </c>
      <c r="L29" s="24">
        <f t="shared" si="8"/>
        <v>3297176.6333333333</v>
      </c>
      <c r="M29" s="13">
        <f t="shared" si="9"/>
        <v>9891529.9000000004</v>
      </c>
      <c r="N29" s="17">
        <v>999649</v>
      </c>
      <c r="O29" s="15">
        <f t="shared" si="10"/>
        <v>189933.31</v>
      </c>
      <c r="P29" s="27">
        <f t="shared" si="11"/>
        <v>1189582.31</v>
      </c>
      <c r="Q29" s="37">
        <f t="shared" si="12"/>
        <v>3568746.93</v>
      </c>
      <c r="R29" s="47">
        <f t="shared" si="0"/>
        <v>3241782.9619519659</v>
      </c>
      <c r="S29" s="48">
        <f t="shared" si="1"/>
        <v>1.5398177658759646</v>
      </c>
      <c r="T29" s="40">
        <f t="shared" si="2"/>
        <v>2105303</v>
      </c>
      <c r="U29" s="40">
        <f t="shared" si="3"/>
        <v>1928688</v>
      </c>
      <c r="V29" s="40">
        <f t="shared" si="13"/>
        <v>1928688</v>
      </c>
      <c r="W29" s="40">
        <f t="shared" si="14"/>
        <v>5786064</v>
      </c>
      <c r="X29" s="25"/>
    </row>
    <row r="30" spans="1:24">
      <c r="A30" s="7">
        <v>26</v>
      </c>
      <c r="B30" s="10" t="s">
        <v>50</v>
      </c>
      <c r="C30" s="3" t="s">
        <v>28</v>
      </c>
      <c r="D30" s="3">
        <v>1</v>
      </c>
      <c r="E30" s="9" t="s">
        <v>22</v>
      </c>
      <c r="F30" s="14">
        <v>4122900</v>
      </c>
      <c r="G30" s="15">
        <f t="shared" si="4"/>
        <v>783351</v>
      </c>
      <c r="H30" s="15">
        <f t="shared" si="5"/>
        <v>4906251</v>
      </c>
      <c r="I30" s="16">
        <f t="shared" si="6"/>
        <v>4906251</v>
      </c>
      <c r="J30" s="14">
        <v>2239898</v>
      </c>
      <c r="K30" s="15">
        <f>J30*19%</f>
        <v>425580.62</v>
      </c>
      <c r="L30" s="24">
        <f t="shared" si="8"/>
        <v>2665478.62</v>
      </c>
      <c r="M30" s="13">
        <f t="shared" si="9"/>
        <v>2665478.62</v>
      </c>
      <c r="N30" s="17">
        <v>2257403</v>
      </c>
      <c r="O30" s="15">
        <f t="shared" si="10"/>
        <v>428906.57</v>
      </c>
      <c r="P30" s="27">
        <f t="shared" si="11"/>
        <v>2686309.57</v>
      </c>
      <c r="Q30" s="37">
        <f t="shared" si="12"/>
        <v>2686309.57</v>
      </c>
      <c r="R30" s="47">
        <f t="shared" si="0"/>
        <v>1287739.2813298309</v>
      </c>
      <c r="S30" s="48">
        <f t="shared" si="1"/>
        <v>0.37660397085578085</v>
      </c>
      <c r="T30" s="40">
        <f t="shared" si="2"/>
        <v>3419346</v>
      </c>
      <c r="U30" s="40">
        <f t="shared" si="3"/>
        <v>3275118</v>
      </c>
      <c r="V30" s="40">
        <f t="shared" si="13"/>
        <v>3275118</v>
      </c>
      <c r="W30" s="40">
        <f t="shared" si="14"/>
        <v>3275118</v>
      </c>
      <c r="X30" s="25"/>
    </row>
    <row r="31" spans="1:24" s="4" customFormat="1" ht="41.25" customHeight="1">
      <c r="A31" s="8">
        <v>27</v>
      </c>
      <c r="B31" s="11" t="s">
        <v>51</v>
      </c>
      <c r="C31" s="2" t="s">
        <v>28</v>
      </c>
      <c r="D31" s="2">
        <v>2</v>
      </c>
      <c r="E31" s="9" t="s">
        <v>22</v>
      </c>
      <c r="F31" s="14">
        <v>4122850</v>
      </c>
      <c r="G31" s="15">
        <f t="shared" si="4"/>
        <v>783341.5</v>
      </c>
      <c r="H31" s="15">
        <f t="shared" si="5"/>
        <v>4906191.5</v>
      </c>
      <c r="I31" s="16">
        <f t="shared" si="6"/>
        <v>9812383</v>
      </c>
      <c r="J31" s="14">
        <f>5539374/2</f>
        <v>2769687</v>
      </c>
      <c r="K31" s="15">
        <f t="shared" si="7"/>
        <v>526240.53</v>
      </c>
      <c r="L31" s="24">
        <f t="shared" si="8"/>
        <v>3295927.5300000003</v>
      </c>
      <c r="M31" s="13">
        <f t="shared" si="9"/>
        <v>6591855.0600000005</v>
      </c>
      <c r="N31" s="17">
        <v>3258606</v>
      </c>
      <c r="O31" s="15">
        <f t="shared" si="10"/>
        <v>619135.14</v>
      </c>
      <c r="P31" s="27">
        <f t="shared" si="11"/>
        <v>3877741.14</v>
      </c>
      <c r="Q31" s="37">
        <f t="shared" si="12"/>
        <v>7755482.2800000003</v>
      </c>
      <c r="R31" s="47">
        <f t="shared" si="0"/>
        <v>1630780.4415566456</v>
      </c>
      <c r="S31" s="48">
        <f t="shared" si="1"/>
        <v>0.40499983647740428</v>
      </c>
      <c r="T31" s="40">
        <f t="shared" si="2"/>
        <v>4026620</v>
      </c>
      <c r="U31" s="40">
        <f t="shared" si="3"/>
        <v>3972833</v>
      </c>
      <c r="V31" s="40">
        <f t="shared" si="13"/>
        <v>3972833</v>
      </c>
      <c r="W31" s="40">
        <f t="shared" si="14"/>
        <v>7945666</v>
      </c>
      <c r="X31" s="46"/>
    </row>
    <row r="32" spans="1:24" s="4" customFormat="1" ht="41.25" customHeight="1">
      <c r="A32" s="8">
        <v>28</v>
      </c>
      <c r="B32" s="11" t="s">
        <v>52</v>
      </c>
      <c r="C32" s="2" t="s">
        <v>21</v>
      </c>
      <c r="D32" s="2">
        <v>2</v>
      </c>
      <c r="E32" s="9" t="s">
        <v>25</v>
      </c>
      <c r="F32" s="14">
        <v>1537100</v>
      </c>
      <c r="G32" s="15">
        <f t="shared" si="4"/>
        <v>292049</v>
      </c>
      <c r="H32" s="15">
        <f t="shared" si="5"/>
        <v>1829149</v>
      </c>
      <c r="I32" s="16">
        <f t="shared" si="6"/>
        <v>3658298</v>
      </c>
      <c r="J32" s="14">
        <f>5476236/2</f>
        <v>2738118</v>
      </c>
      <c r="K32" s="15">
        <f t="shared" si="7"/>
        <v>520242.42</v>
      </c>
      <c r="L32" s="24">
        <f t="shared" si="8"/>
        <v>3258360.42</v>
      </c>
      <c r="M32" s="13">
        <f t="shared" si="9"/>
        <v>6516720.8399999999</v>
      </c>
      <c r="N32" s="17">
        <v>999649</v>
      </c>
      <c r="O32" s="15">
        <f t="shared" si="10"/>
        <v>189933.31</v>
      </c>
      <c r="P32" s="27">
        <f t="shared" si="11"/>
        <v>1189582.31</v>
      </c>
      <c r="Q32" s="37">
        <f t="shared" si="12"/>
        <v>2379164.62</v>
      </c>
      <c r="R32" s="47">
        <f t="shared" si="0"/>
        <v>2118416.6575426301</v>
      </c>
      <c r="S32" s="48">
        <f t="shared" si="1"/>
        <v>1.0124513027095812</v>
      </c>
      <c r="T32" s="40">
        <f t="shared" si="2"/>
        <v>2092364</v>
      </c>
      <c r="U32" s="40">
        <f t="shared" si="3"/>
        <v>1921089</v>
      </c>
      <c r="V32" s="40">
        <f t="shared" si="13"/>
        <v>1921089</v>
      </c>
      <c r="W32" s="40">
        <f t="shared" si="14"/>
        <v>3842178</v>
      </c>
      <c r="X32" s="46"/>
    </row>
    <row r="33" spans="1:24" s="4" customFormat="1" ht="41.25" customHeight="1">
      <c r="A33" s="8">
        <v>29</v>
      </c>
      <c r="B33" s="11" t="s">
        <v>53</v>
      </c>
      <c r="C33" s="2" t="s">
        <v>21</v>
      </c>
      <c r="D33" s="2">
        <v>2</v>
      </c>
      <c r="E33" s="9" t="s">
        <v>25</v>
      </c>
      <c r="F33" s="14">
        <v>1537100</v>
      </c>
      <c r="G33" s="15">
        <f t="shared" si="4"/>
        <v>292049</v>
      </c>
      <c r="H33" s="15">
        <f t="shared" si="5"/>
        <v>1829149</v>
      </c>
      <c r="I33" s="16">
        <f t="shared" si="6"/>
        <v>3658298</v>
      </c>
      <c r="J33" s="14">
        <f>5476236/2</f>
        <v>2738118</v>
      </c>
      <c r="K33" s="15">
        <f t="shared" si="7"/>
        <v>520242.42</v>
      </c>
      <c r="L33" s="24">
        <f t="shared" si="8"/>
        <v>3258360.42</v>
      </c>
      <c r="M33" s="13">
        <f t="shared" si="9"/>
        <v>6516720.8399999999</v>
      </c>
      <c r="N33" s="17">
        <v>999649</v>
      </c>
      <c r="O33" s="15">
        <f t="shared" si="10"/>
        <v>189933.31</v>
      </c>
      <c r="P33" s="27">
        <f t="shared" si="11"/>
        <v>1189582.31</v>
      </c>
      <c r="Q33" s="37">
        <f t="shared" si="12"/>
        <v>2379164.62</v>
      </c>
      <c r="R33" s="47">
        <f t="shared" si="0"/>
        <v>2118416.6575426301</v>
      </c>
      <c r="S33" s="48">
        <f t="shared" si="1"/>
        <v>1.0124513027095812</v>
      </c>
      <c r="T33" s="40">
        <f t="shared" si="2"/>
        <v>2092364</v>
      </c>
      <c r="U33" s="40">
        <f t="shared" si="3"/>
        <v>1921089</v>
      </c>
      <c r="V33" s="40">
        <f t="shared" si="13"/>
        <v>1921089</v>
      </c>
      <c r="W33" s="40">
        <f t="shared" si="14"/>
        <v>3842178</v>
      </c>
      <c r="X33" s="46"/>
    </row>
    <row r="34" spans="1:24" s="4" customFormat="1" ht="41.25" customHeight="1">
      <c r="A34" s="8">
        <v>30</v>
      </c>
      <c r="B34" s="11" t="s">
        <v>54</v>
      </c>
      <c r="C34" s="2" t="s">
        <v>21</v>
      </c>
      <c r="D34" s="2">
        <v>1</v>
      </c>
      <c r="E34" s="9" t="s">
        <v>25</v>
      </c>
      <c r="F34" s="14">
        <v>1537100</v>
      </c>
      <c r="G34" s="15">
        <f t="shared" si="4"/>
        <v>292049</v>
      </c>
      <c r="H34" s="15">
        <f t="shared" si="5"/>
        <v>1829149</v>
      </c>
      <c r="I34" s="16">
        <f t="shared" si="6"/>
        <v>1829149</v>
      </c>
      <c r="J34" s="14">
        <v>3183391</v>
      </c>
      <c r="K34" s="15">
        <f t="shared" si="7"/>
        <v>604844.29</v>
      </c>
      <c r="L34" s="24">
        <f t="shared" si="8"/>
        <v>3788235.29</v>
      </c>
      <c r="M34" s="13">
        <f t="shared" si="9"/>
        <v>3788235.29</v>
      </c>
      <c r="N34" s="17">
        <v>999649</v>
      </c>
      <c r="O34" s="15">
        <f t="shared" si="10"/>
        <v>189933.31</v>
      </c>
      <c r="P34" s="27">
        <f t="shared" si="11"/>
        <v>1189582.31</v>
      </c>
      <c r="Q34" s="37">
        <f t="shared" si="12"/>
        <v>1189582.31</v>
      </c>
      <c r="R34" s="47">
        <f t="shared" si="0"/>
        <v>1354010.2137161796</v>
      </c>
      <c r="S34" s="48">
        <f t="shared" si="1"/>
        <v>0.59674604580109447</v>
      </c>
      <c r="T34" s="40">
        <f t="shared" si="2"/>
        <v>2268989</v>
      </c>
      <c r="U34" s="40">
        <f t="shared" si="3"/>
        <v>2020041</v>
      </c>
      <c r="V34" s="40">
        <f t="shared" si="13"/>
        <v>2020041</v>
      </c>
      <c r="W34" s="40">
        <f t="shared" si="14"/>
        <v>2020041</v>
      </c>
      <c r="X34" s="46"/>
    </row>
    <row r="35" spans="1:24" s="4" customFormat="1" ht="41.25" customHeight="1">
      <c r="A35" s="8">
        <v>31</v>
      </c>
      <c r="B35" s="11" t="s">
        <v>55</v>
      </c>
      <c r="C35" s="2" t="s">
        <v>21</v>
      </c>
      <c r="D35" s="2">
        <v>2</v>
      </c>
      <c r="E35" s="9" t="s">
        <v>25</v>
      </c>
      <c r="F35" s="14">
        <v>1537100</v>
      </c>
      <c r="G35" s="15">
        <f t="shared" si="4"/>
        <v>292049</v>
      </c>
      <c r="H35" s="15">
        <f t="shared" si="5"/>
        <v>1829149</v>
      </c>
      <c r="I35" s="16">
        <f t="shared" si="6"/>
        <v>3658298</v>
      </c>
      <c r="J35" s="14">
        <f>5476236/2</f>
        <v>2738118</v>
      </c>
      <c r="K35" s="15">
        <f t="shared" si="7"/>
        <v>520242.42</v>
      </c>
      <c r="L35" s="24">
        <f t="shared" si="8"/>
        <v>3258360.42</v>
      </c>
      <c r="M35" s="13">
        <f t="shared" si="9"/>
        <v>6516720.8399999999</v>
      </c>
      <c r="N35" s="17">
        <v>999649</v>
      </c>
      <c r="O35" s="15">
        <f t="shared" si="10"/>
        <v>189933.31</v>
      </c>
      <c r="P35" s="27">
        <f t="shared" si="11"/>
        <v>1189582.31</v>
      </c>
      <c r="Q35" s="37">
        <f t="shared" si="12"/>
        <v>2379164.62</v>
      </c>
      <c r="R35" s="47">
        <f t="shared" si="0"/>
        <v>2118416.6575426301</v>
      </c>
      <c r="S35" s="48">
        <f t="shared" si="1"/>
        <v>1.0124513027095812</v>
      </c>
      <c r="T35" s="40">
        <f t="shared" si="2"/>
        <v>2092364</v>
      </c>
      <c r="U35" s="40">
        <f t="shared" si="3"/>
        <v>1921089</v>
      </c>
      <c r="V35" s="40">
        <f t="shared" si="13"/>
        <v>1921089</v>
      </c>
      <c r="W35" s="40">
        <f t="shared" si="14"/>
        <v>3842178</v>
      </c>
      <c r="X35" s="46"/>
    </row>
    <row r="36" spans="1:24" s="4" customFormat="1" ht="41.25" customHeight="1">
      <c r="A36" s="8">
        <v>32</v>
      </c>
      <c r="B36" s="11" t="s">
        <v>56</v>
      </c>
      <c r="C36" s="2" t="s">
        <v>21</v>
      </c>
      <c r="D36" s="2">
        <v>1</v>
      </c>
      <c r="E36" s="9" t="s">
        <v>25</v>
      </c>
      <c r="F36" s="14">
        <v>1537100</v>
      </c>
      <c r="G36" s="15">
        <f t="shared" si="4"/>
        <v>292049</v>
      </c>
      <c r="H36" s="15">
        <f t="shared" si="5"/>
        <v>1829149</v>
      </c>
      <c r="I36" s="16">
        <f t="shared" si="6"/>
        <v>1829149</v>
      </c>
      <c r="J36" s="14">
        <v>2183391</v>
      </c>
      <c r="K36" s="15">
        <f t="shared" si="7"/>
        <v>414844.29</v>
      </c>
      <c r="L36" s="24">
        <f t="shared" si="8"/>
        <v>2598235.29</v>
      </c>
      <c r="M36" s="13">
        <f t="shared" si="9"/>
        <v>2598235.29</v>
      </c>
      <c r="N36" s="17">
        <v>999649</v>
      </c>
      <c r="O36" s="15">
        <f t="shared" si="10"/>
        <v>189933.31</v>
      </c>
      <c r="P36" s="27">
        <f t="shared" si="11"/>
        <v>1189582.31</v>
      </c>
      <c r="Q36" s="37">
        <f t="shared" si="12"/>
        <v>1189582.31</v>
      </c>
      <c r="R36" s="47">
        <f t="shared" si="0"/>
        <v>705318.18948216655</v>
      </c>
      <c r="S36" s="48">
        <f t="shared" si="1"/>
        <v>0.37670774016550923</v>
      </c>
      <c r="T36" s="40">
        <f t="shared" si="2"/>
        <v>1872322</v>
      </c>
      <c r="U36" s="40">
        <f t="shared" si="3"/>
        <v>1781452</v>
      </c>
      <c r="V36" s="40">
        <f t="shared" si="13"/>
        <v>1781452</v>
      </c>
      <c r="W36" s="40">
        <f t="shared" si="14"/>
        <v>1781452</v>
      </c>
      <c r="X36" s="46"/>
    </row>
    <row r="37" spans="1:24" s="4" customFormat="1" ht="41.25" customHeight="1">
      <c r="A37" s="8">
        <v>33</v>
      </c>
      <c r="B37" s="11" t="s">
        <v>57</v>
      </c>
      <c r="C37" s="2" t="s">
        <v>21</v>
      </c>
      <c r="D37" s="2">
        <v>1</v>
      </c>
      <c r="E37" s="9" t="s">
        <v>25</v>
      </c>
      <c r="F37" s="14">
        <v>1537100</v>
      </c>
      <c r="G37" s="15">
        <f t="shared" si="4"/>
        <v>292049</v>
      </c>
      <c r="H37" s="15">
        <f t="shared" si="5"/>
        <v>1829149</v>
      </c>
      <c r="I37" s="16">
        <f t="shared" si="6"/>
        <v>1829149</v>
      </c>
      <c r="J37" s="14">
        <v>2183391</v>
      </c>
      <c r="K37" s="15">
        <f t="shared" si="7"/>
        <v>414844.29</v>
      </c>
      <c r="L37" s="24">
        <f t="shared" si="8"/>
        <v>2598235.29</v>
      </c>
      <c r="M37" s="13">
        <f t="shared" si="9"/>
        <v>2598235.29</v>
      </c>
      <c r="N37" s="17">
        <v>999649</v>
      </c>
      <c r="O37" s="15">
        <f t="shared" si="10"/>
        <v>189933.31</v>
      </c>
      <c r="P37" s="27">
        <f t="shared" si="11"/>
        <v>1189582.31</v>
      </c>
      <c r="Q37" s="37">
        <f t="shared" si="12"/>
        <v>1189582.31</v>
      </c>
      <c r="R37" s="47">
        <f t="shared" si="0"/>
        <v>705318.18948216655</v>
      </c>
      <c r="S37" s="48">
        <f t="shared" si="1"/>
        <v>0.37670774016550923</v>
      </c>
      <c r="T37" s="40">
        <f t="shared" si="2"/>
        <v>1872322</v>
      </c>
      <c r="U37" s="40">
        <f t="shared" si="3"/>
        <v>1781452</v>
      </c>
      <c r="V37" s="40">
        <f t="shared" si="13"/>
        <v>1781452</v>
      </c>
      <c r="W37" s="40">
        <f t="shared" si="14"/>
        <v>1781452</v>
      </c>
      <c r="X37" s="46"/>
    </row>
    <row r="38" spans="1:24" s="4" customFormat="1" ht="41.25" customHeight="1">
      <c r="A38" s="8">
        <v>34</v>
      </c>
      <c r="B38" s="11" t="s">
        <v>58</v>
      </c>
      <c r="C38" s="2" t="s">
        <v>21</v>
      </c>
      <c r="D38" s="2">
        <v>1</v>
      </c>
      <c r="E38" s="9" t="s">
        <v>25</v>
      </c>
      <c r="F38" s="14">
        <v>1537100</v>
      </c>
      <c r="G38" s="15">
        <f t="shared" si="4"/>
        <v>292049</v>
      </c>
      <c r="H38" s="15">
        <f t="shared" si="5"/>
        <v>1829149</v>
      </c>
      <c r="I38" s="16">
        <f t="shared" si="6"/>
        <v>1829149</v>
      </c>
      <c r="J38" s="14">
        <v>2183391</v>
      </c>
      <c r="K38" s="15">
        <f t="shared" si="7"/>
        <v>414844.29</v>
      </c>
      <c r="L38" s="24">
        <f t="shared" si="8"/>
        <v>2598235.29</v>
      </c>
      <c r="M38" s="13">
        <f t="shared" si="9"/>
        <v>2598235.29</v>
      </c>
      <c r="N38" s="17">
        <v>999649</v>
      </c>
      <c r="O38" s="15">
        <f t="shared" si="10"/>
        <v>189933.31</v>
      </c>
      <c r="P38" s="27">
        <f t="shared" si="11"/>
        <v>1189582.31</v>
      </c>
      <c r="Q38" s="37">
        <f t="shared" si="12"/>
        <v>1189582.31</v>
      </c>
      <c r="R38" s="47">
        <f t="shared" si="0"/>
        <v>705318.18948216655</v>
      </c>
      <c r="S38" s="48">
        <f t="shared" si="1"/>
        <v>0.37670774016550923</v>
      </c>
      <c r="T38" s="40">
        <f t="shared" si="2"/>
        <v>1872322</v>
      </c>
      <c r="U38" s="40">
        <f t="shared" si="3"/>
        <v>1781452</v>
      </c>
      <c r="V38" s="40">
        <f t="shared" si="13"/>
        <v>1781452</v>
      </c>
      <c r="W38" s="40">
        <f>D38*V38</f>
        <v>1781452</v>
      </c>
      <c r="X38" s="46"/>
    </row>
    <row r="39" spans="1:24" s="4" customFormat="1" ht="41.25" customHeight="1">
      <c r="A39" s="8">
        <v>35</v>
      </c>
      <c r="B39" s="11" t="s">
        <v>59</v>
      </c>
      <c r="C39" s="2" t="s">
        <v>21</v>
      </c>
      <c r="D39" s="2">
        <v>1</v>
      </c>
      <c r="E39" s="9" t="s">
        <v>22</v>
      </c>
      <c r="F39" s="14">
        <v>4122900</v>
      </c>
      <c r="G39" s="15">
        <f t="shared" si="4"/>
        <v>783351</v>
      </c>
      <c r="H39" s="15">
        <f t="shared" si="5"/>
        <v>4906251</v>
      </c>
      <c r="I39" s="16">
        <f t="shared" si="6"/>
        <v>4906251</v>
      </c>
      <c r="J39" s="14">
        <v>2183391</v>
      </c>
      <c r="K39" s="15">
        <f t="shared" si="7"/>
        <v>414844.29</v>
      </c>
      <c r="L39" s="24">
        <f t="shared" si="8"/>
        <v>2598235.29</v>
      </c>
      <c r="M39" s="13">
        <f t="shared" si="9"/>
        <v>2598235.29</v>
      </c>
      <c r="N39" s="17">
        <v>3258606</v>
      </c>
      <c r="O39" s="15">
        <f t="shared" si="10"/>
        <v>619135.14</v>
      </c>
      <c r="P39" s="27">
        <f t="shared" si="11"/>
        <v>3877741.14</v>
      </c>
      <c r="Q39" s="37">
        <f t="shared" si="12"/>
        <v>3877741.14</v>
      </c>
      <c r="R39" s="47">
        <f t="shared" si="0"/>
        <v>1156280.2623000666</v>
      </c>
      <c r="S39" s="48">
        <f t="shared" si="1"/>
        <v>0.30475938339138875</v>
      </c>
      <c r="T39" s="40">
        <f t="shared" si="2"/>
        <v>3794076</v>
      </c>
      <c r="U39" s="40">
        <f t="shared" si="3"/>
        <v>3670025</v>
      </c>
      <c r="V39" s="40">
        <f t="shared" si="13"/>
        <v>3670025</v>
      </c>
      <c r="W39" s="40">
        <f t="shared" si="14"/>
        <v>3670025</v>
      </c>
      <c r="X39" s="46"/>
    </row>
    <row r="40" spans="1:24">
      <c r="A40" s="65" t="s">
        <v>60</v>
      </c>
      <c r="B40" s="66"/>
      <c r="C40" s="66"/>
      <c r="D40" s="66"/>
      <c r="E40" s="67"/>
      <c r="F40" s="7"/>
      <c r="G40" s="3"/>
      <c r="H40" s="15">
        <f t="shared" si="5"/>
        <v>0</v>
      </c>
      <c r="I40" s="35">
        <f>SUM(I5:I39)</f>
        <v>211958992</v>
      </c>
      <c r="J40" s="14"/>
      <c r="K40" s="15"/>
      <c r="L40" s="24">
        <f t="shared" si="8"/>
        <v>0</v>
      </c>
      <c r="M40" s="43">
        <f>SUM(M5:M39)</f>
        <v>186598619.96999997</v>
      </c>
      <c r="N40" s="17"/>
      <c r="O40" s="18"/>
      <c r="P40" s="27">
        <f t="shared" si="11"/>
        <v>0</v>
      </c>
      <c r="Q40" s="38">
        <f>SUM(Q5:Q39)</f>
        <v>162115921.73000005</v>
      </c>
      <c r="R40" s="47"/>
      <c r="S40" s="48"/>
      <c r="T40" s="41"/>
      <c r="U40" s="40"/>
      <c r="V40" s="40"/>
      <c r="W40" s="41">
        <f>SUM(W5:W39)</f>
        <v>180525617</v>
      </c>
      <c r="X40" s="25"/>
    </row>
    <row r="41" spans="1:24" ht="15.75" customHeight="1" thickBot="1">
      <c r="A41" s="60" t="s">
        <v>61</v>
      </c>
      <c r="B41" s="61"/>
      <c r="C41" s="61"/>
      <c r="D41" s="61"/>
      <c r="E41" s="62"/>
      <c r="F41" s="15">
        <v>60704200</v>
      </c>
      <c r="G41" s="15">
        <f>F41*19%</f>
        <v>11533798</v>
      </c>
      <c r="H41" s="15">
        <f>+F41+G41</f>
        <v>72237998</v>
      </c>
      <c r="I41" s="35">
        <f>H41</f>
        <v>72237998</v>
      </c>
      <c r="J41" s="19">
        <v>60746632</v>
      </c>
      <c r="K41" s="20">
        <f>J41*19%</f>
        <v>11541860.08</v>
      </c>
      <c r="L41" s="24">
        <f>J41+K41</f>
        <v>72288492.079999998</v>
      </c>
      <c r="M41" s="36">
        <f>L41</f>
        <v>72288492.079999998</v>
      </c>
      <c r="N41" s="21">
        <v>57694302</v>
      </c>
      <c r="O41" s="28">
        <f>N41*19%</f>
        <v>10961917.380000001</v>
      </c>
      <c r="P41" s="27">
        <f>N41+O41</f>
        <v>68656219.379999995</v>
      </c>
      <c r="Q41" s="38">
        <f>P41</f>
        <v>68656219.379999995</v>
      </c>
      <c r="R41" s="47">
        <f>STDEVA(I41,M41,Q41)</f>
        <v>2082670.2692284847</v>
      </c>
      <c r="S41" s="48">
        <f>R41/T41</f>
        <v>2.9308243792349285E-2</v>
      </c>
      <c r="T41" s="41">
        <f>ROUND(AVERAGE(H41,L41,P41),0)</f>
        <v>71060903</v>
      </c>
      <c r="U41" s="40">
        <f>ROUND(GEOMEAN(H41,L41,P41),0)</f>
        <v>71040321</v>
      </c>
      <c r="V41" s="40">
        <f>U41</f>
        <v>71040321</v>
      </c>
      <c r="W41" s="40">
        <f>V41</f>
        <v>71040321</v>
      </c>
      <c r="X41" s="25"/>
    </row>
    <row r="42" spans="1:24" ht="12.75" thickBot="1">
      <c r="F42" s="58" t="s">
        <v>62</v>
      </c>
      <c r="G42" s="59"/>
      <c r="H42" s="44"/>
      <c r="I42" s="22">
        <f>+I40+I41</f>
        <v>284196990</v>
      </c>
      <c r="J42" s="58" t="s">
        <v>63</v>
      </c>
      <c r="K42" s="59"/>
      <c r="L42" s="44"/>
      <c r="M42" s="23">
        <f>+M40+M41</f>
        <v>258887112.04999995</v>
      </c>
      <c r="N42" s="58" t="s">
        <v>64</v>
      </c>
      <c r="O42" s="59"/>
      <c r="P42" s="44"/>
      <c r="Q42" s="39">
        <f>+Q40+Q41</f>
        <v>230772141.11000004</v>
      </c>
      <c r="S42" s="45"/>
      <c r="T42" s="40">
        <f>SUM(T5:T41)</f>
        <v>182773639</v>
      </c>
      <c r="U42" s="40">
        <f t="shared" ref="U42:V42" si="15">SUM(U5:U41)</f>
        <v>178424687</v>
      </c>
      <c r="V42" s="40">
        <f t="shared" si="15"/>
        <v>178424687</v>
      </c>
      <c r="W42" s="42">
        <f>+W40+W41</f>
        <v>251565938</v>
      </c>
      <c r="X42" s="25"/>
    </row>
    <row r="43" spans="1:24">
      <c r="K43" s="6"/>
      <c r="L43" s="6"/>
      <c r="M43" s="6"/>
      <c r="Q43" s="6"/>
      <c r="T43" s="6"/>
    </row>
    <row r="44" spans="1:24">
      <c r="K44" s="6"/>
      <c r="L44" s="6"/>
      <c r="M44" s="6"/>
      <c r="W44" s="6"/>
    </row>
    <row r="45" spans="1:24">
      <c r="M45" s="25"/>
    </row>
    <row r="46" spans="1:24">
      <c r="M46" s="26"/>
    </row>
    <row r="48" spans="1:24">
      <c r="M48" s="6"/>
    </row>
  </sheetData>
  <mergeCells count="16">
    <mergeCell ref="U3:U4"/>
    <mergeCell ref="V3:V4"/>
    <mergeCell ref="A1:W2"/>
    <mergeCell ref="W3:W4"/>
    <mergeCell ref="F42:G42"/>
    <mergeCell ref="J42:K42"/>
    <mergeCell ref="N42:O42"/>
    <mergeCell ref="A41:E41"/>
    <mergeCell ref="T3:T4"/>
    <mergeCell ref="A40:E40"/>
    <mergeCell ref="A3:E3"/>
    <mergeCell ref="F3:I3"/>
    <mergeCell ref="J3:M3"/>
    <mergeCell ref="N3:Q3"/>
    <mergeCell ref="R3:R4"/>
    <mergeCell ref="S3:S4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8938b09bf910cef3242ce06f28583b76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c311f01ff5e9cb84141b69db7485ca7c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139C57F-2AE4-4322-AFE4-D9547CB0AE89}"/>
</file>

<file path=customXml/itemProps2.xml><?xml version="1.0" encoding="utf-8"?>
<ds:datastoreItem xmlns:ds="http://schemas.openxmlformats.org/officeDocument/2006/customXml" ds:itemID="{F0EA4D0E-3B18-4473-9F66-869AD50E0CAA}"/>
</file>

<file path=customXml/itemProps3.xml><?xml version="1.0" encoding="utf-8"?>
<ds:datastoreItem xmlns:ds="http://schemas.openxmlformats.org/officeDocument/2006/customXml" ds:itemID="{B7A4AAB8-DF3C-4407-8A2D-2676297B0081}"/>
</file>

<file path=customXml/itemProps4.xml><?xml version="1.0" encoding="utf-8"?>
<ds:datastoreItem xmlns:ds="http://schemas.openxmlformats.org/officeDocument/2006/customXml" ds:itemID="{72E6840D-92E7-4CC7-B0C0-6FBB698297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Hector Andres Salazar Virviescas</dc:creator>
  <cp:keywords/>
  <dc:description/>
  <cp:lastModifiedBy>Hector Andres Salazar Virviescas</cp:lastModifiedBy>
  <cp:revision/>
  <dcterms:created xsi:type="dcterms:W3CDTF">2024-04-09T14:39:42Z</dcterms:created>
  <dcterms:modified xsi:type="dcterms:W3CDTF">2025-11-12T20:00:07Z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