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PC\Desktop\ALCALDÍA-CAUCASIA 2025\ALBERGUE ANIMAL\DOC_CONTRACTUALES\"/>
    </mc:Choice>
  </mc:AlternateContent>
  <xr:revisionPtr revIDLastSave="0" documentId="13_ncr:1_{89151F81-1D2C-4937-A6AC-51C76653661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" sheetId="3" r:id="rId1"/>
    <sheet name="APUS" sheetId="24" r:id="rId2"/>
    <sheet name="MEMORIAS " sheetId="19" r:id="rId3"/>
    <sheet name="CRONOGRAMA" sheetId="18" r:id="rId4"/>
    <sheet name="AU" sheetId="14" r:id="rId5"/>
    <sheet name="MATERIALES" sheetId="6" r:id="rId6"/>
    <sheet name="SALARIOS Y PRESTACIONES " sheetId="13" r:id="rId7"/>
    <sheet name="CUADRILLAS" sheetId="27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\b">#REF!</definedName>
    <definedName name="\c">#REF!</definedName>
    <definedName name="\i">#REF!</definedName>
    <definedName name="\m">#REF!</definedName>
    <definedName name="\t">#REF!</definedName>
    <definedName name="\x">#REF!</definedName>
    <definedName name="\z">#REF!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R" hidden="1">{#N/A,#N/A,FALSE,"GRAFICO";#N/A,#N/A,FALSE,"CAJA (2)";#N/A,#N/A,FALSE,"TERCEROS-PROMEDIO";#N/A,#N/A,FALSE,"CAJA";#N/A,#N/A,FALSE,"INGRESOS1995-2003";#N/A,#N/A,FALSE,"GASTOS1995-2003"}</definedName>
    <definedName name="__CMU005" hidden="1">#REF!</definedName>
    <definedName name="__xlfn.BAHTTEXT" hidden="1">#NAME?</definedName>
    <definedName name="_1" hidden="1">#REF!</definedName>
    <definedName name="_2" hidden="1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bb">#REF!</definedName>
    <definedName name="_bgb5" hidden="1">{"TAB1",#N/A,TRUE,"GENERAL";"TAB2",#N/A,TRUE,"GENERAL";"TAB3",#N/A,TRUE,"GENERAL";"TAB4",#N/A,TRUE,"GENERAL";"TAB5",#N/A,TRUE,"GENERAL"}</definedName>
    <definedName name="_CMU005" hidden="1">#REF!</definedName>
    <definedName name="_Dist_Bin" hidden="1">[1]MPC3I4!$A$2040:$DD$3161</definedName>
    <definedName name="_Dist_Values" hidden="1">[1]MPC3I4!$2552:$3906</definedName>
    <definedName name="_F" hidden="1">#REF!</definedName>
    <definedName name="_Fill" hidden="1">#REF!</definedName>
    <definedName name="_xlnm._FilterDatabase" hidden="1">[2]Presupuesto_Via_distribuidora!$A$9:$H$344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r" hidden="1">#REF!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le2_Out" hidden="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a" hidden="1">{#N/A,#N/A,FALSE,"Aging Summary";#N/A,#N/A,FALSE,"Ratio Analysis";#N/A,#N/A,FALSE,"Test 120 Day Accts";#N/A,#N/A,FALSE,"Tickmarks"}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ccessDatabase" hidden="1">"C:\C-314\VOLUMENES\volfin4.mdb"</definedName>
    <definedName name="ACwvu.TAB1." hidden="1">[2]Presupuesto_Via_distribuidora!#REF!</definedName>
    <definedName name="ACwvu.TAB2." hidden="1">[2]Presupuesto_Via_distribuidora!#REF!</definedName>
    <definedName name="ACwvu.TAB3." hidden="1">[2]Presupuesto_Via_distribuidora!#REF!</definedName>
    <definedName name="ACwvu.TAB4." hidden="1">[2]Presupuesto_Via_distribuidora!#REF!</definedName>
    <definedName name="ACwvu.TAB5." hidden="1">[2]Presupuesto_Via_distribuidora!#REF!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LTURA">'[3]SEDIMENTADOR ALTA TASA ALT.2'!$B$12</definedName>
    <definedName name="ANALISIS">#REF!</definedName>
    <definedName name="Analyst" hidden="1">#REF!</definedName>
    <definedName name="anscount" hidden="1">1</definedName>
    <definedName name="APUS">[4]APUS!$B$1:$N$487</definedName>
    <definedName name="APUS2">#REF!</definedName>
    <definedName name="APUS3">#REF!</definedName>
    <definedName name="aqaq" hidden="1">{"TAB1",#N/A,TRUE,"GENERAL";"TAB2",#N/A,TRUE,"GENERAL";"TAB3",#N/A,TRUE,"GENERAL";"TAB4",#N/A,TRUE,"GENERAL";"TAB5",#N/A,TRUE,"GENERAL"}</definedName>
    <definedName name="_xlnm.Extract">#REF!</definedName>
    <definedName name="_xlnm.Print_Area" localSheetId="4">AU!$A$1:$J$59</definedName>
    <definedName name="_xlnm.Print_Area" localSheetId="7">CUADRILLAS!$A$1:$D$28</definedName>
    <definedName name="_xlnm.Print_Area" localSheetId="5">MATERIALES!$A$1:$E$86</definedName>
    <definedName name="_xlnm.Print_Area" localSheetId="0">PRESUPUESTO!$A$1:$F$44</definedName>
    <definedName name="_xlnm.Print_Area" localSheetId="6">'SALARIOS Y PRESTACIONES '!$A$1:$K$72</definedName>
    <definedName name="_xlnm.Print_Area">#REF!</definedName>
    <definedName name="arg" hidden="1">[5]MI!#REF!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2DocOpenMode" hidden="1">"AS2DocumentEdit"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{"PYGS",#N/A,FALSE,"PYG";"ACTIS",#N/A,FALSE,"BCE_GRAL-ACTIVO";"PASIS",#N/A,FALSE,"BCE_GRAL-PASIVO-PATRIM";"CAJAS",#N/A,FALSE,"CAJA"}</definedName>
    <definedName name="_xlnm.Database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NEFICIARIOS">'[6]LISTA DE BENEFICIARIOS'!$B$4:$H$200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ORDE1">#REF!</definedName>
    <definedName name="BORDE2">#REF!</definedName>
    <definedName name="BORDE3">#REF!</definedName>
    <definedName name="br" hidden="1">{"TAB1",#N/A,TRUE,"GENERAL";"TAB2",#N/A,TRUE,"GENERAL";"TAB3",#N/A,TRUE,"GENERAL";"TAB4",#N/A,TRUE,"GENERAL";"TAB5",#N/A,TRUE,"GENERAL"}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apitalpb" hidden="1">#REF!</definedName>
    <definedName name="CapitalStructure" hidden="1">#REF!</definedName>
    <definedName name="Cashpb" hidden="1">#REF!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eerf" hidden="1">{"TAB1",#N/A,TRUE,"GENERAL";"TAB2",#N/A,TRUE,"GENERAL";"TAB3",#N/A,TRUE,"GENERAL";"TAB4",#N/A,TRUE,"GENERAL";"TAB5",#N/A,TRUE,"GENERAL"}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hange_in_Cash" hidden="1">#REF!</definedName>
    <definedName name="Check_to_Cash" hidden="1">#REF!</definedName>
    <definedName name="CRITERIO">#REF!</definedName>
    <definedName name="_xlnm.Criteria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UNET" hidden="1">{"via1",#N/A,TRUE,"general";"via2",#N/A,TRUE,"general";"via3",#N/A,TRUE,"general"}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{"PYGT",#N/A,FALSE,"PYG";"ACTIT",#N/A,FALSE,"BCE_GRAL-ACTIVO";"PASIT",#N/A,FALSE,"BCE_GRAL-PASIVO-PATRIM";"CAJAT",#N/A,FALSE,"CAJA"}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alpb" hidden="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preciationPB" hidden="1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TENCION">'[7]CHEQUEO '!#REF!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UIPO">#REF!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PESORPLACAS">'[3]SEDIMENTADOR ALTA TASA ALT.2'!$B$14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el_BuiltIn_Print_Area">#REF!</definedName>
    <definedName name="Executivepb" hidden="1">#REF!</definedName>
    <definedName name="Factpb" hidden="1">#REF!</definedName>
    <definedName name="Factpb2" hidden="1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DUCIASOCTUBRE" hidden="1">{#N/A,#N/A,FALSE,"Aging Summary";#N/A,#N/A,FALSE,"Ratio Analysis";#N/A,#N/A,FALSE,"Test 120 Day Accts";#N/A,#N/A,FALSE,"Tickmarks"}</definedName>
    <definedName name="Financialpb" hidden="1">#REF!</definedName>
    <definedName name="Financialpb2" hidden="1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LERAS">'[3]SEDIMENTADOR ALTA TASA ALT.2'!$B$8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jk" hidden="1">[8]LTM!$N$676:$N$682,[8]LTM!$N$686,[8]LTM!$N$688:$N$694,[8]LTM!$N$699:$N$706,[8]LTM!$N$710:$N$714,[8]LTM!$N$717:$N$734,[8]LTM!$N$738,[8]LTM!$N$745:$N$751,[8]LTM!$N$837:$N$838,[8]LTM!$N$1454:$N$1458,[8]LTM!$N$1468:$N$1469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n.ConvertZero1" hidden="1">[8]LTM!$G$461:$J$461,[8]LTM!$G$463:$J$464,[8]LTM!$G$468:$J$469,[8]LTM!$G$473:$J$475,[8]LTM!$G$480:$J$480,[8]LTM!$G$484:$J$485,[8]LTM!$G$490:$J$490,[8]LTM!$G$514:$J$518,[8]LTM!$G$525:$J$526,[8]LTM!$G$532:$J$537</definedName>
    <definedName name="hn.ConvertZero2" hidden="1">[8]LTM!$G$560:$J$560,[8]LTM!$H$590:$J$591,[8]LTM!$H$614:$J$614,[8]LTM!$H$635:$J$636,[8]LTM!$G$676:$J$680,[8]LTM!$G$686:$J$686,[8]LTM!$G$688:$J$694,[8]LTM!$G$681:$J$682</definedName>
    <definedName name="hn.ConvertZero3" hidden="1">[8]LTM!$G$699:$J$706,[8]LTM!$G$710:$J$714,[8]LTM!$G$717:$J$734,[8]LTM!$G$738:$J$738,[8]LTM!$G$745:$J$751</definedName>
    <definedName name="hn.ConvertZero4" hidden="1">[8]LTM!$G$840:$J$840,[8]LTM!$H$1266:$J$1266,[8]LTM!$G$1267:$J$1267,[8]LTM!$G$1454:$J$1461,[8]LTM!$J$1462,[8]LTM!$J$1463,[8]LTM!$G$1468:$J$1469,[8]LTM!$L$1469:$N$1469</definedName>
    <definedName name="hn.ConvertZeroUnhide1" hidden="1">[8]LTM!$G$1469:$J$1469,[8]LTM!$L$1469:$N$1469,[8]LTM!$H$1266:$J$1266</definedName>
    <definedName name="hn.Delete015" hidden="1">'[8]CREDIT STATS'!$B$9:$K$11,'[8]CREDIT STATS'!$O$11:$X$14,'[8]CREDIT STATS'!$B$25:$K$30,'[8]CREDIT STATS'!$O$25:$X$26</definedName>
    <definedName name="hn.DZ_MultByFXRates" hidden="1">[8]DropZone!$B$2:$I$118,[8]DropZone!$B$120:$I$132,[8]DropZone!$B$134:$I$136,[8]DropZone!$B$138:$I$146</definedName>
    <definedName name="hn.ExtDb" hidden="1">FALSE</definedName>
    <definedName name="hn.LTM_MultByFXRates" hidden="1">[8]LTM!$G$461:$N$477,[8]LTM!$G$480:$N$539,[8]LTM!$G$548:$N$667,[8]LTM!$G$676:$N$1266,[8]LTM!$G$1454:$N$1461,[8]LTM!$G$1463:$N$1465,[8]LTM!$G$1468:$N$1469</definedName>
    <definedName name="hn.ModelType" hidden="1">"DEAL"</definedName>
    <definedName name="hn.ModelVersion" hidden="1">1</definedName>
    <definedName name="hn.MultbyFXRates" hidden="1">[8]LTM!$G$461:$N$477,[8]LTM!$G$480:$N$539,[8]LTM!$G$548:$N$667,[8]LTM!$G$676:$N$1266,[8]LTM!$G$1454:$N$1461,[8]LTM!$G$1463:$N$1465,[8]LTM!$G$1468:$N$1469</definedName>
    <definedName name="hn.MultByFXRates1" hidden="1">[8]LTM!$G$461:$G$477,[8]LTM!$G$480:$G$539,[8]LTM!$G$548:$G$562,[8]LTM!$G$676:$G$840,[8]LTM!$G$1454:$G$1469</definedName>
    <definedName name="hn.MultByFXRates2" hidden="1">[8]LTM!$H$461:$H$477,[8]LTM!$H$480:$H$539,[8]LTM!$H$548:$H$667,[8]LTM!$H$676:$H$1266,[8]LTM!$H$1454:$H$1469</definedName>
    <definedName name="hn.MultByFXRates3" hidden="1">[8]LTM!$I$461:$I$477,[8]LTM!$I$480:$I$539,[8]LTM!$I$548:$I$667,[8]LTM!$I$676:$I$1266,[8]LTM!$I$1454:$I$1469</definedName>
    <definedName name="hn.MultbyFxrates4" hidden="1">[8]LTM!$J$461:$J$477,[8]LTM!$J$480:$J$539,[8]LTM!$J$548:$J$668,[8]LTM!$J$676:$J$1266,[8]LTM!$J$1454:$J$1461,[8]LTM!$J$1463:$J$1465,[8]LTM!$J$1468</definedName>
    <definedName name="hn.multbyfxrates5" hidden="1">[8]LTM!$L$461:$L$477,[8]LTM!$L$480:$L$539,[8]LTM!$L$548:$L$562,[8]LTM!$L$676:$L$840,[8]LTM!$L$1454:$L$1469</definedName>
    <definedName name="hn.multbyfxrates6" hidden="1">[8]LTM!$M$461:$M$477,[8]LTM!$M$480:$M$539,[8]LTM!$M$548:$M$668,[8]LTM!$M$676:$M$1266,[8]LTM!$M$1454:$M$1469</definedName>
    <definedName name="hn.multbyfxrates7" hidden="1">[8]LTM!$N$461:$N$477,[8]LTM!$N$480:$N$539,[8]LTM!$N$548:$N$667,[8]LTM!$N$676:$N$1266,[8]LTM!$N$1454:$N$1469</definedName>
    <definedName name="hn.MultByFXRatesBot1" hidden="1">[8]LTM!$G$676:$G$682,[8]LTM!$G$686,[8]LTM!$G$688:$G$694,[8]LTM!$G$699:$G$706,[8]LTM!$G$710:$G$714,[8]LTM!$G$717:$G$734,[8]LTM!$G$738,[8]LTM!$G$738,[8]LTM!$G$745:$G$751,[8]LTM!$G$840,[8]LTM!$G$1454:$G$1461,[8]LTM!$G$1468:$G$1469</definedName>
    <definedName name="hn.MultByFXRatesBot2" hidden="1">[8]LTM!$H$676:$H$682,[8]LTM!$H$686,[8]LTM!$H$688:$H$694,[8]LTM!$H$699:$H$706,[8]LTM!$H$710:$H$714,[8]LTM!$H$717:$H$734,[8]LTM!$H$738,[8]LTM!$H$745:$H$751,[8]LTM!$H$840,[8]LTM!$H$1266,[8]LTM!$H$1454:$H$1461,[8]LTM!$H$1468:$H$1469</definedName>
    <definedName name="hn.MultByFXRatesBot3" hidden="1">[8]LTM!$I$676:$I$682,[8]LTM!$I$686,[8]LTM!$I$688:$I$694,[8]LTM!$I$699:$I$706,[8]LTM!$I$710:$I$714,[8]LTM!$I$717:$I$734,[8]LTM!$I$738,[8]LTM!$I$745:$I$751,[8]LTM!$I$840,[8]LTM!$I$1266,[8]LTM!$I$1454:$I$1461,[8]LTM!$I$1468:$I$1469</definedName>
    <definedName name="hn.MultByFXRatesBot4" hidden="1">[8]LTM!$J$676:$J$682,[8]LTM!$J$686,[8]LTM!$J$688:$J$694,[8]LTM!$J$699:$J$706,[8]LTM!$J$710:$J$714,[8]LTM!$J$717:$J$734,[8]LTM!$J$738,[8]LTM!$J$745:$J$751,[8]LTM!$J$840,[8]LTM!$J$1266,[8]LTM!$J$1454:$J$1461,[8]LTM!$J$1463:$J$1465,[8]LTM!$J$1468</definedName>
    <definedName name="hn.MultByFXRatesBot5" hidden="1">[8]LTM!$L$676:$L$682,[8]LTM!$L$686,[8]LTM!$L$688:$L$694,[8]LTM!$L$699:$L$706,[8]LTM!$L$710:$L$714,[8]LTM!$L$717:$L$734,[8]LTM!$L$738,[8]LTM!$L$745:$L$751,[8]LTM!$L$837:$L$838,[8]LTM!$L$1454:$L$1458,[8]LTM!$L$1468:$L$1469</definedName>
    <definedName name="hn.MultByFXRatesBot6" hidden="1">[8]LTM!$M$676:$M$682,[8]LTM!$M$686,[8]LTM!$M$688:$M$694,[8]LTM!$M$699:$M$706,[8]LTM!$M$710:$M$714,[8]LTM!$M$717:$M$734,[8]LTM!$M$738,[8]LTM!$M$745:$M$751,[8]LTM!$M$837:$M$838,[8]LTM!$M$1454:$M$1458,[8]LTM!$M$1468:$M$1469</definedName>
    <definedName name="hn.MultByFXRatesBot7" hidden="1">[8]LTM!$N$676:$N$682,[8]LTM!$N$686,[8]LTM!$N$688:$N$694,[8]LTM!$N$699:$N$706,[8]LTM!$N$710:$N$714,[8]LTM!$N$717:$N$734,[8]LTM!$N$738,[8]LTM!$N$745:$N$751,[8]LTM!$N$837:$N$838,[8]LTM!$N$1454:$N$1458,[8]LTM!$N$1468:$N$1469</definedName>
    <definedName name="hn.MultByFXRatesTop1" hidden="1">[8]LTM!$G$461,[8]LTM!$G$463:$G$464,[8]LTM!$G$468:$G$469,[8]LTM!$G$473:$G$475,[8]LTM!$G$480,[8]LTM!$G$484:$G$485,[8]LTM!$G$490:$G$509,[8]LTM!$G$512,[8]LTM!$G$514:$G$518,[8]LTM!$G$525:$G$526,[8]LTM!$G$532:$G$537,[8]LTM!$G$560</definedName>
    <definedName name="hn.MultByFXRatesTop2" hidden="1">[8]LTM!$H$461,[8]LTM!$H$463:$H$464,[8]LTM!$H$468:$H$469,[8]LTM!$H$473:$H$475,[8]LTM!$H$480,[8]LTM!$H$484:$H$485,[8]LTM!$H$490:$H$509,[8]LTM!$H$512,[8]LTM!$H$514:$H$518,[8]LTM!$H$525:$H$526,[8]LTM!$H$532:$H$537,[8]LTM!$H$560,[8]LTM!$H$590:$H$591,[8]LTM!$H$614:$H$631,[8]LTM!$H$635:$H$636</definedName>
    <definedName name="hn.MultByFXRatesTop3" hidden="1">[8]LTM!$I$461,[8]LTM!$I$463:$I$464,[8]LTM!$I$468:$I$469,[8]LTM!$I$473:$I$475,[8]LTM!$I$480,[8]LTM!$I$484:$I$485,[8]LTM!$I$490:$I$509,[8]LTM!$I$512,[8]LTM!$I$514:$I$518,[8]LTM!$I$525:$I$526,[8]LTM!$I$532:$I$537,[8]LTM!$I$560,[8]LTM!$I$590:$I$591,[8]LTM!$I$614:$I$631,[8]LTM!$I$635:$I$636</definedName>
    <definedName name="hn.MultByFXRatesTop4" hidden="1">[8]LTM!$J$461,[8]LTM!$J$463:$J$464,[8]LTM!$J$468:$J$469,[8]LTM!$J$473:$J$475,[8]LTM!$J$480,[8]LTM!$J$484:$J$485,[8]LTM!$J$490:$J$509,[8]LTM!$J$512,[8]LTM!$J$514:$J$518,[8]LTM!$J$525:$J$526,[8]LTM!$J$532:$J$537,[8]LTM!$J$560,[8]LTM!$J$590:$J$591,[8]LTM!$J$614:$J$631,[8]LTM!$J$635:$J$636</definedName>
    <definedName name="hn.MultByFXRatesTop5" hidden="1">[8]LTM!$L$461,[8]LTM!$L$463:$L$464,[8]LTM!$L$468:$L$469,[8]LTM!$L$473:$L$475,[8]LTM!$L$480,[8]LTM!$L$484:$L$485,[8]LTM!$L$490:$L$509,[8]LTM!$L$512,[8]LTM!$L$514:$L$518,[8]LTM!$L$525:$L$526,[8]LTM!$L$532:$L$537,[8]LTM!$L$560</definedName>
    <definedName name="hn.MultByFXRatesTop6" hidden="1">[8]LTM!$M$461,[8]LTM!$M$463:$M$464,[8]LTM!$M$468:$M$469,[8]LTM!$M$473:$M$475,[8]LTM!$M$480,[8]LTM!$M$484:$M$485,[8]LTM!$M$490:$M$509,[8]LTM!$M$512,[8]LTM!$M$514:$M$518,[8]LTM!$M$525:$M$526,[8]LTM!$M$532:$M$537,[8]LTM!$M$560,[8]LTM!$M$590:$M$591,[8]LTM!$M$614:$M$631,[8]LTM!$M$635:$M$636</definedName>
    <definedName name="hn.MultByFXRatesTop7" hidden="1">[8]LTM!$N$461,[8]LTM!$N$463:$N$464,[8]LTM!$N$468:$N$469,[8]LTM!$N$473:$N$475,[8]LTM!$N$480,[8]LTM!$N$484:$N$485,[8]LTM!$N$490:$N$509,[8]LTM!$N$512,[8]LTM!$N$514:$N$518,[8]LTM!$N$525:$N$526,[8]LTM!$N$532:$N$537,[8]LTM!$N$560,[8]LTM!$N$590:$N$591,[8]LTM!$N$614:$N$631,[8]LTM!$N$635:$N$636</definedName>
    <definedName name="hn.NoUpload" hidden="1">0</definedName>
    <definedName name="hn.YearLabel" hidden="1">#REF!</definedName>
    <definedName name="hoha" hidden="1">{"PYGT",#N/A,FALSE,"PYG";"ACTIT",#N/A,FALSE,"BCE_GRAL-ACTIVO";"PASIT",#N/A,FALSE,"BCE_GRAL-PASIVO-PATRIM";"CAJAT",#N/A,FALSE,"CAJA"}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{"'PACÍFICO12'!$A$1:$E$6"}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Template" hidden="1">"C:\Verificacion\&lt;!--##Table##--&gt;"</definedName>
    <definedName name="HTML_Title" hidden="1">"Planeacion 2002-cto11"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hidden="1">{"PYGT",#N/A,FALSE,"PYG";"ACTIT",#N/A,FALSE,"BCE_GRAL-ACTIVO";"PASIT",#N/A,FALSE,"BCE_GRAL-PASIVO-PATRIM";"CAJAT",#N/A,FALSE,"CAJA"}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comepb" hidden="1">#REF!</definedName>
    <definedName name="INSUMOS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sColHidden" hidden="1">FALSE</definedName>
    <definedName name="IsLTMColHidden" hidden="1">FALSE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dh" hidden="1">[2]Presupuesto_Via_distribuidora!#REF!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hidden="1">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O" hidden="1">#REF!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eft_Header" hidden="1">#REF!</definedName>
    <definedName name="limcount" hidden="1">1</definedName>
    <definedName name="LISTA_MA">#REF!</definedName>
    <definedName name="LISTA_MO">#REF!</definedName>
    <definedName name="LISTADO_MATERIALES">'[9]LISTADO DE RECURSOS'!$B$4:$E$15</definedName>
    <definedName name="LISTADOS">'[9]LISTADO DE RECURSOS'!$B$18:$E$65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" hidden="1">{#N/A,#N/A,FALSE,"GRAFICO";#N/A,#N/A,FALSE,"CAJA (2)";#N/A,#N/A,FALSE,"TERCEROS-PROMEDIO";#N/A,#N/A,FALSE,"CAJA";#N/A,#N/A,FALSE,"INGRESOS1995-2003";#N/A,#N/A,FALSE,"GASTOS1995-2003"}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ma" hidden="1">'[10]Datos-Gráfica-Apartada'!#REF!</definedName>
    <definedName name="MANOBRA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sor" hidden="1">{"via1",#N/A,TRUE,"general";"via2",#N/A,TRUE,"general";"via3",#N/A,TRUE,"general"}</definedName>
    <definedName name="MATERIAL">#REF!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M_CANTS">'[9]MEMORIA DE CANTIDADES'!$B$1:$K$107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dng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 hidden="1">{"PYGT",#N/A,FALSE,"PYG";"ACTIT",#N/A,FALSE,"BCE_GRAL-ACTIVO";"PASIT",#N/A,FALSE,"BCE_GRAL-PASIVO-PATRIM";"CAJAT",#N/A,FALSE,"CAJA"}</definedName>
    <definedName name="NUMERO">'[3]SEDIMENTADOR ALTA TASA ALT.2'!$B$7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S_Data_Col" hidden="1">#REF!</definedName>
    <definedName name="oera" hidden="1">{#N/A,#N/A,FALSE,"Aging Summary";#N/A,#N/A,FALSE,"Ratio Analysis";#N/A,#N/A,FALSE,"Test 120 Day Accts";#N/A,#N/A,FALSE,"Tickmarks"}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ningpb" hidden="1">#REF!</definedName>
    <definedName name="OWNER" hidden="1">#REF!</definedName>
    <definedName name="P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hidden="1">{"via1",#N/A,TRUE,"general";"via2",#N/A,TRUE,"general";"via3",#N/A,TRUE,"general"}</definedName>
    <definedName name="particulares1" hidden="1">{#N/A,#N/A,FALSE,"Aging Summary";#N/A,#N/A,FALSE,"Ratio Analysis";#N/A,#N/A,FALSE,"Test 120 Day Accts";#N/A,#N/A,FALSE,"Tickmarks"}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_GENERAL">'[9]PPTO GENERAL'!$B$9:$H$15</definedName>
    <definedName name="pqroj" hidden="1">{"via1",#N/A,TRUE,"general";"via2",#N/A,TRUE,"general";"via3",#N/A,TRUE,"general"}</definedName>
    <definedName name="preacta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#REF!</definedName>
    <definedName name="PRINT_AREA_MI">#REF!</definedName>
    <definedName name="PrintEnd" hidden="1">#REF!</definedName>
    <definedName name="PrintStart" hidden="1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[7]CALCULOS!$A$3</definedName>
    <definedName name="Qmed">'[3]SEDIMENTADOR ALTA TASA ALT.2'!$B$5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dianes">'[3]SEDIMENTADOR ALTA TASA ALT.2'!$B$16</definedName>
    <definedName name="RANGOCODIGOS">[9]APUS!$A$1:$A$189</definedName>
    <definedName name="RANGOSUMACODIGOS">[9]APUS!$P$1:$P$189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hidden="1">{#N/A,#N/A,FALSE,"GRAFICO";#N/A,#N/A,FALSE,"CAJA (2)";#N/A,#N/A,FALSE,"TERCEROS-PROMEDIO";#N/A,#N/A,FALSE,"CAJA";#N/A,#N/A,FALSE,"INGRESOS1995-2003";#N/A,#N/A,FALSE,"GASTOS1995-2003"}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ows2Unhide" hidden="1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ncount" hidden="1">1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UBA">'[11]SUB APU'!$A$1:$D$65536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vu.TAB1." hidden="1">[2]Presupuesto_Via_distribuidora!#REF!</definedName>
    <definedName name="Swvu.TAB2." hidden="1">[2]Presupuesto_Via_distribuidora!#REF!</definedName>
    <definedName name="Swvu.TAB3." hidden="1">[2]Presupuesto_Via_distribuidora!#REF!</definedName>
    <definedName name="Swvu.TAB4." hidden="1">[2]Presupuesto_Via_distribuidora!#REF!</definedName>
    <definedName name="Swvu.TAB5." hidden="1">[2]Presupuesto_Via_distribuidora!#REF!</definedName>
    <definedName name="t5t5" hidden="1">{"TAB1",#N/A,TRUE,"GENERAL";"TAB2",#N/A,TRUE,"GENERAL";"TAB3",#N/A,TRUE,"GENERAL";"TAB4",#N/A,TRUE,"GENERAL";"TAB5",#N/A,TRUE,"GENERAL"}</definedName>
    <definedName name="Taxpb" hidden="1">#REF!</definedName>
    <definedName name="TC" hidden="1">{#N/A,#N/A,FALSE,"GRAFICO";#N/A,#N/A,FALSE,"CAJA (2)";#N/A,#N/A,FALSE,"TERCEROS-PROMEDIO";#N/A,#N/A,FALSE,"CAJA";#N/A,#N/A,FALSE,"INGRESOS1995-2003";#N/A,#N/A,FALSE,"GASTOS1995-2003"}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tlepb" hidden="1">#REF!</definedName>
    <definedName name="_xlnm.Print_Titles" localSheetId="3">CRONOGRAMA!$1:$8</definedName>
    <definedName name="_xlnm.Print_Titles" localSheetId="0">PRESUPUESTO!$1:$10</definedName>
    <definedName name="Títulos_a_imprimir_IM">#REF!</definedName>
    <definedName name="TODOANA">#REF!</definedName>
    <definedName name="TODOINSU">#REF!</definedName>
    <definedName name="TODOITEM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t" hidden="1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hidden="1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hidden="1">{"via1",#N/A,TRUE,"general";"via2",#N/A,TRUE,"general";"via3",#N/A,TRUE,"general"}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">'[3]SEDIMENTADOR ALTA TASA ALT.2'!$B$18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">#REF!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Aging._.and._.Trend._.Analysis." hidden="1">{#N/A,#N/A,FALSE,"Aging Summary";#N/A,#N/A,FALSE,"Ratio Analysis";#N/A,#N/A,FALSE,"Test 120 Day Accts";#N/A,#N/A,FALSE,"Tickmarks"}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items." hidden="1">{#N/A,#N/A,FALSE,"Items"}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via." hidden="1">{"via1",#N/A,TRUE,"general";"via2",#N/A,TRUE,"general";"via3",#N/A,TRUE,"general"}</definedName>
    <definedName name="wrn1.items" hidden="1">{#N/A,#N/A,FALSE,"Items"}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hidden="1">{"via1",#N/A,TRUE,"general";"via2",#N/A,TRUE,"general";"via3",#N/A,TRUE,"general"}</definedName>
    <definedName name="wwww" hidden="1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29" hidden="1">{"via1",#N/A,TRUE,"general";"via2",#N/A,TRUE,"general";"via3",#N/A,TRUE,"general"}</definedName>
    <definedName name="xyz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{#N/A,#N/A,FALSE,"GRAFICO";#N/A,#N/A,FALSE,"CAJA (2)";#N/A,#N/A,FALSE,"TERCEROS-PROMEDIO";#N/A,#N/A,FALSE,"CAJA";#N/A,#N/A,FALSE,"INGRESOS1995-2003";#N/A,#N/A,FALSE,"GASTOS1995-2003"}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" hidden="1">[5]MI!#REF!</definedName>
    <definedName name="Z_026CD6D7_F7CA_4BE8_B625_9A1778CFA739_.wvu.FilterData" hidden="1">[2]Presupuesto_Via_distribuidora!$A$9:$H$344</definedName>
    <definedName name="Z_026CD6D7_F7CA_4BE8_B625_9A1778CFA739_.wvu.PrintArea" hidden="1">[2]Presupuesto_Via_distribuidora!$A$390:$I$602</definedName>
    <definedName name="Z_026CD6D7_F7CA_4BE8_B625_9A1778CFA739_.wvu.PrintTitles" hidden="1">[2]Presupuesto_Via_distribuidora!$A$380:$IV$389</definedName>
    <definedName name="Z_05670E35_1347_49D9_AD91_AA9A31A4EF61_.wvu.FilterData" hidden="1">[2]Presupuesto_Via_distribuidora!$A$9:$H$344</definedName>
    <definedName name="Z_05670E35_1347_49D9_AD91_AA9A31A4EF61_.wvu.PrintArea" hidden="1">[2]Presupuesto_Via_distribuidora!$C$1:$H$344</definedName>
    <definedName name="Z_05670E35_1347_49D9_AD91_AA9A31A4EF61_.wvu.PrintTitles" hidden="1">[2]Presupuesto_Via_distribuidora!$A$2:$IV$8</definedName>
    <definedName name="Z_0890F28A_A8C8_451C_A3E6_C3AFDD239B64_.wvu.FilterData" hidden="1">[2]Presupuesto_Via_distribuidora!$A$9:$H$344</definedName>
    <definedName name="Z_0890F28A_A8C8_451C_A3E6_C3AFDD239B64_.wvu.PrintArea" hidden="1">[2]Presupuesto_Via_distribuidora!$A$392:$I$604</definedName>
    <definedName name="Z_0890F28A_A8C8_451C_A3E6_C3AFDD239B64_.wvu.PrintTitles" hidden="1">[2]Presupuesto_Via_distribuidora!$A$382:$IV$391</definedName>
    <definedName name="Z_0A4C2D72_EA87_11DA_B6F6_00609720E0A1_.wvu.FilterData" hidden="1">[2]Presupuesto_Via_distribuidora!$A$9:$H$344</definedName>
    <definedName name="Z_0A4C2D72_EA87_11DA_B6F6_00609720E0A1_.wvu.PrintArea" hidden="1">[2]Presupuesto_Via_distribuidora!$A$10:$I$164</definedName>
    <definedName name="Z_0A4C2D72_EA87_11DA_B6F6_00609720E0A1_.wvu.PrintTitles" hidden="1">[2]Presupuesto_Via_distribuidora!$A$1:$IV$9</definedName>
    <definedName name="Z_0A4C2D73_EA87_11DA_B6F6_00609720E0A1_.wvu.FilterData" hidden="1">[2]Presupuesto_Via_distribuidora!$A$9:$H$344</definedName>
    <definedName name="Z_0A4C2D73_EA87_11DA_B6F6_00609720E0A1_.wvu.PrintArea" hidden="1">[2]Presupuesto_Via_distribuidora!$A$176:$I$193</definedName>
    <definedName name="Z_0A4C2D73_EA87_11DA_B6F6_00609720E0A1_.wvu.PrintTitles" hidden="1">[2]Presupuesto_Via_distribuidora!#REF!</definedName>
    <definedName name="Z_0A4C2D74_EA87_11DA_B6F6_00609720E0A1_.wvu.FilterData" hidden="1">[2]Presupuesto_Via_distribuidora!$A$9:$H$344</definedName>
    <definedName name="Z_0A4C2D74_EA87_11DA_B6F6_00609720E0A1_.wvu.PrintArea" hidden="1">[2]Presupuesto_Via_distribuidora!$A$342:$I$541</definedName>
    <definedName name="Z_0A4C2D74_EA87_11DA_B6F6_00609720E0A1_.wvu.PrintTitles" hidden="1">[2]Presupuesto_Via_distribuidora!#REF!</definedName>
    <definedName name="Z_0A4C2D75_EA87_11DA_B6F6_00609720E0A1_.wvu.FilterData" hidden="1">[2]Presupuesto_Via_distribuidora!$A$9:$H$344</definedName>
    <definedName name="Z_0A4C2D75_EA87_11DA_B6F6_00609720E0A1_.wvu.PrintArea" hidden="1">[2]Presupuesto_Via_distribuidora!$A$557:$I$825</definedName>
    <definedName name="Z_0A4C2D75_EA87_11DA_B6F6_00609720E0A1_.wvu.PrintTitles" hidden="1">[2]Presupuesto_Via_distribuidora!$A$547:$IV$556</definedName>
    <definedName name="Z_0A4C2D76_EA87_11DA_B6F6_00609720E0A1_.wvu.FilterData" hidden="1">[2]Presupuesto_Via_distribuidora!$A$9:$H$344</definedName>
    <definedName name="Z_0A4C2D76_EA87_11DA_B6F6_00609720E0A1_.wvu.PrintArea" hidden="1">[2]Presupuesto_Via_distribuidora!$A$839:$I$1037</definedName>
    <definedName name="Z_0A4C2D76_EA87_11DA_B6F6_00609720E0A1_.wvu.PrintTitles" hidden="1">[2]Presupuesto_Via_distribuidora!$A$829:$IV$838</definedName>
    <definedName name="Z_0E0DE1F8_394A_4093_8E74_B2A631A3A88C_.wvu.FilterData" hidden="1">[2]Presupuesto_Via_distribuidora!$A$9:$H$344</definedName>
    <definedName name="Z_0E0DE1F8_394A_4093_8E74_B2A631A3A88C_.wvu.PrintArea" hidden="1">[2]Presupuesto_Via_distribuidora!$A$620:$I$888</definedName>
    <definedName name="Z_0E0DE1F8_394A_4093_8E74_B2A631A3A88C_.wvu.PrintTitles" hidden="1">[2]Presupuesto_Via_distribuidora!$A$610:$IV$619</definedName>
    <definedName name="Z_18C710ED_70CF_48D0_92F5_038A88335068_.wvu.FilterData" hidden="1">[2]Presupuesto_Via_distribuidora!$A$9:$H$344</definedName>
    <definedName name="Z_18C710ED_70CF_48D0_92F5_038A88335068_.wvu.PrintArea" hidden="1">[2]Presupuesto_Via_distribuidora!$C$1:$H$344</definedName>
    <definedName name="Z_18C710ED_70CF_48D0_92F5_038A88335068_.wvu.PrintTitles" hidden="1">[2]Presupuesto_Via_distribuidora!$A$2:$IV$8</definedName>
    <definedName name="Z_378D82E8_FE69_4712_AE73_9D578C4190DE_.wvu.FilterData" hidden="1">[2]Presupuesto_Via_distribuidora!$A$9:$H$344</definedName>
    <definedName name="Z_378D82E8_FE69_4712_AE73_9D578C4190DE_.wvu.PrintArea" hidden="1">[2]Presupuesto_Via_distribuidora!$C$1:$H$344</definedName>
    <definedName name="Z_378D82E8_FE69_4712_AE73_9D578C4190DE_.wvu.PrintTitles" hidden="1">[2]Presupuesto_Via_distribuidora!$A$2:$IV$8</definedName>
    <definedName name="Z_381FCF61_DF95_4756_B103_A1118DFFDE02_.wvu.FilterData" hidden="1">[2]Presupuesto_Via_distribuidora!$A$9:$H$344</definedName>
    <definedName name="Z_381FCF61_DF95_4756_B103_A1118DFFDE02_.wvu.PrintArea" hidden="1">[2]Presupuesto_Via_distribuidora!$C$1:$H$344</definedName>
    <definedName name="Z_381FCF61_DF95_4756_B103_A1118DFFDE02_.wvu.PrintTitles" hidden="1">[2]Presupuesto_Via_distribuidora!$A$2:$IV$8</definedName>
    <definedName name="Z_3B3C0CA1_2A9C_45FD_9823_50B200F6C0D1_.wvu.FilterData" hidden="1">[2]Presupuesto_Via_distribuidora!$A$9:$H$344</definedName>
    <definedName name="Z_3B3C0CA1_2A9C_45FD_9823_50B200F6C0D1_.wvu.PrintArea" hidden="1">[2]Presupuesto_Via_distribuidora!$C$1:$H$344</definedName>
    <definedName name="Z_3B3C0CA1_2A9C_45FD_9823_50B200F6C0D1_.wvu.PrintTitles" hidden="1">[2]Presupuesto_Via_distribuidora!$A$2:$IV$8</definedName>
    <definedName name="Z_3E9430E5_6A83_435B_9E47_1B8F7E18D67C_.wvu.FilterData" hidden="1">[2]Presupuesto_Via_distribuidora!$A$9:$H$344</definedName>
    <definedName name="Z_3E9430E5_6A83_435B_9E47_1B8F7E18D67C_.wvu.PrintArea" hidden="1">[2]Presupuesto_Via_distribuidora!$C$1:$H$344</definedName>
    <definedName name="Z_3E9430E5_6A83_435B_9E47_1B8F7E18D67C_.wvu.PrintTitles" hidden="1">[2]Presupuesto_Via_distribuidora!$A$2:$IV$8</definedName>
    <definedName name="Z_4A14CB5C_2287_4F6E_9A65_22F0A4D81D81_.wvu.FilterData" hidden="1">[2]Presupuesto_Via_distribuidora!$A$9:$H$344</definedName>
    <definedName name="Z_4A14CB5C_2287_4F6E_9A65_22F0A4D81D81_.wvu.PrintArea" hidden="1">[2]Presupuesto_Via_distribuidora!$C$1:$H$344</definedName>
    <definedName name="Z_4A14CB5C_2287_4F6E_9A65_22F0A4D81D81_.wvu.PrintTitles" hidden="1">[2]Presupuesto_Via_distribuidora!$A$2:$IV$8</definedName>
    <definedName name="Z_4BBC24C4_A093_4EC9_8AFF_49C6F602CC39_.wvu.FilterData" hidden="1">[2]Presupuesto_Via_distribuidora!$A$9:$H$344</definedName>
    <definedName name="Z_4BBC24C4_A093_4EC9_8AFF_49C6F602CC39_.wvu.PrintArea" hidden="1">[2]Presupuesto_Via_distribuidora!$C$1:$H$344</definedName>
    <definedName name="Z_4BBC24C4_A093_4EC9_8AFF_49C6F602CC39_.wvu.PrintTitles" hidden="1">[2]Presupuesto_Via_distribuidora!$A$2:$IV$8</definedName>
    <definedName name="Z_504A8F9D_2C46_439E_975A_DF1C1FA56E7B_.wvu.FilterData" hidden="1">[2]Presupuesto_Via_distribuidora!$A$9:$H$344</definedName>
    <definedName name="Z_504A8F9D_2C46_439E_975A_DF1C1FA56E7B_.wvu.PrintArea" hidden="1">[2]Presupuesto_Via_distribuidora!$C$1:$H$344</definedName>
    <definedName name="Z_504A8F9D_2C46_439E_975A_DF1C1FA56E7B_.wvu.PrintTitles" hidden="1">[2]Presupuesto_Via_distribuidora!$A$2:$IV$8</definedName>
    <definedName name="Z_653348E7_CDAD_4F62_A236_641A4BB6425A_.wvu.FilterData" hidden="1">[2]Presupuesto_Via_distribuidora!$A$9:$H$344</definedName>
    <definedName name="Z_653348E7_CDAD_4F62_A236_641A4BB6425A_.wvu.PrintArea" hidden="1">[2]Presupuesto_Via_distribuidora!$A$221:$I$375</definedName>
    <definedName name="Z_653348E7_CDAD_4F62_A236_641A4BB6425A_.wvu.PrintTitles" hidden="1">[2]Presupuesto_Via_distribuidora!$A$211:$IV$220</definedName>
    <definedName name="Z_68C48519_C8C2_4287_96F6_0F561F815CE8_.wvu.FilterData" hidden="1">[2]Presupuesto_Via_distribuidora!$A$9:$H$344</definedName>
    <definedName name="Z_68C48519_C8C2_4287_96F6_0F561F815CE8_.wvu.PrintArea" hidden="1">[2]Presupuesto_Via_distribuidora!$C$1:$H$344</definedName>
    <definedName name="Z_68C48519_C8C2_4287_96F6_0F561F815CE8_.wvu.PrintTitles" hidden="1">[2]Presupuesto_Via_distribuidora!$A$2:$IV$8</definedName>
    <definedName name="Z_6BA141F2_E104_11DA_B6F6_00609720E0A1_.wvu.FilterData" hidden="1">[2]Presupuesto_Via_distribuidora!$A$9:$H$344</definedName>
    <definedName name="Z_6BA141F2_E104_11DA_B6F6_00609720E0A1_.wvu.PrintArea" hidden="1">[2]Presupuesto_Via_distribuidora!$A$10:$I$164</definedName>
    <definedName name="Z_6BA141F2_E104_11DA_B6F6_00609720E0A1_.wvu.PrintTitles" hidden="1">[2]Presupuesto_Via_distribuidora!$A$1:$IV$9</definedName>
    <definedName name="Z_6BA141F3_E104_11DA_B6F6_00609720E0A1_.wvu.FilterData" hidden="1">[2]Presupuesto_Via_distribuidora!$A$9:$H$344</definedName>
    <definedName name="Z_6BA141F3_E104_11DA_B6F6_00609720E0A1_.wvu.PrintArea" hidden="1">[2]Presupuesto_Via_distribuidora!$A$176:$I$193</definedName>
    <definedName name="Z_6BA141F3_E104_11DA_B6F6_00609720E0A1_.wvu.PrintTitles" hidden="1">[2]Presupuesto_Via_distribuidora!#REF!</definedName>
    <definedName name="Z_6BA141F4_E104_11DA_B6F6_00609720E0A1_.wvu.FilterData" hidden="1">[2]Presupuesto_Via_distribuidora!$A$9:$H$344</definedName>
    <definedName name="Z_6BA141F4_E104_11DA_B6F6_00609720E0A1_.wvu.PrintArea" hidden="1">[2]Presupuesto_Via_distribuidora!$A$342:$I$541</definedName>
    <definedName name="Z_6BA141F4_E104_11DA_B6F6_00609720E0A1_.wvu.PrintTitles" hidden="1">[2]Presupuesto_Via_distribuidora!#REF!</definedName>
    <definedName name="Z_6BA141F5_E104_11DA_B6F6_00609720E0A1_.wvu.FilterData" hidden="1">[2]Presupuesto_Via_distribuidora!$A$9:$H$344</definedName>
    <definedName name="Z_6BA141F5_E104_11DA_B6F6_00609720E0A1_.wvu.PrintArea" hidden="1">[2]Presupuesto_Via_distribuidora!$A$557:$I$825</definedName>
    <definedName name="Z_6BA141F5_E104_11DA_B6F6_00609720E0A1_.wvu.PrintTitles" hidden="1">[2]Presupuesto_Via_distribuidora!$A$547:$IV$556</definedName>
    <definedName name="Z_6BA141F6_E104_11DA_B6F6_00609720E0A1_.wvu.FilterData" hidden="1">[2]Presupuesto_Via_distribuidora!$A$9:$H$344</definedName>
    <definedName name="Z_6BA141F6_E104_11DA_B6F6_00609720E0A1_.wvu.PrintArea" hidden="1">[2]Presupuesto_Via_distribuidora!$A$839:$I$1037</definedName>
    <definedName name="Z_6BA141F6_E104_11DA_B6F6_00609720E0A1_.wvu.PrintTitles" hidden="1">[2]Presupuesto_Via_distribuidora!$A$829:$IV$838</definedName>
    <definedName name="Z_726673D2_C579_4EF3_83C7_45DC3792EA6A_.wvu.FilterData" hidden="1">[2]Presupuesto_Via_distribuidora!$A$9:$H$344</definedName>
    <definedName name="Z_726673D2_C579_4EF3_83C7_45DC3792EA6A_.wvu.PrintArea" hidden="1">[2]Presupuesto_Via_distribuidora!$A$10:$I$208</definedName>
    <definedName name="Z_726673D2_C579_4EF3_83C7_45DC3792EA6A_.wvu.PrintTitles" hidden="1">[2]Presupuesto_Via_distribuidora!$A$1:$IV$9</definedName>
    <definedName name="Z_729969D8_DFDA_47B9_ADA2_E05CF62B3DEF_.wvu.FilterData" hidden="1">[2]Presupuesto_Via_distribuidora!$A$9:$H$344</definedName>
    <definedName name="Z_729969D8_DFDA_47B9_ADA2_E05CF62B3DEF_.wvu.PrintArea" hidden="1">[2]Presupuesto_Via_distribuidora!$A$618:$I$886</definedName>
    <definedName name="Z_729969D8_DFDA_47B9_ADA2_E05CF62B3DEF_.wvu.PrintTitles" hidden="1">[2]Presupuesto_Via_distribuidora!$A$608:$IV$617</definedName>
    <definedName name="Z_75EDDC88_CA8C_4671_911D_25D74F37EC47_.wvu.FilterData" hidden="1">[2]Presupuesto_Via_distribuidora!$A$9:$H$344</definedName>
    <definedName name="Z_75EDDC88_CA8C_4671_911D_25D74F37EC47_.wvu.PrintArea" hidden="1">[2]Presupuesto_Via_distribuidora!$A$902:$I$1100</definedName>
    <definedName name="Z_75EDDC88_CA8C_4671_911D_25D74F37EC47_.wvu.PrintTitles" hidden="1">[2]Presupuesto_Via_distribuidora!$A$892:$IV$901</definedName>
    <definedName name="Z_80573755_2D8B_4158_BD3A_CC331B950748_.wvu.FilterData" hidden="1">[2]Presupuesto_Via_distribuidora!$A$9:$H$344</definedName>
    <definedName name="Z_80573755_2D8B_4158_BD3A_CC331B950748_.wvu.PrintArea" hidden="1">[2]Presupuesto_Via_distribuidora!$A$221:$I$375</definedName>
    <definedName name="Z_80573755_2D8B_4158_BD3A_CC331B950748_.wvu.PrintTitles" hidden="1">[2]Presupuesto_Via_distribuidora!$A$211:$IV$220</definedName>
    <definedName name="Z_9C7B0D6D_4DDE_4C72_B23F_2E183F63ECB1_.wvu.FilterData" hidden="1">[2]Presupuesto_Via_distribuidora!$A$9:$H$344</definedName>
    <definedName name="Z_9C7B0D6D_4DDE_4C72_B23F_2E183F63ECB1_.wvu.PrintArea" hidden="1">[2]Presupuesto_Via_distribuidora!$C$1:$H$344</definedName>
    <definedName name="Z_9C7B0D6D_4DDE_4C72_B23F_2E183F63ECB1_.wvu.PrintTitles" hidden="1">[2]Presupuesto_Via_distribuidora!$A$2:$IV$8</definedName>
    <definedName name="Z_9C8B6436_249F_426A_96DC_EEE5E7CB7D1B_.wvu.FilterData" hidden="1">[2]Presupuesto_Via_distribuidora!$A$9:$H$344</definedName>
    <definedName name="Z_9C8B6436_249F_426A_96DC_EEE5E7CB7D1B_.wvu.PrintArea" hidden="1">[2]Presupuesto_Via_distribuidora!$C$1:$H$344</definedName>
    <definedName name="Z_9C8B6436_249F_426A_96DC_EEE5E7CB7D1B_.wvu.PrintTitles" hidden="1">[2]Presupuesto_Via_distribuidora!$A$2:$IV$8</definedName>
    <definedName name="Z_9FCFD0D5_270B_4F36_B422_02EF7A3700B8_.wvu.FilterData" hidden="1">[2]Presupuesto_Via_distribuidora!$A$9:$H$344</definedName>
    <definedName name="Z_9FCFD0D5_270B_4F36_B422_02EF7A3700B8_.wvu.PrintArea" hidden="1">[2]Presupuesto_Via_distribuidora!$A$390:$I$602</definedName>
    <definedName name="Z_9FCFD0D5_270B_4F36_B422_02EF7A3700B8_.wvu.PrintTitles" hidden="1">[2]Presupuesto_Via_distribuidora!$A$380:$IV$389</definedName>
    <definedName name="Z_9FE8FF3F_4486_44D6_9AFB_43CC5B824BF9_.wvu.FilterData" hidden="1">[2]Presupuesto_Via_distribuidora!$A$9:$H$344</definedName>
    <definedName name="Z_9FE8FF3F_4486_44D6_9AFB_43CC5B824BF9_.wvu.PrintArea" hidden="1">[2]Presupuesto_Via_distribuidora!$C$1:$H$344</definedName>
    <definedName name="Z_9FE8FF3F_4486_44D6_9AFB_43CC5B824BF9_.wvu.PrintTitles" hidden="1">[2]Presupuesto_Via_distribuidora!$A$2:$IV$8</definedName>
    <definedName name="Z_A3DE26BA_CF48_4654_9BE9_FAEB3C301C95_.wvu.FilterData" hidden="1">[2]Presupuesto_Via_distribuidora!$A$9:$H$344</definedName>
    <definedName name="Z_A3DE26BA_CF48_4654_9BE9_FAEB3C301C95_.wvu.PrintArea" hidden="1">[2]Presupuesto_Via_distribuidora!$A$221:$I$377</definedName>
    <definedName name="Z_A3DE26BA_CF48_4654_9BE9_FAEB3C301C95_.wvu.PrintTitles" hidden="1">[2]Presupuesto_Via_distribuidora!$A$211:$IV$220</definedName>
    <definedName name="Z_AAA1DD33_F1E3_423A_B1F2_E8567F4D95A5_.wvu.FilterData" hidden="1">[2]Presupuesto_Via_distribuidora!$A$9:$H$344</definedName>
    <definedName name="Z_AAA1DD33_F1E3_423A_B1F2_E8567F4D95A5_.wvu.PrintArea" hidden="1">[2]Presupuesto_Via_distribuidora!$A$900:$I$1098</definedName>
    <definedName name="Z_AAA1DD33_F1E3_423A_B1F2_E8567F4D95A5_.wvu.PrintTitles" hidden="1">[2]Presupuesto_Via_distribuidora!$A$890:$IV$899</definedName>
    <definedName name="Z_B4899972_EBDC_11DA_B6F6_00609720E0A1_.wvu.FilterData" hidden="1">[2]Presupuesto_Via_distribuidora!$A$9:$H$344</definedName>
    <definedName name="Z_B4899972_EBDC_11DA_B6F6_00609720E0A1_.wvu.PrintArea" hidden="1">[2]Presupuesto_Via_distribuidora!$A$10:$I$164</definedName>
    <definedName name="Z_B4899972_EBDC_11DA_B6F6_00609720E0A1_.wvu.PrintTitles" hidden="1">[2]Presupuesto_Via_distribuidora!$A$1:$IV$9</definedName>
    <definedName name="Z_B4899973_EBDC_11DA_B6F6_00609720E0A1_.wvu.FilterData" hidden="1">[2]Presupuesto_Via_distribuidora!$A$9:$H$344</definedName>
    <definedName name="Z_B4899973_EBDC_11DA_B6F6_00609720E0A1_.wvu.PrintArea" hidden="1">[2]Presupuesto_Via_distribuidora!$A$176:$I$193</definedName>
    <definedName name="Z_B4899973_EBDC_11DA_B6F6_00609720E0A1_.wvu.PrintTitles" hidden="1">[2]Presupuesto_Via_distribuidora!#REF!</definedName>
    <definedName name="Z_B4899974_EBDC_11DA_B6F6_00609720E0A1_.wvu.FilterData" hidden="1">[2]Presupuesto_Via_distribuidora!$A$9:$H$344</definedName>
    <definedName name="Z_B4899974_EBDC_11DA_B6F6_00609720E0A1_.wvu.PrintArea" hidden="1">[2]Presupuesto_Via_distribuidora!$A$342:$I$541</definedName>
    <definedName name="Z_B4899974_EBDC_11DA_B6F6_00609720E0A1_.wvu.PrintTitles" hidden="1">[2]Presupuesto_Via_distribuidora!#REF!</definedName>
    <definedName name="Z_B4899975_EBDC_11DA_B6F6_00609720E0A1_.wvu.FilterData" hidden="1">[2]Presupuesto_Via_distribuidora!$A$9:$H$344</definedName>
    <definedName name="Z_B4899975_EBDC_11DA_B6F6_00609720E0A1_.wvu.PrintArea" hidden="1">[2]Presupuesto_Via_distribuidora!$A$557:$I$825</definedName>
    <definedName name="Z_B4899975_EBDC_11DA_B6F6_00609720E0A1_.wvu.PrintTitles" hidden="1">[2]Presupuesto_Via_distribuidora!$A$547:$IV$556</definedName>
    <definedName name="Z_B4899976_EBDC_11DA_B6F6_00609720E0A1_.wvu.FilterData" hidden="1">[2]Presupuesto_Via_distribuidora!$A$9:$H$344</definedName>
    <definedName name="Z_B4899976_EBDC_11DA_B6F6_00609720E0A1_.wvu.PrintArea" hidden="1">[2]Presupuesto_Via_distribuidora!$A$839:$I$1037</definedName>
    <definedName name="Z_B4899976_EBDC_11DA_B6F6_00609720E0A1_.wvu.PrintTitles" hidden="1">[2]Presupuesto_Via_distribuidora!$A$829:$IV$838</definedName>
    <definedName name="Z_C24E6469_C4CC_430B_8814_72DD019DF2C8_.wvu.FilterData" hidden="1">[2]Presupuesto_Via_distribuidora!$A$9:$H$344</definedName>
    <definedName name="Z_C24E6469_C4CC_430B_8814_72DD019DF2C8_.wvu.PrintArea" hidden="1">[2]Presupuesto_Via_distribuidora!$A$900:$I$1098</definedName>
    <definedName name="Z_C24E6469_C4CC_430B_8814_72DD019DF2C8_.wvu.PrintTitles" hidden="1">[2]Presupuesto_Via_distribuidora!$A$890:$IV$899</definedName>
    <definedName name="Z_CA61CA57_E7CE_4A4D_974A_F3124BCA2797_.wvu.FilterData" hidden="1">[2]Presupuesto_Via_distribuidora!$A$9:$H$344</definedName>
    <definedName name="Z_CA61CA57_E7CE_4A4D_974A_F3124BCA2797_.wvu.PrintArea" hidden="1">[2]Presupuesto_Via_distribuidora!$A$618:$I$886</definedName>
    <definedName name="Z_CA61CA57_E7CE_4A4D_974A_F3124BCA2797_.wvu.PrintTitles" hidden="1">[2]Presupuesto_Via_distribuidora!$A$608:$IV$617</definedName>
    <definedName name="Z_DA4D5A8F_12FA_42F5_A8BB_526600E97433_.wvu.FilterData" hidden="1">[2]Presupuesto_Via_distribuidora!$A$9:$H$344</definedName>
    <definedName name="Z_DA4D5A8F_12FA_42F5_A8BB_526600E97433_.wvu.PrintArea" hidden="1">[2]Presupuesto_Via_distribuidora!$C$1:$H$344</definedName>
    <definedName name="Z_DA4D5A8F_12FA_42F5_A8BB_526600E97433_.wvu.PrintTitles" hidden="1">[2]Presupuesto_Via_distribuidora!$A$2:$IV$8</definedName>
    <definedName name="Z_DFB4C5EB_A8D3_475E_B627_EA98F95F9220_.wvu.FilterData" hidden="1">[2]Presupuesto_Via_distribuidora!$A$9:$H$344</definedName>
    <definedName name="Z_DFB4C5EB_A8D3_475E_B627_EA98F95F9220_.wvu.PrintArea" hidden="1">[2]Presupuesto_Via_distribuidora!$A$10:$I$208</definedName>
    <definedName name="Z_DFB4C5EB_A8D3_475E_B627_EA98F95F9220_.wvu.PrintTitles" hidden="1">[2]Presupuesto_Via_distribuidora!$A$1:$IV$9</definedName>
    <definedName name="Z_F2B990A1_57B3_4766_8C3D_4D3A5265BAEF_.wvu.FilterData" hidden="1">[2]Presupuesto_Via_distribuidora!$A$9:$H$344</definedName>
    <definedName name="Z_F2B990A1_57B3_4766_8C3D_4D3A5265BAEF_.wvu.PrintArea" hidden="1">[2]Presupuesto_Via_distribuidora!$C$1:$H$344</definedName>
    <definedName name="Z_F2B990A1_57B3_4766_8C3D_4D3A5265BAEF_.wvu.PrintTitles" hidden="1">[2]Presupuesto_Via_distribuidora!$A$2:$IV$8</definedName>
    <definedName name="Z_F9482E1F_92B8_43D8_949A_7DDCF2E63A19_.wvu.FilterData" hidden="1">[2]Presupuesto_Via_distribuidora!$A$9:$H$344</definedName>
    <definedName name="Z_F9482E1F_92B8_43D8_949A_7DDCF2E63A19_.wvu.PrintArea" hidden="1">[2]Presupuesto_Via_distribuidora!$A$10:$I$208</definedName>
    <definedName name="Z_F9482E1F_92B8_43D8_949A_7DDCF2E63A19_.wvu.PrintTitles" hidden="1">[2]Presupuesto_Via_distribuidora!$A$1:$IV$9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7" i="14" l="1"/>
  <c r="G17" i="14"/>
  <c r="B17" i="14"/>
  <c r="I51" i="14"/>
  <c r="I50" i="14"/>
  <c r="I49" i="14"/>
  <c r="I48" i="14"/>
  <c r="I47" i="14"/>
  <c r="I46" i="14"/>
  <c r="F30" i="3"/>
  <c r="F26" i="3"/>
  <c r="F32" i="3" s="1"/>
  <c r="F33" i="3" s="1"/>
  <c r="F23" i="3"/>
  <c r="F19" i="3"/>
  <c r="F14" i="3"/>
  <c r="F11" i="3"/>
  <c r="F35" i="18"/>
  <c r="G35" i="18"/>
  <c r="G30" i="18"/>
  <c r="C32" i="18" s="1"/>
  <c r="D30" i="18" s="1"/>
  <c r="A325" i="24"/>
  <c r="F331" i="24"/>
  <c r="F328" i="24"/>
  <c r="F329" i="24" s="1"/>
  <c r="F326" i="24"/>
  <c r="E326" i="24"/>
  <c r="C27" i="27"/>
  <c r="B27" i="27"/>
  <c r="C26" i="27"/>
  <c r="B26" i="27"/>
  <c r="C25" i="27"/>
  <c r="B25" i="27"/>
  <c r="C24" i="27"/>
  <c r="B24" i="27"/>
  <c r="C23" i="27"/>
  <c r="B23" i="27"/>
  <c r="C22" i="27"/>
  <c r="B22" i="27"/>
  <c r="C21" i="27"/>
  <c r="B21" i="27"/>
  <c r="C15" i="27" s="1"/>
  <c r="A7" i="27"/>
  <c r="I45" i="14" l="1"/>
  <c r="D22" i="27"/>
  <c r="E333" i="24"/>
  <c r="E31" i="3" s="1"/>
  <c r="F31" i="3" s="1"/>
  <c r="F332" i="24"/>
  <c r="C17" i="27"/>
  <c r="C16" i="27"/>
  <c r="D24" i="27"/>
  <c r="D23" i="27"/>
  <c r="D27" i="27"/>
  <c r="D25" i="27"/>
  <c r="D26" i="27"/>
  <c r="C11" i="27"/>
  <c r="C12" i="27"/>
  <c r="D21" i="27"/>
  <c r="C13" i="27"/>
  <c r="C14" i="27"/>
  <c r="G24" i="18" l="1"/>
  <c r="F21" i="18"/>
  <c r="G21" i="18" s="1"/>
  <c r="E28" i="18"/>
  <c r="E27" i="18"/>
  <c r="E26" i="18"/>
  <c r="G23" i="18"/>
  <c r="F20" i="18"/>
  <c r="G20" i="18" s="1"/>
  <c r="F19" i="18"/>
  <c r="G19" i="18" s="1"/>
  <c r="F17" i="18"/>
  <c r="G17" i="18" s="1"/>
  <c r="F16" i="18"/>
  <c r="E15" i="18"/>
  <c r="F15" i="18" s="1"/>
  <c r="E14" i="18"/>
  <c r="F14" i="18" s="1"/>
  <c r="E12" i="18"/>
  <c r="E11" i="18"/>
  <c r="D28" i="18"/>
  <c r="D16" i="18" l="1"/>
  <c r="D13" i="18"/>
  <c r="D15" i="18"/>
  <c r="D21" i="18"/>
  <c r="D14" i="18"/>
  <c r="D22" i="18"/>
  <c r="D23" i="18"/>
  <c r="D11" i="18"/>
  <c r="D24" i="18"/>
  <c r="D17" i="18"/>
  <c r="D25" i="18"/>
  <c r="D10" i="18"/>
  <c r="D18" i="18"/>
  <c r="D26" i="18"/>
  <c r="D19" i="18"/>
  <c r="D27" i="18"/>
  <c r="D12" i="18"/>
  <c r="D20" i="18"/>
  <c r="A144" i="19"/>
  <c r="C141" i="19"/>
  <c r="B143" i="19"/>
  <c r="A66" i="19"/>
  <c r="F302" i="24"/>
  <c r="E302" i="24"/>
  <c r="A301" i="24"/>
  <c r="F319" i="24"/>
  <c r="F320" i="24" s="1"/>
  <c r="F313" i="24"/>
  <c r="F314" i="24" s="1"/>
  <c r="E316" i="24" s="1"/>
  <c r="F316" i="24" s="1"/>
  <c r="F317" i="24" s="1"/>
  <c r="F310" i="24"/>
  <c r="F309" i="24"/>
  <c r="F308" i="24"/>
  <c r="F307" i="24"/>
  <c r="F306" i="24"/>
  <c r="F305" i="24"/>
  <c r="F304" i="24"/>
  <c r="G54" i="19"/>
  <c r="C38" i="19"/>
  <c r="G39" i="19"/>
  <c r="G23" i="19"/>
  <c r="G8" i="19"/>
  <c r="F311" i="24" l="1"/>
  <c r="E321" i="24"/>
  <c r="E29" i="3" s="1"/>
  <c r="F29" i="3" s="1"/>
  <c r="F278" i="24"/>
  <c r="E278" i="24"/>
  <c r="A277" i="24"/>
  <c r="F297" i="24"/>
  <c r="F298" i="24" s="1"/>
  <c r="F294" i="24"/>
  <c r="F293" i="24"/>
  <c r="F287" i="24"/>
  <c r="F288" i="24" s="1"/>
  <c r="E290" i="24" s="1"/>
  <c r="F290" i="24" s="1"/>
  <c r="F291" i="24" s="1"/>
  <c r="F283" i="24"/>
  <c r="F282" i="24"/>
  <c r="F281" i="24"/>
  <c r="F280" i="24"/>
  <c r="F284" i="24" s="1"/>
  <c r="F254" i="24"/>
  <c r="E254" i="24"/>
  <c r="A253" i="24"/>
  <c r="F273" i="24"/>
  <c r="F274" i="24" s="1"/>
  <c r="F267" i="24"/>
  <c r="F268" i="24" s="1"/>
  <c r="E270" i="24" s="1"/>
  <c r="F270" i="24" s="1"/>
  <c r="F271" i="24" s="1"/>
  <c r="F264" i="24"/>
  <c r="F263" i="24"/>
  <c r="F262" i="24"/>
  <c r="F261" i="24"/>
  <c r="F260" i="24"/>
  <c r="F259" i="24"/>
  <c r="F258" i="24"/>
  <c r="F257" i="24"/>
  <c r="F256" i="24"/>
  <c r="G146" i="19"/>
  <c r="G152" i="19" s="1"/>
  <c r="D25" i="3" s="1"/>
  <c r="I144" i="19"/>
  <c r="I235" i="24"/>
  <c r="I240" i="24"/>
  <c r="I249" i="24"/>
  <c r="I227" i="24"/>
  <c r="I226" i="24"/>
  <c r="I225" i="24"/>
  <c r="H221" i="24"/>
  <c r="I221" i="24" s="1"/>
  <c r="H220" i="24"/>
  <c r="I220" i="24" s="1"/>
  <c r="H219" i="24"/>
  <c r="I219" i="24" s="1"/>
  <c r="I215" i="24"/>
  <c r="A212" i="24"/>
  <c r="B211" i="24"/>
  <c r="B209" i="24"/>
  <c r="F295" i="24" l="1"/>
  <c r="F285" i="24"/>
  <c r="E299" i="24" s="1"/>
  <c r="E28" i="3" s="1"/>
  <c r="F28" i="3" s="1"/>
  <c r="F265" i="24"/>
  <c r="E275" i="24" s="1"/>
  <c r="E27" i="3" s="1"/>
  <c r="F27" i="3" s="1"/>
  <c r="I231" i="24"/>
  <c r="I234" i="24" s="1"/>
  <c r="I237" i="24" s="1"/>
  <c r="I241" i="24"/>
  <c r="I218" i="24" l="1"/>
  <c r="I222" i="24" s="1"/>
  <c r="I243" i="24" s="1"/>
  <c r="I251" i="24" s="1"/>
  <c r="E25" i="3" s="1"/>
  <c r="F25" i="3" s="1"/>
  <c r="E184" i="24" l="1"/>
  <c r="A183" i="24"/>
  <c r="F201" i="24"/>
  <c r="F202" i="24" s="1"/>
  <c r="F199" i="24"/>
  <c r="F192" i="24"/>
  <c r="F193" i="24" s="1"/>
  <c r="E195" i="24" s="1"/>
  <c r="F195" i="24" s="1"/>
  <c r="F196" i="24" s="1"/>
  <c r="F189" i="24"/>
  <c r="F188" i="24"/>
  <c r="F187" i="24"/>
  <c r="F186" i="24"/>
  <c r="G130" i="19"/>
  <c r="G131" i="19"/>
  <c r="F133" i="19"/>
  <c r="G133" i="19" s="1"/>
  <c r="F132" i="19"/>
  <c r="G132" i="19" s="1"/>
  <c r="I128" i="19"/>
  <c r="A128" i="19"/>
  <c r="B127" i="19"/>
  <c r="G137" i="19"/>
  <c r="G136" i="19"/>
  <c r="G135" i="19"/>
  <c r="G134" i="19"/>
  <c r="C125" i="19"/>
  <c r="A157" i="24"/>
  <c r="E158" i="24"/>
  <c r="F179" i="24"/>
  <c r="F180" i="24" s="1"/>
  <c r="F173" i="24"/>
  <c r="F174" i="24" s="1"/>
  <c r="E176" i="24" s="1"/>
  <c r="F176" i="24" s="1"/>
  <c r="F177" i="24" s="1"/>
  <c r="F170" i="24"/>
  <c r="F169" i="24"/>
  <c r="F168" i="24"/>
  <c r="F167" i="24"/>
  <c r="F166" i="24"/>
  <c r="F165" i="24"/>
  <c r="F164" i="24"/>
  <c r="F163" i="24"/>
  <c r="F162" i="24"/>
  <c r="F161" i="24"/>
  <c r="F160" i="24"/>
  <c r="A112" i="19"/>
  <c r="B111" i="19"/>
  <c r="C109" i="19"/>
  <c r="G120" i="19"/>
  <c r="G119" i="19"/>
  <c r="G118" i="19"/>
  <c r="G117" i="19"/>
  <c r="G116" i="19"/>
  <c r="G115" i="19"/>
  <c r="G114" i="19"/>
  <c r="I112" i="19"/>
  <c r="A131" i="24"/>
  <c r="E132" i="24"/>
  <c r="F153" i="24"/>
  <c r="F154" i="24" s="1"/>
  <c r="F147" i="24"/>
  <c r="F148" i="24" s="1"/>
  <c r="E150" i="24" s="1"/>
  <c r="F150" i="24" s="1"/>
  <c r="F151" i="24" s="1"/>
  <c r="F144" i="24"/>
  <c r="F143" i="24"/>
  <c r="F142" i="24"/>
  <c r="F141" i="24"/>
  <c r="F140" i="24"/>
  <c r="F139" i="24"/>
  <c r="F138" i="24"/>
  <c r="F137" i="24"/>
  <c r="F136" i="24"/>
  <c r="F135" i="24"/>
  <c r="F134" i="24"/>
  <c r="G100" i="19"/>
  <c r="F85" i="19"/>
  <c r="G85" i="19" s="1"/>
  <c r="G90" i="19" s="1"/>
  <c r="D18" i="3" s="1"/>
  <c r="B80" i="19"/>
  <c r="C78" i="19"/>
  <c r="A81" i="19"/>
  <c r="I81" i="19"/>
  <c r="F94" i="24"/>
  <c r="E94" i="24"/>
  <c r="A93" i="24"/>
  <c r="D106" i="24"/>
  <c r="F106" i="24" s="1"/>
  <c r="F107" i="24" s="1"/>
  <c r="F100" i="24"/>
  <c r="F101" i="24" s="1"/>
  <c r="E103" i="24" s="1"/>
  <c r="F103" i="24" s="1"/>
  <c r="F104" i="24" s="1"/>
  <c r="F97" i="24"/>
  <c r="F96" i="24"/>
  <c r="I66" i="19"/>
  <c r="B65" i="19"/>
  <c r="C63" i="19"/>
  <c r="C48" i="19"/>
  <c r="C93" i="19"/>
  <c r="B95" i="19"/>
  <c r="A96" i="19"/>
  <c r="G98" i="19"/>
  <c r="G99" i="19"/>
  <c r="G101" i="19"/>
  <c r="G102" i="19"/>
  <c r="G103" i="19"/>
  <c r="F70" i="24"/>
  <c r="E70" i="24"/>
  <c r="A69" i="24"/>
  <c r="F89" i="24"/>
  <c r="F90" i="24" s="1"/>
  <c r="F86" i="24"/>
  <c r="F87" i="24" s="1"/>
  <c r="F80" i="24"/>
  <c r="F81" i="24" s="1"/>
  <c r="E83" i="24" s="1"/>
  <c r="F83" i="24" s="1"/>
  <c r="F84" i="24" s="1"/>
  <c r="F77" i="24"/>
  <c r="F76" i="24"/>
  <c r="F75" i="24"/>
  <c r="F74" i="24"/>
  <c r="F73" i="24"/>
  <c r="F72" i="24"/>
  <c r="I96" i="19"/>
  <c r="F112" i="24"/>
  <c r="E112" i="24"/>
  <c r="A111" i="24"/>
  <c r="F127" i="24"/>
  <c r="F128" i="24" s="1"/>
  <c r="F124" i="24"/>
  <c r="F125" i="24" s="1"/>
  <c r="F118" i="24"/>
  <c r="F119" i="24" s="1"/>
  <c r="E121" i="24" s="1"/>
  <c r="F121" i="24" s="1"/>
  <c r="F122" i="24" s="1"/>
  <c r="F115" i="24"/>
  <c r="F114" i="24"/>
  <c r="F53" i="24"/>
  <c r="E53" i="24"/>
  <c r="A52" i="24"/>
  <c r="F59" i="24"/>
  <c r="F60" i="24" s="1"/>
  <c r="E62" i="24" s="1"/>
  <c r="F62" i="24" s="1"/>
  <c r="F63" i="24" s="1"/>
  <c r="F56" i="24"/>
  <c r="F55" i="24"/>
  <c r="I36" i="19"/>
  <c r="I51" i="19"/>
  <c r="B50" i="19"/>
  <c r="A51" i="19"/>
  <c r="F36" i="24"/>
  <c r="F35" i="24"/>
  <c r="F33" i="24"/>
  <c r="E33" i="24"/>
  <c r="A32" i="24"/>
  <c r="F48" i="24"/>
  <c r="F49" i="24" s="1"/>
  <c r="F45" i="24"/>
  <c r="F46" i="24" s="1"/>
  <c r="F39" i="24"/>
  <c r="F40" i="24" s="1"/>
  <c r="E42" i="24" s="1"/>
  <c r="F42" i="24" s="1"/>
  <c r="F43" i="24" s="1"/>
  <c r="D38" i="19"/>
  <c r="D53" i="19" s="1"/>
  <c r="F16" i="24"/>
  <c r="E16" i="24"/>
  <c r="A15" i="24"/>
  <c r="F28" i="24"/>
  <c r="F29" i="24" s="1"/>
  <c r="F26" i="24"/>
  <c r="D20" i="24"/>
  <c r="C20" i="24"/>
  <c r="E19" i="24"/>
  <c r="F19" i="24" s="1"/>
  <c r="F18" i="24"/>
  <c r="G22" i="19"/>
  <c r="G7" i="19"/>
  <c r="G13" i="19" s="1"/>
  <c r="F2" i="24"/>
  <c r="E2" i="24"/>
  <c r="A1" i="24"/>
  <c r="F11" i="24"/>
  <c r="F12" i="24" s="1"/>
  <c r="D6" i="24"/>
  <c r="C6" i="24"/>
  <c r="F5" i="24"/>
  <c r="F4" i="24"/>
  <c r="G138" i="19" l="1"/>
  <c r="D24" i="3" s="1"/>
  <c r="F190" i="24"/>
  <c r="E203" i="24" s="1"/>
  <c r="E24" i="3" s="1"/>
  <c r="F171" i="24"/>
  <c r="E181" i="24" s="1"/>
  <c r="E22" i="3" s="1"/>
  <c r="F22" i="3" s="1"/>
  <c r="G121" i="19"/>
  <c r="D21" i="3" s="1"/>
  <c r="F145" i="24"/>
  <c r="E155" i="24" s="1"/>
  <c r="E21" i="3" s="1"/>
  <c r="G38" i="19"/>
  <c r="F98" i="24"/>
  <c r="E108" i="24" s="1"/>
  <c r="E18" i="3" s="1"/>
  <c r="F18" i="3" s="1"/>
  <c r="F20" i="24"/>
  <c r="E22" i="24" s="1"/>
  <c r="F22" i="24" s="1"/>
  <c r="F23" i="24" s="1"/>
  <c r="E30" i="24" s="1"/>
  <c r="E13" i="3" s="1"/>
  <c r="C53" i="19"/>
  <c r="C68" i="19" s="1"/>
  <c r="F78" i="24"/>
  <c r="E91" i="24" s="1"/>
  <c r="E17" i="3" s="1"/>
  <c r="F57" i="24"/>
  <c r="F116" i="24"/>
  <c r="E129" i="24" s="1"/>
  <c r="E20" i="3" s="1"/>
  <c r="E65" i="24"/>
  <c r="F65" i="24" s="1"/>
  <c r="F66" i="24" s="1"/>
  <c r="F37" i="24"/>
  <c r="E50" i="24" s="1"/>
  <c r="E15" i="3" s="1"/>
  <c r="F6" i="24"/>
  <c r="F21" i="3" l="1"/>
  <c r="G68" i="19"/>
  <c r="G75" i="19" s="1"/>
  <c r="D17" i="3" s="1"/>
  <c r="F17" i="3" s="1"/>
  <c r="E67" i="24"/>
  <c r="E16" i="3" s="1"/>
  <c r="G53" i="19"/>
  <c r="E8" i="24"/>
  <c r="F8" i="24" s="1"/>
  <c r="F9" i="24" s="1"/>
  <c r="E13" i="24" s="1"/>
  <c r="E12" i="3" s="1"/>
  <c r="G60" i="19" l="1"/>
  <c r="D16" i="3" s="1"/>
  <c r="F16" i="3" s="1"/>
  <c r="B4" i="13"/>
  <c r="A2" i="6" l="1"/>
  <c r="A6" i="18"/>
  <c r="B35" i="19" l="1"/>
  <c r="A36" i="19"/>
  <c r="C33" i="19"/>
  <c r="A22" i="19"/>
  <c r="I20" i="19"/>
  <c r="A20" i="19"/>
  <c r="B19" i="19"/>
  <c r="C17" i="19"/>
  <c r="C2" i="19"/>
  <c r="B4" i="19"/>
  <c r="A5" i="19"/>
  <c r="I5" i="19"/>
  <c r="A7" i="14" l="1"/>
  <c r="C16" i="13"/>
  <c r="G104" i="19" l="1"/>
  <c r="G105" i="19"/>
  <c r="E69" i="6"/>
  <c r="E70" i="6"/>
  <c r="G41" i="13"/>
  <c r="G42" i="13"/>
  <c r="G50" i="13" s="1"/>
  <c r="F41" i="13"/>
  <c r="F42" i="13"/>
  <c r="F43" i="13" s="1"/>
  <c r="E47" i="6"/>
  <c r="E83" i="6"/>
  <c r="E15" i="13"/>
  <c r="E16" i="13"/>
  <c r="E18" i="13" s="1"/>
  <c r="E21" i="13" s="1"/>
  <c r="F15" i="13"/>
  <c r="F22" i="13" s="1"/>
  <c r="F16" i="13"/>
  <c r="F19" i="13" s="1"/>
  <c r="L37" i="14"/>
  <c r="H31" i="14"/>
  <c r="H32" i="14"/>
  <c r="H33" i="14"/>
  <c r="H34" i="14"/>
  <c r="H35" i="14"/>
  <c r="L36" i="14"/>
  <c r="H36" i="14" s="1"/>
  <c r="H37" i="14"/>
  <c r="C66" i="14"/>
  <c r="B65" i="14"/>
  <c r="B64" i="14"/>
  <c r="D59" i="14"/>
  <c r="D58" i="14"/>
  <c r="H28" i="14"/>
  <c r="H27" i="14"/>
  <c r="H26" i="14"/>
  <c r="I22" i="14"/>
  <c r="E78" i="6"/>
  <c r="E72" i="6"/>
  <c r="A75" i="6"/>
  <c r="A74" i="6"/>
  <c r="K78" i="6"/>
  <c r="K79" i="6" s="1"/>
  <c r="U11" i="6"/>
  <c r="U16" i="6"/>
  <c r="U28" i="6"/>
  <c r="E198" i="13"/>
  <c r="E199" i="13" s="1"/>
  <c r="D189" i="13"/>
  <c r="C189" i="13"/>
  <c r="B189" i="13"/>
  <c r="D188" i="13"/>
  <c r="C188" i="13"/>
  <c r="B188" i="13"/>
  <c r="D182" i="13"/>
  <c r="D192" i="13" s="1"/>
  <c r="C182" i="13"/>
  <c r="C185" i="13" s="1"/>
  <c r="C186" i="13"/>
  <c r="B182" i="13"/>
  <c r="B186" i="13" s="1"/>
  <c r="D180" i="13"/>
  <c r="C180" i="13"/>
  <c r="B180" i="13"/>
  <c r="K170" i="13"/>
  <c r="I170" i="13"/>
  <c r="C170" i="13"/>
  <c r="K156" i="13"/>
  <c r="K157" i="13" s="1"/>
  <c r="J156" i="13"/>
  <c r="J157" i="13" s="1"/>
  <c r="J170" i="13" s="1"/>
  <c r="I156" i="13"/>
  <c r="I157" i="13" s="1"/>
  <c r="H156" i="13"/>
  <c r="H157" i="13" s="1"/>
  <c r="H170" i="13" s="1"/>
  <c r="G156" i="13"/>
  <c r="G157" i="13" s="1"/>
  <c r="G170" i="13" s="1"/>
  <c r="F156" i="13"/>
  <c r="F157" i="13" s="1"/>
  <c r="F170" i="13" s="1"/>
  <c r="E156" i="13"/>
  <c r="E157" i="13" s="1"/>
  <c r="E170" i="13" s="1"/>
  <c r="D156" i="13"/>
  <c r="D157" i="13" s="1"/>
  <c r="D170" i="13" s="1"/>
  <c r="C156" i="13"/>
  <c r="C157" i="13" s="1"/>
  <c r="K155" i="13"/>
  <c r="K154" i="13" s="1"/>
  <c r="J155" i="13"/>
  <c r="I155" i="13"/>
  <c r="I154" i="13" s="1"/>
  <c r="H155" i="13"/>
  <c r="H154" i="13" s="1"/>
  <c r="G155" i="13"/>
  <c r="G154" i="13" s="1"/>
  <c r="F155" i="13"/>
  <c r="F154" i="13" s="1"/>
  <c r="E155" i="13"/>
  <c r="E154" i="13" s="1"/>
  <c r="D155" i="13"/>
  <c r="D154" i="13" s="1"/>
  <c r="C155" i="13"/>
  <c r="C154" i="13" s="1"/>
  <c r="J154" i="13"/>
  <c r="I146" i="13"/>
  <c r="I147" i="13"/>
  <c r="I148" i="13" s="1"/>
  <c r="G144" i="13"/>
  <c r="D144" i="13"/>
  <c r="C144" i="13"/>
  <c r="H130" i="13"/>
  <c r="H131" i="13" s="1"/>
  <c r="H144" i="13" s="1"/>
  <c r="G130" i="13"/>
  <c r="G131" i="13" s="1"/>
  <c r="F130" i="13"/>
  <c r="F131" i="13" s="1"/>
  <c r="F144" i="13" s="1"/>
  <c r="E130" i="13"/>
  <c r="E131" i="13" s="1"/>
  <c r="E144" i="13" s="1"/>
  <c r="D130" i="13"/>
  <c r="D131" i="13" s="1"/>
  <c r="C130" i="13"/>
  <c r="C131" i="13" s="1"/>
  <c r="H129" i="13"/>
  <c r="H128" i="13" s="1"/>
  <c r="G129" i="13"/>
  <c r="G128" i="13" s="1"/>
  <c r="F129" i="13"/>
  <c r="F128" i="13" s="1"/>
  <c r="E129" i="13"/>
  <c r="E128" i="13" s="1"/>
  <c r="D129" i="13"/>
  <c r="D128" i="13" s="1"/>
  <c r="C129" i="13"/>
  <c r="C128" i="13" s="1"/>
  <c r="D114" i="13"/>
  <c r="D113" i="13"/>
  <c r="D112" i="13"/>
  <c r="K57" i="13"/>
  <c r="J57" i="13"/>
  <c r="I57" i="13"/>
  <c r="H57" i="13"/>
  <c r="G57" i="13"/>
  <c r="F57" i="13"/>
  <c r="E57" i="13"/>
  <c r="D57" i="13"/>
  <c r="C57" i="13"/>
  <c r="K52" i="13"/>
  <c r="J52" i="13"/>
  <c r="H52" i="13"/>
  <c r="D52" i="13"/>
  <c r="C52" i="13"/>
  <c r="K42" i="13"/>
  <c r="K50" i="13" s="1"/>
  <c r="J42" i="13"/>
  <c r="I42" i="13"/>
  <c r="I50" i="13" s="1"/>
  <c r="H42" i="13"/>
  <c r="F51" i="13"/>
  <c r="E42" i="13"/>
  <c r="E45" i="13" s="1"/>
  <c r="D42" i="13"/>
  <c r="C42" i="13"/>
  <c r="K41" i="13"/>
  <c r="K48" i="13" s="1"/>
  <c r="J41" i="13"/>
  <c r="J44" i="13" s="1"/>
  <c r="I41" i="13"/>
  <c r="H41" i="13"/>
  <c r="E41" i="13"/>
  <c r="D41" i="13"/>
  <c r="D48" i="13" s="1"/>
  <c r="C41" i="13"/>
  <c r="C40" i="13" s="1"/>
  <c r="K31" i="13"/>
  <c r="J31" i="13"/>
  <c r="I31" i="13"/>
  <c r="H31" i="13"/>
  <c r="G31" i="13"/>
  <c r="F31" i="13"/>
  <c r="E31" i="13"/>
  <c r="D31" i="13"/>
  <c r="C31" i="13"/>
  <c r="E26" i="13"/>
  <c r="D26" i="13"/>
  <c r="C26" i="13"/>
  <c r="K16" i="13"/>
  <c r="K24" i="13" s="1"/>
  <c r="J16" i="13"/>
  <c r="J25" i="13" s="1"/>
  <c r="I16" i="13"/>
  <c r="I19" i="13" s="1"/>
  <c r="H16" i="13"/>
  <c r="H19" i="13" s="1"/>
  <c r="G16" i="13"/>
  <c r="G25" i="13" s="1"/>
  <c r="D16" i="13"/>
  <c r="C24" i="13"/>
  <c r="K15" i="13"/>
  <c r="J15" i="13"/>
  <c r="I15" i="13"/>
  <c r="I14" i="13" s="1"/>
  <c r="H15" i="13"/>
  <c r="H22" i="13" s="1"/>
  <c r="G15" i="13"/>
  <c r="D15" i="13"/>
  <c r="C15" i="13"/>
  <c r="E25" i="13"/>
  <c r="F50" i="13"/>
  <c r="B183" i="13"/>
  <c r="B193" i="13"/>
  <c r="G45" i="13"/>
  <c r="J50" i="13"/>
  <c r="B192" i="13"/>
  <c r="E22" i="13"/>
  <c r="D40" i="13"/>
  <c r="E17" i="13"/>
  <c r="E23" i="13" s="1"/>
  <c r="F24" i="13"/>
  <c r="I45" i="13"/>
  <c r="J45" i="13"/>
  <c r="D186" i="13"/>
  <c r="G2" i="6"/>
  <c r="M38" i="6"/>
  <c r="Q38" i="6"/>
  <c r="M37" i="6"/>
  <c r="M9" i="6"/>
  <c r="Q9" i="6" s="1"/>
  <c r="O9" i="6" s="1"/>
  <c r="M8" i="6"/>
  <c r="M7" i="6"/>
  <c r="Q7" i="6" s="1"/>
  <c r="G1" i="6"/>
  <c r="F45" i="13" l="1"/>
  <c r="D183" i="13"/>
  <c r="D184" i="13" s="1"/>
  <c r="D193" i="13"/>
  <c r="C183" i="13"/>
  <c r="C191" i="13" s="1"/>
  <c r="D185" i="13"/>
  <c r="B185" i="13"/>
  <c r="F25" i="13"/>
  <c r="O7" i="6"/>
  <c r="G59" i="13"/>
  <c r="G60" i="13" s="1"/>
  <c r="G61" i="13" s="1"/>
  <c r="F49" i="13"/>
  <c r="F52" i="13"/>
  <c r="K19" i="13"/>
  <c r="K17" i="13"/>
  <c r="K18" i="13"/>
  <c r="K21" i="13" s="1"/>
  <c r="J17" i="13"/>
  <c r="J23" i="13" s="1"/>
  <c r="C184" i="13"/>
  <c r="C187" i="13" s="1"/>
  <c r="D44" i="13"/>
  <c r="D47" i="13" s="1"/>
  <c r="H46" i="13"/>
  <c r="D25" i="13"/>
  <c r="J24" i="13"/>
  <c r="K43" i="13"/>
  <c r="K49" i="13" s="1"/>
  <c r="F17" i="13"/>
  <c r="F26" i="13" s="1"/>
  <c r="J18" i="13"/>
  <c r="J21" i="13" s="1"/>
  <c r="I17" i="13"/>
  <c r="I32" i="13" s="1"/>
  <c r="D19" i="13"/>
  <c r="D51" i="13"/>
  <c r="D50" i="13"/>
  <c r="E24" i="13"/>
  <c r="D45" i="13"/>
  <c r="K45" i="13"/>
  <c r="K25" i="13"/>
  <c r="J19" i="13"/>
  <c r="E19" i="13"/>
  <c r="I30" i="14"/>
  <c r="I25" i="14"/>
  <c r="H51" i="13"/>
  <c r="H45" i="13"/>
  <c r="H50" i="13"/>
  <c r="H43" i="13"/>
  <c r="H49" i="13" s="1"/>
  <c r="J46" i="13"/>
  <c r="J40" i="13"/>
  <c r="J48" i="13"/>
  <c r="J59" i="13"/>
  <c r="J60" i="13" s="1"/>
  <c r="J61" i="13" s="1"/>
  <c r="K33" i="13"/>
  <c r="K34" i="13" s="1"/>
  <c r="K35" i="13" s="1"/>
  <c r="I44" i="13"/>
  <c r="I47" i="13" s="1"/>
  <c r="C17" i="13"/>
  <c r="C23" i="13" s="1"/>
  <c r="C18" i="13"/>
  <c r="C21" i="13" s="1"/>
  <c r="J51" i="13"/>
  <c r="I51" i="13"/>
  <c r="G17" i="13"/>
  <c r="G23" i="13" s="1"/>
  <c r="D59" i="13"/>
  <c r="D60" i="13" s="1"/>
  <c r="D61" i="13" s="1"/>
  <c r="I43" i="13"/>
  <c r="I23" i="13"/>
  <c r="I26" i="13"/>
  <c r="D24" i="13"/>
  <c r="C25" i="13"/>
  <c r="C19" i="13"/>
  <c r="E46" i="13"/>
  <c r="D20" i="13"/>
  <c r="E33" i="13"/>
  <c r="E34" i="13" s="1"/>
  <c r="E35" i="13" s="1"/>
  <c r="F59" i="13"/>
  <c r="F60" i="13" s="1"/>
  <c r="H44" i="13"/>
  <c r="H47" i="13" s="1"/>
  <c r="K20" i="13"/>
  <c r="C22" i="13"/>
  <c r="E59" i="13"/>
  <c r="E60" i="13" s="1"/>
  <c r="E61" i="13" s="1"/>
  <c r="F44" i="13"/>
  <c r="F47" i="13" s="1"/>
  <c r="F40" i="13"/>
  <c r="F58" i="13" s="1"/>
  <c r="C48" i="13"/>
  <c r="H14" i="13"/>
  <c r="K14" i="13"/>
  <c r="K32" i="13" s="1"/>
  <c r="E40" i="13"/>
  <c r="K44" i="13"/>
  <c r="K47" i="13" s="1"/>
  <c r="J20" i="13"/>
  <c r="F46" i="13"/>
  <c r="K40" i="13"/>
  <c r="K58" i="13" s="1"/>
  <c r="K22" i="13"/>
  <c r="I22" i="13"/>
  <c r="F48" i="13"/>
  <c r="G48" i="13"/>
  <c r="E48" i="13"/>
  <c r="D191" i="13"/>
  <c r="E20" i="13"/>
  <c r="E50" i="13"/>
  <c r="H59" i="13"/>
  <c r="H60" i="13" s="1"/>
  <c r="H61" i="13" s="1"/>
  <c r="I18" i="13"/>
  <c r="I21" i="13" s="1"/>
  <c r="E14" i="13"/>
  <c r="E32" i="13" s="1"/>
  <c r="K51" i="13"/>
  <c r="C193" i="13"/>
  <c r="J22" i="13"/>
  <c r="J33" i="13"/>
  <c r="J34" i="13" s="1"/>
  <c r="J35" i="13" s="1"/>
  <c r="G24" i="13"/>
  <c r="G19" i="13"/>
  <c r="O38" i="6"/>
  <c r="K46" i="13"/>
  <c r="G51" i="13"/>
  <c r="G44" i="13"/>
  <c r="G47" i="13" s="1"/>
  <c r="I33" i="13"/>
  <c r="I34" i="13" s="1"/>
  <c r="I35" i="13" s="1"/>
  <c r="E43" i="13"/>
  <c r="E52" i="13" s="1"/>
  <c r="J43" i="13"/>
  <c r="J49" i="13" s="1"/>
  <c r="G43" i="13"/>
  <c r="G49" i="13" s="1"/>
  <c r="H25" i="13"/>
  <c r="H20" i="13"/>
  <c r="J14" i="13"/>
  <c r="K59" i="13"/>
  <c r="K60" i="13" s="1"/>
  <c r="K61" i="13" s="1"/>
  <c r="D46" i="13"/>
  <c r="D43" i="13"/>
  <c r="D49" i="13" s="1"/>
  <c r="H48" i="13"/>
  <c r="I20" i="13"/>
  <c r="H17" i="13"/>
  <c r="H23" i="13" s="1"/>
  <c r="E44" i="13"/>
  <c r="E47" i="13" s="1"/>
  <c r="C192" i="13"/>
  <c r="H24" i="13"/>
  <c r="H18" i="13"/>
  <c r="H21" i="13" s="1"/>
  <c r="Q8" i="6"/>
  <c r="O8" i="6" s="1"/>
  <c r="G46" i="13"/>
  <c r="H40" i="13"/>
  <c r="G40" i="13"/>
  <c r="G29" i="19"/>
  <c r="D13" i="3" s="1"/>
  <c r="F13" i="3" s="1"/>
  <c r="G14" i="13"/>
  <c r="G32" i="13" s="1"/>
  <c r="G33" i="13"/>
  <c r="G34" i="13" s="1"/>
  <c r="G35" i="13" s="1"/>
  <c r="G22" i="13"/>
  <c r="G18" i="13"/>
  <c r="Q37" i="6"/>
  <c r="O37" i="6" s="1"/>
  <c r="I40" i="13"/>
  <c r="I48" i="13"/>
  <c r="I46" i="13"/>
  <c r="C44" i="13"/>
  <c r="C46" i="13"/>
  <c r="C50" i="13"/>
  <c r="C59" i="13"/>
  <c r="C60" i="13" s="1"/>
  <c r="C61" i="13" s="1"/>
  <c r="C51" i="13"/>
  <c r="C43" i="13"/>
  <c r="J47" i="13"/>
  <c r="D187" i="13"/>
  <c r="D198" i="13" s="1"/>
  <c r="D199" i="13" s="1"/>
  <c r="G20" i="13"/>
  <c r="I59" i="13"/>
  <c r="I60" i="13" s="1"/>
  <c r="I61" i="13" s="1"/>
  <c r="C45" i="13"/>
  <c r="B184" i="13"/>
  <c r="B187" i="13" s="1"/>
  <c r="B191" i="13"/>
  <c r="C20" i="13"/>
  <c r="E51" i="13"/>
  <c r="H33" i="13"/>
  <c r="H34" i="13" s="1"/>
  <c r="H35" i="13" s="1"/>
  <c r="D18" i="13"/>
  <c r="C14" i="13"/>
  <c r="C33" i="13"/>
  <c r="C34" i="13" s="1"/>
  <c r="C35" i="13" s="1"/>
  <c r="D33" i="13"/>
  <c r="D34" i="13" s="1"/>
  <c r="D35" i="13" s="1"/>
  <c r="D17" i="13"/>
  <c r="D23" i="13" s="1"/>
  <c r="D14" i="13"/>
  <c r="D22" i="13"/>
  <c r="I24" i="13"/>
  <c r="I25" i="13"/>
  <c r="F18" i="13"/>
  <c r="F33" i="13"/>
  <c r="F34" i="13" s="1"/>
  <c r="F14" i="13"/>
  <c r="F20" i="13"/>
  <c r="G106" i="19"/>
  <c r="G45" i="19"/>
  <c r="D15" i="3" s="1"/>
  <c r="D12" i="3"/>
  <c r="F12" i="3" s="1"/>
  <c r="G26" i="13" l="1"/>
  <c r="H26" i="13"/>
  <c r="C198" i="13"/>
  <c r="C199" i="13" s="1"/>
  <c r="J32" i="13"/>
  <c r="J26" i="13"/>
  <c r="J27" i="13" s="1"/>
  <c r="J29" i="13" s="1"/>
  <c r="K26" i="13"/>
  <c r="K23" i="13"/>
  <c r="K28" i="13" s="1"/>
  <c r="K120" i="13" s="1"/>
  <c r="K121" i="13" s="1"/>
  <c r="E27" i="13"/>
  <c r="E29" i="13" s="1"/>
  <c r="D20" i="3"/>
  <c r="F20" i="3" s="1"/>
  <c r="F32" i="13"/>
  <c r="D53" i="13"/>
  <c r="D54" i="13" s="1"/>
  <c r="E49" i="13"/>
  <c r="E54" i="13" s="1"/>
  <c r="H58" i="13"/>
  <c r="F23" i="13"/>
  <c r="C32" i="13"/>
  <c r="E28" i="13"/>
  <c r="E120" i="13" s="1"/>
  <c r="E121" i="13" s="1"/>
  <c r="I52" i="13"/>
  <c r="I49" i="13"/>
  <c r="I53" i="13" s="1"/>
  <c r="I55" i="13" s="1"/>
  <c r="I58" i="13"/>
  <c r="E58" i="13"/>
  <c r="D58" i="13"/>
  <c r="F61" i="13"/>
  <c r="C27" i="13"/>
  <c r="C28" i="13" s="1"/>
  <c r="H53" i="13"/>
  <c r="H55" i="13" s="1"/>
  <c r="G16" i="14" s="1"/>
  <c r="H54" i="13"/>
  <c r="K54" i="13"/>
  <c r="F53" i="13"/>
  <c r="F55" i="13" s="1"/>
  <c r="F54" i="13"/>
  <c r="H28" i="13"/>
  <c r="H120" i="13" s="1"/>
  <c r="H121" i="13" s="1"/>
  <c r="J54" i="13"/>
  <c r="H32" i="13"/>
  <c r="K53" i="13"/>
  <c r="K55" i="13" s="1"/>
  <c r="H27" i="13"/>
  <c r="H29" i="13" s="1"/>
  <c r="G58" i="13"/>
  <c r="B198" i="13"/>
  <c r="B199" i="13" s="1"/>
  <c r="B200" i="13" s="1"/>
  <c r="J53" i="13"/>
  <c r="J55" i="13" s="1"/>
  <c r="E53" i="13"/>
  <c r="E55" i="13" s="1"/>
  <c r="G52" i="13"/>
  <c r="G53" i="13" s="1"/>
  <c r="G55" i="13" s="1"/>
  <c r="G62" i="13" s="1"/>
  <c r="J58" i="13"/>
  <c r="I28" i="13"/>
  <c r="I120" i="13" s="1"/>
  <c r="I121" i="13" s="1"/>
  <c r="D21" i="13"/>
  <c r="D27" i="13" s="1"/>
  <c r="C58" i="13"/>
  <c r="C49" i="13"/>
  <c r="G21" i="13"/>
  <c r="G28" i="13" s="1"/>
  <c r="G120" i="13" s="1"/>
  <c r="G121" i="13" s="1"/>
  <c r="I27" i="13"/>
  <c r="I29" i="13" s="1"/>
  <c r="F21" i="13"/>
  <c r="D32" i="13"/>
  <c r="C47" i="13"/>
  <c r="F35" i="13"/>
  <c r="F27" i="13" l="1"/>
  <c r="F29" i="13" s="1"/>
  <c r="D55" i="13"/>
  <c r="K27" i="13"/>
  <c r="K29" i="13" s="1"/>
  <c r="J28" i="13"/>
  <c r="J120" i="13" s="1"/>
  <c r="J121" i="13" s="1"/>
  <c r="E32" i="18"/>
  <c r="F24" i="3"/>
  <c r="F15" i="3"/>
  <c r="I54" i="13"/>
  <c r="H16" i="14"/>
  <c r="I15" i="14" s="1"/>
  <c r="C29" i="13"/>
  <c r="F28" i="13"/>
  <c r="F120" i="13" s="1"/>
  <c r="F121" i="13" s="1"/>
  <c r="G27" i="13"/>
  <c r="G29" i="13" s="1"/>
  <c r="C53" i="13"/>
  <c r="C54" i="13" s="1"/>
  <c r="G54" i="13"/>
  <c r="D29" i="13"/>
  <c r="D28" i="13"/>
  <c r="D120" i="13" s="1"/>
  <c r="D121" i="13" s="1"/>
  <c r="D111" i="13"/>
  <c r="C120" i="13"/>
  <c r="C121" i="13" s="1"/>
  <c r="E34" i="18" l="1"/>
  <c r="F32" i="18"/>
  <c r="C55" i="13"/>
  <c r="D115" i="13"/>
  <c r="D116" i="13"/>
  <c r="D117" i="13"/>
  <c r="G32" i="18" l="1"/>
  <c r="F34" i="18"/>
  <c r="E116" i="13"/>
  <c r="E117" i="13" s="1"/>
  <c r="G34" i="18" l="1"/>
  <c r="F33" i="18" l="1"/>
  <c r="G33" i="18"/>
  <c r="E33" i="18"/>
  <c r="E35" i="18" l="1"/>
  <c r="J10" i="14"/>
  <c r="J45" i="14" s="1"/>
  <c r="F34" i="3" l="1"/>
  <c r="I19" i="14"/>
  <c r="I40" i="14"/>
  <c r="I20" i="14"/>
  <c r="I41" i="14"/>
  <c r="I21" i="14"/>
  <c r="I14" i="14"/>
  <c r="I13" i="14" s="1"/>
  <c r="J13" i="14" s="1"/>
  <c r="J22" i="14"/>
  <c r="J15" i="14"/>
  <c r="J25" i="14"/>
  <c r="J30" i="14"/>
  <c r="F36" i="3" l="1"/>
  <c r="I43" i="14"/>
  <c r="I42" i="14" s="1"/>
  <c r="J42" i="14" s="1"/>
  <c r="I39" i="14"/>
  <c r="J39" i="14" s="1"/>
  <c r="I18" i="14"/>
  <c r="J18" i="14" s="1"/>
  <c r="K45" i="14" l="1"/>
  <c r="J52" i="14"/>
  <c r="J55" i="14" l="1"/>
  <c r="D57" i="14"/>
  <c r="C132" i="13" l="1"/>
  <c r="D132" i="13"/>
  <c r="E132" i="13"/>
  <c r="F132" i="13"/>
  <c r="G132" i="13"/>
  <c r="H132" i="13"/>
  <c r="C133" i="13"/>
  <c r="D133" i="13"/>
  <c r="E133" i="13"/>
  <c r="F133" i="13"/>
  <c r="G133" i="13"/>
  <c r="H133" i="13"/>
  <c r="C134" i="13"/>
  <c r="D134" i="13"/>
  <c r="E134" i="13"/>
  <c r="F134" i="13"/>
  <c r="G134" i="13"/>
  <c r="H134" i="13"/>
  <c r="C135" i="13"/>
  <c r="D135" i="13"/>
  <c r="E135" i="13"/>
  <c r="F135" i="13"/>
  <c r="G135" i="13"/>
  <c r="H135" i="13"/>
  <c r="C136" i="13"/>
  <c r="D136" i="13"/>
  <c r="E136" i="13"/>
  <c r="F136" i="13"/>
  <c r="G136" i="13"/>
  <c r="H136" i="13"/>
  <c r="C137" i="13"/>
  <c r="D137" i="13"/>
  <c r="E137" i="13"/>
  <c r="F137" i="13"/>
  <c r="G137" i="13"/>
  <c r="H137" i="13"/>
  <c r="C138" i="13"/>
  <c r="D138" i="13"/>
  <c r="E138" i="13"/>
  <c r="F138" i="13"/>
  <c r="G138" i="13"/>
  <c r="H138" i="13"/>
  <c r="C139" i="13"/>
  <c r="D139" i="13"/>
  <c r="E139" i="13"/>
  <c r="F139" i="13"/>
  <c r="G139" i="13"/>
  <c r="H139" i="13"/>
  <c r="C140" i="13"/>
  <c r="D140" i="13"/>
  <c r="E140" i="13"/>
  <c r="F140" i="13"/>
  <c r="G140" i="13"/>
  <c r="H140" i="13"/>
  <c r="C141" i="13"/>
  <c r="D141" i="13"/>
  <c r="E141" i="13"/>
  <c r="F141" i="13"/>
  <c r="G141" i="13"/>
  <c r="H141" i="13"/>
  <c r="C142" i="13"/>
  <c r="D142" i="13"/>
  <c r="E142" i="13"/>
  <c r="F142" i="13"/>
  <c r="G142" i="13"/>
  <c r="H142" i="13"/>
  <c r="C143" i="13"/>
  <c r="D143" i="13"/>
  <c r="E143" i="13"/>
  <c r="F143" i="13"/>
  <c r="G143" i="13"/>
  <c r="H143" i="13"/>
  <c r="C145" i="13"/>
  <c r="D145" i="13"/>
  <c r="E145" i="13"/>
  <c r="F145" i="13"/>
  <c r="G145" i="13"/>
  <c r="H145" i="13"/>
  <c r="C146" i="13"/>
  <c r="D146" i="13"/>
  <c r="E146" i="13"/>
  <c r="F146" i="13"/>
  <c r="G146" i="13"/>
  <c r="H146" i="13"/>
  <c r="C147" i="13"/>
  <c r="D147" i="13"/>
  <c r="E147" i="13"/>
  <c r="F147" i="13"/>
  <c r="G147" i="13"/>
  <c r="H147" i="13"/>
  <c r="J147" i="13"/>
  <c r="K147" i="13"/>
  <c r="C148" i="13"/>
  <c r="D148" i="13"/>
  <c r="E148" i="13"/>
  <c r="F148" i="13"/>
  <c r="G148" i="13"/>
  <c r="H148" i="13"/>
  <c r="J148" i="13"/>
  <c r="K148" i="13"/>
  <c r="G149" i="13"/>
  <c r="G150" i="13"/>
  <c r="C158" i="13"/>
  <c r="D158" i="13"/>
  <c r="E158" i="13"/>
  <c r="F158" i="13"/>
  <c r="G158" i="13"/>
  <c r="H158" i="13"/>
  <c r="I158" i="13"/>
  <c r="J158" i="13"/>
  <c r="K158" i="13"/>
  <c r="C159" i="13"/>
  <c r="D159" i="13"/>
  <c r="E159" i="13"/>
  <c r="F159" i="13"/>
  <c r="G159" i="13"/>
  <c r="H159" i="13"/>
  <c r="I159" i="13"/>
  <c r="J159" i="13"/>
  <c r="K159" i="13"/>
  <c r="C160" i="13"/>
  <c r="D160" i="13"/>
  <c r="E160" i="13"/>
  <c r="F160" i="13"/>
  <c r="G160" i="13"/>
  <c r="H160" i="13"/>
  <c r="I160" i="13"/>
  <c r="J160" i="13"/>
  <c r="K160" i="13"/>
  <c r="C161" i="13"/>
  <c r="D161" i="13"/>
  <c r="E161" i="13"/>
  <c r="F161" i="13"/>
  <c r="G161" i="13"/>
  <c r="H161" i="13"/>
  <c r="I161" i="13"/>
  <c r="J161" i="13"/>
  <c r="K161" i="13"/>
  <c r="C162" i="13"/>
  <c r="D162" i="13"/>
  <c r="E162" i="13"/>
  <c r="F162" i="13"/>
  <c r="G162" i="13"/>
  <c r="H162" i="13"/>
  <c r="I162" i="13"/>
  <c r="J162" i="13"/>
  <c r="K162" i="13"/>
  <c r="C163" i="13"/>
  <c r="D163" i="13"/>
  <c r="E163" i="13"/>
  <c r="F163" i="13"/>
  <c r="G163" i="13"/>
  <c r="H163" i="13"/>
  <c r="I163" i="13"/>
  <c r="J163" i="13"/>
  <c r="K163" i="13"/>
  <c r="C164" i="13"/>
  <c r="D164" i="13"/>
  <c r="E164" i="13"/>
  <c r="F164" i="13"/>
  <c r="G164" i="13"/>
  <c r="H164" i="13"/>
  <c r="I164" i="13"/>
  <c r="J164" i="13"/>
  <c r="K164" i="13"/>
  <c r="C165" i="13"/>
  <c r="D165" i="13"/>
  <c r="E165" i="13"/>
  <c r="F165" i="13"/>
  <c r="G165" i="13"/>
  <c r="H165" i="13"/>
  <c r="I165" i="13"/>
  <c r="J165" i="13"/>
  <c r="K165" i="13"/>
  <c r="C166" i="13"/>
  <c r="D166" i="13"/>
  <c r="E166" i="13"/>
  <c r="F166" i="13"/>
  <c r="G166" i="13"/>
  <c r="H166" i="13"/>
  <c r="I166" i="13"/>
  <c r="J166" i="13"/>
  <c r="K166" i="13"/>
  <c r="C167" i="13"/>
  <c r="D167" i="13"/>
  <c r="E167" i="13"/>
  <c r="F167" i="13"/>
  <c r="G167" i="13"/>
  <c r="H167" i="13"/>
  <c r="I167" i="13"/>
  <c r="J167" i="13"/>
  <c r="K167" i="13"/>
  <c r="C168" i="13"/>
  <c r="D168" i="13"/>
  <c r="E168" i="13"/>
  <c r="F168" i="13"/>
  <c r="G168" i="13"/>
  <c r="H168" i="13"/>
  <c r="I168" i="13"/>
  <c r="J168" i="13"/>
  <c r="K168" i="13"/>
  <c r="C169" i="13"/>
  <c r="D169" i="13"/>
  <c r="E169" i="13"/>
  <c r="F169" i="13"/>
  <c r="G169" i="13"/>
  <c r="H169" i="13"/>
  <c r="I169" i="13"/>
  <c r="J169" i="13"/>
  <c r="K169" i="13"/>
  <c r="C171" i="13"/>
  <c r="D171" i="13"/>
  <c r="E171" i="13"/>
  <c r="F171" i="13"/>
  <c r="G171" i="13"/>
  <c r="H171" i="13"/>
  <c r="I171" i="13"/>
  <c r="J171" i="13"/>
  <c r="K171" i="13"/>
  <c r="C172" i="13"/>
  <c r="D172" i="13"/>
  <c r="E172" i="13"/>
  <c r="F172" i="13"/>
  <c r="G172" i="13"/>
  <c r="H172" i="13"/>
  <c r="I172" i="13"/>
  <c r="J172" i="13"/>
  <c r="K172" i="13"/>
  <c r="C173" i="13"/>
  <c r="D173" i="13"/>
  <c r="E173" i="13"/>
  <c r="F173" i="13"/>
  <c r="G173" i="13"/>
  <c r="H173" i="13"/>
  <c r="I173" i="13"/>
  <c r="J173" i="13"/>
  <c r="K173" i="13"/>
  <c r="C174" i="13"/>
  <c r="D174" i="13"/>
  <c r="E174" i="13"/>
  <c r="F174" i="13"/>
  <c r="G174" i="13"/>
  <c r="H174" i="13"/>
  <c r="I174" i="13"/>
  <c r="J174" i="13"/>
  <c r="K174" i="13"/>
</calcChain>
</file>

<file path=xl/sharedStrings.xml><?xml version="1.0" encoding="utf-8"?>
<sst xmlns="http://schemas.openxmlformats.org/spreadsheetml/2006/main" count="1644" uniqueCount="587">
  <si>
    <t>FECHA</t>
  </si>
  <si>
    <t>ANCHO</t>
  </si>
  <si>
    <t>CANTIDAD</t>
  </si>
  <si>
    <t>ACUMULADO</t>
  </si>
  <si>
    <t>UN</t>
  </si>
  <si>
    <t>M2</t>
  </si>
  <si>
    <t>DEPARTAMENTO DE ANTIOQUIA</t>
  </si>
  <si>
    <t>MUNICIPIO DE CAUCASIA</t>
  </si>
  <si>
    <t>ITEM</t>
  </si>
  <si>
    <t>DESCRIPCION</t>
  </si>
  <si>
    <t>UND.</t>
  </si>
  <si>
    <t>CANT</t>
  </si>
  <si>
    <t>VR/UNIT.</t>
  </si>
  <si>
    <t>VR/TOTAL</t>
  </si>
  <si>
    <t>M3</t>
  </si>
  <si>
    <t>KG</t>
  </si>
  <si>
    <t>VALOR</t>
  </si>
  <si>
    <t>kg</t>
  </si>
  <si>
    <t>un</t>
  </si>
  <si>
    <t xml:space="preserve">DESCRIPCION </t>
  </si>
  <si>
    <t>UNIDAD:</t>
  </si>
  <si>
    <t>I. EQUIPO</t>
  </si>
  <si>
    <t>DESCRIPCIÓN</t>
  </si>
  <si>
    <t>Vr. / DIA</t>
  </si>
  <si>
    <t>REND.</t>
  </si>
  <si>
    <t>V-UNIT.</t>
  </si>
  <si>
    <t>Herramienta menor</t>
  </si>
  <si>
    <t>SUB-TOTAL</t>
  </si>
  <si>
    <t>II. MATERIALES EN OBRA</t>
  </si>
  <si>
    <t>UN.</t>
  </si>
  <si>
    <t>P-UNIT.</t>
  </si>
  <si>
    <t>CANT.</t>
  </si>
  <si>
    <t>III. TRANSPORTES</t>
  </si>
  <si>
    <t>MATERIAL</t>
  </si>
  <si>
    <t>Vol (M3)</t>
  </si>
  <si>
    <t>DIST.</t>
  </si>
  <si>
    <t>M3-KM</t>
  </si>
  <si>
    <t>TARIFA</t>
  </si>
  <si>
    <t>IV. MANO DE OBRA</t>
  </si>
  <si>
    <t>PERSONAL</t>
  </si>
  <si>
    <t>JORNAL MAS PRESTAC.</t>
  </si>
  <si>
    <t>TOTAL COSTO DIRECTO</t>
  </si>
  <si>
    <t>V. COSTOS INDIRECTOS</t>
  </si>
  <si>
    <t>%</t>
  </si>
  <si>
    <t>V-TOTAL</t>
  </si>
  <si>
    <t>Administración</t>
  </si>
  <si>
    <t>Utilidad</t>
  </si>
  <si>
    <t>TOTAL</t>
  </si>
  <si>
    <t>m3</t>
  </si>
  <si>
    <t>Imprevistos</t>
  </si>
  <si>
    <t>m2</t>
  </si>
  <si>
    <t xml:space="preserve">CUADRO DE MATERIALES </t>
  </si>
  <si>
    <t xml:space="preserve">CUADRO DE VARILLA </t>
  </si>
  <si>
    <t>MATERIALES</t>
  </si>
  <si>
    <t>UND</t>
  </si>
  <si>
    <t>PRECIO UNITARIO</t>
  </si>
  <si>
    <t>No</t>
  </si>
  <si>
    <t>VARILLA</t>
  </si>
  <si>
    <t xml:space="preserve"> 1,0 METRO</t>
  </si>
  <si>
    <t xml:space="preserve"> 6 METROS</t>
  </si>
  <si>
    <t xml:space="preserve">CEMENTO GRIS </t>
  </si>
  <si>
    <t>PESO</t>
  </si>
  <si>
    <t>MAT. PLAYA MIXTO DE LA ZONA (BALASTRO)</t>
  </si>
  <si>
    <t xml:space="preserve">M3 </t>
  </si>
  <si>
    <t>=</t>
  </si>
  <si>
    <t>KG/M</t>
  </si>
  <si>
    <t xml:space="preserve">AGUA </t>
  </si>
  <si>
    <t>LTRS</t>
  </si>
  <si>
    <t>GL</t>
  </si>
  <si>
    <t>PINTURA TRAFICO</t>
  </si>
  <si>
    <t xml:space="preserve">Material de Sub Base CBR=40% </t>
  </si>
  <si>
    <t xml:space="preserve">BORDILLO PREFABRICADO </t>
  </si>
  <si>
    <t xml:space="preserve">UND </t>
  </si>
  <si>
    <t xml:space="preserve">ARENA DE PEGA </t>
  </si>
  <si>
    <t xml:space="preserve">HERRAJE DE MAN HALL </t>
  </si>
  <si>
    <t>ESTACAS, PINTURA, TACHUELAS, HILO</t>
  </si>
  <si>
    <t>TRITURADO</t>
  </si>
  <si>
    <t>ARENA PARA CONCRETO</t>
  </si>
  <si>
    <t>PIEDRA</t>
  </si>
  <si>
    <t>TUBO DE CONCRETO 900 MM</t>
  </si>
  <si>
    <t xml:space="preserve">ANTISOL BLANCO </t>
  </si>
  <si>
    <t>PINTURA ACRILICA PURA PARA TRAFICO</t>
  </si>
  <si>
    <t>GAL</t>
  </si>
  <si>
    <t>DISOLVENTE PARA PINTURA TRAFICO</t>
  </si>
  <si>
    <t>Poste en angulo de 2*2*1/4 de 3,5m para señal</t>
  </si>
  <si>
    <t xml:space="preserve">
</t>
  </si>
  <si>
    <t>Concreto Resistencia  14 (Mpa)</t>
  </si>
  <si>
    <t>BUL</t>
  </si>
  <si>
    <t>ARENA PARA REVOQUE</t>
  </si>
  <si>
    <t>BLOQUE DE CONCRETO 0.15</t>
  </si>
  <si>
    <t>ESTUCO</t>
  </si>
  <si>
    <t>LIJA DE AGUA # 200</t>
  </si>
  <si>
    <t>1.1</t>
  </si>
  <si>
    <t>1.2</t>
  </si>
  <si>
    <t>UTILIDAD</t>
  </si>
  <si>
    <t>ITEM:</t>
  </si>
  <si>
    <t>ml</t>
  </si>
  <si>
    <t>Luminaria tipo Led 18 W</t>
  </si>
  <si>
    <t>Prensa estopa</t>
  </si>
  <si>
    <t>ALTURA</t>
  </si>
  <si>
    <t>m</t>
  </si>
  <si>
    <t>Tuberia rde 21 en pvc diametro 1 1/4"</t>
  </si>
  <si>
    <t>OFIC</t>
  </si>
  <si>
    <t>AYUD</t>
  </si>
  <si>
    <t>CUADRO DE SALARIOS Y PRESTACIONES</t>
  </si>
  <si>
    <t xml:space="preserve">MUNICIPIO </t>
  </si>
  <si>
    <t>CAUCASIA</t>
  </si>
  <si>
    <t>DEPARTAMENTO</t>
  </si>
  <si>
    <t>ANTIOQUIA</t>
  </si>
  <si>
    <t>PAVIMENTO</t>
  </si>
  <si>
    <t>SALARIO MINIMO</t>
  </si>
  <si>
    <t>AUX. TRANSPORTE</t>
  </si>
  <si>
    <t>DIRECTORES</t>
  </si>
  <si>
    <t>RESIDENTES</t>
  </si>
  <si>
    <t>TOPOGRAFO</t>
  </si>
  <si>
    <t>CADENERO</t>
  </si>
  <si>
    <t>ALMACENISTA</t>
  </si>
  <si>
    <t>SECRETARIA</t>
  </si>
  <si>
    <t>OFICIALES</t>
  </si>
  <si>
    <t>AYUDANTES</t>
  </si>
  <si>
    <t>MENSAJERO</t>
  </si>
  <si>
    <t>SALARIO ANUAL SMMLV</t>
  </si>
  <si>
    <t xml:space="preserve">(D) AUX. TRANS ANUAL SIN DESC (B*12) </t>
  </si>
  <si>
    <t>(B) AUX. TRANS MES</t>
  </si>
  <si>
    <t>(A) SALARIO MES</t>
  </si>
  <si>
    <t>(C) SUELDO ANUAL (Ax 12)</t>
  </si>
  <si>
    <t>(E) CESANTÍAS ©</t>
  </si>
  <si>
    <t>VACACIONES ©</t>
  </si>
  <si>
    <t>PRIMA ©</t>
  </si>
  <si>
    <t>INTERES DE CESANTIA (E)*12%</t>
  </si>
  <si>
    <t>AUX. TRANSP CON DESC (B/30)-(360-18)</t>
  </si>
  <si>
    <t>PENSIÓN ((A*12)*12%)</t>
  </si>
  <si>
    <t>RIESGOS PROFESIONALES ((A*12)*6,96)</t>
  </si>
  <si>
    <t>CAJA DE COMPENSACIÓN (A*12)*4%)</t>
  </si>
  <si>
    <t xml:space="preserve">DOTACIÓN </t>
  </si>
  <si>
    <t>SUB TOTAL (ANUAL)</t>
  </si>
  <si>
    <t>TOTAL (ANUAL)</t>
  </si>
  <si>
    <t>FACTOR PRESTACIONAL</t>
  </si>
  <si>
    <t>ANUAL</t>
  </si>
  <si>
    <t>MENSUAL</t>
  </si>
  <si>
    <t>LYR</t>
  </si>
  <si>
    <t>DÍA</t>
  </si>
  <si>
    <t>HORA</t>
  </si>
  <si>
    <t>AMBIENTAL</t>
  </si>
  <si>
    <t>PROFESIONAL SISO</t>
  </si>
  <si>
    <t>VIGILANTE</t>
  </si>
  <si>
    <t>AYUDANTE</t>
  </si>
  <si>
    <t>OFICIAL</t>
  </si>
  <si>
    <t>OPERADOR MOTOR</t>
  </si>
  <si>
    <t>AUXILIAR SISO</t>
  </si>
  <si>
    <t>(E) CESANTÍAS (C)*11.17%</t>
  </si>
  <si>
    <t>VACACIONES (C)*4.17%</t>
  </si>
  <si>
    <t>PRIMA (C)*8.33</t>
  </si>
  <si>
    <t>INTERES DE CESANTIA (E*1%)*12</t>
  </si>
  <si>
    <t>SALARIO NOMINAL</t>
  </si>
  <si>
    <t>CÁLCULO DEL SOBRECOSTO PARA HORAS EFECTIVAS TRABAJADAS</t>
  </si>
  <si>
    <t>(F) SALARIO MÍNIMO ANUAL CON PRESTACIONES</t>
  </si>
  <si>
    <t xml:space="preserve">(G) HORAS CALENDARIO ANUALES </t>
  </si>
  <si>
    <t>360x8  HORAS</t>
  </si>
  <si>
    <t>(H) HORAS LABORALESANUALES</t>
  </si>
  <si>
    <t>52 SEMANAS X48 HORAS</t>
  </si>
  <si>
    <t>(I) HORAS EFECTIVAS ANUALES</t>
  </si>
  <si>
    <t>2920-((52DOMINGOS+15 FESTIVOS+3PERMISOS+15DIAS VACACIONES)X8 HORAS)</t>
  </si>
  <si>
    <t>(J) VALOR HORA CALENDARIO  (F/G)</t>
  </si>
  <si>
    <t>(K) VALOR HORA LABORAL (F/H)</t>
  </si>
  <si>
    <t>(L) VALOR HORA EFECTIVA (F/I)</t>
  </si>
  <si>
    <t>PORCENTAJE SALARIO VS SALARIO MÁS ADICIONES ((TOTAL ANUALX100%)/(SUELDO ANUAL+AUXILIO TRANSPORTE ANUAL)</t>
  </si>
  <si>
    <t xml:space="preserve">PORCENTAJE HORA EFECTIVA  BASE HORA CALENDARIO </t>
  </si>
  <si>
    <t>SUELDOS Y PARAFISCALES PERSONAL DE OBRA POR ADMINISTRACIÓN</t>
  </si>
  <si>
    <t>DIRECTOR DE OBRA</t>
  </si>
  <si>
    <t>RESIDENTE DE OBRA</t>
  </si>
  <si>
    <t>COMISION TOPOGRÁFICA</t>
  </si>
  <si>
    <t>TOPÓGRAFO</t>
  </si>
  <si>
    <t>EJERO O CADENERO</t>
  </si>
  <si>
    <t>ALQUILER EQUIPO</t>
  </si>
  <si>
    <t>AUX. TRANS ANUAL SIN DESC (B*12)</t>
  </si>
  <si>
    <t>SUELDO ANUAL (Ax 12)</t>
  </si>
  <si>
    <t>(C ) CESANTÍAS (A+B)*10%</t>
  </si>
  <si>
    <t>VACACIONES (A+B)</t>
  </si>
  <si>
    <t>PRIMA (A+B)</t>
  </si>
  <si>
    <t>INTERÉS DE CESANTIA (CX12%)</t>
  </si>
  <si>
    <t>FONDO FORMACIÓN PROFESIONAL DEL SENA (A+12/40)</t>
  </si>
  <si>
    <t>SALUD, ENFERMEDAD GENERAL Y MUERTE SEGÚN CREE</t>
  </si>
  <si>
    <t>SENA SEGÚN CREE</t>
  </si>
  <si>
    <t>ICBF SEGÚN CREE</t>
  </si>
  <si>
    <t>EXAMEN MÉDICO</t>
  </si>
  <si>
    <t>TOTAL (X)</t>
  </si>
  <si>
    <t xml:space="preserve">TOTAL MES </t>
  </si>
  <si>
    <t xml:space="preserve">RECURSOS HUMANOS  </t>
  </si>
  <si>
    <t>MAESTRO AUXILIAR</t>
  </si>
  <si>
    <t>CONTRAMAESTRO</t>
  </si>
  <si>
    <t>EJERO</t>
  </si>
  <si>
    <t>TECNICO EN SEGURIDAD INDUSTRIAL</t>
  </si>
  <si>
    <t>AUXILIAR ADMINISTRATIVO</t>
  </si>
  <si>
    <t>MAESTRO GENERAL</t>
  </si>
  <si>
    <t>AUX TRANS ANUAL SIN DESC (B*12)</t>
  </si>
  <si>
    <t>(B) AUX TRANS MES</t>
  </si>
  <si>
    <t xml:space="preserve">DOTACIóN </t>
  </si>
  <si>
    <t>TOTAL ANUAL (X)</t>
  </si>
  <si>
    <t>COMISIÓN TOPOGRÁFICA</t>
  </si>
  <si>
    <t>Tubo de pvc 1/2" rde 21</t>
  </si>
  <si>
    <t>Cinta Teflon</t>
  </si>
  <si>
    <t>Adaptador macho  1/2"</t>
  </si>
  <si>
    <t>union de 1/2" pvc</t>
  </si>
  <si>
    <t>Tapon presión 1/2"</t>
  </si>
  <si>
    <t>Codo de 1/2" en pvc</t>
  </si>
  <si>
    <t>Soldadura líquida PVC 1/32 de gal</t>
  </si>
  <si>
    <t>Tuberia rde 21 en pvc diametro  3/4"</t>
  </si>
  <si>
    <t>codo de 3/4 pvc rde 21</t>
  </si>
  <si>
    <t>T en pvc de 3/4"</t>
  </si>
  <si>
    <t>Lavamanos institucional de sobreponer.</t>
  </si>
  <si>
    <t>Meson en granito de 190cmx60cm</t>
  </si>
  <si>
    <t xml:space="preserve">Lavamanos con plataforma institucional, en lamina acero inoxidable </t>
  </si>
  <si>
    <t>Griferia para lavamanos tipo institucional.</t>
  </si>
  <si>
    <t>Tablas en madera comun</t>
  </si>
  <si>
    <t>Clavos en acero de 2"</t>
  </si>
  <si>
    <t>lb</t>
  </si>
  <si>
    <t>Alambre quemado.</t>
  </si>
  <si>
    <t>BARRAS ACERO CORRUGADO 60000 PSI</t>
  </si>
  <si>
    <t>ACERO PERFIL LAMINADO DE 160X60MM EN ACERO GALVANIZADO ESPESOR 2MM</t>
  </si>
  <si>
    <t>BALDOSA PARA TRAFICO PESADO</t>
  </si>
  <si>
    <t>PEGA PARA BALDOSA</t>
  </si>
  <si>
    <t>BALDOSA PARA PARED.</t>
  </si>
  <si>
    <t>TORNILLOS ENSAMBLE DE 1 1/2"</t>
  </si>
  <si>
    <t>Ducha Antivandálica con Regadera de Empotrar</t>
  </si>
  <si>
    <t>INDORO TIPO INSTITUCIONAL.</t>
  </si>
  <si>
    <t>FLUXOMETRO INSTITUCIONAL DE PALANCA</t>
  </si>
  <si>
    <t xml:space="preserve">INDORO TIPO INSTITUCIONAL. PARA DISCAPACITADOS </t>
  </si>
  <si>
    <t>ORINAL DE ENTRADA SUPERIOR LINEA INSTITUCIONAL</t>
  </si>
  <si>
    <t>ALAMBRE DE COBRE THHN N°12</t>
  </si>
  <si>
    <t>M</t>
  </si>
  <si>
    <t xml:space="preserve">Lamina para cielo raso en pvc </t>
  </si>
  <si>
    <t>vigueta en lamina</t>
  </si>
  <si>
    <t>Omega en lamina</t>
  </si>
  <si>
    <t>perfil perimetral</t>
  </si>
  <si>
    <t>tornillos driwal</t>
  </si>
  <si>
    <t>2.1</t>
  </si>
  <si>
    <t>2.2</t>
  </si>
  <si>
    <t>2.3</t>
  </si>
  <si>
    <t>3.1</t>
  </si>
  <si>
    <t>4.1</t>
  </si>
  <si>
    <t>Canaletapvc  para aguas lluvias incluye asesorios</t>
  </si>
  <si>
    <t>VENTILADOR DE TECHO</t>
  </si>
  <si>
    <t>TEJA TERMOACUSTICA  PVC</t>
  </si>
  <si>
    <t>CABALLETE TEJA TERMO ACUSTICA PVC</t>
  </si>
  <si>
    <t>TORNILLO AUTOPERFORANTE DE 2" PARA FIJAR TEJAS</t>
  </si>
  <si>
    <t>SECRETARIA DE PLANEACION Y OBRAS PUBLICAS</t>
  </si>
  <si>
    <t>VALOR COSTO DIRECTO :</t>
  </si>
  <si>
    <t>TIEMPO</t>
  </si>
  <si>
    <t>SALARIO</t>
  </si>
  <si>
    <t>P.S.</t>
  </si>
  <si>
    <t>(Meses)</t>
  </si>
  <si>
    <t>PERSONAL DE DIRECCION Y ADMINISTRACION</t>
  </si>
  <si>
    <t>SERVICIOS GENERALES, VIGILANCIA, CONSERVACION Y MANTENIMIENTO</t>
  </si>
  <si>
    <t>GARANTIAS Y SEGUROS</t>
  </si>
  <si>
    <t>IMPUESTOS, CONTRIBUCIONES Y TRANSFERENCIAS</t>
  </si>
  <si>
    <t>Estampilla U. de A.</t>
  </si>
  <si>
    <t>SUBTOTAL ADMINISTRACION</t>
  </si>
  <si>
    <t>IMPREVISTOS</t>
  </si>
  <si>
    <t>UTILIDAD DEL CONTRATISTA</t>
  </si>
  <si>
    <t>TOTAL ADMINISTRACION, IMPREVISTOS Y UTILIDAD :</t>
  </si>
  <si>
    <t>ADMINISTRACION</t>
  </si>
  <si>
    <t>COSTOS DIRECTOS</t>
  </si>
  <si>
    <t>Codo 90 x 1.1/4 Presión</t>
  </si>
  <si>
    <t>Codo de 90 en pvc de 1 1/4"</t>
  </si>
  <si>
    <t>Teede en pvc de 1 1/4"</t>
  </si>
  <si>
    <t>Tubo Galvanizado  EMT 3/4"</t>
  </si>
  <si>
    <t>Curva emt 3/4"</t>
  </si>
  <si>
    <t>union emt de 3/4"</t>
  </si>
  <si>
    <t>PIEDRA DE RIO O TRITURADO DE 1/2"</t>
  </si>
  <si>
    <t>PTAR 2400L</t>
  </si>
  <si>
    <t>Piso antideslizante en pvc, 8mm  para canchas de tenis de mesa profesional.</t>
  </si>
  <si>
    <t>Adhesivo para pisos vinílicos</t>
  </si>
  <si>
    <t>gr</t>
  </si>
  <si>
    <t>VALOR TOTAL DE LA OBRA</t>
  </si>
  <si>
    <t>caja metalica 20x20</t>
  </si>
  <si>
    <t>CAJA METALICA 12X12X5</t>
  </si>
  <si>
    <t>PRENSA ESTOPA</t>
  </si>
  <si>
    <t>PUERTA ALUMNIO DE 90X200 crudo</t>
  </si>
  <si>
    <t>PUERTA ALUMNIO DE 80X200 crudo</t>
  </si>
  <si>
    <t>DISCRIMINACION DEL A.I.U OFICIAL</t>
  </si>
  <si>
    <t>OBJETO:</t>
  </si>
  <si>
    <t>A.U.</t>
  </si>
  <si>
    <t>GASTOS GENERALES DE LA FIRMA</t>
  </si>
  <si>
    <t>Informes, papelería, fotografías</t>
  </si>
  <si>
    <t>OBRAS DE COMPENSACIÓN AMBIENTAL Y/O COMPLEMENTARIAS (PAGA)</t>
  </si>
  <si>
    <t>PLAN DE MANEJO DE TRAFICO (PMT)</t>
  </si>
  <si>
    <t>Celador</t>
  </si>
  <si>
    <t>DOTACIONES DE OBRA Y ADMINISTRATIVAS</t>
  </si>
  <si>
    <t>Elementos de comunicación</t>
  </si>
  <si>
    <t>Elementos de computo</t>
  </si>
  <si>
    <t>Papeleria de obra y oficina</t>
  </si>
  <si>
    <t>MOVILIZACION, INSTALACIONES PROVISIONALES Y SERVICIOS</t>
  </si>
  <si>
    <t>Vehiculo</t>
  </si>
  <si>
    <t>Servicios de luz</t>
  </si>
  <si>
    <t>Servicios de Acueducto</t>
  </si>
  <si>
    <t>Servicios de tecnologia</t>
  </si>
  <si>
    <t>Servicios adicionales (Comidas)</t>
  </si>
  <si>
    <t>Servicios de internet</t>
  </si>
  <si>
    <t>SEGURIDAD INDUSTRIAL Y TIEMPO DE INACTIVIDAD</t>
  </si>
  <si>
    <t xml:space="preserve">Seguridad industrial </t>
  </si>
  <si>
    <t>Medidas Covid</t>
  </si>
  <si>
    <t>Poliza Unica de cumplimiento</t>
  </si>
  <si>
    <t>NOMBRE</t>
  </si>
  <si>
    <t>CARGO</t>
  </si>
  <si>
    <t>FIRMA</t>
  </si>
  <si>
    <t>PROYECTO:</t>
  </si>
  <si>
    <t>FABIO LÉON VÁSQUEZ PALACIO</t>
  </si>
  <si>
    <t xml:space="preserve">Contratista Cordinación Obras Públicas </t>
  </si>
  <si>
    <t>REVISO:</t>
  </si>
  <si>
    <t>JOSE AGUSTIN HERRERA SARA</t>
  </si>
  <si>
    <t>Secretario de planeación</t>
  </si>
  <si>
    <t>APROBO:</t>
  </si>
  <si>
    <t>FERNEY HOYOS OQUENDO</t>
  </si>
  <si>
    <t>Los de arriba firmante hemos declarado que revisamos el documento y lo encontramos ajustado a las normas y disposiciones legales vigentes y por lo tanto, bajo nuestra responsabilidad lo presentamos para la firma.</t>
  </si>
  <si>
    <t>CERTIFICACIÓN ETIAP</t>
  </si>
  <si>
    <t>TRANSPORTE, PLAN DE MANEJO AMBIENTAL, PLAN DE TRAFICO Y CERTIFICACIÓN ETIAP</t>
  </si>
  <si>
    <t>Arrendamiento vivienda</t>
  </si>
  <si>
    <t>DEPARTAMENTO DE ANTIOQUIA
MUNICIPIO DE CAUCASIA
NIT: 890906445 - 2</t>
  </si>
  <si>
    <t xml:space="preserve">Código:  D-A- A4-01
</t>
  </si>
  <si>
    <t>Versión: 2</t>
  </si>
  <si>
    <t xml:space="preserve">Fecha de Aprobación
29 de Diciembre  de 2017
</t>
  </si>
  <si>
    <t>PRESUPUESTO DE OBRA A TODO COSTO</t>
  </si>
  <si>
    <t>Coordinador Técnico Planeación</t>
  </si>
  <si>
    <t>CRONOGRAMA DE OBRA</t>
  </si>
  <si>
    <t>PORCENTAJE</t>
  </si>
  <si>
    <t>TOTAL OBRA COSTO DIRECTO.</t>
  </si>
  <si>
    <t>SEMANAL</t>
  </si>
  <si>
    <t>MEMORIA DE CÁLCULO DE CANTIDADES DE OBRA</t>
  </si>
  <si>
    <t>CAPITULO:</t>
  </si>
  <si>
    <t xml:space="preserve">ELABORÓ: </t>
  </si>
  <si>
    <t xml:space="preserve">FECHA: </t>
  </si>
  <si>
    <t>UBICACIÓN</t>
  </si>
  <si>
    <t>LARGO</t>
  </si>
  <si>
    <t>DETALLES</t>
  </si>
  <si>
    <t>Pintura vinilica tipo 1 de koraza o similar</t>
  </si>
  <si>
    <t xml:space="preserve">OSCAR SANTANA MAZO </t>
  </si>
  <si>
    <t>REVISO Y APROBO:</t>
  </si>
  <si>
    <t>SEMANA 1</t>
  </si>
  <si>
    <t>SEMANA 2</t>
  </si>
  <si>
    <t>SEMANA 3</t>
  </si>
  <si>
    <t>Estampilla pro cultura</t>
  </si>
  <si>
    <t>Estampilla adulto mayor</t>
  </si>
  <si>
    <t xml:space="preserve">Tasa pro deporte </t>
  </si>
  <si>
    <t>Estampilla pro justicia familiar</t>
  </si>
  <si>
    <t xml:space="preserve">Fondo local de seguridad </t>
  </si>
  <si>
    <t xml:space="preserve">MAESTRO - TECNOLOGO </t>
  </si>
  <si>
    <t>No. Item</t>
  </si>
  <si>
    <t>Unidad</t>
  </si>
  <si>
    <t>Clave</t>
  </si>
  <si>
    <t>Materiales</t>
  </si>
  <si>
    <t>Cantidad</t>
  </si>
  <si>
    <t>V/Unitario</t>
  </si>
  <si>
    <t>V/Total</t>
  </si>
  <si>
    <t>Pintura vi</t>
  </si>
  <si>
    <t>Pintura vinilo tipo 1 Viniltex o equivalente</t>
  </si>
  <si>
    <t>galon</t>
  </si>
  <si>
    <t>Estuco pla</t>
  </si>
  <si>
    <t>Estuco plastico interior</t>
  </si>
  <si>
    <t>Estopa x 1</t>
  </si>
  <si>
    <t>Estopa x 1000 gr</t>
  </si>
  <si>
    <t>Lija 180</t>
  </si>
  <si>
    <t>Total de Materiales</t>
  </si>
  <si>
    <t>SUBTOTAL</t>
  </si>
  <si>
    <t>Mano de Obra</t>
  </si>
  <si>
    <t xml:space="preserve">Cuadrilla </t>
  </si>
  <si>
    <t>Cuadrilla 1Of + 1 Ay Obra Blanca</t>
  </si>
  <si>
    <t>jor</t>
  </si>
  <si>
    <t>Total de Mano de Obra</t>
  </si>
  <si>
    <t>Herramienta</t>
  </si>
  <si>
    <t>HERRAMIENTA MENOR</t>
  </si>
  <si>
    <t>(%)mo</t>
  </si>
  <si>
    <t>Total de Herramienta</t>
  </si>
  <si>
    <t>Equipos</t>
  </si>
  <si>
    <t>Total de Auxiliares</t>
  </si>
  <si>
    <t>Auxiliares</t>
  </si>
  <si>
    <t xml:space="preserve">ACARREO MAT </t>
  </si>
  <si>
    <t>Acarreo  de materiales</t>
  </si>
  <si>
    <t>P R E C I O   U N I T A R I O</t>
  </si>
  <si>
    <t>RESANE Y REPINTE PINTURA INTERIOR  sobre muros y cielos calidad vinIltex o similar tipo 1 o quivalente para interiores (hidrorepelente) de primera calidad que cumpla con la Norma NTC 1335, 3 manos o las que sean necesarias para obtener una superficie pareja y homogénea, a satisfacción de la interventoría. Incluye suministro de los materiales, preparada y adecuación de la superficie a intervenir. Color a definir según aprobación de la interventoría.</t>
  </si>
  <si>
    <t>día</t>
  </si>
  <si>
    <t>ACARREO INT MAT (M3)</t>
  </si>
  <si>
    <t>Acarreo interno de materiales</t>
  </si>
  <si>
    <t>Equipo</t>
  </si>
  <si>
    <t>Total de Equipo</t>
  </si>
  <si>
    <t>MORTERO 1:4</t>
  </si>
  <si>
    <t>CUAD 1OF+1AYU O.N.</t>
  </si>
  <si>
    <t>Cuadrilla 1Of + 1 Ay Obra Negra</t>
  </si>
  <si>
    <t>Equipo trabajo alturas</t>
  </si>
  <si>
    <t>Cuerpo andamio + tablon</t>
  </si>
  <si>
    <t>Taladro</t>
  </si>
  <si>
    <t>Tornillo autoperforante correa *2-5/8</t>
  </si>
  <si>
    <t>gal</t>
  </si>
  <si>
    <t xml:space="preserve">Acarreo interno de materiales </t>
  </si>
  <si>
    <t>BOTADA DE MATERIAL, incluye cargue en volqueta y disposición final en escombrera o sitio donde indique la interventoría.</t>
  </si>
  <si>
    <t>AYUDANTE RASO</t>
  </si>
  <si>
    <t>Ayudante raso</t>
  </si>
  <si>
    <t>AYUDANTE ACARREO INT</t>
  </si>
  <si>
    <t>Ayudante acarreo interno</t>
  </si>
  <si>
    <t>CARGUE/TRANS/BOTAD</t>
  </si>
  <si>
    <t>Cargue (Paleros) y/o almacenamiento en bodega.</t>
  </si>
  <si>
    <t xml:space="preserve">PRELIMINARES </t>
  </si>
  <si>
    <t>EXCAVACIÓN DE 0 A 2M de profundidad, manual en material heterogeneo (rocas hasta volumenes de 0.10) bajo cualquier grado de humedad, para estructuras( diferentes a pilas),para redes y obras complementarias.</t>
  </si>
  <si>
    <t>MOTOBOMBA SUMER ALQU</t>
  </si>
  <si>
    <t>Motobomba Eléctrica Sumergible 2" - 30m prof. Incluye manguera flexible 2" (26m), extensión eléctrica encauchetada (50m).</t>
  </si>
  <si>
    <t xml:space="preserve">LOSA DE ENTRE PISO </t>
  </si>
  <si>
    <t xml:space="preserve">ELEMENTOS EN CONCRETO </t>
  </si>
  <si>
    <t>Formaleta</t>
  </si>
  <si>
    <t>Concreto</t>
  </si>
  <si>
    <t xml:space="preserve">Concreto de 21 Mpa preparado en obra (3000PSI) </t>
  </si>
  <si>
    <t>CUAD DREN-SOILNAILIN</t>
  </si>
  <si>
    <t xml:space="preserve">Cuadrilla 1 of + 1 ay. Ent. + 1 ay. raso </t>
  </si>
  <si>
    <t>VIBRADOR CONCRE ELEC</t>
  </si>
  <si>
    <t>Vibrador de concreto eléctrico a 110v (alquiler). Tipo aguja</t>
  </si>
  <si>
    <t>Formaleta para concreto en madera.15mm</t>
  </si>
  <si>
    <t>Suministro e instalación de PLACA DE CONTRAPISO LLANEADA   en concreto resistencia f'c = 21 MPa  (3.000 psi.) No incluye refuerzo.</t>
  </si>
  <si>
    <t>Suministro e instalación de MALLA ELECTROSOLDADA U-84</t>
  </si>
  <si>
    <t>Malla electrosoldada D-84</t>
  </si>
  <si>
    <t>Alambre recocido</t>
  </si>
  <si>
    <t xml:space="preserve">CUADRILLA </t>
  </si>
  <si>
    <t>Cuadrilla of+ay</t>
  </si>
  <si>
    <t>LADRILLO 15X20X40RH</t>
  </si>
  <si>
    <t>Mortero 1:4 en obra</t>
  </si>
  <si>
    <t>CUAD MAMPOSTERIA</t>
  </si>
  <si>
    <t>Cuadrilla Mampostería</t>
  </si>
  <si>
    <t>CORTADO LADR+DIS+OP</t>
  </si>
  <si>
    <t>Cortadora de ladrillo / disco y operador</t>
  </si>
  <si>
    <t>ACARREO INT</t>
  </si>
  <si>
    <t xml:space="preserve">MURO TRASERO </t>
  </si>
  <si>
    <t xml:space="preserve">MURO LATERAL </t>
  </si>
  <si>
    <t>CONCRE OBRA 21MPA</t>
  </si>
  <si>
    <t>ALAMBRE RECOCIDO</t>
  </si>
  <si>
    <t>Alambre recocido C 18</t>
  </si>
  <si>
    <t>CLAVO 1"</t>
  </si>
  <si>
    <t>Clavo común de 1". Caja x 500gr.</t>
  </si>
  <si>
    <t>LARGUMADERCOMUN</t>
  </si>
  <si>
    <t>Largueros de 2"X2" por 2,80 m</t>
  </si>
  <si>
    <t>SUPERT 19MM (UN)</t>
  </si>
  <si>
    <t>Super T de 19 mm. de 1,53 x 2,44 m.</t>
  </si>
  <si>
    <t>TABLA 1.7X0.20</t>
  </si>
  <si>
    <t>Tabla madera común de 1,7cm x 20cm x 3,0m.</t>
  </si>
  <si>
    <t>Suministro e instalación de concreto de VIGAS AEREA resistencia f'c = 21 MPa  (3.000 psi.).  Incluye el suministro del concreto, mano de obra, vibrado, protección y curado, para estructuras de acuerdo con las diferentes dimensiones establecidas en los planos y diseños. incluye acarreo interno. No incluye refuerzo.</t>
  </si>
  <si>
    <t xml:space="preserve">VIGA AEREA </t>
  </si>
  <si>
    <t>LADRILLO 15X20X40 RAYADO. puesto en obra</t>
  </si>
  <si>
    <t>2.4</t>
  </si>
  <si>
    <t>Suministro y figurado ACERO DE REFUERZO de fy = 420 MPa (60000psi),(zapatas, columnas, vigas, Escaleras, dovelas de mampostería y otros elementos) incluye amarres en alambre recocido.</t>
  </si>
  <si>
    <t>Acero refu</t>
  </si>
  <si>
    <t>Acero Fy = 420 MPa (60.000 psi) d&gt; 1/4"</t>
  </si>
  <si>
    <t>Alambre</t>
  </si>
  <si>
    <t>Alambre negro cal 18</t>
  </si>
  <si>
    <t xml:space="preserve">DOBELAS </t>
  </si>
  <si>
    <t xml:space="preserve">ESTRIVOS </t>
  </si>
  <si>
    <t>Construcción muros de MAMPOSTERÍA EN LADRILLO 0.15*0.20*0.40 M, para revocar. Cumpliendo con norma NTC 4205. Incluye mortero de pega 1:4, trabas, dovelas,machones, cuchillas, remates de enrases,  encorozados, aticos y chapas necesarias por detalles de construcción que se ejecuten en  el mismo material que se esta midiendo.Todos los cortes seran realizados a maquina. (Según norma Icontec 451, 296 y la Astm C-652 y C-34)</t>
  </si>
  <si>
    <t xml:space="preserve">DIVICIONES </t>
  </si>
  <si>
    <t>3.2</t>
  </si>
  <si>
    <t xml:space="preserve">MAMPOSTERIA Y CERRAMIENTO </t>
  </si>
  <si>
    <t>MALLA ESLABONADA</t>
  </si>
  <si>
    <t>Malla eslabonada galvanizada BWG 12 y hueco de 2"</t>
  </si>
  <si>
    <t>SOLDADURA ELECT.</t>
  </si>
  <si>
    <t>SOLDADURA ELÉCTRICA 0,004 KG DE 3/23"</t>
  </si>
  <si>
    <t>TUBERIA GALV 1 1/2"</t>
  </si>
  <si>
    <t>Tuberia pesada  D=1 1/2 CALIBRE 16</t>
  </si>
  <si>
    <t>Ml</t>
  </si>
  <si>
    <t>MORTERO GROUT</t>
  </si>
  <si>
    <t>Mortero grouting 1:3</t>
  </si>
  <si>
    <t>ANGULO 1-1/2* 1 -1/2"</t>
  </si>
  <si>
    <t>ANGULO 1 1/2" X 1 1/2"</t>
  </si>
  <si>
    <t>PLATINA HIERRO</t>
  </si>
  <si>
    <t>PLATINA HIERRO 3/4" X 1/8</t>
  </si>
  <si>
    <t>ANGULO 1-1/4* 1 -1/4"</t>
  </si>
  <si>
    <t>ANGULO 1 1/4" X 1 1/4"</t>
  </si>
  <si>
    <t>PLATINA HIERRO 1-1/4"</t>
  </si>
  <si>
    <t>PLATINA DE HIERRO 1 1/4" X 1/8</t>
  </si>
  <si>
    <t>WASH PRIMER</t>
  </si>
  <si>
    <t>ANTICORROSIVO</t>
  </si>
  <si>
    <t>Anticorrosivo</t>
  </si>
  <si>
    <t>ESMALTE</t>
  </si>
  <si>
    <t>Esmalte-base aceite-pintulux</t>
  </si>
  <si>
    <t>Cuadrilla 1 Oficial + 1 Ayudante Entendido</t>
  </si>
  <si>
    <t xml:space="preserve">MURO DELANTERO </t>
  </si>
  <si>
    <t>3.3</t>
  </si>
  <si>
    <t>Suministro e instalación de MALLA ESLABONADA, calibre 10 ojo 5, Incluye tuberia galvanizada de 11/2" para postes con  gallinazo sencillo cada 1,20 m. ( H poste = 1,200m. incluido gallinazos) y para pieamigos en esquinas e intermedios ( L = 1,2 m.), tuberia superior , altura malla 1,20 m.,pintura anticorrosiva y pintura de acabado color aluminio en soldadura, tapones en lamina galvanizada y demas elementos necesarios para su correcto funcionamiento.</t>
  </si>
  <si>
    <t>Suministro y colocación de puerta batiente en MALLA ESLABONADA, calibre 10 ojo 5, Incluye tuberia galvanizada de 11/2" para postes con  gallinazo sencillo, (marco, ala y montante),  pintura anticorrosiva y acabado con esmalte semibrillante  y demás elementos necesarios para su correcta instalación y funcionamiento.</t>
  </si>
  <si>
    <t xml:space="preserve">BISAGRA CON CANDADO </t>
  </si>
  <si>
    <t>BISAGRA</t>
  </si>
  <si>
    <t>CUBIERTAS Y PINTURA</t>
  </si>
  <si>
    <t>4.2</t>
  </si>
  <si>
    <r>
      <t>DEPARTAMENTO DE ANTIOQUIA</t>
    </r>
    <r>
      <rPr>
        <sz val="14"/>
        <color theme="1"/>
        <rFont val="Arial "/>
      </rPr>
      <t xml:space="preserve">                                                </t>
    </r>
    <r>
      <rPr>
        <b/>
        <sz val="14"/>
        <color theme="1"/>
        <rFont val="Arial "/>
      </rPr>
      <t xml:space="preserve">MUNICIPIO DE CAUCASIA                                     </t>
    </r>
  </si>
  <si>
    <t>ANALISIS DE PRECIOS UNITARIOS</t>
  </si>
  <si>
    <t xml:space="preserve">OBJETO :  </t>
  </si>
  <si>
    <t xml:space="preserve">                     </t>
  </si>
  <si>
    <t xml:space="preserve">Acarreo de cuerpos de andamio y tablones </t>
  </si>
  <si>
    <t xml:space="preserve">Cubierta en teja de zinc </t>
  </si>
  <si>
    <t>Largero en madera 4*2</t>
  </si>
  <si>
    <t>CUADRILLA 4</t>
  </si>
  <si>
    <t>Suministro, transporte e instalación de cubierta en TEJA DE ZINC  y largeros 4x2  para cuerda superior.</t>
  </si>
  <si>
    <t xml:space="preserve">RED SANITARIA </t>
  </si>
  <si>
    <t>5.1</t>
  </si>
  <si>
    <t>5.2</t>
  </si>
  <si>
    <t>5.3</t>
  </si>
  <si>
    <t>Suministro e instalación de SALIDA SANITARIA DE 4". Incluye accesorios, tubería 4.0m y todo lo necesario para su buen funcionamiento.</t>
  </si>
  <si>
    <t>Construcción de CAJA DE INSPECCIÓN Y/O EMPALME DE 40*40*40 CMS concreto de 17.5Mpa, medidas internas (L=40cm). Incluye suministro e instalación de los materiales, tapa y herraje y todos los elementos necesarios para su correcta construcción y funcionamiento. Según normas técnicas de EEPP de Medellín. La excavación, llenos, entresuelo y acero de refuerzo se pagarán en su ítem respectivo.</t>
  </si>
  <si>
    <t>TUBERIA PVC-S 4"</t>
  </si>
  <si>
    <t>Tubería PVC-S Ø= 4"</t>
  </si>
  <si>
    <t>CODO 90 PVC-S CXC 4"</t>
  </si>
  <si>
    <t>Codo 90º PVC-S CxC, Ø= 4".</t>
  </si>
  <si>
    <t>CODO 45 PVC-S CXC 4"</t>
  </si>
  <si>
    <t>Codo 45º PVC-S CxC, Ø= 4".</t>
  </si>
  <si>
    <t>BUJE PVC-S 4X3"</t>
  </si>
  <si>
    <t xml:space="preserve">Buje soldado PVC-S de 4" a 3" </t>
  </si>
  <si>
    <t>TEE PVC-S RED 4X3</t>
  </si>
  <si>
    <t>Tee PVC-S Ø= 4"x3"</t>
  </si>
  <si>
    <t>SOLDADURA PVC 1/4</t>
  </si>
  <si>
    <t>Soldadura PVC (Unión simple) 1/4</t>
  </si>
  <si>
    <t>LIMPIADOR PVC</t>
  </si>
  <si>
    <t>Limpiador Removedor PVC x 1/4 de galón.</t>
  </si>
  <si>
    <t>ESTOPA</t>
  </si>
  <si>
    <t>Estopa</t>
  </si>
  <si>
    <t>CUAD FONTANERIA</t>
  </si>
  <si>
    <t>Cuadrilla de Instalaciones Hidrosanitarias</t>
  </si>
  <si>
    <t>TTE INTERNO</t>
  </si>
  <si>
    <t>Rejilla Plana Tradicional 4 pulg</t>
  </si>
  <si>
    <t>Rejilla Plana Tradicional 4 pulg= 4"</t>
  </si>
  <si>
    <t>CONCRETO 175KG</t>
  </si>
  <si>
    <t>Concreto 175 Kg/cm2</t>
  </si>
  <si>
    <t>m³</t>
  </si>
  <si>
    <t>CLAVO C. 1"</t>
  </si>
  <si>
    <t>TABLA MAD.</t>
  </si>
  <si>
    <t>TAPA PREF. CAJA</t>
  </si>
  <si>
    <t>Tapa prefabricada caja de inspeccion 40x40x40</t>
  </si>
  <si>
    <t>DESP.</t>
  </si>
  <si>
    <t>Desperdicio materiales</t>
  </si>
  <si>
    <t>VIBRADOR</t>
  </si>
  <si>
    <t>dia</t>
  </si>
  <si>
    <t>FORMALETA PARA CAJA</t>
  </si>
  <si>
    <t>Formaleta para caja inspeccion 40x40 cm.</t>
  </si>
  <si>
    <t xml:space="preserve">LOSA DE ENTRE PISO CENTRO </t>
  </si>
  <si>
    <t>ML</t>
  </si>
  <si>
    <t>Suministro e instalación de TUBERÍA SANITARIA DE 4" para drenaje enterrada y/o empotrada. Incluye accesorios, excavación, lleno y todo lo necesario para su buen funcionamiento.</t>
  </si>
  <si>
    <t>TUBERIA SANIT. PVC 4"</t>
  </si>
  <si>
    <t>Tubo Sanitaria PVC 4"</t>
  </si>
  <si>
    <t>UNIÓN SANIT. PVC 4"</t>
  </si>
  <si>
    <t>Acesorio Union PVC 4"</t>
  </si>
  <si>
    <t>CODO SANIT. PVC 4"</t>
  </si>
  <si>
    <t>Acesorio Codo 90° PVC 4"</t>
  </si>
  <si>
    <t>TEE SANIT. PVC 4"</t>
  </si>
  <si>
    <t>Acesorio Tee PVC 4"</t>
  </si>
  <si>
    <t xml:space="preserve">Estopa </t>
  </si>
  <si>
    <t>Kg</t>
  </si>
  <si>
    <t>Soldadura líquida PVC Pavco</t>
  </si>
  <si>
    <t>1/4 Gal</t>
  </si>
  <si>
    <t>Limpiador remov. para PVC</t>
  </si>
  <si>
    <t>CUADRO DE SALARIOS</t>
  </si>
  <si>
    <t>CUADRILLAS</t>
  </si>
  <si>
    <t>COSTO</t>
  </si>
  <si>
    <t>1 AYUDANTE</t>
  </si>
  <si>
    <t>CUADRILLA 1</t>
  </si>
  <si>
    <t>2 AYUDANTES</t>
  </si>
  <si>
    <t>CUADRILLA 2</t>
  </si>
  <si>
    <t>1 OFICIAL + 1 AYUDANTE</t>
  </si>
  <si>
    <t xml:space="preserve">CUADRILLA 3 </t>
  </si>
  <si>
    <t>1 OFICIAL + 2 AYUDANTES</t>
  </si>
  <si>
    <t xml:space="preserve">CUADRILLA 4 </t>
  </si>
  <si>
    <t>1 OFICIAL + 6 AYUDANTES</t>
  </si>
  <si>
    <t>CUADRILLA 5</t>
  </si>
  <si>
    <t>1 SOLDADOR + 1 AYUDANTE</t>
  </si>
  <si>
    <t>CUADRILLA 6</t>
  </si>
  <si>
    <t>1 TOPOGRAFO + 1 CADENERO</t>
  </si>
  <si>
    <t>CUADRILLA 7</t>
  </si>
  <si>
    <t>SALARIO (DIA)</t>
  </si>
  <si>
    <t>PRESTACIONES</t>
  </si>
  <si>
    <t>SALARIO (MES)</t>
  </si>
  <si>
    <t>SOLDADOR</t>
  </si>
  <si>
    <t>TECNOLOGO</t>
  </si>
  <si>
    <t>INGENIERO</t>
  </si>
  <si>
    <t>Suministro e instalación de pintura epoxica para pisos</t>
  </si>
  <si>
    <t>Pintura Epoxica</t>
  </si>
  <si>
    <t>Galon Pintura Epoxica</t>
  </si>
  <si>
    <t>Galon</t>
  </si>
  <si>
    <t>CUAD Pintura</t>
  </si>
  <si>
    <t>Cuadrilla de Pintura</t>
  </si>
  <si>
    <t>MANUEL MUÑOS PEREZ</t>
  </si>
  <si>
    <t>DIRECTOR DE  OBRAS</t>
  </si>
  <si>
    <t>AMPLIACION DE ALBERGUE TRANSITORIO DE FAUNA DOMESTICA EN EL MUNICIPIO DE CAUCASIA  DEPARTAMENTO DE ANTIOQUIA.</t>
  </si>
  <si>
    <t>NOVIEMBRE DEL 2025</t>
  </si>
  <si>
    <t>NOVIEMBRE  06 DE 2025</t>
  </si>
  <si>
    <t>Ingeniero Residente o Arquitecto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</si>
</sst>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&quot;$&quot;\ * #,##0.00_);_(&quot;$&quot;\ * \(#,##0.00\);_(&quot;$&quot;\ * &quot;-&quot;??_);_(@_)"/>
    <numFmt numFmtId="166" formatCode="_-&quot;$&quot;* #,##0.00_-;\-&quot;$&quot;* #,##0.00_-;_-&quot;$&quot;* &quot;-&quot;??_-;_-@_-"/>
    <numFmt numFmtId="167" formatCode="_-* #,##0.00\ _€_-;\-* #,##0.00\ _€_-;_-* &quot;-&quot;??\ _€_-;_-@_-"/>
    <numFmt numFmtId="168" formatCode="_ [$$-240A]\ * #,##0_ ;_ [$$-240A]\ * \-#,##0_ ;_ [$$-240A]\ * &quot;-&quot;_ ;_ @_ "/>
    <numFmt numFmtId="169" formatCode="_ &quot;$&quot;\ * #,##0_ ;_ &quot;$&quot;\ * \-#,##0_ ;_ &quot;$&quot;\ * &quot;-&quot;??_ ;_ @_ "/>
    <numFmt numFmtId="170" formatCode="_ &quot;$&quot;\ * #,##0.00_ ;_ &quot;$&quot;\ * \-#,##0.00_ ;_ &quot;$&quot;\ * &quot;-&quot;??_ ;_ @_ "/>
    <numFmt numFmtId="171" formatCode="&quot;$&quot;\ #,##0"/>
    <numFmt numFmtId="172" formatCode="_ * #,##0.00_ ;_ * \-#,##0.00_ ;_ * &quot;-&quot;??_ ;_ @_ "/>
    <numFmt numFmtId="173" formatCode="_ * #,##0.0_ ;_ * \-#,##0.0_ ;_ * &quot;-&quot;??_ ;_ @_ "/>
    <numFmt numFmtId="174" formatCode="#\ ?/8"/>
    <numFmt numFmtId="175" formatCode="#\ ?/4"/>
    <numFmt numFmtId="176" formatCode="0.0%"/>
    <numFmt numFmtId="177" formatCode="_-&quot;$&quot;\ * #,##0.000_-;\-&quot;$&quot;\ * #,##0.000_-;_-&quot;$&quot;\ * &quot;-&quot;_-;_-@_-"/>
    <numFmt numFmtId="178" formatCode="_-&quot;$&quot;\ * #,##0.00_-;\-&quot;$&quot;\ * #,##0.00_-;_-&quot;$&quot;\ * &quot;-&quot;_-;_-@_-"/>
    <numFmt numFmtId="179" formatCode="_-&quot;$&quot;\ * #,##0.0_-;\-&quot;$&quot;\ * #,##0.0_-;_-&quot;$&quot;\ * &quot;-&quot;_-;_-@_-"/>
    <numFmt numFmtId="180" formatCode="_-&quot;$&quot;\ * #,##0.0000_-;\-&quot;$&quot;\ * #,##0.0000_-;_-&quot;$&quot;\ * &quot;-&quot;_-;_-@_-"/>
    <numFmt numFmtId="181" formatCode="[$$-2C0A]\ #,##0"/>
    <numFmt numFmtId="182" formatCode="\$\ #,##0"/>
    <numFmt numFmtId="183" formatCode="&quot;$&quot;#,##0;[Red]&quot;$&quot;#,##0"/>
    <numFmt numFmtId="184" formatCode="[$$-2C0A]#,##0.00"/>
    <numFmt numFmtId="185" formatCode="_(* #,##0.00_);_(* \(#,##0.00\);_(* &quot;-&quot;??_);_(@_)"/>
    <numFmt numFmtId="186" formatCode="\$#,##0;[Red]\(\$#,##0\)"/>
    <numFmt numFmtId="187" formatCode="0.000%"/>
    <numFmt numFmtId="188" formatCode="_-&quot;$&quot;\ * #,##0_-;\-&quot;$&quot;\ * #,##0_-;_-&quot;$&quot;\ * &quot;-&quot;??_-;_-@_-"/>
    <numFmt numFmtId="189" formatCode="&quot;$&quot;\ #,##0.0"/>
    <numFmt numFmtId="190" formatCode="0.00_);[Red]\(0.00\)"/>
    <numFmt numFmtId="191" formatCode="_-* #,##0.00_-;\-* #,##0.00_-;_-* &quot;-&quot;_-;_-@_-"/>
    <numFmt numFmtId="192" formatCode="_-&quot;$&quot;* #,##0_-;\-&quot;$&quot;* #,##0_-;_-&quot;$&quot;* &quot;-&quot;_-;_-@_-"/>
    <numFmt numFmtId="193" formatCode="_(&quot;$&quot;\ * #,##0.0_);_(&quot;$&quot;\ * \(#,##0.0\);_(&quot;$&quot;\ * &quot;-&quot;??_);_(@_)"/>
    <numFmt numFmtId="194" formatCode="hh:mm:ss\ \a\.m\./\p\.m\._)"/>
    <numFmt numFmtId="195" formatCode="_-* #,##0.00000_-;\-* #,##0.00000_-;_-* &quot;-&quot;??_-;_-@_-"/>
    <numFmt numFmtId="196" formatCode="_-[$$-240A]\ * #,##0_-;\-[$$-240A]\ * #,##0_-;_-[$$-240A]\ * &quot;-&quot;??_-;_-@_-"/>
    <numFmt numFmtId="197" formatCode="_-* #,##0.0000_-;\-* #,##0.0000_-;_-* &quot;-&quot;??_-;_-@_-"/>
    <numFmt numFmtId="198" formatCode="&quot;$&quot;\ #,##0_);\(&quot;$&quot;\ #,##0\)"/>
    <numFmt numFmtId="199" formatCode="#,##0.0000"/>
    <numFmt numFmtId="200" formatCode="_-* #,##0.00000_-;\-* #,##0.00000_-;_-* &quot;-&quot;?????_-;_-@_-"/>
    <numFmt numFmtId="201" formatCode="[$$-240A]\ #,##0.00"/>
    <numFmt numFmtId="202" formatCode="0.000"/>
    <numFmt numFmtId="203" formatCode="_ * #,##0.000_ ;_ * \-#,##0.000_ ;_ * &quot;-&quot;??_ ;_ @_ "/>
    <numFmt numFmtId="204" formatCode="_-* #,##0.000_-;\-* #,##0.000_-;_-* &quot;-&quot;??_-;_-@_-"/>
    <numFmt numFmtId="205" formatCode="0.0000%"/>
  </numFmts>
  <fonts count="8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i/>
      <sz val="14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color indexed="8"/>
      <name val="Arial"/>
      <family val="2"/>
    </font>
    <font>
      <b/>
      <sz val="16"/>
      <color indexed="8"/>
      <name val="Arial"/>
      <family val="2"/>
    </font>
    <font>
      <sz val="8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16"/>
      <name val="Arial"/>
      <family val="2"/>
    </font>
    <font>
      <b/>
      <sz val="11"/>
      <name val="Calibri"/>
      <family val="2"/>
      <scheme val="minor"/>
    </font>
    <font>
      <b/>
      <sz val="8"/>
      <color indexed="8"/>
      <name val="Arial"/>
      <family val="2"/>
    </font>
    <font>
      <sz val="8"/>
      <color theme="0"/>
      <name val="Arial"/>
      <family val="2"/>
    </font>
    <font>
      <sz val="16"/>
      <color rgb="FF213C65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i/>
      <sz val="12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12"/>
      <name val="Arial "/>
    </font>
    <font>
      <sz val="12"/>
      <name val="Arial "/>
    </font>
    <font>
      <sz val="11"/>
      <name val="Arial "/>
    </font>
    <font>
      <b/>
      <sz val="8"/>
      <color rgb="FF000000"/>
      <name val="Arial"/>
      <family val="2"/>
    </font>
    <font>
      <sz val="6"/>
      <color theme="1"/>
      <name val="Calibri"/>
      <family val="2"/>
      <scheme val="minor"/>
    </font>
    <font>
      <b/>
      <sz val="6"/>
      <color rgb="FF00000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i/>
      <sz val="14"/>
      <name val="Arial"/>
      <family val="2"/>
    </font>
    <font>
      <i/>
      <sz val="12"/>
      <name val="Arial"/>
      <family val="2"/>
    </font>
    <font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i/>
      <sz val="16"/>
      <color theme="1"/>
      <name val="Arial"/>
      <family val="2"/>
    </font>
    <font>
      <sz val="16"/>
      <name val="Arial"/>
      <family val="2"/>
    </font>
    <font>
      <b/>
      <sz val="14"/>
      <name val="Calibri Light"/>
      <family val="2"/>
    </font>
    <font>
      <b/>
      <sz val="10"/>
      <name val="Calibri Light"/>
      <family val="2"/>
    </font>
    <font>
      <sz val="10"/>
      <name val="Calibri Light"/>
      <family val="2"/>
    </font>
    <font>
      <b/>
      <sz val="10"/>
      <color theme="1"/>
      <name val="Calibri"/>
      <family val="2"/>
    </font>
    <font>
      <sz val="11"/>
      <color theme="1"/>
      <name val="Calibri Light"/>
      <family val="2"/>
    </font>
    <font>
      <b/>
      <sz val="11"/>
      <name val="Calibri Light"/>
      <family val="2"/>
    </font>
    <font>
      <sz val="11"/>
      <name val="Calibri Light"/>
      <family val="2"/>
    </font>
    <font>
      <b/>
      <sz val="11"/>
      <color theme="1"/>
      <name val="Calibri"/>
      <family val="2"/>
    </font>
    <font>
      <b/>
      <i/>
      <sz val="10"/>
      <name val="Arial"/>
      <family val="2"/>
    </font>
    <font>
      <sz val="8"/>
      <name val="Arial"/>
      <family val="2"/>
    </font>
    <font>
      <sz val="10"/>
      <name val="Courier"/>
      <family val="3"/>
    </font>
    <font>
      <b/>
      <sz val="11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b/>
      <sz val="10"/>
      <color theme="1"/>
      <name val="Arial"/>
      <family val="2"/>
    </font>
    <font>
      <b/>
      <sz val="14"/>
      <color theme="1"/>
      <name val="Arial "/>
    </font>
    <font>
      <sz val="14"/>
      <color theme="1"/>
      <name val="Arial "/>
    </font>
    <font>
      <b/>
      <sz val="14"/>
      <name val="Arial "/>
    </font>
    <font>
      <b/>
      <sz val="12"/>
      <color theme="1"/>
      <name val="Arial "/>
    </font>
    <font>
      <sz val="10"/>
      <name val="Arial 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14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indexed="22"/>
        <bgColor indexed="2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86A795"/>
        <bgColor rgb="FF86A79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rgb="FF86A795"/>
      </patternFill>
    </fill>
  </fills>
  <borders count="9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23"/>
      </left>
      <right/>
      <top style="double">
        <color indexed="23"/>
      </top>
      <bottom style="double">
        <color indexed="23"/>
      </bottom>
      <diagonal/>
    </border>
    <border>
      <left/>
      <right/>
      <top style="double">
        <color indexed="23"/>
      </top>
      <bottom style="double">
        <color indexed="23"/>
      </bottom>
      <diagonal/>
    </border>
    <border>
      <left/>
      <right style="double">
        <color indexed="23"/>
      </right>
      <top style="double">
        <color indexed="23"/>
      </top>
      <bottom style="double">
        <color indexed="23"/>
      </bottom>
      <diagonal/>
    </border>
    <border>
      <left style="double">
        <color indexed="23"/>
      </left>
      <right/>
      <top style="double">
        <color indexed="23"/>
      </top>
      <bottom/>
      <diagonal/>
    </border>
    <border>
      <left/>
      <right/>
      <top style="double">
        <color indexed="23"/>
      </top>
      <bottom/>
      <diagonal/>
    </border>
    <border>
      <left style="double">
        <color indexed="23"/>
      </left>
      <right style="double">
        <color indexed="23"/>
      </right>
      <top style="double">
        <color indexed="23"/>
      </top>
      <bottom style="double">
        <color indexed="23"/>
      </bottom>
      <diagonal/>
    </border>
    <border>
      <left style="double">
        <color indexed="23"/>
      </left>
      <right/>
      <top/>
      <bottom/>
      <diagonal/>
    </border>
    <border>
      <left style="double">
        <color theme="9"/>
      </left>
      <right style="double">
        <color theme="9"/>
      </right>
      <top style="double">
        <color theme="9"/>
      </top>
      <bottom style="dotted">
        <color theme="9"/>
      </bottom>
      <diagonal/>
    </border>
    <border>
      <left style="double">
        <color theme="9"/>
      </left>
      <right style="double">
        <color theme="9"/>
      </right>
      <top style="dotted">
        <color theme="9"/>
      </top>
      <bottom style="double">
        <color theme="9"/>
      </bottom>
      <diagonal/>
    </border>
    <border>
      <left style="double">
        <color rgb="FF92D050"/>
      </left>
      <right style="double">
        <color rgb="FF92D050"/>
      </right>
      <top style="double">
        <color rgb="FF92D050"/>
      </top>
      <bottom style="double">
        <color rgb="FF92D050"/>
      </bottom>
      <diagonal/>
    </border>
    <border>
      <left style="double">
        <color rgb="FF92D050"/>
      </left>
      <right style="hair">
        <color auto="1"/>
      </right>
      <top style="double">
        <color rgb="FF92D050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rgb="FF92D05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rgb="FF92D050"/>
      </left>
      <right style="medium">
        <color rgb="FF92D050"/>
      </right>
      <top style="double">
        <color rgb="FF92D050"/>
      </top>
      <bottom style="dotted">
        <color rgb="FF92D050"/>
      </bottom>
      <diagonal/>
    </border>
    <border>
      <left style="medium">
        <color rgb="FF92D050"/>
      </left>
      <right style="medium">
        <color rgb="FF92D050"/>
      </right>
      <top style="double">
        <color rgb="FF92D050"/>
      </top>
      <bottom style="dotted">
        <color rgb="FF92D050"/>
      </bottom>
      <diagonal/>
    </border>
    <border>
      <left style="medium">
        <color rgb="FF92D050"/>
      </left>
      <right style="double">
        <color rgb="FF92D050"/>
      </right>
      <top style="double">
        <color rgb="FF92D050"/>
      </top>
      <bottom style="dotted">
        <color rgb="FF92D050"/>
      </bottom>
      <diagonal/>
    </border>
    <border>
      <left style="double">
        <color rgb="FF92D050"/>
      </left>
      <right style="medium">
        <color rgb="FF92D050"/>
      </right>
      <top style="dotted">
        <color rgb="FF92D050"/>
      </top>
      <bottom style="dotted">
        <color rgb="FF92D050"/>
      </bottom>
      <diagonal/>
    </border>
    <border>
      <left style="medium">
        <color rgb="FF92D050"/>
      </left>
      <right style="medium">
        <color rgb="FF92D050"/>
      </right>
      <top style="dotted">
        <color rgb="FF92D050"/>
      </top>
      <bottom style="dotted">
        <color rgb="FF92D050"/>
      </bottom>
      <diagonal/>
    </border>
    <border>
      <left style="medium">
        <color rgb="FF92D050"/>
      </left>
      <right style="double">
        <color rgb="FF92D050"/>
      </right>
      <top style="dotted">
        <color rgb="FF92D050"/>
      </top>
      <bottom style="dotted">
        <color rgb="FF92D050"/>
      </bottom>
      <diagonal/>
    </border>
    <border>
      <left style="double">
        <color rgb="FF92D050"/>
      </left>
      <right style="medium">
        <color rgb="FF92D050"/>
      </right>
      <top style="dotted">
        <color rgb="FF92D050"/>
      </top>
      <bottom style="double">
        <color rgb="FF92D050"/>
      </bottom>
      <diagonal/>
    </border>
    <border>
      <left style="medium">
        <color rgb="FF92D050"/>
      </left>
      <right style="medium">
        <color rgb="FF92D050"/>
      </right>
      <top style="dotted">
        <color rgb="FF92D050"/>
      </top>
      <bottom style="double">
        <color rgb="FF92D050"/>
      </bottom>
      <diagonal/>
    </border>
    <border>
      <left style="medium">
        <color rgb="FF92D050"/>
      </left>
      <right style="double">
        <color rgb="FF92D050"/>
      </right>
      <top style="dotted">
        <color rgb="FF92D050"/>
      </top>
      <bottom style="double">
        <color rgb="FF92D050"/>
      </bottom>
      <diagonal/>
    </border>
    <border>
      <left style="double">
        <color rgb="FF92D050"/>
      </left>
      <right style="medium">
        <color rgb="FF92D050"/>
      </right>
      <top/>
      <bottom/>
      <diagonal/>
    </border>
    <border>
      <left style="medium">
        <color rgb="FF92D050"/>
      </left>
      <right style="medium">
        <color rgb="FF92D050"/>
      </right>
      <top/>
      <bottom/>
      <diagonal/>
    </border>
    <border>
      <left style="medium">
        <color rgb="FF92D050"/>
      </left>
      <right style="double">
        <color rgb="FF92D050"/>
      </right>
      <top/>
      <bottom/>
      <diagonal/>
    </border>
    <border>
      <left style="double">
        <color rgb="FF92D050"/>
      </left>
      <right style="medium">
        <color rgb="FF92D050"/>
      </right>
      <top style="double">
        <color rgb="FF92D050"/>
      </top>
      <bottom style="hair">
        <color rgb="FF92D050"/>
      </bottom>
      <diagonal/>
    </border>
    <border>
      <left style="medium">
        <color rgb="FF92D050"/>
      </left>
      <right style="medium">
        <color rgb="FF92D050"/>
      </right>
      <top style="double">
        <color rgb="FF92D050"/>
      </top>
      <bottom style="hair">
        <color rgb="FF92D050"/>
      </bottom>
      <diagonal/>
    </border>
    <border>
      <left style="medium">
        <color rgb="FF92D050"/>
      </left>
      <right style="double">
        <color rgb="FF92D050"/>
      </right>
      <top style="double">
        <color rgb="FF92D050"/>
      </top>
      <bottom style="hair">
        <color rgb="FF92D050"/>
      </bottom>
      <diagonal/>
    </border>
    <border>
      <left style="double">
        <color rgb="FF92D050"/>
      </left>
      <right style="medium">
        <color rgb="FF92D050"/>
      </right>
      <top style="hair">
        <color rgb="FF92D050"/>
      </top>
      <bottom style="hair">
        <color rgb="FF92D050"/>
      </bottom>
      <diagonal/>
    </border>
    <border>
      <left style="medium">
        <color rgb="FF92D050"/>
      </left>
      <right style="medium">
        <color rgb="FF92D050"/>
      </right>
      <top style="hair">
        <color rgb="FF92D050"/>
      </top>
      <bottom style="hair">
        <color rgb="FF92D050"/>
      </bottom>
      <diagonal/>
    </border>
    <border>
      <left style="medium">
        <color rgb="FF92D050"/>
      </left>
      <right style="double">
        <color rgb="FF92D050"/>
      </right>
      <top style="hair">
        <color rgb="FF92D050"/>
      </top>
      <bottom style="hair">
        <color rgb="FF92D050"/>
      </bottom>
      <diagonal/>
    </border>
    <border>
      <left style="double">
        <color rgb="FF92D050"/>
      </left>
      <right style="medium">
        <color rgb="FF92D050"/>
      </right>
      <top style="hair">
        <color rgb="FF92D050"/>
      </top>
      <bottom style="double">
        <color rgb="FF92D050"/>
      </bottom>
      <diagonal/>
    </border>
    <border>
      <left style="medium">
        <color rgb="FF92D050"/>
      </left>
      <right style="medium">
        <color rgb="FF92D050"/>
      </right>
      <top style="hair">
        <color rgb="FF92D050"/>
      </top>
      <bottom style="double">
        <color rgb="FF92D050"/>
      </bottom>
      <diagonal/>
    </border>
    <border>
      <left style="medium">
        <color rgb="FF92D050"/>
      </left>
      <right style="double">
        <color rgb="FF92D050"/>
      </right>
      <top style="hair">
        <color rgb="FF92D050"/>
      </top>
      <bottom style="double">
        <color rgb="FF92D050"/>
      </bottom>
      <diagonal/>
    </border>
    <border>
      <left style="double">
        <color rgb="FF92D050"/>
      </left>
      <right style="dotted">
        <color rgb="FF92D050"/>
      </right>
      <top style="double">
        <color rgb="FF92D050"/>
      </top>
      <bottom style="dotted">
        <color rgb="FF92D050"/>
      </bottom>
      <diagonal/>
    </border>
    <border>
      <left style="double">
        <color rgb="FF92D050"/>
      </left>
      <right style="dotted">
        <color rgb="FF92D050"/>
      </right>
      <top style="dotted">
        <color rgb="FF92D050"/>
      </top>
      <bottom style="dotted">
        <color rgb="FF92D05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9">
    <xf numFmtId="0" fontId="0" fillId="0" borderId="0"/>
    <xf numFmtId="167" fontId="11" fillId="0" borderId="0" applyFont="0" applyFill="0" applyBorder="0" applyAlignment="0" applyProtection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2" fontId="11" fillId="0" borderId="0"/>
    <xf numFmtId="170" fontId="11" fillId="0" borderId="0"/>
    <xf numFmtId="2" fontId="11" fillId="0" borderId="0"/>
    <xf numFmtId="9" fontId="30" fillId="0" borderId="0" applyFont="0" applyFill="0" applyBorder="0" applyAlignment="0" applyProtection="0"/>
    <xf numFmtId="42" fontId="3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44" fontId="44" fillId="0" borderId="0" applyFont="0" applyFill="0" applyBorder="0" applyAlignment="0" applyProtection="0"/>
    <xf numFmtId="185" fontId="9" fillId="0" borderId="0" applyFont="0" applyFill="0" applyBorder="0" applyAlignment="0" applyProtection="0"/>
    <xf numFmtId="0" fontId="11" fillId="0" borderId="0"/>
    <xf numFmtId="41" fontId="32" fillId="0" borderId="0" applyFont="0" applyFill="0" applyBorder="0" applyAlignment="0" applyProtection="0"/>
    <xf numFmtId="41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72" fontId="11" fillId="0" borderId="0" applyFont="0" applyFill="0" applyBorder="0" applyAlignment="0" applyProtection="0"/>
    <xf numFmtId="192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5" fillId="0" borderId="0"/>
    <xf numFmtId="0" fontId="11" fillId="0" borderId="0"/>
    <xf numFmtId="165" fontId="5" fillId="0" borderId="0" applyFont="0" applyFill="0" applyBorder="0" applyAlignment="0" applyProtection="0"/>
    <xf numFmtId="0" fontId="11" fillId="0" borderId="0"/>
    <xf numFmtId="167" fontId="11" fillId="0" borderId="0" applyFont="0" applyFill="0" applyBorder="0" applyAlignment="0" applyProtection="0"/>
    <xf numFmtId="0" fontId="11" fillId="0" borderId="0"/>
    <xf numFmtId="194" fontId="75" fillId="0" borderId="0"/>
    <xf numFmtId="198" fontId="11" fillId="0" borderId="0" applyFont="0" applyFill="0" applyBorder="0" applyAlignment="0" applyProtection="0"/>
    <xf numFmtId="0" fontId="4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2" fillId="0" borderId="0"/>
    <xf numFmtId="0" fontId="11" fillId="0" borderId="0"/>
    <xf numFmtId="0" fontId="11" fillId="0" borderId="0"/>
    <xf numFmtId="9" fontId="78" fillId="0" borderId="0" applyFont="0" applyFill="0" applyBorder="0" applyAlignment="0" applyProtection="0"/>
    <xf numFmtId="185" fontId="78" fillId="0" borderId="0" applyFont="0" applyFill="0" applyBorder="0" applyAlignment="0" applyProtection="0"/>
    <xf numFmtId="185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" fillId="0" borderId="0"/>
  </cellStyleXfs>
  <cellXfs count="764">
    <xf numFmtId="0" fontId="0" fillId="0" borderId="0" xfId="0"/>
    <xf numFmtId="167" fontId="13" fillId="0" borderId="1" xfId="1" applyFont="1" applyFill="1" applyBorder="1" applyAlignment="1">
      <alignment horizontal="center" vertical="center"/>
    </xf>
    <xf numFmtId="170" fontId="17" fillId="0" borderId="1" xfId="4" applyNumberFormat="1" applyFont="1" applyFill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2" fontId="20" fillId="0" borderId="1" xfId="0" applyNumberFormat="1" applyFont="1" applyBorder="1" applyAlignment="1">
      <alignment horizontal="center" vertical="center"/>
    </xf>
    <xf numFmtId="168" fontId="20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justify" vertical="center" wrapText="1"/>
    </xf>
    <xf numFmtId="169" fontId="14" fillId="0" borderId="1" xfId="4" applyNumberFormat="1" applyFont="1" applyFill="1" applyBorder="1" applyAlignment="1">
      <alignment vertical="center"/>
    </xf>
    <xf numFmtId="169" fontId="15" fillId="0" borderId="1" xfId="4" applyNumberFormat="1" applyFont="1" applyFill="1" applyBorder="1" applyAlignment="1">
      <alignment vertical="center"/>
    </xf>
    <xf numFmtId="0" fontId="16" fillId="0" borderId="0" xfId="0" applyFont="1"/>
    <xf numFmtId="0" fontId="18" fillId="0" borderId="0" xfId="2" applyFont="1"/>
    <xf numFmtId="0" fontId="15" fillId="0" borderId="0" xfId="8" applyFont="1"/>
    <xf numFmtId="0" fontId="12" fillId="0" borderId="0" xfId="8" applyFont="1" applyAlignment="1">
      <alignment horizontal="center" vertical="center" wrapText="1"/>
    </xf>
    <xf numFmtId="0" fontId="12" fillId="0" borderId="0" xfId="8" applyFont="1" applyAlignment="1">
      <alignment horizontal="center" vertical="center"/>
    </xf>
    <xf numFmtId="0" fontId="15" fillId="2" borderId="0" xfId="8" applyFont="1" applyFill="1"/>
    <xf numFmtId="0" fontId="15" fillId="2" borderId="0" xfId="8" applyFont="1" applyFill="1" applyAlignment="1">
      <alignment vertical="center"/>
    </xf>
    <xf numFmtId="165" fontId="15" fillId="2" borderId="0" xfId="9" applyFont="1" applyFill="1" applyAlignment="1">
      <alignment vertical="center"/>
    </xf>
    <xf numFmtId="0" fontId="14" fillId="6" borderId="1" xfId="8" applyFont="1" applyFill="1" applyBorder="1" applyAlignment="1">
      <alignment horizontal="center" vertical="center"/>
    </xf>
    <xf numFmtId="0" fontId="14" fillId="0" borderId="0" xfId="8" applyFont="1" applyAlignment="1">
      <alignment horizontal="center" vertical="center"/>
    </xf>
    <xf numFmtId="0" fontId="14" fillId="2" borderId="0" xfId="8" applyFont="1" applyFill="1" applyAlignment="1">
      <alignment vertical="center"/>
    </xf>
    <xf numFmtId="0" fontId="15" fillId="0" borderId="0" xfId="8" applyFont="1" applyAlignment="1">
      <alignment vertical="center"/>
    </xf>
    <xf numFmtId="0" fontId="15" fillId="0" borderId="1" xfId="8" applyFont="1" applyBorder="1" applyAlignment="1">
      <alignment horizontal="center" vertical="center"/>
    </xf>
    <xf numFmtId="165" fontId="13" fillId="0" borderId="1" xfId="9" applyFont="1" applyBorder="1" applyAlignment="1">
      <alignment vertical="center"/>
    </xf>
    <xf numFmtId="165" fontId="13" fillId="0" borderId="0" xfId="9" applyFont="1" applyBorder="1" applyAlignment="1">
      <alignment vertical="center"/>
    </xf>
    <xf numFmtId="0" fontId="14" fillId="6" borderId="10" xfId="8" applyFont="1" applyFill="1" applyBorder="1" applyAlignment="1">
      <alignment horizontal="center" vertical="center"/>
    </xf>
    <xf numFmtId="0" fontId="14" fillId="6" borderId="28" xfId="8" applyFont="1" applyFill="1" applyBorder="1" applyAlignment="1">
      <alignment horizontal="center" vertical="center"/>
    </xf>
    <xf numFmtId="0" fontId="15" fillId="0" borderId="15" xfId="8" applyFont="1" applyBorder="1" applyAlignment="1">
      <alignment horizontal="center" vertical="center"/>
    </xf>
    <xf numFmtId="0" fontId="15" fillId="0" borderId="0" xfId="8" applyFont="1" applyAlignment="1">
      <alignment horizontal="center" vertical="center"/>
    </xf>
    <xf numFmtId="174" fontId="15" fillId="0" borderId="9" xfId="8" applyNumberFormat="1" applyFont="1" applyBorder="1" applyAlignment="1">
      <alignment horizontal="center" vertical="center"/>
    </xf>
    <xf numFmtId="174" fontId="15" fillId="0" borderId="0" xfId="8" applyNumberFormat="1" applyFont="1" applyAlignment="1">
      <alignment horizontal="center" vertical="center"/>
    </xf>
    <xf numFmtId="175" fontId="15" fillId="0" borderId="3" xfId="8" applyNumberFormat="1" applyFont="1" applyBorder="1" applyAlignment="1">
      <alignment horizontal="center" vertical="center"/>
    </xf>
    <xf numFmtId="175" fontId="15" fillId="2" borderId="0" xfId="8" applyNumberFormat="1" applyFont="1" applyFill="1" applyAlignment="1">
      <alignment horizontal="center" vertical="center"/>
    </xf>
    <xf numFmtId="2" fontId="15" fillId="0" borderId="9" xfId="8" applyNumberFormat="1" applyFont="1" applyBorder="1" applyAlignment="1">
      <alignment horizontal="center" vertical="center"/>
    </xf>
    <xf numFmtId="0" fontId="15" fillId="0" borderId="23" xfId="8" applyFont="1" applyBorder="1" applyAlignment="1">
      <alignment horizontal="center" vertical="center"/>
    </xf>
    <xf numFmtId="165" fontId="15" fillId="0" borderId="15" xfId="9" applyFont="1" applyBorder="1" applyAlignment="1">
      <alignment horizontal="center" vertical="center"/>
    </xf>
    <xf numFmtId="0" fontId="15" fillId="2" borderId="0" xfId="8" applyFont="1" applyFill="1" applyAlignment="1">
      <alignment horizontal="center" vertical="center"/>
    </xf>
    <xf numFmtId="2" fontId="15" fillId="0" borderId="15" xfId="8" applyNumberFormat="1" applyFont="1" applyBorder="1" applyAlignment="1">
      <alignment horizontal="center" vertical="center"/>
    </xf>
    <xf numFmtId="165" fontId="15" fillId="0" borderId="23" xfId="9" applyFont="1" applyBorder="1" applyAlignment="1">
      <alignment vertical="center"/>
    </xf>
    <xf numFmtId="174" fontId="15" fillId="0" borderId="3" xfId="8" applyNumberFormat="1" applyFont="1" applyBorder="1" applyAlignment="1">
      <alignment horizontal="center" vertical="center"/>
    </xf>
    <xf numFmtId="165" fontId="15" fillId="0" borderId="15" xfId="9" applyFont="1" applyBorder="1" applyAlignment="1">
      <alignment vertical="center"/>
    </xf>
    <xf numFmtId="165" fontId="15" fillId="0" borderId="0" xfId="9" applyFont="1" applyAlignment="1">
      <alignment vertical="center"/>
    </xf>
    <xf numFmtId="0" fontId="15" fillId="0" borderId="1" xfId="8" applyFont="1" applyBorder="1" applyAlignment="1">
      <alignment vertical="center"/>
    </xf>
    <xf numFmtId="165" fontId="15" fillId="0" borderId="0" xfId="9" applyFont="1"/>
    <xf numFmtId="0" fontId="11" fillId="7" borderId="29" xfId="8" applyFont="1" applyFill="1" applyBorder="1" applyAlignment="1">
      <alignment horizontal="left" wrapText="1"/>
    </xf>
    <xf numFmtId="0" fontId="11" fillId="7" borderId="29" xfId="8" applyFont="1" applyFill="1" applyBorder="1" applyAlignment="1">
      <alignment horizontal="left"/>
    </xf>
    <xf numFmtId="0" fontId="15" fillId="5" borderId="1" xfId="8" applyFont="1" applyFill="1" applyBorder="1" applyAlignment="1">
      <alignment horizontal="center" vertical="center"/>
    </xf>
    <xf numFmtId="165" fontId="13" fillId="5" borderId="1" xfId="9" applyFont="1" applyFill="1" applyBorder="1" applyAlignment="1">
      <alignment vertical="center"/>
    </xf>
    <xf numFmtId="2" fontId="11" fillId="0" borderId="0" xfId="10"/>
    <xf numFmtId="0" fontId="18" fillId="0" borderId="20" xfId="2" applyFont="1" applyBorder="1"/>
    <xf numFmtId="42" fontId="33" fillId="0" borderId="0" xfId="14" applyFont="1"/>
    <xf numFmtId="42" fontId="34" fillId="0" borderId="0" xfId="14" applyFont="1" applyAlignment="1">
      <alignment horizontal="center" vertical="center"/>
    </xf>
    <xf numFmtId="42" fontId="33" fillId="0" borderId="0" xfId="14" applyFont="1" applyAlignment="1">
      <alignment horizontal="center" vertical="center"/>
    </xf>
    <xf numFmtId="42" fontId="36" fillId="0" borderId="0" xfId="14" applyFont="1" applyAlignment="1">
      <alignment vertical="center"/>
    </xf>
    <xf numFmtId="42" fontId="36" fillId="0" borderId="0" xfId="14" applyFont="1" applyAlignment="1">
      <alignment vertical="center" wrapText="1"/>
    </xf>
    <xf numFmtId="42" fontId="38" fillId="9" borderId="42" xfId="14" applyFont="1" applyFill="1" applyBorder="1" applyAlignment="1">
      <alignment horizontal="right" vertical="center"/>
    </xf>
    <xf numFmtId="42" fontId="23" fillId="0" borderId="44" xfId="14" applyFont="1" applyBorder="1" applyAlignment="1">
      <alignment horizontal="left" vertical="center" wrapText="1"/>
    </xf>
    <xf numFmtId="42" fontId="23" fillId="0" borderId="44" xfId="14" applyFont="1" applyFill="1" applyBorder="1" applyAlignment="1">
      <alignment vertical="center"/>
    </xf>
    <xf numFmtId="42" fontId="39" fillId="0" borderId="0" xfId="14" applyFont="1" applyAlignment="1">
      <alignment horizontal="left" vertical="center" wrapText="1"/>
    </xf>
    <xf numFmtId="42" fontId="23" fillId="0" borderId="0" xfId="14" applyFont="1" applyBorder="1" applyAlignment="1">
      <alignment horizontal="center" vertical="center"/>
    </xf>
    <xf numFmtId="42" fontId="11" fillId="0" borderId="0" xfId="14" applyFont="1" applyAlignment="1">
      <alignment vertical="center"/>
    </xf>
    <xf numFmtId="42" fontId="23" fillId="0" borderId="45" xfId="14" applyFont="1" applyBorder="1" applyAlignment="1">
      <alignment horizontal="left" vertical="center" wrapText="1"/>
    </xf>
    <xf numFmtId="42" fontId="23" fillId="0" borderId="45" xfId="14" applyFont="1" applyFill="1" applyBorder="1" applyAlignment="1">
      <alignment vertical="center"/>
    </xf>
    <xf numFmtId="42" fontId="23" fillId="0" borderId="0" xfId="14" applyFont="1" applyAlignment="1">
      <alignment vertical="center"/>
    </xf>
    <xf numFmtId="42" fontId="34" fillId="0" borderId="0" xfId="14" applyFont="1" applyAlignment="1">
      <alignment horizontal="right" vertical="center" wrapText="1"/>
    </xf>
    <xf numFmtId="42" fontId="34" fillId="0" borderId="0" xfId="14" applyFont="1" applyAlignment="1">
      <alignment vertical="center"/>
    </xf>
    <xf numFmtId="42" fontId="23" fillId="10" borderId="46" xfId="14" applyFont="1" applyFill="1" applyBorder="1" applyAlignment="1">
      <alignment vertical="center" wrapText="1"/>
    </xf>
    <xf numFmtId="42" fontId="23" fillId="10" borderId="46" xfId="14" applyFont="1" applyFill="1" applyBorder="1" applyAlignment="1">
      <alignment horizontal="center" vertical="center" wrapText="1"/>
    </xf>
    <xf numFmtId="42" fontId="23" fillId="10" borderId="46" xfId="14" applyFont="1" applyFill="1" applyBorder="1" applyAlignment="1">
      <alignment horizontal="center" vertical="center"/>
    </xf>
    <xf numFmtId="42" fontId="23" fillId="10" borderId="46" xfId="14" applyFont="1" applyFill="1" applyBorder="1" applyAlignment="1">
      <alignment horizontal="justify" vertical="center" wrapText="1"/>
    </xf>
    <xf numFmtId="42" fontId="38" fillId="10" borderId="46" xfId="14" applyFont="1" applyFill="1" applyBorder="1" applyAlignment="1">
      <alignment vertical="center"/>
    </xf>
    <xf numFmtId="42" fontId="23" fillId="10" borderId="46" xfId="14" applyFont="1" applyFill="1" applyBorder="1" applyAlignment="1">
      <alignment horizontal="left" vertical="center"/>
    </xf>
    <xf numFmtId="42" fontId="38" fillId="10" borderId="46" xfId="14" applyFont="1" applyFill="1" applyBorder="1" applyAlignment="1">
      <alignment horizontal="justify" vertical="center" wrapText="1"/>
    </xf>
    <xf numFmtId="42" fontId="36" fillId="3" borderId="0" xfId="14" applyFont="1" applyFill="1" applyAlignment="1">
      <alignment vertical="center"/>
    </xf>
    <xf numFmtId="42" fontId="34" fillId="0" borderId="47" xfId="14" applyFont="1" applyFill="1" applyBorder="1" applyAlignment="1">
      <alignment horizontal="justify" vertical="center" wrapText="1"/>
    </xf>
    <xf numFmtId="42" fontId="34" fillId="0" borderId="48" xfId="14" applyFont="1" applyFill="1" applyBorder="1" applyAlignment="1">
      <alignment vertical="center"/>
    </xf>
    <xf numFmtId="42" fontId="33" fillId="3" borderId="0" xfId="14" applyFont="1" applyFill="1"/>
    <xf numFmtId="42" fontId="34" fillId="0" borderId="49" xfId="14" applyFont="1" applyFill="1" applyBorder="1" applyAlignment="1">
      <alignment horizontal="justify" vertical="center" wrapText="1"/>
    </xf>
    <xf numFmtId="9" fontId="33" fillId="0" borderId="0" xfId="13" applyFont="1"/>
    <xf numFmtId="42" fontId="34" fillId="0" borderId="49" xfId="14" applyFont="1" applyBorder="1" applyAlignment="1">
      <alignment horizontal="justify" vertical="center" wrapText="1"/>
    </xf>
    <xf numFmtId="42" fontId="23" fillId="10" borderId="50" xfId="14" applyFont="1" applyFill="1" applyBorder="1" applyAlignment="1">
      <alignment vertical="center"/>
    </xf>
    <xf numFmtId="42" fontId="38" fillId="10" borderId="51" xfId="14" applyFont="1" applyFill="1" applyBorder="1" applyAlignment="1">
      <alignment vertical="center"/>
    </xf>
    <xf numFmtId="42" fontId="38" fillId="10" borderId="52" xfId="14" applyFont="1" applyFill="1" applyBorder="1" applyAlignment="1">
      <alignment vertical="center"/>
    </xf>
    <xf numFmtId="42" fontId="23" fillId="10" borderId="53" xfId="14" applyFont="1" applyFill="1" applyBorder="1" applyAlignment="1">
      <alignment vertical="center"/>
    </xf>
    <xf numFmtId="42" fontId="38" fillId="10" borderId="54" xfId="14" applyFont="1" applyFill="1" applyBorder="1" applyAlignment="1">
      <alignment vertical="center"/>
    </xf>
    <xf numFmtId="42" fontId="38" fillId="10" borderId="55" xfId="14" applyFont="1" applyFill="1" applyBorder="1" applyAlignment="1">
      <alignment vertical="center"/>
    </xf>
    <xf numFmtId="42" fontId="23" fillId="10" borderId="56" xfId="14" applyFont="1" applyFill="1" applyBorder="1" applyAlignment="1">
      <alignment vertical="center"/>
    </xf>
    <xf numFmtId="177" fontId="23" fillId="10" borderId="57" xfId="14" applyNumberFormat="1" applyFont="1" applyFill="1" applyBorder="1" applyAlignment="1">
      <alignment horizontal="center" vertical="center"/>
    </xf>
    <xf numFmtId="178" fontId="23" fillId="10" borderId="57" xfId="14" applyNumberFormat="1" applyFont="1" applyFill="1" applyBorder="1" applyAlignment="1">
      <alignment horizontal="center" vertical="center"/>
    </xf>
    <xf numFmtId="177" fontId="23" fillId="10" borderId="58" xfId="14" applyNumberFormat="1" applyFont="1" applyFill="1" applyBorder="1" applyAlignment="1">
      <alignment horizontal="center" vertical="center"/>
    </xf>
    <xf numFmtId="42" fontId="23" fillId="0" borderId="62" xfId="14" applyFont="1" applyBorder="1" applyAlignment="1">
      <alignment horizontal="center" vertical="center" wrapText="1"/>
    </xf>
    <xf numFmtId="42" fontId="23" fillId="0" borderId="63" xfId="14" applyFont="1" applyBorder="1" applyAlignment="1">
      <alignment horizontal="center" vertical="center"/>
    </xf>
    <xf numFmtId="42" fontId="23" fillId="0" borderId="64" xfId="14" applyFont="1" applyBorder="1" applyAlignment="1">
      <alignment horizontal="center" vertical="center"/>
    </xf>
    <xf numFmtId="42" fontId="23" fillId="0" borderId="65" xfId="14" applyFont="1" applyBorder="1" applyAlignment="1">
      <alignment horizontal="center" vertical="center"/>
    </xf>
    <xf numFmtId="42" fontId="11" fillId="0" borderId="66" xfId="14" applyFont="1" applyBorder="1" applyAlignment="1">
      <alignment horizontal="right" vertical="center"/>
    </xf>
    <xf numFmtId="42" fontId="11" fillId="0" borderId="67" xfId="14" applyFont="1" applyBorder="1" applyAlignment="1">
      <alignment horizontal="right" vertical="center"/>
    </xf>
    <xf numFmtId="42" fontId="23" fillId="0" borderId="68" xfId="14" applyFont="1" applyBorder="1" applyAlignment="1">
      <alignment horizontal="center" vertical="center"/>
    </xf>
    <xf numFmtId="42" fontId="11" fillId="0" borderId="69" xfId="14" applyFont="1" applyBorder="1" applyAlignment="1">
      <alignment horizontal="right" vertical="center"/>
    </xf>
    <xf numFmtId="42" fontId="11" fillId="0" borderId="70" xfId="14" applyFont="1" applyBorder="1" applyAlignment="1">
      <alignment horizontal="right" vertical="center"/>
    </xf>
    <xf numFmtId="42" fontId="23" fillId="0" borderId="0" xfId="14" applyFont="1" applyAlignment="1">
      <alignment horizontal="center" vertical="center"/>
    </xf>
    <xf numFmtId="42" fontId="32" fillId="0" borderId="0" xfId="14" applyFont="1" applyAlignment="1">
      <alignment vertical="center"/>
    </xf>
    <xf numFmtId="42" fontId="34" fillId="0" borderId="71" xfId="14" applyFont="1" applyBorder="1" applyAlignment="1">
      <alignment horizontal="justify" vertical="center" wrapText="1"/>
    </xf>
    <xf numFmtId="42" fontId="34" fillId="0" borderId="72" xfId="14" applyFont="1" applyBorder="1" applyAlignment="1">
      <alignment horizontal="justify" vertical="center" wrapText="1"/>
    </xf>
    <xf numFmtId="179" fontId="23" fillId="10" borderId="57" xfId="14" applyNumberFormat="1" applyFont="1" applyFill="1" applyBorder="1" applyAlignment="1">
      <alignment horizontal="center" vertical="center"/>
    </xf>
    <xf numFmtId="180" fontId="23" fillId="10" borderId="57" xfId="14" applyNumberFormat="1" applyFont="1" applyFill="1" applyBorder="1" applyAlignment="1">
      <alignment horizontal="center" vertical="center"/>
    </xf>
    <xf numFmtId="179" fontId="38" fillId="10" borderId="54" xfId="14" applyNumberFormat="1" applyFont="1" applyFill="1" applyBorder="1" applyAlignment="1">
      <alignment vertical="center"/>
    </xf>
    <xf numFmtId="42" fontId="25" fillId="0" borderId="0" xfId="14" applyFont="1" applyAlignment="1">
      <alignment horizontal="center" vertical="center"/>
    </xf>
    <xf numFmtId="42" fontId="28" fillId="0" borderId="0" xfId="14" applyFont="1" applyBorder="1" applyAlignment="1">
      <alignment horizontal="right" vertical="center"/>
    </xf>
    <xf numFmtId="178" fontId="28" fillId="0" borderId="0" xfId="14" applyNumberFormat="1" applyFont="1" applyBorder="1" applyAlignment="1">
      <alignment horizontal="right" vertical="center"/>
    </xf>
    <xf numFmtId="0" fontId="40" fillId="0" borderId="0" xfId="2" applyFont="1"/>
    <xf numFmtId="42" fontId="33" fillId="0" borderId="11" xfId="14" applyFont="1" applyBorder="1"/>
    <xf numFmtId="42" fontId="25" fillId="0" borderId="1" xfId="14" applyFont="1" applyBorder="1" applyAlignment="1">
      <alignment horizontal="center" vertical="center" wrapText="1"/>
    </xf>
    <xf numFmtId="42" fontId="25" fillId="0" borderId="1" xfId="14" applyFont="1" applyBorder="1" applyAlignment="1">
      <alignment horizontal="center" vertical="center"/>
    </xf>
    <xf numFmtId="42" fontId="28" fillId="0" borderId="1" xfId="14" applyFont="1" applyBorder="1" applyAlignment="1">
      <alignment horizontal="center" vertical="center"/>
    </xf>
    <xf numFmtId="42" fontId="36" fillId="0" borderId="1" xfId="14" applyFont="1" applyBorder="1" applyAlignment="1">
      <alignment vertical="center"/>
    </xf>
    <xf numFmtId="42" fontId="36" fillId="0" borderId="1" xfId="14" applyFont="1" applyBorder="1" applyAlignment="1">
      <alignment horizontal="center" vertical="center" wrapText="1"/>
    </xf>
    <xf numFmtId="42" fontId="36" fillId="0" borderId="1" xfId="14" applyFont="1" applyBorder="1" applyAlignment="1">
      <alignment horizontal="center" vertical="center"/>
    </xf>
    <xf numFmtId="42" fontId="11" fillId="0" borderId="0" xfId="14" applyFont="1" applyAlignment="1">
      <alignment horizontal="center" vertical="center"/>
    </xf>
    <xf numFmtId="42" fontId="38" fillId="0" borderId="0" xfId="14" applyFont="1" applyAlignment="1">
      <alignment vertical="center"/>
    </xf>
    <xf numFmtId="42" fontId="36" fillId="0" borderId="0" xfId="14" applyFont="1" applyAlignment="1">
      <alignment horizontal="center" vertical="center" wrapText="1"/>
    </xf>
    <xf numFmtId="42" fontId="41" fillId="0" borderId="1" xfId="14" applyFont="1" applyBorder="1" applyAlignment="1">
      <alignment vertical="center"/>
    </xf>
    <xf numFmtId="42" fontId="34" fillId="0" borderId="0" xfId="14" applyFont="1" applyBorder="1" applyAlignment="1">
      <alignment vertical="center"/>
    </xf>
    <xf numFmtId="42" fontId="33" fillId="0" borderId="0" xfId="14" applyFont="1" applyAlignment="1">
      <alignment vertical="center"/>
    </xf>
    <xf numFmtId="42" fontId="28" fillId="0" borderId="1" xfId="14" applyFont="1" applyBorder="1" applyAlignment="1">
      <alignment horizontal="center" vertical="center" wrapText="1"/>
    </xf>
    <xf numFmtId="42" fontId="28" fillId="0" borderId="1" xfId="14" applyFont="1" applyFill="1" applyBorder="1" applyAlignment="1">
      <alignment horizontal="center" vertical="center"/>
    </xf>
    <xf numFmtId="42" fontId="41" fillId="0" borderId="0" xfId="14" applyFont="1" applyAlignment="1">
      <alignment horizontal="center" vertical="center" wrapText="1"/>
    </xf>
    <xf numFmtId="42" fontId="41" fillId="5" borderId="1" xfId="14" applyFont="1" applyFill="1" applyBorder="1" applyAlignment="1">
      <alignment horizontal="center" vertical="center" wrapText="1"/>
    </xf>
    <xf numFmtId="42" fontId="25" fillId="0" borderId="1" xfId="14" applyFont="1" applyBorder="1" applyAlignment="1">
      <alignment vertical="center" wrapText="1"/>
    </xf>
    <xf numFmtId="42" fontId="41" fillId="0" borderId="1" xfId="14" applyFont="1" applyBorder="1" applyAlignment="1">
      <alignment horizontal="center" vertical="center"/>
    </xf>
    <xf numFmtId="42" fontId="25" fillId="0" borderId="1" xfId="14" applyFont="1" applyBorder="1" applyAlignment="1">
      <alignment horizontal="left" vertical="center" wrapText="1"/>
    </xf>
    <xf numFmtId="42" fontId="25" fillId="0" borderId="1" xfId="14" applyFont="1" applyBorder="1" applyAlignment="1">
      <alignment horizontal="left" vertical="center"/>
    </xf>
    <xf numFmtId="42" fontId="41" fillId="0" borderId="1" xfId="14" applyFont="1" applyBorder="1" applyAlignment="1">
      <alignment horizontal="justify" vertical="center" wrapText="1"/>
    </xf>
    <xf numFmtId="42" fontId="36" fillId="0" borderId="1" xfId="14" applyFont="1" applyBorder="1" applyAlignment="1">
      <alignment horizontal="justify" vertical="center" wrapText="1"/>
    </xf>
    <xf numFmtId="42" fontId="36" fillId="0" borderId="1" xfId="14" applyFont="1" applyFill="1" applyBorder="1" applyAlignment="1">
      <alignment vertical="center"/>
    </xf>
    <xf numFmtId="42" fontId="25" fillId="0" borderId="1" xfId="14" applyFont="1" applyBorder="1" applyAlignment="1">
      <alignment vertical="center"/>
    </xf>
    <xf numFmtId="42" fontId="41" fillId="0" borderId="1" xfId="14" applyFont="1" applyBorder="1" applyAlignment="1">
      <alignment vertical="center" wrapText="1"/>
    </xf>
    <xf numFmtId="42" fontId="36" fillId="0" borderId="1" xfId="14" applyFont="1" applyBorder="1" applyAlignment="1">
      <alignment vertical="center" wrapText="1"/>
    </xf>
    <xf numFmtId="42" fontId="41" fillId="0" borderId="0" xfId="14" applyFont="1" applyAlignment="1">
      <alignment horizontal="center" vertical="center"/>
    </xf>
    <xf numFmtId="42" fontId="25" fillId="0" borderId="26" xfId="14" applyFont="1" applyBorder="1" applyAlignment="1">
      <alignment vertical="center" wrapText="1"/>
    </xf>
    <xf numFmtId="42" fontId="25" fillId="0" borderId="26" xfId="14" applyFont="1" applyBorder="1" applyAlignment="1">
      <alignment horizontal="left" vertical="center" wrapText="1"/>
    </xf>
    <xf numFmtId="42" fontId="25" fillId="0" borderId="26" xfId="14" applyFont="1" applyBorder="1" applyAlignment="1">
      <alignment horizontal="left" vertical="center"/>
    </xf>
    <xf numFmtId="42" fontId="36" fillId="3" borderId="1" xfId="14" applyFont="1" applyFill="1" applyBorder="1" applyAlignment="1">
      <alignment vertical="center"/>
    </xf>
    <xf numFmtId="42" fontId="25" fillId="0" borderId="26" xfId="14" applyFont="1" applyBorder="1" applyAlignment="1">
      <alignment vertical="center"/>
    </xf>
    <xf numFmtId="42" fontId="41" fillId="11" borderId="1" xfId="14" applyFont="1" applyFill="1" applyBorder="1" applyAlignment="1">
      <alignment horizontal="center" vertical="center" wrapText="1"/>
    </xf>
    <xf numFmtId="42" fontId="42" fillId="0" borderId="28" xfId="14" applyFont="1" applyBorder="1" applyAlignment="1">
      <alignment vertical="center"/>
    </xf>
    <xf numFmtId="42" fontId="42" fillId="0" borderId="1" xfId="14" applyFont="1" applyBorder="1" applyAlignment="1">
      <alignment vertical="center"/>
    </xf>
    <xf numFmtId="0" fontId="15" fillId="0" borderId="1" xfId="8" applyFont="1" applyBorder="1"/>
    <xf numFmtId="42" fontId="15" fillId="0" borderId="1" xfId="14" applyFont="1" applyBorder="1"/>
    <xf numFmtId="42" fontId="15" fillId="0" borderId="0" xfId="14" applyFont="1"/>
    <xf numFmtId="42" fontId="18" fillId="0" borderId="5" xfId="14" applyFont="1" applyFill="1" applyBorder="1" applyAlignment="1"/>
    <xf numFmtId="42" fontId="18" fillId="0" borderId="0" xfId="14" applyFont="1" applyFill="1" applyBorder="1" applyAlignment="1"/>
    <xf numFmtId="175" fontId="15" fillId="0" borderId="0" xfId="8" applyNumberFormat="1" applyFont="1" applyAlignment="1">
      <alignment horizontal="center" vertical="center"/>
    </xf>
    <xf numFmtId="2" fontId="15" fillId="0" borderId="0" xfId="8" applyNumberFormat="1" applyFont="1" applyAlignment="1">
      <alignment horizontal="center" vertical="center"/>
    </xf>
    <xf numFmtId="165" fontId="15" fillId="0" borderId="0" xfId="9" applyFont="1" applyBorder="1" applyAlignment="1">
      <alignment horizontal="center" vertical="center"/>
    </xf>
    <xf numFmtId="165" fontId="15" fillId="0" borderId="0" xfId="9" applyFont="1" applyBorder="1" applyAlignment="1">
      <alignment vertical="center"/>
    </xf>
    <xf numFmtId="0" fontId="43" fillId="0" borderId="0" xfId="0" applyFont="1"/>
    <xf numFmtId="42" fontId="15" fillId="0" borderId="0" xfId="8" applyNumberFormat="1" applyFont="1"/>
    <xf numFmtId="0" fontId="18" fillId="0" borderId="0" xfId="2" applyFont="1" applyAlignment="1">
      <alignment wrapText="1"/>
    </xf>
    <xf numFmtId="42" fontId="18" fillId="0" borderId="0" xfId="14" applyFont="1" applyFill="1" applyBorder="1" applyAlignment="1">
      <alignment wrapText="1"/>
    </xf>
    <xf numFmtId="0" fontId="16" fillId="0" borderId="1" xfId="0" applyFont="1" applyBorder="1"/>
    <xf numFmtId="0" fontId="16" fillId="0" borderId="0" xfId="0" applyFont="1" applyAlignment="1">
      <alignment horizontal="center"/>
    </xf>
    <xf numFmtId="169" fontId="16" fillId="0" borderId="0" xfId="0" applyNumberFormat="1" applyFont="1" applyAlignment="1">
      <alignment horizontal="right"/>
    </xf>
    <xf numFmtId="166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169" fontId="16" fillId="0" borderId="0" xfId="0" applyNumberFormat="1" applyFont="1"/>
    <xf numFmtId="2" fontId="22" fillId="0" borderId="1" xfId="12" applyFont="1" applyBorder="1" applyAlignment="1">
      <alignment horizontal="center"/>
    </xf>
    <xf numFmtId="2" fontId="21" fillId="0" borderId="0" xfId="12" applyFont="1"/>
    <xf numFmtId="2" fontId="21" fillId="0" borderId="0" xfId="12" applyFont="1" applyAlignment="1">
      <alignment horizontal="center"/>
    </xf>
    <xf numFmtId="0" fontId="46" fillId="0" borderId="0" xfId="0" applyFont="1"/>
    <xf numFmtId="2" fontId="22" fillId="0" borderId="0" xfId="12" applyFont="1"/>
    <xf numFmtId="2" fontId="21" fillId="0" borderId="26" xfId="12" applyFont="1" applyBorder="1"/>
    <xf numFmtId="2" fontId="21" fillId="0" borderId="20" xfId="12" applyFont="1" applyBorder="1"/>
    <xf numFmtId="181" fontId="21" fillId="0" borderId="5" xfId="12" applyNumberFormat="1" applyFont="1" applyBorder="1" applyAlignment="1">
      <alignment horizontal="left"/>
    </xf>
    <xf numFmtId="2" fontId="21" fillId="0" borderId="7" xfId="12" applyFont="1" applyBorder="1"/>
    <xf numFmtId="2" fontId="22" fillId="0" borderId="7" xfId="12" applyFont="1" applyBorder="1" applyAlignment="1">
      <alignment horizontal="centerContinuous"/>
    </xf>
    <xf numFmtId="2" fontId="21" fillId="0" borderId="2" xfId="12" applyFont="1" applyBorder="1" applyAlignment="1">
      <alignment horizontal="centerContinuous"/>
    </xf>
    <xf numFmtId="2" fontId="22" fillId="0" borderId="23" xfId="12" applyFont="1" applyBorder="1" applyAlignment="1">
      <alignment horizontal="center"/>
    </xf>
    <xf numFmtId="2" fontId="21" fillId="0" borderId="28" xfId="12" applyFont="1" applyBorder="1"/>
    <xf numFmtId="2" fontId="21" fillId="0" borderId="10" xfId="12" applyFont="1" applyBorder="1"/>
    <xf numFmtId="2" fontId="21" fillId="0" borderId="4" xfId="12" applyFont="1" applyBorder="1"/>
    <xf numFmtId="2" fontId="22" fillId="0" borderId="28" xfId="12" applyFont="1" applyBorder="1" applyAlignment="1">
      <alignment horizontal="center"/>
    </xf>
    <xf numFmtId="2" fontId="21" fillId="0" borderId="28" xfId="12" applyFont="1" applyBorder="1" applyAlignment="1">
      <alignment horizontal="center"/>
    </xf>
    <xf numFmtId="186" fontId="22" fillId="0" borderId="1" xfId="12" applyNumberFormat="1" applyFont="1" applyBorder="1"/>
    <xf numFmtId="10" fontId="22" fillId="0" borderId="1" xfId="12" applyNumberFormat="1" applyFont="1" applyBorder="1" applyAlignment="1">
      <alignment horizontal="center"/>
    </xf>
    <xf numFmtId="2" fontId="21" fillId="0" borderId="1" xfId="12" applyFont="1" applyBorder="1"/>
    <xf numFmtId="3" fontId="21" fillId="0" borderId="1" xfId="12" applyNumberFormat="1" applyFont="1" applyBorder="1"/>
    <xf numFmtId="181" fontId="22" fillId="0" borderId="1" xfId="12" applyNumberFormat="1" applyFont="1" applyBorder="1" applyAlignment="1">
      <alignment vertical="center"/>
    </xf>
    <xf numFmtId="10" fontId="22" fillId="0" borderId="1" xfId="16" applyNumberFormat="1" applyFont="1" applyBorder="1" applyAlignment="1">
      <alignment horizontal="center" vertical="center"/>
    </xf>
    <xf numFmtId="2" fontId="21" fillId="0" borderId="1" xfId="12" applyFont="1" applyBorder="1" applyAlignment="1">
      <alignment horizontal="center"/>
    </xf>
    <xf numFmtId="182" fontId="21" fillId="0" borderId="1" xfId="12" applyNumberFormat="1" applyFont="1" applyBorder="1"/>
    <xf numFmtId="183" fontId="21" fillId="0" borderId="1" xfId="12" applyNumberFormat="1" applyFont="1" applyBorder="1"/>
    <xf numFmtId="181" fontId="21" fillId="0" borderId="1" xfId="12" applyNumberFormat="1" applyFont="1" applyBorder="1"/>
    <xf numFmtId="10" fontId="22" fillId="0" borderId="1" xfId="16" applyNumberFormat="1" applyFont="1" applyBorder="1" applyAlignment="1">
      <alignment horizontal="center"/>
    </xf>
    <xf numFmtId="9" fontId="21" fillId="0" borderId="1" xfId="13" applyFont="1" applyBorder="1"/>
    <xf numFmtId="181" fontId="22" fillId="0" borderId="1" xfId="12" applyNumberFormat="1" applyFont="1" applyBorder="1"/>
    <xf numFmtId="187" fontId="22" fillId="0" borderId="1" xfId="16" applyNumberFormat="1" applyFont="1" applyBorder="1" applyAlignment="1">
      <alignment horizontal="center"/>
    </xf>
    <xf numFmtId="176" fontId="21" fillId="0" borderId="1" xfId="13" applyNumberFormat="1" applyFont="1" applyBorder="1"/>
    <xf numFmtId="2" fontId="21" fillId="0" borderId="5" xfId="12" applyFont="1" applyBorder="1"/>
    <xf numFmtId="187" fontId="21" fillId="0" borderId="0" xfId="12" applyNumberFormat="1" applyFont="1"/>
    <xf numFmtId="184" fontId="21" fillId="0" borderId="1" xfId="12" applyNumberFormat="1" applyFont="1" applyBorder="1"/>
    <xf numFmtId="10" fontId="22" fillId="0" borderId="5" xfId="12" applyNumberFormat="1" applyFont="1" applyBorder="1" applyAlignment="1">
      <alignment horizontal="center"/>
    </xf>
    <xf numFmtId="2" fontId="22" fillId="0" borderId="5" xfId="12" applyFont="1" applyBorder="1" applyAlignment="1">
      <alignment horizontal="left" vertical="center"/>
    </xf>
    <xf numFmtId="2" fontId="21" fillId="0" borderId="1" xfId="12" applyFont="1" applyBorder="1" applyAlignment="1">
      <alignment vertical="center"/>
    </xf>
    <xf numFmtId="181" fontId="22" fillId="0" borderId="1" xfId="12" quotePrefix="1" applyNumberFormat="1" applyFont="1" applyBorder="1" applyAlignment="1">
      <alignment horizontal="right"/>
    </xf>
    <xf numFmtId="176" fontId="22" fillId="0" borderId="1" xfId="12" applyNumberFormat="1" applyFont="1" applyBorder="1" applyAlignment="1">
      <alignment horizontal="center"/>
    </xf>
    <xf numFmtId="176" fontId="24" fillId="3" borderId="1" xfId="12" applyNumberFormat="1" applyFont="1" applyFill="1" applyBorder="1" applyAlignment="1">
      <alignment horizontal="center"/>
    </xf>
    <xf numFmtId="2" fontId="22" fillId="0" borderId="20" xfId="12" applyFont="1" applyBorder="1" applyAlignment="1">
      <alignment vertical="center"/>
    </xf>
    <xf numFmtId="2" fontId="21" fillId="0" borderId="5" xfId="12" applyFont="1" applyBorder="1" applyAlignment="1">
      <alignment vertical="center"/>
    </xf>
    <xf numFmtId="2" fontId="22" fillId="0" borderId="2" xfId="12" applyFont="1" applyBorder="1" applyAlignment="1">
      <alignment vertical="center"/>
    </xf>
    <xf numFmtId="2" fontId="21" fillId="0" borderId="23" xfId="12" applyFont="1" applyBorder="1" applyAlignment="1">
      <alignment vertical="center"/>
    </xf>
    <xf numFmtId="2" fontId="21" fillId="0" borderId="23" xfId="12" applyFont="1" applyBorder="1"/>
    <xf numFmtId="183" fontId="21" fillId="0" borderId="23" xfId="12" applyNumberFormat="1" applyFont="1" applyBorder="1"/>
    <xf numFmtId="181" fontId="22" fillId="0" borderId="23" xfId="12" applyNumberFormat="1" applyFont="1" applyBorder="1"/>
    <xf numFmtId="10" fontId="22" fillId="0" borderId="23" xfId="16" applyNumberFormat="1" applyFont="1" applyBorder="1" applyAlignment="1">
      <alignment horizontal="center"/>
    </xf>
    <xf numFmtId="182" fontId="21" fillId="0" borderId="0" xfId="12" applyNumberFormat="1" applyFont="1"/>
    <xf numFmtId="182" fontId="21" fillId="0" borderId="0" xfId="12" applyNumberFormat="1" applyFont="1" applyAlignment="1">
      <alignment horizontal="right"/>
    </xf>
    <xf numFmtId="10" fontId="21" fillId="0" borderId="0" xfId="16" applyNumberFormat="1" applyFont="1"/>
    <xf numFmtId="181" fontId="21" fillId="0" borderId="0" xfId="12" applyNumberFormat="1" applyFont="1"/>
    <xf numFmtId="2" fontId="22" fillId="0" borderId="26" xfId="12" applyFont="1" applyBorder="1"/>
    <xf numFmtId="2" fontId="22" fillId="0" borderId="20" xfId="12" applyFont="1" applyBorder="1"/>
    <xf numFmtId="2" fontId="21" fillId="0" borderId="11" xfId="12" applyFont="1" applyBorder="1"/>
    <xf numFmtId="14" fontId="47" fillId="0" borderId="1" xfId="0" applyNumberFormat="1" applyFont="1" applyBorder="1" applyAlignment="1">
      <alignment horizontal="center" vertical="center" wrapText="1"/>
    </xf>
    <xf numFmtId="0" fontId="48" fillId="0" borderId="1" xfId="0" applyFont="1" applyBorder="1" applyAlignment="1">
      <alignment horizontal="justify" vertical="center" wrapText="1"/>
    </xf>
    <xf numFmtId="188" fontId="21" fillId="0" borderId="1" xfId="17" applyNumberFormat="1" applyFont="1" applyBorder="1"/>
    <xf numFmtId="0" fontId="11" fillId="4" borderId="0" xfId="0" applyFont="1" applyFill="1"/>
    <xf numFmtId="0" fontId="26" fillId="4" borderId="0" xfId="0" applyFont="1" applyFill="1" applyAlignment="1">
      <alignment horizontal="center"/>
    </xf>
    <xf numFmtId="0" fontId="22" fillId="4" borderId="0" xfId="0" applyFont="1" applyFill="1" applyAlignment="1">
      <alignment horizontal="center" vertical="center"/>
    </xf>
    <xf numFmtId="0" fontId="26" fillId="4" borderId="0" xfId="0" applyFont="1" applyFill="1" applyAlignment="1">
      <alignment horizontal="center" vertical="top" wrapText="1"/>
    </xf>
    <xf numFmtId="0" fontId="21" fillId="0" borderId="0" xfId="0" applyFont="1"/>
    <xf numFmtId="0" fontId="49" fillId="2" borderId="0" xfId="0" applyFont="1" applyFill="1" applyAlignment="1">
      <alignment wrapText="1"/>
    </xf>
    <xf numFmtId="0" fontId="50" fillId="2" borderId="0" xfId="0" applyFont="1" applyFill="1" applyAlignment="1">
      <alignment horizontal="center" vertical="center"/>
    </xf>
    <xf numFmtId="0" fontId="49" fillId="2" borderId="0" xfId="0" applyFont="1" applyFill="1" applyAlignment="1">
      <alignment horizontal="center" wrapText="1"/>
    </xf>
    <xf numFmtId="171" fontId="49" fillId="2" borderId="0" xfId="0" applyNumberFormat="1" applyFont="1" applyFill="1" applyAlignment="1">
      <alignment horizontal="center" wrapText="1"/>
    </xf>
    <xf numFmtId="189" fontId="51" fillId="0" borderId="0" xfId="0" applyNumberFormat="1" applyFont="1"/>
    <xf numFmtId="0" fontId="50" fillId="0" borderId="0" xfId="0" applyFont="1" applyAlignment="1">
      <alignment vertical="top" wrapText="1"/>
    </xf>
    <xf numFmtId="0" fontId="11" fillId="0" borderId="0" xfId="19"/>
    <xf numFmtId="0" fontId="53" fillId="0" borderId="0" xfId="0" applyFont="1"/>
    <xf numFmtId="0" fontId="16" fillId="0" borderId="6" xfId="0" applyFont="1" applyBorder="1"/>
    <xf numFmtId="0" fontId="54" fillId="0" borderId="1" xfId="0" applyFont="1" applyBorder="1" applyAlignment="1">
      <alignment horizontal="justify" vertical="center" wrapText="1"/>
    </xf>
    <xf numFmtId="0" fontId="55" fillId="0" borderId="1" xfId="0" applyFont="1" applyBorder="1" applyAlignment="1">
      <alignment horizontal="justify" vertical="center" wrapText="1"/>
    </xf>
    <xf numFmtId="0" fontId="48" fillId="0" borderId="1" xfId="0" applyFont="1" applyBorder="1" applyAlignment="1">
      <alignment vertical="center" wrapText="1"/>
    </xf>
    <xf numFmtId="0" fontId="56" fillId="0" borderId="1" xfId="0" applyFont="1" applyBorder="1" applyAlignment="1">
      <alignment horizontal="justify" vertical="center" wrapText="1"/>
    </xf>
    <xf numFmtId="14" fontId="52" fillId="0" borderId="1" xfId="0" applyNumberFormat="1" applyFont="1" applyBorder="1" applyAlignment="1">
      <alignment horizontal="justify" vertical="center" wrapText="1"/>
    </xf>
    <xf numFmtId="0" fontId="27" fillId="0" borderId="0" xfId="0" applyFont="1"/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46" fillId="0" borderId="1" xfId="0" applyFont="1" applyBorder="1" applyAlignment="1">
      <alignment horizontal="center" vertical="center"/>
    </xf>
    <xf numFmtId="2" fontId="46" fillId="0" borderId="1" xfId="0" applyNumberFormat="1" applyFont="1" applyBorder="1" applyAlignment="1">
      <alignment horizontal="center" vertical="center"/>
    </xf>
    <xf numFmtId="0" fontId="59" fillId="0" borderId="0" xfId="0" applyFont="1"/>
    <xf numFmtId="0" fontId="46" fillId="0" borderId="1" xfId="0" applyFont="1" applyBorder="1"/>
    <xf numFmtId="42" fontId="61" fillId="0" borderId="1" xfId="14" applyFont="1" applyFill="1" applyBorder="1" applyAlignment="1">
      <alignment horizontal="center" vertical="center"/>
    </xf>
    <xf numFmtId="10" fontId="61" fillId="0" borderId="1" xfId="13" applyNumberFormat="1" applyFont="1" applyFill="1" applyBorder="1" applyAlignment="1">
      <alignment horizontal="center" vertical="center"/>
    </xf>
    <xf numFmtId="0" fontId="59" fillId="0" borderId="0" xfId="0" applyFont="1" applyAlignment="1">
      <alignment vertical="center"/>
    </xf>
    <xf numFmtId="0" fontId="61" fillId="0" borderId="0" xfId="0" applyFont="1"/>
    <xf numFmtId="0" fontId="58" fillId="0" borderId="12" xfId="0" applyFont="1" applyBorder="1"/>
    <xf numFmtId="0" fontId="58" fillId="0" borderId="0" xfId="0" applyFont="1"/>
    <xf numFmtId="10" fontId="58" fillId="0" borderId="1" xfId="13" applyNumberFormat="1" applyFont="1" applyBorder="1" applyAlignment="1">
      <alignment horizontal="center"/>
    </xf>
    <xf numFmtId="42" fontId="62" fillId="3" borderId="1" xfId="14" applyFont="1" applyFill="1" applyBorder="1" applyAlignment="1">
      <alignment horizontal="center" vertical="center"/>
    </xf>
    <xf numFmtId="2" fontId="64" fillId="0" borderId="0" xfId="12" applyFont="1"/>
    <xf numFmtId="0" fontId="29" fillId="0" borderId="0" xfId="0" applyFont="1" applyAlignment="1">
      <alignment horizontal="center" vertical="center"/>
    </xf>
    <xf numFmtId="0" fontId="46" fillId="0" borderId="26" xfId="0" applyFont="1" applyBorder="1"/>
    <xf numFmtId="0" fontId="46" fillId="0" borderId="20" xfId="0" applyFont="1" applyBorder="1"/>
    <xf numFmtId="9" fontId="46" fillId="0" borderId="20" xfId="13" applyFont="1" applyBorder="1" applyAlignment="1"/>
    <xf numFmtId="171" fontId="21" fillId="0" borderId="1" xfId="12" applyNumberFormat="1" applyFont="1" applyBorder="1"/>
    <xf numFmtId="171" fontId="22" fillId="0" borderId="1" xfId="12" applyNumberFormat="1" applyFont="1" applyBorder="1" applyAlignment="1">
      <alignment horizontal="right"/>
    </xf>
    <xf numFmtId="171" fontId="61" fillId="0" borderId="1" xfId="14" applyNumberFormat="1" applyFont="1" applyBorder="1" applyAlignment="1">
      <alignment horizontal="center" vertical="center"/>
    </xf>
    <xf numFmtId="0" fontId="66" fillId="8" borderId="18" xfId="0" applyFont="1" applyFill="1" applyBorder="1" applyAlignment="1">
      <alignment horizontal="left" vertical="center"/>
    </xf>
    <xf numFmtId="0" fontId="66" fillId="8" borderId="25" xfId="0" applyFont="1" applyFill="1" applyBorder="1" applyAlignment="1">
      <alignment vertical="center"/>
    </xf>
    <xf numFmtId="0" fontId="67" fillId="8" borderId="23" xfId="0" applyFont="1" applyFill="1" applyBorder="1" applyAlignment="1">
      <alignment horizontal="center" vertical="center" wrapText="1"/>
    </xf>
    <xf numFmtId="17" fontId="67" fillId="8" borderId="36" xfId="0" applyNumberFormat="1" applyFont="1" applyFill="1" applyBorder="1" applyAlignment="1">
      <alignment horizontal="center" vertical="center"/>
    </xf>
    <xf numFmtId="0" fontId="66" fillId="12" borderId="33" xfId="0" applyFont="1" applyFill="1" applyBorder="1" applyAlignment="1">
      <alignment horizontal="center" vertical="center" wrapText="1"/>
    </xf>
    <xf numFmtId="0" fontId="66" fillId="12" borderId="34" xfId="0" applyFont="1" applyFill="1" applyBorder="1" applyAlignment="1">
      <alignment horizontal="center" vertical="center" wrapText="1"/>
    </xf>
    <xf numFmtId="2" fontId="66" fillId="6" borderId="1" xfId="0" applyNumberFormat="1" applyFont="1" applyFill="1" applyBorder="1" applyAlignment="1">
      <alignment horizontal="center" vertical="center"/>
    </xf>
    <xf numFmtId="190" fontId="66" fillId="6" borderId="26" xfId="20" applyNumberFormat="1" applyFont="1" applyFill="1" applyBorder="1" applyAlignment="1">
      <alignment horizontal="center" vertical="center"/>
    </xf>
    <xf numFmtId="2" fontId="67" fillId="0" borderId="26" xfId="21" applyNumberFormat="1" applyFont="1" applyFill="1" applyBorder="1" applyAlignment="1">
      <alignment horizontal="right" vertical="center"/>
    </xf>
    <xf numFmtId="191" fontId="67" fillId="0" borderId="1" xfId="21" applyNumberFormat="1" applyFont="1" applyFill="1" applyBorder="1" applyAlignment="1">
      <alignment horizontal="right" vertical="center"/>
    </xf>
    <xf numFmtId="190" fontId="67" fillId="0" borderId="26" xfId="21" applyNumberFormat="1" applyFont="1" applyFill="1" applyBorder="1" applyAlignment="1">
      <alignment horizontal="right" vertical="center"/>
    </xf>
    <xf numFmtId="2" fontId="67" fillId="0" borderId="1" xfId="21" applyNumberFormat="1" applyFont="1" applyFill="1" applyBorder="1" applyAlignment="1">
      <alignment horizontal="right" vertical="center"/>
    </xf>
    <xf numFmtId="2" fontId="67" fillId="0" borderId="24" xfId="0" applyNumberFormat="1" applyFont="1" applyBorder="1" applyAlignment="1">
      <alignment horizontal="center" vertical="center"/>
    </xf>
    <xf numFmtId="4" fontId="67" fillId="0" borderId="24" xfId="0" applyNumberFormat="1" applyFont="1" applyBorder="1" applyAlignment="1">
      <alignment horizontal="center" vertical="center"/>
    </xf>
    <xf numFmtId="4" fontId="66" fillId="0" borderId="24" xfId="0" applyNumberFormat="1" applyFont="1" applyBorder="1" applyAlignment="1">
      <alignment horizontal="center" vertical="center"/>
    </xf>
    <xf numFmtId="190" fontId="68" fillId="13" borderId="73" xfId="20" applyNumberFormat="1" applyFont="1" applyFill="1" applyBorder="1" applyAlignment="1">
      <alignment horizontal="right" vertical="center"/>
    </xf>
    <xf numFmtId="0" fontId="69" fillId="0" borderId="0" xfId="0" applyFont="1" applyAlignment="1">
      <alignment vertical="center"/>
    </xf>
    <xf numFmtId="2" fontId="69" fillId="0" borderId="0" xfId="0" applyNumberFormat="1" applyFont="1" applyAlignment="1">
      <alignment horizontal="center" vertical="center"/>
    </xf>
    <xf numFmtId="190" fontId="69" fillId="0" borderId="0" xfId="20" applyNumberFormat="1" applyFont="1" applyAlignment="1">
      <alignment vertical="center"/>
    </xf>
    <xf numFmtId="0" fontId="69" fillId="0" borderId="0" xfId="0" applyFont="1" applyAlignment="1">
      <alignment horizontal="center" vertical="center"/>
    </xf>
    <xf numFmtId="0" fontId="70" fillId="8" borderId="18" xfId="0" applyFont="1" applyFill="1" applyBorder="1" applyAlignment="1">
      <alignment horizontal="left" vertical="center"/>
    </xf>
    <xf numFmtId="0" fontId="70" fillId="8" borderId="25" xfId="0" applyFont="1" applyFill="1" applyBorder="1" applyAlignment="1">
      <alignment vertical="center"/>
    </xf>
    <xf numFmtId="0" fontId="71" fillId="8" borderId="23" xfId="0" applyFont="1" applyFill="1" applyBorder="1" applyAlignment="1">
      <alignment horizontal="center" vertical="center" wrapText="1"/>
    </xf>
    <xf numFmtId="17" fontId="71" fillId="8" borderId="36" xfId="0" applyNumberFormat="1" applyFont="1" applyFill="1" applyBorder="1" applyAlignment="1">
      <alignment horizontal="center" vertical="center"/>
    </xf>
    <xf numFmtId="0" fontId="70" fillId="12" borderId="33" xfId="0" applyFont="1" applyFill="1" applyBorder="1" applyAlignment="1">
      <alignment horizontal="center" vertical="center" wrapText="1"/>
    </xf>
    <xf numFmtId="0" fontId="70" fillId="12" borderId="34" xfId="0" applyFont="1" applyFill="1" applyBorder="1" applyAlignment="1">
      <alignment horizontal="center" vertical="center" wrapText="1"/>
    </xf>
    <xf numFmtId="2" fontId="70" fillId="6" borderId="1" xfId="0" applyNumberFormat="1" applyFont="1" applyFill="1" applyBorder="1" applyAlignment="1">
      <alignment horizontal="center" vertical="center"/>
    </xf>
    <xf numFmtId="190" fontId="70" fillId="6" borderId="26" xfId="20" applyNumberFormat="1" applyFont="1" applyFill="1" applyBorder="1" applyAlignment="1">
      <alignment horizontal="center" vertical="center"/>
    </xf>
    <xf numFmtId="191" fontId="71" fillId="0" borderId="1" xfId="21" applyNumberFormat="1" applyFont="1" applyFill="1" applyBorder="1" applyAlignment="1">
      <alignment horizontal="right" vertical="center"/>
    </xf>
    <xf numFmtId="190" fontId="71" fillId="0" borderId="26" xfId="21" applyNumberFormat="1" applyFont="1" applyFill="1" applyBorder="1" applyAlignment="1">
      <alignment horizontal="right" vertical="center"/>
    </xf>
    <xf numFmtId="2" fontId="71" fillId="0" borderId="1" xfId="21" applyNumberFormat="1" applyFont="1" applyFill="1" applyBorder="1" applyAlignment="1">
      <alignment horizontal="right" vertical="center"/>
    </xf>
    <xf numFmtId="2" fontId="71" fillId="0" borderId="23" xfId="21" applyNumberFormat="1" applyFont="1" applyFill="1" applyBorder="1" applyAlignment="1">
      <alignment horizontal="right" vertical="center"/>
    </xf>
    <xf numFmtId="191" fontId="71" fillId="0" borderId="23" xfId="21" applyNumberFormat="1" applyFont="1" applyFill="1" applyBorder="1" applyAlignment="1">
      <alignment horizontal="right" vertical="center"/>
    </xf>
    <xf numFmtId="2" fontId="71" fillId="0" borderId="24" xfId="0" applyNumberFormat="1" applyFont="1" applyBorder="1" applyAlignment="1">
      <alignment horizontal="center" vertical="center"/>
    </xf>
    <xf numFmtId="4" fontId="71" fillId="0" borderId="24" xfId="0" applyNumberFormat="1" applyFont="1" applyBorder="1" applyAlignment="1">
      <alignment horizontal="center" vertical="center"/>
    </xf>
    <xf numFmtId="4" fontId="70" fillId="0" borderId="24" xfId="0" applyNumberFormat="1" applyFont="1" applyBorder="1" applyAlignment="1">
      <alignment horizontal="center" vertical="center"/>
    </xf>
    <xf numFmtId="190" fontId="72" fillId="13" borderId="73" xfId="20" applyNumberFormat="1" applyFont="1" applyFill="1" applyBorder="1" applyAlignment="1">
      <alignment horizontal="right" vertical="center"/>
    </xf>
    <xf numFmtId="193" fontId="50" fillId="0" borderId="1" xfId="22" applyNumberFormat="1" applyFont="1" applyFill="1" applyBorder="1"/>
    <xf numFmtId="0" fontId="14" fillId="6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vertical="center" wrapText="1"/>
    </xf>
    <xf numFmtId="169" fontId="14" fillId="6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justify" vertical="center" wrapText="1"/>
    </xf>
    <xf numFmtId="2" fontId="15" fillId="2" borderId="1" xfId="0" applyNumberFormat="1" applyFont="1" applyFill="1" applyBorder="1" applyAlignment="1">
      <alignment horizontal="right" vertical="center"/>
    </xf>
    <xf numFmtId="169" fontId="15" fillId="2" borderId="1" xfId="4" applyNumberFormat="1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169" fontId="14" fillId="6" borderId="1" xfId="4" applyNumberFormat="1" applyFont="1" applyFill="1" applyBorder="1" applyAlignment="1">
      <alignment vertical="center"/>
    </xf>
    <xf numFmtId="0" fontId="16" fillId="6" borderId="1" xfId="0" applyFont="1" applyFill="1" applyBorder="1"/>
    <xf numFmtId="0" fontId="17" fillId="6" borderId="1" xfId="0" applyFont="1" applyFill="1" applyBorder="1"/>
    <xf numFmtId="42" fontId="61" fillId="2" borderId="1" xfId="14" applyFont="1" applyFill="1" applyBorder="1" applyAlignment="1">
      <alignment horizontal="center" vertical="center"/>
    </xf>
    <xf numFmtId="42" fontId="59" fillId="0" borderId="1" xfId="0" applyNumberFormat="1" applyFont="1" applyBorder="1" applyAlignment="1">
      <alignment vertical="center"/>
    </xf>
    <xf numFmtId="171" fontId="46" fillId="0" borderId="1" xfId="14" applyNumberFormat="1" applyFont="1" applyBorder="1"/>
    <xf numFmtId="10" fontId="27" fillId="0" borderId="0" xfId="0" applyNumberFormat="1" applyFont="1"/>
    <xf numFmtId="171" fontId="61" fillId="0" borderId="0" xfId="0" applyNumberFormat="1" applyFont="1"/>
    <xf numFmtId="10" fontId="58" fillId="0" borderId="0" xfId="13" applyNumberFormat="1" applyFont="1" applyBorder="1" applyAlignment="1">
      <alignment horizontal="center"/>
    </xf>
    <xf numFmtId="0" fontId="15" fillId="2" borderId="1" xfId="0" applyFont="1" applyFill="1" applyBorder="1" applyAlignment="1">
      <alignment vertical="center" wrapText="1"/>
    </xf>
    <xf numFmtId="2" fontId="15" fillId="2" borderId="1" xfId="0" applyNumberFormat="1" applyFont="1" applyFill="1" applyBorder="1" applyAlignment="1">
      <alignment vertical="center" wrapText="1"/>
    </xf>
    <xf numFmtId="169" fontId="15" fillId="2" borderId="1" xfId="0" applyNumberFormat="1" applyFont="1" applyFill="1" applyBorder="1" applyAlignment="1">
      <alignment vertical="center" wrapText="1"/>
    </xf>
    <xf numFmtId="1" fontId="15" fillId="0" borderId="1" xfId="0" applyNumberFormat="1" applyFont="1" applyBorder="1" applyAlignment="1">
      <alignment horizontal="right" vertical="center"/>
    </xf>
    <xf numFmtId="10" fontId="16" fillId="0" borderId="26" xfId="13" applyNumberFormat="1" applyFont="1" applyFill="1" applyBorder="1" applyAlignment="1">
      <alignment horizontal="center"/>
    </xf>
    <xf numFmtId="10" fontId="16" fillId="0" borderId="5" xfId="13" applyNumberFormat="1" applyFont="1" applyFill="1" applyBorder="1" applyAlignment="1">
      <alignment horizontal="center"/>
    </xf>
    <xf numFmtId="0" fontId="23" fillId="0" borderId="76" xfId="32" applyFont="1" applyBorder="1" applyAlignment="1">
      <alignment horizontal="center" vertical="center" wrapText="1" readingOrder="1"/>
    </xf>
    <xf numFmtId="0" fontId="23" fillId="0" borderId="77" xfId="32" applyFont="1" applyBorder="1" applyAlignment="1">
      <alignment horizontal="center" vertical="center" wrapText="1" readingOrder="1"/>
    </xf>
    <xf numFmtId="49" fontId="76" fillId="0" borderId="80" xfId="32" applyNumberFormat="1" applyFont="1" applyBorder="1" applyAlignment="1">
      <alignment horizontal="center" vertical="center" wrapText="1" readingOrder="1"/>
    </xf>
    <xf numFmtId="0" fontId="23" fillId="0" borderId="76" xfId="32" applyFont="1" applyBorder="1" applyAlignment="1">
      <alignment horizontal="left" wrapText="1" readingOrder="1"/>
    </xf>
    <xf numFmtId="0" fontId="23" fillId="0" borderId="80" xfId="32" applyFont="1" applyBorder="1" applyAlignment="1">
      <alignment horizontal="center" wrapText="1" readingOrder="1"/>
    </xf>
    <xf numFmtId="0" fontId="23" fillId="0" borderId="80" xfId="32" applyFont="1" applyBorder="1" applyAlignment="1">
      <alignment horizontal="center" vertical="center" wrapText="1" readingOrder="1"/>
    </xf>
    <xf numFmtId="0" fontId="23" fillId="0" borderId="81" xfId="32" applyFont="1" applyBorder="1" applyAlignment="1">
      <alignment horizontal="center" vertical="center" wrapText="1" readingOrder="1"/>
    </xf>
    <xf numFmtId="0" fontId="11" fillId="0" borderId="76" xfId="32" applyBorder="1" applyAlignment="1">
      <alignment horizontal="left" vertical="center" wrapText="1" readingOrder="1"/>
    </xf>
    <xf numFmtId="0" fontId="11" fillId="0" borderId="80" xfId="32" applyBorder="1" applyAlignment="1">
      <alignment horizontal="left" vertical="center" wrapText="1" readingOrder="1"/>
    </xf>
    <xf numFmtId="195" fontId="11" fillId="0" borderId="80" xfId="32" applyNumberFormat="1" applyBorder="1" applyAlignment="1">
      <alignment horizontal="center" vertical="center" wrapText="1" readingOrder="1"/>
    </xf>
    <xf numFmtId="196" fontId="11" fillId="0" borderId="80" xfId="32" applyNumberFormat="1" applyBorder="1" applyAlignment="1">
      <alignment horizontal="right" vertical="center" wrapText="1" readingOrder="1"/>
    </xf>
    <xf numFmtId="0" fontId="11" fillId="0" borderId="80" xfId="32" applyBorder="1" applyAlignment="1">
      <alignment horizontal="left" wrapText="1" readingOrder="1"/>
    </xf>
    <xf numFmtId="195" fontId="11" fillId="0" borderId="80" xfId="32" applyNumberFormat="1" applyBorder="1" applyAlignment="1">
      <alignment horizontal="left" wrapText="1" readingOrder="1"/>
    </xf>
    <xf numFmtId="0" fontId="73" fillId="0" borderId="80" xfId="32" applyFont="1" applyBorder="1" applyAlignment="1">
      <alignment horizontal="right" wrapText="1" readingOrder="1"/>
    </xf>
    <xf numFmtId="196" fontId="23" fillId="0" borderId="80" xfId="32" applyNumberFormat="1" applyFont="1" applyBorder="1" applyAlignment="1">
      <alignment horizontal="left" wrapText="1" readingOrder="1"/>
    </xf>
    <xf numFmtId="197" fontId="11" fillId="0" borderId="80" xfId="32" applyNumberFormat="1" applyBorder="1" applyAlignment="1">
      <alignment horizontal="center" vertical="center" wrapText="1" readingOrder="1"/>
    </xf>
    <xf numFmtId="1" fontId="23" fillId="0" borderId="1" xfId="35" applyNumberFormat="1" applyFont="1" applyBorder="1" applyAlignment="1">
      <alignment horizontal="center" vertical="center"/>
    </xf>
    <xf numFmtId="2" fontId="76" fillId="0" borderId="80" xfId="32" applyNumberFormat="1" applyFont="1" applyBorder="1" applyAlignment="1">
      <alignment horizontal="center" vertical="center" wrapText="1" readingOrder="1"/>
    </xf>
    <xf numFmtId="199" fontId="77" fillId="0" borderId="1" xfId="32" applyNumberFormat="1" applyFont="1" applyBorder="1"/>
    <xf numFmtId="199" fontId="77" fillId="0" borderId="1" xfId="32" applyNumberFormat="1" applyFont="1" applyBorder="1" applyAlignment="1">
      <alignment vertical="center"/>
    </xf>
    <xf numFmtId="1" fontId="23" fillId="0" borderId="1" xfId="34" applyNumberFormat="1" applyFont="1" applyFill="1" applyBorder="1" applyAlignment="1">
      <alignment horizontal="center" vertical="center"/>
    </xf>
    <xf numFmtId="43" fontId="11" fillId="0" borderId="80" xfId="32" applyNumberFormat="1" applyBorder="1" applyAlignment="1">
      <alignment horizontal="center" vertical="center" wrapText="1" readingOrder="1"/>
    </xf>
    <xf numFmtId="0" fontId="23" fillId="0" borderId="1" xfId="32" applyFont="1" applyBorder="1" applyAlignment="1">
      <alignment horizontal="center" vertical="center" wrapText="1" readingOrder="1"/>
    </xf>
    <xf numFmtId="0" fontId="23" fillId="0" borderId="83" xfId="32" applyFont="1" applyBorder="1" applyAlignment="1">
      <alignment horizontal="left" wrapText="1" readingOrder="1"/>
    </xf>
    <xf numFmtId="0" fontId="23" fillId="0" borderId="81" xfId="32" applyFont="1" applyBorder="1" applyAlignment="1">
      <alignment horizontal="center" wrapText="1" readingOrder="1"/>
    </xf>
    <xf numFmtId="200" fontId="11" fillId="0" borderId="80" xfId="32" applyNumberFormat="1" applyBorder="1" applyAlignment="1">
      <alignment horizontal="left" wrapText="1" readingOrder="1"/>
    </xf>
    <xf numFmtId="1" fontId="23" fillId="0" borderId="1" xfId="33" applyNumberFormat="1" applyFont="1" applyBorder="1" applyAlignment="1">
      <alignment horizontal="center" vertical="center"/>
    </xf>
    <xf numFmtId="1" fontId="71" fillId="0" borderId="19" xfId="0" applyNumberFormat="1" applyFont="1" applyBorder="1" applyAlignment="1">
      <alignment horizontal="center" vertical="center"/>
    </xf>
    <xf numFmtId="1" fontId="71" fillId="0" borderId="5" xfId="0" applyNumberFormat="1" applyFont="1" applyBorder="1" applyAlignment="1">
      <alignment horizontal="center" vertical="center"/>
    </xf>
    <xf numFmtId="0" fontId="49" fillId="0" borderId="9" xfId="36" applyFont="1" applyBorder="1"/>
    <xf numFmtId="4" fontId="49" fillId="0" borderId="9" xfId="30" applyNumberFormat="1" applyFont="1" applyBorder="1" applyAlignment="1">
      <alignment horizontal="center"/>
    </xf>
    <xf numFmtId="0" fontId="49" fillId="0" borderId="9" xfId="30" applyFont="1" applyBorder="1"/>
    <xf numFmtId="0" fontId="49" fillId="0" borderId="0" xfId="30" applyFont="1"/>
    <xf numFmtId="0" fontId="50" fillId="0" borderId="0" xfId="30" applyFont="1"/>
    <xf numFmtId="185" fontId="49" fillId="0" borderId="0" xfId="18" applyFont="1" applyFill="1" applyBorder="1" applyAlignment="1">
      <alignment horizontal="right"/>
    </xf>
    <xf numFmtId="193" fontId="50" fillId="0" borderId="3" xfId="22" applyNumberFormat="1" applyFont="1" applyFill="1" applyBorder="1" applyAlignment="1">
      <alignment horizontal="center"/>
    </xf>
    <xf numFmtId="185" fontId="50" fillId="0" borderId="0" xfId="18" applyFont="1" applyFill="1" applyBorder="1"/>
    <xf numFmtId="193" fontId="50" fillId="0" borderId="3" xfId="22" applyNumberFormat="1" applyFont="1" applyFill="1" applyBorder="1"/>
    <xf numFmtId="0" fontId="50" fillId="0" borderId="1" xfId="30" applyFont="1" applyBorder="1" applyAlignment="1">
      <alignment horizontal="center"/>
    </xf>
    <xf numFmtId="185" fontId="50" fillId="0" borderId="1" xfId="18" applyFont="1" applyFill="1" applyBorder="1" applyAlignment="1">
      <alignment horizontal="center"/>
    </xf>
    <xf numFmtId="193" fontId="50" fillId="0" borderId="1" xfId="22" applyNumberFormat="1" applyFont="1" applyFill="1" applyBorder="1" applyAlignment="1">
      <alignment horizontal="center"/>
    </xf>
    <xf numFmtId="172" fontId="50" fillId="0" borderId="1" xfId="30" applyNumberFormat="1" applyFont="1" applyBorder="1" applyAlignment="1">
      <alignment horizontal="center"/>
    </xf>
    <xf numFmtId="165" fontId="50" fillId="0" borderId="1" xfId="22" applyFont="1" applyFill="1" applyBorder="1"/>
    <xf numFmtId="4" fontId="50" fillId="0" borderId="1" xfId="25" applyNumberFormat="1" applyFont="1" applyFill="1" applyBorder="1" applyAlignment="1">
      <alignment horizontal="center"/>
    </xf>
    <xf numFmtId="193" fontId="50" fillId="0" borderId="1" xfId="22" applyNumberFormat="1" applyFont="1" applyFill="1" applyBorder="1" applyAlignment="1">
      <alignment horizontal="right"/>
    </xf>
    <xf numFmtId="0" fontId="50" fillId="0" borderId="9" xfId="30" applyFont="1" applyBorder="1"/>
    <xf numFmtId="173" fontId="50" fillId="0" borderId="0" xfId="30" applyNumberFormat="1" applyFont="1"/>
    <xf numFmtId="173" fontId="50" fillId="0" borderId="1" xfId="30" applyNumberFormat="1" applyFont="1" applyBorder="1" applyAlignment="1">
      <alignment horizontal="center"/>
    </xf>
    <xf numFmtId="185" fontId="50" fillId="0" borderId="1" xfId="18" applyFont="1" applyFill="1" applyBorder="1"/>
    <xf numFmtId="173" fontId="50" fillId="0" borderId="1" xfId="5" applyNumberFormat="1" applyFont="1" applyFill="1" applyBorder="1"/>
    <xf numFmtId="0" fontId="50" fillId="0" borderId="5" xfId="37" applyFont="1" applyBorder="1" applyAlignment="1">
      <alignment horizontal="center"/>
    </xf>
    <xf numFmtId="193" fontId="49" fillId="0" borderId="1" xfId="22" applyNumberFormat="1" applyFont="1" applyFill="1" applyBorder="1" applyAlignment="1">
      <alignment horizontal="right"/>
    </xf>
    <xf numFmtId="0" fontId="50" fillId="0" borderId="1" xfId="30" applyFont="1" applyBorder="1" applyAlignment="1">
      <alignment horizontal="centerContinuous"/>
    </xf>
    <xf numFmtId="43" fontId="50" fillId="0" borderId="1" xfId="25" applyFont="1" applyFill="1" applyBorder="1"/>
    <xf numFmtId="172" fontId="50" fillId="0" borderId="1" xfId="25" applyNumberFormat="1" applyFont="1" applyFill="1" applyBorder="1"/>
    <xf numFmtId="9" fontId="50" fillId="0" borderId="0" xfId="7" applyFont="1" applyFill="1" applyBorder="1"/>
    <xf numFmtId="173" fontId="49" fillId="0" borderId="0" xfId="30" applyNumberFormat="1" applyFont="1" applyAlignment="1">
      <alignment horizontal="left"/>
    </xf>
    <xf numFmtId="185" fontId="50" fillId="0" borderId="0" xfId="18" applyFont="1" applyFill="1" applyBorder="1" applyAlignment="1">
      <alignment horizontal="centerContinuous"/>
    </xf>
    <xf numFmtId="9" fontId="50" fillId="0" borderId="1" xfId="13" applyFont="1" applyFill="1" applyBorder="1" applyAlignment="1">
      <alignment horizontal="center"/>
    </xf>
    <xf numFmtId="173" fontId="50" fillId="0" borderId="0" xfId="30" applyNumberFormat="1" applyFont="1" applyAlignment="1">
      <alignment horizontal="centerContinuous"/>
    </xf>
    <xf numFmtId="185" fontId="49" fillId="0" borderId="0" xfId="18" applyFont="1" applyFill="1" applyBorder="1" applyAlignment="1">
      <alignment horizontal="centerContinuous"/>
    </xf>
    <xf numFmtId="0" fontId="23" fillId="0" borderId="84" xfId="32" applyFont="1" applyBorder="1" applyAlignment="1">
      <alignment horizontal="left" wrapText="1" readingOrder="1"/>
    </xf>
    <xf numFmtId="0" fontId="11" fillId="0" borderId="77" xfId="32" applyBorder="1" applyAlignment="1">
      <alignment horizontal="left" wrapText="1" readingOrder="1"/>
    </xf>
    <xf numFmtId="195" fontId="11" fillId="0" borderId="77" xfId="32" applyNumberFormat="1" applyBorder="1" applyAlignment="1">
      <alignment horizontal="left" wrapText="1" readingOrder="1"/>
    </xf>
    <xf numFmtId="0" fontId="73" fillId="0" borderId="77" xfId="32" applyFont="1" applyBorder="1" applyAlignment="1">
      <alignment horizontal="right" wrapText="1" readingOrder="1"/>
    </xf>
    <xf numFmtId="196" fontId="23" fillId="0" borderId="77" xfId="32" applyNumberFormat="1" applyFont="1" applyBorder="1" applyAlignment="1">
      <alignment horizontal="left" wrapText="1" readingOrder="1"/>
    </xf>
    <xf numFmtId="42" fontId="62" fillId="8" borderId="1" xfId="14" applyFont="1" applyFill="1" applyBorder="1" applyAlignment="1">
      <alignment horizontal="center" vertical="center"/>
    </xf>
    <xf numFmtId="42" fontId="62" fillId="14" borderId="1" xfId="14" applyFont="1" applyFill="1" applyBorder="1" applyAlignment="1">
      <alignment horizontal="center" vertical="center"/>
    </xf>
    <xf numFmtId="42" fontId="11" fillId="2" borderId="66" xfId="14" applyFont="1" applyFill="1" applyBorder="1" applyAlignment="1">
      <alignment horizontal="right" vertical="center"/>
    </xf>
    <xf numFmtId="0" fontId="76" fillId="0" borderId="0" xfId="32" applyFont="1" applyAlignment="1">
      <alignment horizontal="right" vertical="center" wrapText="1" readingOrder="1"/>
    </xf>
    <xf numFmtId="196" fontId="76" fillId="2" borderId="0" xfId="32" applyNumberFormat="1" applyFont="1" applyFill="1" applyAlignment="1">
      <alignment horizontal="right" vertical="center" wrapText="1" readingOrder="1"/>
    </xf>
    <xf numFmtId="2" fontId="23" fillId="0" borderId="4" xfId="32" applyNumberFormat="1" applyFont="1" applyBorder="1" applyAlignment="1">
      <alignment horizontal="center" vertical="center" wrapText="1"/>
    </xf>
    <xf numFmtId="2" fontId="76" fillId="0" borderId="81" xfId="32" applyNumberFormat="1" applyFont="1" applyBorder="1" applyAlignment="1">
      <alignment horizontal="center" vertical="center" wrapText="1" readingOrder="1"/>
    </xf>
    <xf numFmtId="0" fontId="50" fillId="0" borderId="26" xfId="0" applyFont="1" applyBorder="1" applyAlignment="1">
      <alignment horizontal="left" vertical="center"/>
    </xf>
    <xf numFmtId="0" fontId="50" fillId="0" borderId="20" xfId="0" applyFont="1" applyBorder="1" applyAlignment="1">
      <alignment horizontal="left" vertical="center"/>
    </xf>
    <xf numFmtId="0" fontId="50" fillId="0" borderId="5" xfId="0" applyFont="1" applyBorder="1" applyAlignment="1">
      <alignment horizontal="left" vertical="center"/>
    </xf>
    <xf numFmtId="0" fontId="15" fillId="0" borderId="1" xfId="0" quotePrefix="1" applyFont="1" applyBorder="1" applyAlignment="1">
      <alignment horizontal="justify" vertical="center" wrapText="1"/>
    </xf>
    <xf numFmtId="2" fontId="15" fillId="0" borderId="1" xfId="0" applyNumberFormat="1" applyFont="1" applyBorder="1" applyAlignment="1">
      <alignment horizontal="right" vertical="center"/>
    </xf>
    <xf numFmtId="202" fontId="47" fillId="0" borderId="1" xfId="32" applyNumberFormat="1" applyFont="1" applyBorder="1" applyAlignment="1">
      <alignment vertical="center"/>
    </xf>
    <xf numFmtId="0" fontId="0" fillId="2" borderId="0" xfId="0" applyFill="1"/>
    <xf numFmtId="0" fontId="76" fillId="2" borderId="0" xfId="32" applyFont="1" applyFill="1" applyAlignment="1">
      <alignment horizontal="right" vertical="center" wrapText="1" readingOrder="1"/>
    </xf>
    <xf numFmtId="196" fontId="79" fillId="0" borderId="77" xfId="32" applyNumberFormat="1" applyFont="1" applyBorder="1" applyAlignment="1">
      <alignment horizontal="left" wrapText="1" readingOrder="1"/>
    </xf>
    <xf numFmtId="199" fontId="11" fillId="0" borderId="23" xfId="32" applyNumberFormat="1" applyBorder="1" applyAlignment="1">
      <alignment vertical="center"/>
    </xf>
    <xf numFmtId="196" fontId="11" fillId="0" borderId="77" xfId="32" applyNumberFormat="1" applyBorder="1" applyAlignment="1">
      <alignment horizontal="right" vertical="center" wrapText="1"/>
    </xf>
    <xf numFmtId="196" fontId="11" fillId="0" borderId="77" xfId="32" applyNumberFormat="1" applyBorder="1" applyAlignment="1">
      <alignment horizontal="right" vertical="center" wrapText="1" readingOrder="1"/>
    </xf>
    <xf numFmtId="0" fontId="11" fillId="0" borderId="81" xfId="32" applyBorder="1" applyAlignment="1">
      <alignment horizontal="left" wrapText="1" readingOrder="1"/>
    </xf>
    <xf numFmtId="0" fontId="73" fillId="0" borderId="79" xfId="32" applyFont="1" applyBorder="1" applyAlignment="1">
      <alignment horizontal="right" wrapText="1" readingOrder="1"/>
    </xf>
    <xf numFmtId="196" fontId="23" fillId="0" borderId="1" xfId="32" applyNumberFormat="1" applyFont="1" applyBorder="1" applyAlignment="1">
      <alignment horizontal="left" wrapText="1" readingOrder="1"/>
    </xf>
    <xf numFmtId="0" fontId="11" fillId="0" borderId="0" xfId="32"/>
    <xf numFmtId="0" fontId="23" fillId="0" borderId="84" xfId="32" applyFont="1" applyBorder="1" applyAlignment="1">
      <alignment horizontal="center" vertical="center" wrapText="1" readingOrder="1"/>
    </xf>
    <xf numFmtId="2" fontId="23" fillId="0" borderId="1" xfId="32" applyNumberFormat="1" applyFont="1" applyBorder="1" applyAlignment="1">
      <alignment horizontal="center" vertical="center" wrapText="1"/>
    </xf>
    <xf numFmtId="0" fontId="77" fillId="0" borderId="1" xfId="32" applyFont="1" applyBorder="1" applyAlignment="1">
      <alignment wrapText="1"/>
    </xf>
    <xf numFmtId="0" fontId="76" fillId="2" borderId="74" xfId="32" applyFont="1" applyFill="1" applyBorder="1" applyAlignment="1">
      <alignment horizontal="right" vertical="center" wrapText="1" readingOrder="1"/>
    </xf>
    <xf numFmtId="0" fontId="76" fillId="2" borderId="75" xfId="32" applyFont="1" applyFill="1" applyBorder="1" applyAlignment="1">
      <alignment horizontal="right" vertical="center" wrapText="1" readingOrder="1"/>
    </xf>
    <xf numFmtId="196" fontId="76" fillId="2" borderId="86" xfId="32" applyNumberFormat="1" applyFont="1" applyFill="1" applyBorder="1" applyAlignment="1">
      <alignment horizontal="right" vertical="center" wrapText="1" readingOrder="1"/>
    </xf>
    <xf numFmtId="1" fontId="71" fillId="2" borderId="0" xfId="0" applyNumberFormat="1" applyFont="1" applyFill="1" applyAlignment="1">
      <alignment horizontal="center" vertical="center"/>
    </xf>
    <xf numFmtId="2" fontId="71" fillId="2" borderId="0" xfId="0" applyNumberFormat="1" applyFont="1" applyFill="1" applyAlignment="1">
      <alignment horizontal="center" vertical="center"/>
    </xf>
    <xf numFmtId="4" fontId="71" fillId="2" borderId="0" xfId="0" applyNumberFormat="1" applyFont="1" applyFill="1" applyAlignment="1">
      <alignment horizontal="center" vertical="center"/>
    </xf>
    <xf numFmtId="4" fontId="70" fillId="2" borderId="0" xfId="0" applyNumberFormat="1" applyFont="1" applyFill="1" applyAlignment="1">
      <alignment horizontal="center" vertical="center"/>
    </xf>
    <xf numFmtId="190" fontId="72" fillId="15" borderId="0" xfId="20" applyNumberFormat="1" applyFont="1" applyFill="1" applyBorder="1" applyAlignment="1">
      <alignment horizontal="right" vertical="center"/>
    </xf>
    <xf numFmtId="49" fontId="76" fillId="0" borderId="1" xfId="32" applyNumberFormat="1" applyFont="1" applyBorder="1" applyAlignment="1">
      <alignment horizontal="center" vertical="center" wrapText="1" readingOrder="1"/>
    </xf>
    <xf numFmtId="1" fontId="71" fillId="0" borderId="90" xfId="0" applyNumberFormat="1" applyFont="1" applyBorder="1" applyAlignment="1">
      <alignment horizontal="center" vertical="center"/>
    </xf>
    <xf numFmtId="1" fontId="71" fillId="0" borderId="6" xfId="0" applyNumberFormat="1" applyFont="1" applyBorder="1" applyAlignment="1">
      <alignment horizontal="center" vertical="center"/>
    </xf>
    <xf numFmtId="2" fontId="71" fillId="0" borderId="6" xfId="0" applyNumberFormat="1" applyFont="1" applyBorder="1" applyAlignment="1">
      <alignment horizontal="center" vertical="center"/>
    </xf>
    <xf numFmtId="4" fontId="71" fillId="0" borderId="6" xfId="0" applyNumberFormat="1" applyFont="1" applyBorder="1" applyAlignment="1">
      <alignment horizontal="center" vertical="center"/>
    </xf>
    <xf numFmtId="4" fontId="70" fillId="0" borderId="6" xfId="0" applyNumberFormat="1" applyFont="1" applyBorder="1" applyAlignment="1">
      <alignment horizontal="center" vertical="center"/>
    </xf>
    <xf numFmtId="4" fontId="71" fillId="0" borderId="91" xfId="0" applyNumberFormat="1" applyFont="1" applyBorder="1" applyAlignment="1">
      <alignment horizontal="center" vertical="center"/>
    </xf>
    <xf numFmtId="0" fontId="65" fillId="0" borderId="16" xfId="0" applyFont="1" applyBorder="1" applyAlignment="1">
      <alignment horizontal="center" vertical="center"/>
    </xf>
    <xf numFmtId="0" fontId="65" fillId="0" borderId="17" xfId="0" applyFont="1" applyBorder="1" applyAlignment="1">
      <alignment horizontal="center" vertical="center"/>
    </xf>
    <xf numFmtId="0" fontId="65" fillId="0" borderId="92" xfId="0" applyFont="1" applyBorder="1" applyAlignment="1">
      <alignment horizontal="center" vertical="center"/>
    </xf>
    <xf numFmtId="0" fontId="83" fillId="0" borderId="9" xfId="30" applyFont="1" applyBorder="1" applyAlignment="1">
      <alignment horizontal="center" vertical="center" wrapText="1"/>
    </xf>
    <xf numFmtId="0" fontId="83" fillId="0" borderId="0" xfId="30" applyFont="1" applyAlignment="1">
      <alignment horizontal="center" vertical="center" wrapText="1"/>
    </xf>
    <xf numFmtId="0" fontId="49" fillId="0" borderId="0" xfId="30" applyFont="1" applyAlignment="1">
      <alignment horizontal="center" vertical="center" wrapText="1"/>
    </xf>
    <xf numFmtId="0" fontId="49" fillId="0" borderId="3" xfId="30" applyFont="1" applyBorder="1" applyAlignment="1">
      <alignment horizontal="center" vertical="center" wrapText="1"/>
    </xf>
    <xf numFmtId="172" fontId="50" fillId="0" borderId="5" xfId="46" applyNumberFormat="1" applyFont="1" applyFill="1" applyBorder="1"/>
    <xf numFmtId="172" fontId="50" fillId="0" borderId="1" xfId="25" applyNumberFormat="1" applyFont="1" applyFill="1" applyBorder="1" applyAlignment="1">
      <alignment vertical="center"/>
    </xf>
    <xf numFmtId="203" fontId="50" fillId="0" borderId="1" xfId="18" applyNumberFormat="1" applyFont="1" applyFill="1" applyBorder="1"/>
    <xf numFmtId="0" fontId="15" fillId="2" borderId="26" xfId="0" applyFont="1" applyFill="1" applyBorder="1" applyAlignment="1">
      <alignment horizontal="center" vertical="center"/>
    </xf>
    <xf numFmtId="2" fontId="23" fillId="0" borderId="5" xfId="32" applyNumberFormat="1" applyFont="1" applyBorder="1" applyAlignment="1">
      <alignment horizontal="center" vertical="center" wrapText="1"/>
    </xf>
    <xf numFmtId="0" fontId="76" fillId="0" borderId="80" xfId="32" applyFont="1" applyBorder="1" applyAlignment="1">
      <alignment horizontal="center" vertical="center" wrapText="1" readingOrder="1"/>
    </xf>
    <xf numFmtId="185" fontId="0" fillId="0" borderId="1" xfId="47" applyFont="1" applyFill="1" applyBorder="1" applyAlignment="1">
      <alignment horizontal="center" vertical="center"/>
    </xf>
    <xf numFmtId="169" fontId="0" fillId="0" borderId="1" xfId="4" applyNumberFormat="1" applyFont="1" applyFill="1" applyBorder="1" applyAlignment="1">
      <alignment horizontal="center" vertical="center"/>
    </xf>
    <xf numFmtId="196" fontId="11" fillId="0" borderId="1" xfId="32" applyNumberFormat="1" applyBorder="1" applyAlignment="1">
      <alignment horizontal="right" vertical="center" wrapText="1" readingOrder="1"/>
    </xf>
    <xf numFmtId="0" fontId="11" fillId="0" borderId="77" xfId="32" applyBorder="1" applyAlignment="1">
      <alignment horizontal="left" vertical="center" wrapText="1" readingOrder="1"/>
    </xf>
    <xf numFmtId="185" fontId="0" fillId="0" borderId="23" xfId="47" applyFont="1" applyFill="1" applyBorder="1" applyAlignment="1">
      <alignment horizontal="center" vertical="center"/>
    </xf>
    <xf numFmtId="204" fontId="11" fillId="0" borderId="80" xfId="32" applyNumberFormat="1" applyBorder="1" applyAlignment="1">
      <alignment horizontal="center" vertical="center" wrapText="1" readingOrder="1"/>
    </xf>
    <xf numFmtId="0" fontId="11" fillId="0" borderId="1" xfId="32" applyBorder="1" applyAlignment="1">
      <alignment horizontal="left" vertical="center" wrapText="1" readingOrder="1"/>
    </xf>
    <xf numFmtId="43" fontId="11" fillId="0" borderId="1" xfId="32" applyNumberFormat="1" applyBorder="1" applyAlignment="1">
      <alignment horizontal="center" vertical="center" wrapText="1" readingOrder="1"/>
    </xf>
    <xf numFmtId="195" fontId="11" fillId="0" borderId="81" xfId="32" applyNumberFormat="1" applyBorder="1" applyAlignment="1">
      <alignment horizontal="left" wrapText="1" readingOrder="1"/>
    </xf>
    <xf numFmtId="0" fontId="73" fillId="0" borderId="81" xfId="32" applyFont="1" applyBorder="1" applyAlignment="1">
      <alignment horizontal="right" wrapText="1" readingOrder="1"/>
    </xf>
    <xf numFmtId="196" fontId="23" fillId="0" borderId="81" xfId="32" applyNumberFormat="1" applyFont="1" applyBorder="1" applyAlignment="1">
      <alignment horizontal="left" wrapText="1" readingOrder="1"/>
    </xf>
    <xf numFmtId="0" fontId="11" fillId="0" borderId="93" xfId="32" applyBorder="1" applyAlignment="1">
      <alignment horizontal="left" vertical="center" wrapText="1" readingOrder="1"/>
    </xf>
    <xf numFmtId="0" fontId="23" fillId="0" borderId="77" xfId="32" applyFont="1" applyBorder="1" applyAlignment="1">
      <alignment horizontal="center" wrapText="1" readingOrder="1"/>
    </xf>
    <xf numFmtId="0" fontId="11" fillId="0" borderId="1" xfId="32" applyBorder="1" applyAlignment="1">
      <alignment horizontal="left" wrapText="1" readingOrder="1"/>
    </xf>
    <xf numFmtId="0" fontId="11" fillId="0" borderId="1" xfId="32" applyBorder="1" applyAlignment="1">
      <alignment horizontal="center" vertical="center" wrapText="1" readingOrder="1"/>
    </xf>
    <xf numFmtId="202" fontId="0" fillId="0" borderId="1" xfId="34" applyNumberFormat="1" applyFont="1" applyFill="1" applyBorder="1" applyAlignment="1">
      <alignment horizontal="center" vertical="center"/>
    </xf>
    <xf numFmtId="171" fontId="11" fillId="0" borderId="1" xfId="32" applyNumberFormat="1" applyBorder="1" applyAlignment="1">
      <alignment horizontal="right" vertical="center" wrapText="1" readingOrder="1"/>
    </xf>
    <xf numFmtId="0" fontId="23" fillId="0" borderId="76" xfId="48" applyFont="1" applyBorder="1" applyAlignment="1">
      <alignment horizontal="left" wrapText="1" readingOrder="1"/>
    </xf>
    <xf numFmtId="0" fontId="23" fillId="0" borderId="80" xfId="48" applyFont="1" applyBorder="1" applyAlignment="1">
      <alignment horizontal="center" wrapText="1" readingOrder="1"/>
    </xf>
    <xf numFmtId="0" fontId="23" fillId="0" borderId="80" xfId="48" applyFont="1" applyBorder="1" applyAlignment="1">
      <alignment horizontal="center" vertical="center" wrapText="1" readingOrder="1"/>
    </xf>
    <xf numFmtId="0" fontId="0" fillId="0" borderId="76" xfId="48" applyFont="1" applyBorder="1" applyAlignment="1">
      <alignment horizontal="left" vertical="center" wrapText="1" readingOrder="1"/>
    </xf>
    <xf numFmtId="195" fontId="0" fillId="0" borderId="80" xfId="48" applyNumberFormat="1" applyFont="1" applyBorder="1" applyAlignment="1">
      <alignment horizontal="center" vertical="center" wrapText="1" readingOrder="1"/>
    </xf>
    <xf numFmtId="43" fontId="0" fillId="0" borderId="80" xfId="48" applyNumberFormat="1" applyFont="1" applyBorder="1" applyAlignment="1">
      <alignment horizontal="center" vertical="center" wrapText="1" readingOrder="1"/>
    </xf>
    <xf numFmtId="196" fontId="0" fillId="0" borderId="80" xfId="48" applyNumberFormat="1" applyFont="1" applyBorder="1" applyAlignment="1">
      <alignment horizontal="right" vertical="center" wrapText="1" readingOrder="1"/>
    </xf>
    <xf numFmtId="0" fontId="0" fillId="0" borderId="80" xfId="48" applyFont="1" applyBorder="1" applyAlignment="1">
      <alignment horizontal="left" wrapText="1" readingOrder="1"/>
    </xf>
    <xf numFmtId="195" fontId="0" fillId="0" borderId="80" xfId="48" applyNumberFormat="1" applyFont="1" applyBorder="1" applyAlignment="1">
      <alignment horizontal="left" wrapText="1" readingOrder="1"/>
    </xf>
    <xf numFmtId="0" fontId="73" fillId="0" borderId="80" xfId="48" applyFont="1" applyBorder="1" applyAlignment="1">
      <alignment horizontal="right" wrapText="1" readingOrder="1"/>
    </xf>
    <xf numFmtId="196" fontId="23" fillId="0" borderId="80" xfId="48" applyNumberFormat="1" applyFont="1" applyBorder="1" applyAlignment="1">
      <alignment horizontal="left" wrapText="1" readingOrder="1"/>
    </xf>
    <xf numFmtId="42" fontId="60" fillId="6" borderId="1" xfId="14" applyFont="1" applyFill="1" applyBorder="1" applyAlignment="1">
      <alignment horizontal="center" vertical="center"/>
    </xf>
    <xf numFmtId="10" fontId="60" fillId="6" borderId="1" xfId="13" applyNumberFormat="1" applyFont="1" applyFill="1" applyBorder="1" applyAlignment="1">
      <alignment horizontal="center" vertical="center"/>
    </xf>
    <xf numFmtId="42" fontId="61" fillId="6" borderId="1" xfId="14" applyFont="1" applyFill="1" applyBorder="1" applyAlignment="1">
      <alignment horizontal="center" vertical="center"/>
    </xf>
    <xf numFmtId="42" fontId="59" fillId="6" borderId="1" xfId="0" applyNumberFormat="1" applyFont="1" applyFill="1" applyBorder="1" applyAlignment="1">
      <alignment vertical="center"/>
    </xf>
    <xf numFmtId="0" fontId="46" fillId="6" borderId="1" xfId="0" applyFont="1" applyFill="1" applyBorder="1"/>
    <xf numFmtId="0" fontId="59" fillId="0" borderId="1" xfId="0" applyFont="1" applyBorder="1" applyAlignment="1">
      <alignment vertical="center"/>
    </xf>
    <xf numFmtId="0" fontId="86" fillId="0" borderId="0" xfId="26" applyFont="1" applyAlignment="1">
      <alignment horizontal="center" vertical="center"/>
    </xf>
    <xf numFmtId="0" fontId="28" fillId="0" borderId="0" xfId="28" applyFont="1"/>
    <xf numFmtId="0" fontId="86" fillId="0" borderId="0" xfId="26" applyFont="1" applyAlignment="1">
      <alignment horizontal="left" vertical="center"/>
    </xf>
    <xf numFmtId="0" fontId="11" fillId="0" borderId="0" xfId="28" applyAlignment="1">
      <alignment horizontal="center"/>
    </xf>
    <xf numFmtId="0" fontId="22" fillId="0" borderId="1" xfId="28" applyFont="1" applyBorder="1" applyAlignment="1">
      <alignment horizontal="center" vertical="center" wrapText="1"/>
    </xf>
    <xf numFmtId="0" fontId="11" fillId="0" borderId="1" xfId="28" applyBorder="1" applyAlignment="1">
      <alignment horizontal="center"/>
    </xf>
    <xf numFmtId="0" fontId="21" fillId="0" borderId="1" xfId="28" applyFont="1" applyBorder="1" applyAlignment="1">
      <alignment horizontal="center" vertical="center" wrapText="1"/>
    </xf>
    <xf numFmtId="0" fontId="21" fillId="0" borderId="0" xfId="28" applyFont="1" applyAlignment="1">
      <alignment horizontal="center" vertical="center" wrapText="1"/>
    </xf>
    <xf numFmtId="165" fontId="21" fillId="0" borderId="1" xfId="29" applyFont="1" applyBorder="1" applyAlignment="1">
      <alignment horizontal="center" vertical="center" wrapText="1"/>
    </xf>
    <xf numFmtId="167" fontId="21" fillId="0" borderId="1" xfId="1" applyFont="1" applyBorder="1" applyAlignment="1">
      <alignment horizontal="center" vertical="center" wrapText="1"/>
    </xf>
    <xf numFmtId="165" fontId="21" fillId="0" borderId="1" xfId="29" applyFont="1" applyBorder="1" applyAlignment="1">
      <alignment horizontal="right" vertical="center" wrapText="1"/>
    </xf>
    <xf numFmtId="165" fontId="21" fillId="0" borderId="0" xfId="29" applyFont="1" applyBorder="1" applyAlignment="1">
      <alignment horizontal="center" vertical="center" wrapText="1"/>
    </xf>
    <xf numFmtId="9" fontId="21" fillId="0" borderId="0" xfId="28" applyNumberFormat="1" applyFont="1" applyAlignment="1">
      <alignment horizontal="center" vertical="center" wrapText="1"/>
    </xf>
    <xf numFmtId="165" fontId="21" fillId="0" borderId="0" xfId="29" applyFont="1" applyBorder="1" applyAlignment="1">
      <alignment horizontal="right" vertical="center" wrapText="1"/>
    </xf>
    <xf numFmtId="0" fontId="11" fillId="0" borderId="0" xfId="28"/>
    <xf numFmtId="42" fontId="16" fillId="0" borderId="0" xfId="0" applyNumberFormat="1" applyFont="1"/>
    <xf numFmtId="0" fontId="17" fillId="0" borderId="0" xfId="19" applyFont="1" applyAlignment="1">
      <alignment horizontal="left"/>
    </xf>
    <xf numFmtId="2" fontId="15" fillId="0" borderId="1" xfId="0" applyNumberFormat="1" applyFont="1" applyFill="1" applyBorder="1" applyAlignment="1">
      <alignment horizontal="right" vertical="center"/>
    </xf>
    <xf numFmtId="10" fontId="21" fillId="0" borderId="0" xfId="13" applyNumberFormat="1" applyFont="1"/>
    <xf numFmtId="10" fontId="22" fillId="0" borderId="0" xfId="13" applyNumberFormat="1" applyFont="1"/>
    <xf numFmtId="10" fontId="21" fillId="0" borderId="1" xfId="13" applyNumberFormat="1" applyFont="1" applyBorder="1" applyAlignment="1">
      <alignment horizontal="center"/>
    </xf>
    <xf numFmtId="205" fontId="22" fillId="0" borderId="0" xfId="13" applyNumberFormat="1" applyFont="1"/>
    <xf numFmtId="0" fontId="48" fillId="0" borderId="1" xfId="0" applyFont="1" applyBorder="1" applyAlignment="1">
      <alignment horizontal="left" vertical="center" wrapText="1"/>
    </xf>
    <xf numFmtId="0" fontId="54" fillId="0" borderId="1" xfId="0" applyFont="1" applyBorder="1" applyAlignment="1">
      <alignment horizontal="center" vertical="center" wrapText="1"/>
    </xf>
    <xf numFmtId="2" fontId="21" fillId="0" borderId="0" xfId="1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0" fontId="16" fillId="0" borderId="26" xfId="13" applyNumberFormat="1" applyFont="1" applyFill="1" applyBorder="1" applyAlignment="1">
      <alignment horizontal="center"/>
    </xf>
    <xf numFmtId="10" fontId="16" fillId="0" borderId="5" xfId="13" applyNumberFormat="1" applyFont="1" applyFill="1" applyBorder="1" applyAlignment="1">
      <alignment horizontal="center"/>
    </xf>
    <xf numFmtId="176" fontId="16" fillId="6" borderId="26" xfId="13" applyNumberFormat="1" applyFont="1" applyFill="1" applyBorder="1" applyAlignment="1">
      <alignment horizontal="center"/>
    </xf>
    <xf numFmtId="176" fontId="16" fillId="6" borderId="5" xfId="13" applyNumberFormat="1" applyFont="1" applyFill="1" applyBorder="1" applyAlignment="1">
      <alignment horizontal="center"/>
    </xf>
    <xf numFmtId="0" fontId="26" fillId="4" borderId="33" xfId="0" applyFont="1" applyFill="1" applyBorder="1" applyAlignment="1">
      <alignment horizontal="center"/>
    </xf>
    <xf numFmtId="0" fontId="22" fillId="4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top" wrapText="1"/>
    </xf>
    <xf numFmtId="0" fontId="26" fillId="4" borderId="34" xfId="0" applyFont="1" applyFill="1" applyBorder="1" applyAlignment="1">
      <alignment horizontal="center" vertical="top"/>
    </xf>
    <xf numFmtId="0" fontId="26" fillId="4" borderId="1" xfId="0" applyFont="1" applyFill="1" applyBorder="1" applyAlignment="1">
      <alignment horizontal="center" vertical="center"/>
    </xf>
    <xf numFmtId="0" fontId="26" fillId="4" borderId="34" xfId="0" applyFont="1" applyFill="1" applyBorder="1" applyAlignment="1">
      <alignment horizontal="center" vertical="center"/>
    </xf>
    <xf numFmtId="0" fontId="26" fillId="4" borderId="34" xfId="0" applyFont="1" applyFill="1" applyBorder="1" applyAlignment="1">
      <alignment horizontal="center" vertical="top" wrapText="1"/>
    </xf>
    <xf numFmtId="0" fontId="50" fillId="0" borderId="26" xfId="30" applyFont="1" applyBorder="1" applyAlignment="1">
      <alignment horizontal="left" indent="1"/>
    </xf>
    <xf numFmtId="0" fontId="50" fillId="0" borderId="20" xfId="30" applyFont="1" applyBorder="1" applyAlignment="1">
      <alignment horizontal="left" indent="1"/>
    </xf>
    <xf numFmtId="0" fontId="50" fillId="0" borderId="5" xfId="30" applyFont="1" applyBorder="1" applyAlignment="1">
      <alignment horizontal="left" indent="1"/>
    </xf>
    <xf numFmtId="2" fontId="11" fillId="0" borderId="74" xfId="32" applyNumberFormat="1" applyBorder="1" applyAlignment="1">
      <alignment horizontal="justify" vertical="center" wrapText="1" readingOrder="1"/>
    </xf>
    <xf numFmtId="2" fontId="11" fillId="0" borderId="75" xfId="32" applyNumberFormat="1" applyBorder="1" applyAlignment="1">
      <alignment horizontal="justify" vertical="center" wrapText="1" readingOrder="1"/>
    </xf>
    <xf numFmtId="2" fontId="11" fillId="0" borderId="78" xfId="32" applyNumberFormat="1" applyBorder="1" applyAlignment="1">
      <alignment horizontal="justify" vertical="center" wrapText="1" readingOrder="1"/>
    </xf>
    <xf numFmtId="2" fontId="11" fillId="0" borderId="79" xfId="32" applyNumberFormat="1" applyBorder="1" applyAlignment="1">
      <alignment horizontal="justify" vertical="center" wrapText="1" readingOrder="1"/>
    </xf>
    <xf numFmtId="0" fontId="76" fillId="0" borderId="76" xfId="32" applyFont="1" applyBorder="1" applyAlignment="1">
      <alignment horizontal="right" vertical="center" wrapText="1" readingOrder="1"/>
    </xf>
    <xf numFmtId="196" fontId="76" fillId="11" borderId="82" xfId="32" applyNumberFormat="1" applyFont="1" applyFill="1" applyBorder="1" applyAlignment="1">
      <alignment horizontal="right" vertical="center" wrapText="1" readingOrder="1"/>
    </xf>
    <xf numFmtId="196" fontId="76" fillId="11" borderId="80" xfId="32" applyNumberFormat="1" applyFont="1" applyFill="1" applyBorder="1" applyAlignment="1">
      <alignment horizontal="right" vertical="center" wrapText="1" readingOrder="1"/>
    </xf>
    <xf numFmtId="2" fontId="11" fillId="0" borderId="76" xfId="32" applyNumberFormat="1" applyBorder="1" applyAlignment="1">
      <alignment horizontal="justify" vertical="center" wrapText="1" readingOrder="1"/>
    </xf>
    <xf numFmtId="196" fontId="76" fillId="11" borderId="78" xfId="32" applyNumberFormat="1" applyFont="1" applyFill="1" applyBorder="1" applyAlignment="1">
      <alignment horizontal="right" vertical="center" wrapText="1" readingOrder="1"/>
    </xf>
    <xf numFmtId="196" fontId="76" fillId="11" borderId="81" xfId="32" applyNumberFormat="1" applyFont="1" applyFill="1" applyBorder="1" applyAlignment="1">
      <alignment horizontal="right" vertical="center" wrapText="1" readingOrder="1"/>
    </xf>
    <xf numFmtId="0" fontId="80" fillId="0" borderId="1" xfId="30" applyFont="1" applyBorder="1" applyAlignment="1">
      <alignment horizontal="center" vertical="center" wrapText="1"/>
    </xf>
    <xf numFmtId="0" fontId="82" fillId="0" borderId="1" xfId="30" applyFont="1" applyBorder="1" applyAlignment="1">
      <alignment horizontal="center" vertical="center" wrapText="1"/>
    </xf>
    <xf numFmtId="0" fontId="84" fillId="0" borderId="0" xfId="30" applyFont="1" applyAlignment="1">
      <alignment horizontal="left" vertical="center" wrapText="1"/>
    </xf>
    <xf numFmtId="0" fontId="84" fillId="0" borderId="3" xfId="30" applyFont="1" applyBorder="1" applyAlignment="1">
      <alignment horizontal="left" vertical="center" wrapText="1"/>
    </xf>
    <xf numFmtId="1" fontId="51" fillId="0" borderId="0" xfId="36" applyNumberFormat="1" applyFont="1" applyAlignment="1">
      <alignment horizontal="left" vertical="center" wrapText="1"/>
    </xf>
    <xf numFmtId="1" fontId="51" fillId="0" borderId="3" xfId="36" applyNumberFormat="1" applyFont="1" applyBorder="1" applyAlignment="1">
      <alignment horizontal="left" vertical="center" wrapText="1"/>
    </xf>
    <xf numFmtId="4" fontId="49" fillId="0" borderId="9" xfId="36" applyNumberFormat="1" applyFont="1" applyBorder="1" applyAlignment="1">
      <alignment horizontal="center" vertical="center"/>
    </xf>
    <xf numFmtId="0" fontId="50" fillId="0" borderId="0" xfId="30" applyFont="1" applyAlignment="1">
      <alignment horizontal="left" vertical="top" wrapText="1"/>
    </xf>
    <xf numFmtId="0" fontId="50" fillId="0" borderId="3" xfId="30" applyFont="1" applyBorder="1" applyAlignment="1">
      <alignment horizontal="left" vertical="top" wrapText="1"/>
    </xf>
    <xf numFmtId="0" fontId="50" fillId="0" borderId="1" xfId="30" applyFont="1" applyBorder="1" applyAlignment="1">
      <alignment horizontal="center"/>
    </xf>
    <xf numFmtId="0" fontId="76" fillId="0" borderId="1" xfId="32" applyFont="1" applyBorder="1" applyAlignment="1">
      <alignment horizontal="right" vertical="center" wrapText="1" readingOrder="1"/>
    </xf>
    <xf numFmtId="196" fontId="76" fillId="11" borderId="1" xfId="32" applyNumberFormat="1" applyFont="1" applyFill="1" applyBorder="1" applyAlignment="1">
      <alignment horizontal="right" vertical="center" wrapText="1" readingOrder="1"/>
    </xf>
    <xf numFmtId="2" fontId="11" fillId="0" borderId="1" xfId="32" applyNumberFormat="1" applyBorder="1" applyAlignment="1">
      <alignment horizontal="justify" vertical="center" wrapText="1" readingOrder="1"/>
    </xf>
    <xf numFmtId="0" fontId="50" fillId="0" borderId="1" xfId="30" applyFont="1" applyBorder="1" applyAlignment="1">
      <alignment horizontal="left" wrapText="1" indent="1"/>
    </xf>
    <xf numFmtId="0" fontId="50" fillId="0" borderId="26" xfId="0" applyFont="1" applyBorder="1" applyAlignment="1">
      <alignment horizontal="left" vertical="center"/>
    </xf>
    <xf numFmtId="0" fontId="50" fillId="0" borderId="20" xfId="0" applyFont="1" applyBorder="1" applyAlignment="1">
      <alignment horizontal="left" vertical="center"/>
    </xf>
    <xf numFmtId="0" fontId="50" fillId="0" borderId="5" xfId="0" applyFont="1" applyBorder="1" applyAlignment="1">
      <alignment horizontal="left" vertical="center"/>
    </xf>
    <xf numFmtId="0" fontId="50" fillId="0" borderId="1" xfId="30" applyFont="1" applyBorder="1" applyAlignment="1">
      <alignment horizontal="left" indent="1"/>
    </xf>
    <xf numFmtId="0" fontId="50" fillId="0" borderId="1" xfId="30" applyFont="1" applyBorder="1" applyAlignment="1">
      <alignment horizontal="left"/>
    </xf>
    <xf numFmtId="0" fontId="50" fillId="0" borderId="26" xfId="30" applyFont="1" applyBorder="1" applyAlignment="1">
      <alignment horizontal="center"/>
    </xf>
    <xf numFmtId="0" fontId="50" fillId="0" borderId="20" xfId="30" applyFont="1" applyBorder="1" applyAlignment="1">
      <alignment horizontal="center"/>
    </xf>
    <xf numFmtId="0" fontId="50" fillId="0" borderId="5" xfId="30" applyFont="1" applyBorder="1" applyAlignment="1">
      <alignment horizontal="center"/>
    </xf>
    <xf numFmtId="165" fontId="50" fillId="0" borderId="26" xfId="22" applyFont="1" applyFill="1" applyBorder="1" applyAlignment="1">
      <alignment horizontal="center"/>
    </xf>
    <xf numFmtId="165" fontId="50" fillId="0" borderId="5" xfId="22" applyFont="1" applyFill="1" applyBorder="1" applyAlignment="1">
      <alignment horizontal="center"/>
    </xf>
    <xf numFmtId="1" fontId="67" fillId="0" borderId="19" xfId="0" applyNumberFormat="1" applyFont="1" applyBorder="1" applyAlignment="1">
      <alignment horizontal="center" vertical="center"/>
    </xf>
    <xf numFmtId="1" fontId="67" fillId="0" borderId="5" xfId="0" applyNumberFormat="1" applyFont="1" applyBorder="1" applyAlignment="1">
      <alignment horizontal="center" vertical="center"/>
    </xf>
    <xf numFmtId="0" fontId="65" fillId="0" borderId="30" xfId="0" applyFont="1" applyBorder="1" applyAlignment="1">
      <alignment horizontal="center" vertical="center"/>
    </xf>
    <xf numFmtId="0" fontId="65" fillId="0" borderId="31" xfId="0" applyFont="1" applyBorder="1" applyAlignment="1">
      <alignment horizontal="center" vertical="center"/>
    </xf>
    <xf numFmtId="0" fontId="65" fillId="0" borderId="32" xfId="0" applyFont="1" applyBorder="1" applyAlignment="1">
      <alignment horizontal="center" vertical="center"/>
    </xf>
    <xf numFmtId="0" fontId="66" fillId="8" borderId="16" xfId="0" applyFont="1" applyFill="1" applyBorder="1" applyAlignment="1">
      <alignment horizontal="center" vertical="center"/>
    </xf>
    <xf numFmtId="0" fontId="66" fillId="8" borderId="29" xfId="0" applyFont="1" applyFill="1" applyBorder="1" applyAlignment="1">
      <alignment horizontal="center" vertical="center"/>
    </xf>
    <xf numFmtId="0" fontId="66" fillId="8" borderId="14" xfId="0" applyFont="1" applyFill="1" applyBorder="1" applyAlignment="1">
      <alignment horizontal="center" vertical="center"/>
    </xf>
    <xf numFmtId="0" fontId="66" fillId="8" borderId="28" xfId="0" applyFont="1" applyFill="1" applyBorder="1" applyAlignment="1">
      <alignment horizontal="center" vertical="center"/>
    </xf>
    <xf numFmtId="0" fontId="66" fillId="8" borderId="17" xfId="0" applyFont="1" applyFill="1" applyBorder="1" applyAlignment="1">
      <alignment horizontal="left" vertical="center" wrapText="1"/>
    </xf>
    <xf numFmtId="0" fontId="66" fillId="8" borderId="27" xfId="0" applyFont="1" applyFill="1" applyBorder="1" applyAlignment="1">
      <alignment horizontal="left" vertical="center" wrapText="1"/>
    </xf>
    <xf numFmtId="0" fontId="66" fillId="8" borderId="11" xfId="0" applyFont="1" applyFill="1" applyBorder="1" applyAlignment="1">
      <alignment horizontal="left" vertical="center" wrapText="1"/>
    </xf>
    <xf numFmtId="0" fontId="66" fillId="8" borderId="4" xfId="0" applyFont="1" applyFill="1" applyBorder="1" applyAlignment="1">
      <alignment horizontal="left" vertical="center" wrapText="1"/>
    </xf>
    <xf numFmtId="4" fontId="67" fillId="0" borderId="1" xfId="0" applyNumberFormat="1" applyFont="1" applyBorder="1" applyAlignment="1">
      <alignment horizontal="center" vertical="center"/>
    </xf>
    <xf numFmtId="4" fontId="67" fillId="0" borderId="34" xfId="0" applyNumberFormat="1" applyFont="1" applyBorder="1" applyAlignment="1">
      <alignment horizontal="center" vertical="center"/>
    </xf>
    <xf numFmtId="4" fontId="67" fillId="0" borderId="24" xfId="0" applyNumberFormat="1" applyFont="1" applyBorder="1" applyAlignment="1">
      <alignment horizontal="center" vertical="center"/>
    </xf>
    <xf numFmtId="4" fontId="67" fillId="0" borderId="35" xfId="0" applyNumberFormat="1" applyFont="1" applyBorder="1" applyAlignment="1">
      <alignment horizontal="center" vertical="center"/>
    </xf>
    <xf numFmtId="1" fontId="67" fillId="0" borderId="21" xfId="0" applyNumberFormat="1" applyFont="1" applyBorder="1" applyAlignment="1">
      <alignment horizontal="center" vertical="center"/>
    </xf>
    <xf numFmtId="1" fontId="67" fillId="0" borderId="22" xfId="0" applyNumberFormat="1" applyFont="1" applyBorder="1" applyAlignment="1">
      <alignment horizontal="center" vertical="center"/>
    </xf>
    <xf numFmtId="0" fontId="70" fillId="8" borderId="88" xfId="0" applyFont="1" applyFill="1" applyBorder="1" applyAlignment="1">
      <alignment horizontal="center" vertical="center"/>
    </xf>
    <xf numFmtId="0" fontId="70" fillId="8" borderId="85" xfId="0" applyFont="1" applyFill="1" applyBorder="1" applyAlignment="1">
      <alignment horizontal="center" vertical="center"/>
    </xf>
    <xf numFmtId="0" fontId="70" fillId="8" borderId="14" xfId="0" applyFont="1" applyFill="1" applyBorder="1" applyAlignment="1">
      <alignment horizontal="center" vertical="center"/>
    </xf>
    <xf numFmtId="0" fontId="70" fillId="8" borderId="28" xfId="0" applyFont="1" applyFill="1" applyBorder="1" applyAlignment="1">
      <alignment horizontal="center" vertical="center"/>
    </xf>
    <xf numFmtId="0" fontId="70" fillId="8" borderId="87" xfId="0" applyFont="1" applyFill="1" applyBorder="1" applyAlignment="1">
      <alignment horizontal="left" vertical="center" wrapText="1"/>
    </xf>
    <xf numFmtId="0" fontId="70" fillId="8" borderId="17" xfId="0" applyFont="1" applyFill="1" applyBorder="1" applyAlignment="1">
      <alignment horizontal="left" vertical="center" wrapText="1"/>
    </xf>
    <xf numFmtId="0" fontId="70" fillId="8" borderId="27" xfId="0" applyFont="1" applyFill="1" applyBorder="1" applyAlignment="1">
      <alignment horizontal="left" vertical="center" wrapText="1"/>
    </xf>
    <xf numFmtId="0" fontId="70" fillId="8" borderId="10" xfId="0" applyFont="1" applyFill="1" applyBorder="1" applyAlignment="1">
      <alignment horizontal="left" vertical="center" wrapText="1"/>
    </xf>
    <xf numFmtId="0" fontId="70" fillId="8" borderId="11" xfId="0" applyFont="1" applyFill="1" applyBorder="1" applyAlignment="1">
      <alignment horizontal="left" vertical="center" wrapText="1"/>
    </xf>
    <xf numFmtId="0" fontId="70" fillId="8" borderId="4" xfId="0" applyFont="1" applyFill="1" applyBorder="1" applyAlignment="1">
      <alignment horizontal="left" vertical="center" wrapText="1"/>
    </xf>
    <xf numFmtId="0" fontId="70" fillId="12" borderId="7" xfId="0" applyFont="1" applyFill="1" applyBorder="1" applyAlignment="1">
      <alignment horizontal="left" vertical="center" wrapText="1"/>
    </xf>
    <xf numFmtId="0" fontId="70" fillId="12" borderId="8" xfId="0" applyFont="1" applyFill="1" applyBorder="1" applyAlignment="1">
      <alignment horizontal="left" vertical="center" wrapText="1"/>
    </xf>
    <xf numFmtId="0" fontId="70" fillId="12" borderId="2" xfId="0" applyFont="1" applyFill="1" applyBorder="1" applyAlignment="1">
      <alignment horizontal="left" vertical="center" wrapText="1"/>
    </xf>
    <xf numFmtId="0" fontId="70" fillId="12" borderId="10" xfId="0" applyFont="1" applyFill="1" applyBorder="1" applyAlignment="1">
      <alignment horizontal="left" vertical="center" wrapText="1"/>
    </xf>
    <xf numFmtId="0" fontId="70" fillId="12" borderId="11" xfId="0" applyFont="1" applyFill="1" applyBorder="1" applyAlignment="1">
      <alignment horizontal="left" vertical="center" wrapText="1"/>
    </xf>
    <xf numFmtId="0" fontId="70" fillId="12" borderId="4" xfId="0" applyFont="1" applyFill="1" applyBorder="1" applyAlignment="1">
      <alignment horizontal="left" vertical="center" wrapText="1"/>
    </xf>
    <xf numFmtId="2" fontId="70" fillId="6" borderId="19" xfId="0" applyNumberFormat="1" applyFont="1" applyFill="1" applyBorder="1" applyAlignment="1">
      <alignment horizontal="center" vertical="center"/>
    </xf>
    <xf numFmtId="2" fontId="70" fillId="6" borderId="5" xfId="0" applyNumberFormat="1" applyFont="1" applyFill="1" applyBorder="1" applyAlignment="1">
      <alignment horizontal="center" vertical="center"/>
    </xf>
    <xf numFmtId="0" fontId="70" fillId="6" borderId="26" xfId="0" applyFont="1" applyFill="1" applyBorder="1" applyAlignment="1">
      <alignment horizontal="center" vertical="center"/>
    </xf>
    <xf numFmtId="0" fontId="70" fillId="6" borderId="89" xfId="0" applyFont="1" applyFill="1" applyBorder="1" applyAlignment="1">
      <alignment horizontal="center" vertical="center"/>
    </xf>
    <xf numFmtId="1" fontId="71" fillId="0" borderId="19" xfId="0" applyNumberFormat="1" applyFont="1" applyBorder="1" applyAlignment="1">
      <alignment horizontal="center" vertical="center"/>
    </xf>
    <xf numFmtId="1" fontId="71" fillId="0" borderId="5" xfId="0" applyNumberFormat="1" applyFont="1" applyBorder="1" applyAlignment="1">
      <alignment horizontal="center" vertical="center"/>
    </xf>
    <xf numFmtId="4" fontId="71" fillId="0" borderId="1" xfId="0" applyNumberFormat="1" applyFont="1" applyBorder="1" applyAlignment="1">
      <alignment horizontal="center" vertical="center"/>
    </xf>
    <xf numFmtId="4" fontId="71" fillId="0" borderId="34" xfId="0" applyNumberFormat="1" applyFont="1" applyBorder="1" applyAlignment="1">
      <alignment horizontal="center" vertical="center"/>
    </xf>
    <xf numFmtId="4" fontId="71" fillId="0" borderId="24" xfId="0" applyNumberFormat="1" applyFont="1" applyBorder="1" applyAlignment="1">
      <alignment horizontal="center" vertical="center"/>
    </xf>
    <xf numFmtId="4" fontId="71" fillId="0" borderId="35" xfId="0" applyNumberFormat="1" applyFont="1" applyBorder="1" applyAlignment="1">
      <alignment horizontal="center" vertical="center"/>
    </xf>
    <xf numFmtId="0" fontId="70" fillId="8" borderId="16" xfId="0" applyFont="1" applyFill="1" applyBorder="1" applyAlignment="1">
      <alignment horizontal="center" vertical="center"/>
    </xf>
    <xf numFmtId="0" fontId="70" fillId="8" borderId="29" xfId="0" applyFont="1" applyFill="1" applyBorder="1" applyAlignment="1">
      <alignment horizontal="center" vertical="center"/>
    </xf>
    <xf numFmtId="0" fontId="70" fillId="6" borderId="1" xfId="0" applyFont="1" applyFill="1" applyBorder="1" applyAlignment="1">
      <alignment horizontal="center" vertical="center"/>
    </xf>
    <xf numFmtId="0" fontId="70" fillId="6" borderId="34" xfId="0" applyFont="1" applyFill="1" applyBorder="1" applyAlignment="1">
      <alignment horizontal="center" vertical="center"/>
    </xf>
    <xf numFmtId="1" fontId="71" fillId="0" borderId="21" xfId="0" applyNumberFormat="1" applyFont="1" applyBorder="1" applyAlignment="1">
      <alignment horizontal="center" vertical="center"/>
    </xf>
    <xf numFmtId="1" fontId="71" fillId="0" borderId="22" xfId="0" applyNumberFormat="1" applyFont="1" applyBorder="1" applyAlignment="1">
      <alignment horizontal="center" vertical="center"/>
    </xf>
    <xf numFmtId="2" fontId="69" fillId="0" borderId="0" xfId="0" applyNumberFormat="1" applyFont="1" applyAlignment="1">
      <alignment horizontal="center" vertical="center"/>
    </xf>
    <xf numFmtId="0" fontId="66" fillId="12" borderId="7" xfId="0" applyFont="1" applyFill="1" applyBorder="1" applyAlignment="1">
      <alignment horizontal="left" vertical="center" wrapText="1"/>
    </xf>
    <xf numFmtId="0" fontId="66" fillId="12" borderId="8" xfId="0" applyFont="1" applyFill="1" applyBorder="1" applyAlignment="1">
      <alignment horizontal="left" vertical="center" wrapText="1"/>
    </xf>
    <xf numFmtId="0" fontId="66" fillId="12" borderId="2" xfId="0" applyFont="1" applyFill="1" applyBorder="1" applyAlignment="1">
      <alignment horizontal="left" vertical="center" wrapText="1"/>
    </xf>
    <xf numFmtId="0" fontId="66" fillId="12" borderId="10" xfId="0" applyFont="1" applyFill="1" applyBorder="1" applyAlignment="1">
      <alignment horizontal="left" vertical="center" wrapText="1"/>
    </xf>
    <xf numFmtId="0" fontId="66" fillId="12" borderId="11" xfId="0" applyFont="1" applyFill="1" applyBorder="1" applyAlignment="1">
      <alignment horizontal="left" vertical="center" wrapText="1"/>
    </xf>
    <xf numFmtId="0" fontId="66" fillId="12" borderId="4" xfId="0" applyFont="1" applyFill="1" applyBorder="1" applyAlignment="1">
      <alignment horizontal="left" vertical="center" wrapText="1"/>
    </xf>
    <xf numFmtId="2" fontId="66" fillId="6" borderId="19" xfId="0" applyNumberFormat="1" applyFont="1" applyFill="1" applyBorder="1" applyAlignment="1">
      <alignment horizontal="center" vertical="center"/>
    </xf>
    <xf numFmtId="2" fontId="66" fillId="6" borderId="5" xfId="0" applyNumberFormat="1" applyFont="1" applyFill="1" applyBorder="1" applyAlignment="1">
      <alignment horizontal="center" vertical="center"/>
    </xf>
    <xf numFmtId="0" fontId="66" fillId="6" borderId="1" xfId="0" applyFont="1" applyFill="1" applyBorder="1" applyAlignment="1">
      <alignment horizontal="center" vertical="center"/>
    </xf>
    <xf numFmtId="0" fontId="66" fillId="6" borderId="34" xfId="0" applyFont="1" applyFill="1" applyBorder="1" applyAlignment="1">
      <alignment horizontal="center" vertical="center"/>
    </xf>
    <xf numFmtId="1" fontId="71" fillId="0" borderId="19" xfId="0" applyNumberFormat="1" applyFont="1" applyBorder="1" applyAlignment="1">
      <alignment horizontal="center" vertical="center" wrapText="1"/>
    </xf>
    <xf numFmtId="1" fontId="71" fillId="0" borderId="5" xfId="0" applyNumberFormat="1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/>
    </xf>
    <xf numFmtId="0" fontId="46" fillId="0" borderId="1" xfId="0" applyFont="1" applyBorder="1" applyAlignment="1">
      <alignment horizontal="center" vertical="center"/>
    </xf>
    <xf numFmtId="1" fontId="57" fillId="0" borderId="0" xfId="0" applyNumberFormat="1" applyFont="1" applyAlignment="1">
      <alignment horizontal="left" vertical="center" wrapText="1"/>
    </xf>
    <xf numFmtId="0" fontId="63" fillId="0" borderId="0" xfId="0" applyFont="1" applyAlignment="1">
      <alignment horizontal="center"/>
    </xf>
    <xf numFmtId="2" fontId="64" fillId="0" borderId="0" xfId="12" applyFont="1" applyAlignment="1">
      <alignment horizontal="center"/>
    </xf>
    <xf numFmtId="2" fontId="45" fillId="0" borderId="0" xfId="12" applyFont="1" applyAlignment="1">
      <alignment horizontal="center"/>
    </xf>
    <xf numFmtId="0" fontId="48" fillId="0" borderId="1" xfId="0" applyFont="1" applyBorder="1" applyAlignment="1">
      <alignment horizontal="center" vertical="center" wrapText="1"/>
    </xf>
    <xf numFmtId="0" fontId="48" fillId="0" borderId="26" xfId="0" applyFont="1" applyBorder="1" applyAlignment="1">
      <alignment horizontal="center" vertical="center" wrapText="1"/>
    </xf>
    <xf numFmtId="0" fontId="48" fillId="0" borderId="20" xfId="0" applyFont="1" applyBorder="1" applyAlignment="1">
      <alignment horizontal="center" vertical="center" wrapText="1"/>
    </xf>
    <xf numFmtId="0" fontId="48" fillId="0" borderId="5" xfId="0" applyFont="1" applyBorder="1" applyAlignment="1">
      <alignment horizontal="center" vertical="center" wrapText="1"/>
    </xf>
    <xf numFmtId="0" fontId="48" fillId="0" borderId="7" xfId="0" applyFont="1" applyBorder="1" applyAlignment="1">
      <alignment horizontal="left" vertical="center" wrapText="1"/>
    </xf>
    <xf numFmtId="0" fontId="48" fillId="0" borderId="8" xfId="0" applyFont="1" applyBorder="1" applyAlignment="1">
      <alignment horizontal="left" vertical="center" wrapText="1"/>
    </xf>
    <xf numFmtId="2" fontId="21" fillId="0" borderId="26" xfId="12" applyFont="1" applyBorder="1" applyAlignment="1">
      <alignment horizontal="left" vertical="justify"/>
    </xf>
    <xf numFmtId="2" fontId="21" fillId="0" borderId="5" xfId="12" applyFont="1" applyBorder="1" applyAlignment="1">
      <alignment horizontal="left" vertical="justify"/>
    </xf>
    <xf numFmtId="2" fontId="22" fillId="0" borderId="15" xfId="12" applyFont="1" applyBorder="1" applyAlignment="1">
      <alignment horizontal="center"/>
    </xf>
    <xf numFmtId="2" fontId="22" fillId="0" borderId="28" xfId="12" applyFont="1" applyBorder="1" applyAlignment="1">
      <alignment horizontal="center"/>
    </xf>
    <xf numFmtId="2" fontId="22" fillId="0" borderId="26" xfId="12" applyFont="1" applyBorder="1" applyAlignment="1">
      <alignment horizontal="center"/>
    </xf>
    <xf numFmtId="2" fontId="22" fillId="0" borderId="20" xfId="12" applyFont="1" applyBorder="1" applyAlignment="1">
      <alignment horizontal="center"/>
    </xf>
    <xf numFmtId="2" fontId="22" fillId="0" borderId="5" xfId="12" applyFont="1" applyBorder="1" applyAlignment="1">
      <alignment horizontal="center"/>
    </xf>
    <xf numFmtId="2" fontId="22" fillId="0" borderId="23" xfId="12" applyFont="1" applyBorder="1" applyAlignment="1">
      <alignment horizontal="center" vertical="top"/>
    </xf>
    <xf numFmtId="2" fontId="22" fillId="0" borderId="15" xfId="12" applyFont="1" applyBorder="1" applyAlignment="1">
      <alignment horizontal="center" vertical="top"/>
    </xf>
    <xf numFmtId="2" fontId="22" fillId="0" borderId="28" xfId="12" applyFont="1" applyBorder="1" applyAlignment="1">
      <alignment horizontal="center" vertical="top"/>
    </xf>
    <xf numFmtId="2" fontId="22" fillId="0" borderId="26" xfId="12" applyFont="1" applyBorder="1" applyAlignment="1">
      <alignment horizontal="left" vertical="justify"/>
    </xf>
    <xf numFmtId="2" fontId="22" fillId="0" borderId="20" xfId="12" applyFont="1" applyBorder="1" applyAlignment="1">
      <alignment horizontal="left" vertical="justify"/>
    </xf>
    <xf numFmtId="2" fontId="22" fillId="0" borderId="5" xfId="12" applyFont="1" applyBorder="1" applyAlignment="1">
      <alignment horizontal="left" vertical="justify"/>
    </xf>
    <xf numFmtId="2" fontId="21" fillId="0" borderId="26" xfId="12" applyFont="1" applyBorder="1" applyAlignment="1">
      <alignment horizontal="left" vertical="center"/>
    </xf>
    <xf numFmtId="2" fontId="21" fillId="0" borderId="5" xfId="12" applyFont="1" applyBorder="1" applyAlignment="1">
      <alignment horizontal="left" vertical="center"/>
    </xf>
    <xf numFmtId="2" fontId="22" fillId="0" borderId="26" xfId="12" quotePrefix="1" applyFont="1" applyBorder="1" applyAlignment="1">
      <alignment horizontal="left" vertical="justify"/>
    </xf>
    <xf numFmtId="2" fontId="22" fillId="0" borderId="20" xfId="12" quotePrefix="1" applyFont="1" applyBorder="1" applyAlignment="1">
      <alignment horizontal="left" vertical="justify"/>
    </xf>
    <xf numFmtId="2" fontId="22" fillId="0" borderId="5" xfId="12" quotePrefix="1" applyFont="1" applyBorder="1" applyAlignment="1">
      <alignment horizontal="left" vertical="justify"/>
    </xf>
    <xf numFmtId="2" fontId="21" fillId="0" borderId="26" xfId="12" applyFont="1" applyBorder="1" applyAlignment="1">
      <alignment horizontal="left"/>
    </xf>
    <xf numFmtId="2" fontId="21" fillId="0" borderId="5" xfId="12" applyFont="1" applyBorder="1" applyAlignment="1">
      <alignment horizontal="left"/>
    </xf>
    <xf numFmtId="2" fontId="22" fillId="0" borderId="26" xfId="12" applyFont="1" applyBorder="1" applyAlignment="1">
      <alignment horizontal="left"/>
    </xf>
    <xf numFmtId="2" fontId="22" fillId="0" borderId="20" xfId="12" applyFont="1" applyBorder="1" applyAlignment="1">
      <alignment horizontal="left"/>
    </xf>
    <xf numFmtId="2" fontId="22" fillId="0" borderId="5" xfId="12" applyFont="1" applyBorder="1" applyAlignment="1">
      <alignment horizontal="left"/>
    </xf>
    <xf numFmtId="2" fontId="21" fillId="0" borderId="26" xfId="12" applyFont="1" applyBorder="1" applyAlignment="1">
      <alignment horizontal="left" wrapText="1"/>
    </xf>
    <xf numFmtId="2" fontId="21" fillId="0" borderId="5" xfId="12" applyFont="1" applyBorder="1" applyAlignment="1">
      <alignment horizontal="left" wrapText="1"/>
    </xf>
    <xf numFmtId="2" fontId="22" fillId="0" borderId="26" xfId="12" applyFont="1" applyBorder="1" applyAlignment="1">
      <alignment horizontal="left" vertical="center" wrapText="1"/>
    </xf>
    <xf numFmtId="2" fontId="22" fillId="0" borderId="20" xfId="12" applyFont="1" applyBorder="1" applyAlignment="1">
      <alignment horizontal="left" vertical="center" wrapText="1"/>
    </xf>
    <xf numFmtId="2" fontId="22" fillId="0" borderId="5" xfId="12" applyFont="1" applyBorder="1" applyAlignment="1">
      <alignment horizontal="left" vertical="center" wrapText="1"/>
    </xf>
    <xf numFmtId="2" fontId="22" fillId="0" borderId="26" xfId="12" applyFont="1" applyBorder="1" applyAlignment="1">
      <alignment horizontal="center" vertical="center" wrapText="1"/>
    </xf>
    <xf numFmtId="2" fontId="22" fillId="0" borderId="20" xfId="12" applyFont="1" applyBorder="1" applyAlignment="1">
      <alignment horizontal="center" vertical="center" wrapText="1"/>
    </xf>
    <xf numFmtId="2" fontId="22" fillId="0" borderId="5" xfId="12" applyFont="1" applyBorder="1" applyAlignment="1">
      <alignment horizontal="center" vertical="center" wrapText="1"/>
    </xf>
    <xf numFmtId="2" fontId="21" fillId="0" borderId="26" xfId="12" applyFont="1" applyBorder="1" applyAlignment="1">
      <alignment horizontal="center"/>
    </xf>
    <xf numFmtId="2" fontId="21" fillId="0" borderId="5" xfId="12" applyFont="1" applyBorder="1" applyAlignment="1">
      <alignment horizontal="center"/>
    </xf>
    <xf numFmtId="2" fontId="21" fillId="0" borderId="1" xfId="12" applyFont="1" applyBorder="1" applyAlignment="1">
      <alignment horizontal="center"/>
    </xf>
    <xf numFmtId="2" fontId="22" fillId="0" borderId="0" xfId="12" applyFont="1" applyAlignment="1">
      <alignment horizontal="center" vertical="center"/>
    </xf>
    <xf numFmtId="2" fontId="21" fillId="0" borderId="0" xfId="12" applyFont="1" applyAlignment="1">
      <alignment horizontal="center"/>
    </xf>
    <xf numFmtId="2" fontId="21" fillId="0" borderId="0" xfId="12" applyFont="1" applyAlignment="1">
      <alignment horizontal="justify" wrapText="1"/>
    </xf>
    <xf numFmtId="0" fontId="13" fillId="5" borderId="19" xfId="8" applyFont="1" applyFill="1" applyBorder="1" applyAlignment="1">
      <alignment horizontal="left" vertical="center"/>
    </xf>
    <xf numFmtId="0" fontId="13" fillId="5" borderId="20" xfId="8" applyFont="1" applyFill="1" applyBorder="1" applyAlignment="1">
      <alignment horizontal="left" vertical="center"/>
    </xf>
    <xf numFmtId="0" fontId="13" fillId="5" borderId="5" xfId="8" applyFont="1" applyFill="1" applyBorder="1" applyAlignment="1">
      <alignment horizontal="left" vertical="center"/>
    </xf>
    <xf numFmtId="0" fontId="13" fillId="0" borderId="19" xfId="8" applyFont="1" applyBorder="1" applyAlignment="1">
      <alignment horizontal="left" vertical="center"/>
    </xf>
    <xf numFmtId="0" fontId="13" fillId="0" borderId="20" xfId="8" applyFont="1" applyBorder="1" applyAlignment="1">
      <alignment horizontal="left" vertical="center"/>
    </xf>
    <xf numFmtId="0" fontId="13" fillId="0" borderId="5" xfId="8" applyFont="1" applyBorder="1" applyAlignment="1">
      <alignment horizontal="left" vertical="center"/>
    </xf>
    <xf numFmtId="0" fontId="18" fillId="0" borderId="0" xfId="2" applyFont="1" applyAlignment="1">
      <alignment horizontal="left" wrapText="1"/>
    </xf>
    <xf numFmtId="0" fontId="18" fillId="0" borderId="8" xfId="2" applyFont="1" applyBorder="1" applyAlignment="1">
      <alignment horizontal="left"/>
    </xf>
    <xf numFmtId="0" fontId="18" fillId="0" borderId="0" xfId="2" applyFont="1" applyAlignment="1">
      <alignment horizontal="left"/>
    </xf>
    <xf numFmtId="0" fontId="18" fillId="0" borderId="19" xfId="2" applyFont="1" applyBorder="1" applyAlignment="1">
      <alignment horizontal="left"/>
    </xf>
    <xf numFmtId="0" fontId="18" fillId="0" borderId="20" xfId="2" applyFont="1" applyBorder="1" applyAlignment="1">
      <alignment horizontal="left"/>
    </xf>
    <xf numFmtId="0" fontId="15" fillId="0" borderId="0" xfId="8" applyFont="1" applyAlignment="1">
      <alignment horizontal="left"/>
    </xf>
    <xf numFmtId="0" fontId="15" fillId="0" borderId="11" xfId="8" applyFont="1" applyBorder="1" applyAlignment="1">
      <alignment horizontal="left"/>
    </xf>
    <xf numFmtId="0" fontId="15" fillId="0" borderId="1" xfId="8" applyFont="1" applyBorder="1" applyAlignment="1">
      <alignment horizontal="left" wrapText="1"/>
    </xf>
    <xf numFmtId="0" fontId="15" fillId="0" borderId="8" xfId="8" applyFont="1" applyBorder="1" applyAlignment="1">
      <alignment horizontal="left"/>
    </xf>
    <xf numFmtId="0" fontId="14" fillId="2" borderId="0" xfId="8" applyFont="1" applyFill="1" applyAlignment="1">
      <alignment horizontal="center" vertical="center"/>
    </xf>
    <xf numFmtId="0" fontId="14" fillId="6" borderId="26" xfId="8" applyFont="1" applyFill="1" applyBorder="1" applyAlignment="1">
      <alignment horizontal="center" vertical="center"/>
    </xf>
    <xf numFmtId="0" fontId="14" fillId="6" borderId="20" xfId="8" applyFont="1" applyFill="1" applyBorder="1" applyAlignment="1">
      <alignment horizontal="center" vertical="center"/>
    </xf>
    <xf numFmtId="0" fontId="14" fillId="6" borderId="5" xfId="8" applyFont="1" applyFill="1" applyBorder="1" applyAlignment="1">
      <alignment horizontal="center" vertical="center"/>
    </xf>
    <xf numFmtId="0" fontId="14" fillId="6" borderId="1" xfId="8" applyFont="1" applyFill="1" applyBorder="1" applyAlignment="1">
      <alignment horizontal="center" vertical="center"/>
    </xf>
    <xf numFmtId="0" fontId="14" fillId="6" borderId="23" xfId="8" applyFont="1" applyFill="1" applyBorder="1" applyAlignment="1">
      <alignment horizontal="center" vertical="center"/>
    </xf>
    <xf numFmtId="0" fontId="14" fillId="6" borderId="28" xfId="8" applyFont="1" applyFill="1" applyBorder="1" applyAlignment="1">
      <alignment horizontal="center" vertical="center"/>
    </xf>
    <xf numFmtId="0" fontId="14" fillId="6" borderId="7" xfId="8" applyFont="1" applyFill="1" applyBorder="1" applyAlignment="1">
      <alignment horizontal="center" vertical="center"/>
    </xf>
    <xf numFmtId="0" fontId="14" fillId="6" borderId="8" xfId="8" applyFont="1" applyFill="1" applyBorder="1" applyAlignment="1">
      <alignment horizontal="center" vertical="center"/>
    </xf>
    <xf numFmtId="0" fontId="14" fillId="6" borderId="2" xfId="8" applyFont="1" applyFill="1" applyBorder="1" applyAlignment="1">
      <alignment horizontal="center" vertical="center"/>
    </xf>
    <xf numFmtId="0" fontId="14" fillId="6" borderId="10" xfId="8" applyFont="1" applyFill="1" applyBorder="1" applyAlignment="1">
      <alignment horizontal="center" vertical="center"/>
    </xf>
    <xf numFmtId="0" fontId="14" fillId="6" borderId="11" xfId="8" applyFont="1" applyFill="1" applyBorder="1" applyAlignment="1">
      <alignment horizontal="center" vertical="center"/>
    </xf>
    <xf numFmtId="0" fontId="14" fillId="6" borderId="4" xfId="8" applyFont="1" applyFill="1" applyBorder="1" applyAlignment="1">
      <alignment horizontal="center" vertical="center"/>
    </xf>
    <xf numFmtId="0" fontId="13" fillId="0" borderId="19" xfId="8" applyFont="1" applyBorder="1" applyAlignment="1">
      <alignment horizontal="left" vertical="center" wrapText="1"/>
    </xf>
    <xf numFmtId="0" fontId="13" fillId="0" borderId="20" xfId="8" applyFont="1" applyBorder="1" applyAlignment="1">
      <alignment horizontal="left" vertical="center" wrapText="1"/>
    </xf>
    <xf numFmtId="0" fontId="13" fillId="0" borderId="5" xfId="8" applyFont="1" applyBorder="1" applyAlignment="1">
      <alignment horizontal="left" vertical="center" wrapText="1"/>
    </xf>
    <xf numFmtId="0" fontId="14" fillId="0" borderId="26" xfId="8" applyFont="1" applyBorder="1" applyAlignment="1">
      <alignment horizontal="center"/>
    </xf>
    <xf numFmtId="0" fontId="14" fillId="0" borderId="20" xfId="8" applyFont="1" applyBorder="1" applyAlignment="1">
      <alignment horizontal="center"/>
    </xf>
    <xf numFmtId="0" fontId="14" fillId="0" borderId="5" xfId="8" applyFont="1" applyBorder="1" applyAlignment="1">
      <alignment horizontal="center"/>
    </xf>
    <xf numFmtId="0" fontId="14" fillId="0" borderId="10" xfId="8" applyFont="1" applyBorder="1" applyAlignment="1">
      <alignment horizontal="center"/>
    </xf>
    <xf numFmtId="0" fontId="14" fillId="0" borderId="11" xfId="8" applyFont="1" applyBorder="1" applyAlignment="1">
      <alignment horizontal="center"/>
    </xf>
    <xf numFmtId="0" fontId="13" fillId="0" borderId="1" xfId="8" applyFont="1" applyBorder="1" applyAlignment="1">
      <alignment horizontal="center" vertical="center" wrapText="1"/>
    </xf>
    <xf numFmtId="0" fontId="13" fillId="2" borderId="26" xfId="8" applyFont="1" applyFill="1" applyBorder="1" applyAlignment="1">
      <alignment horizontal="center" vertical="center" wrapText="1"/>
    </xf>
    <xf numFmtId="0" fontId="13" fillId="2" borderId="20" xfId="8" applyFont="1" applyFill="1" applyBorder="1" applyAlignment="1">
      <alignment horizontal="center" vertical="center" wrapText="1"/>
    </xf>
    <xf numFmtId="0" fontId="13" fillId="2" borderId="5" xfId="8" applyFont="1" applyFill="1" applyBorder="1" applyAlignment="1">
      <alignment horizontal="center" vertical="center" wrapText="1"/>
    </xf>
    <xf numFmtId="0" fontId="12" fillId="0" borderId="1" xfId="8" applyFont="1" applyBorder="1" applyAlignment="1">
      <alignment horizontal="center" vertical="center"/>
    </xf>
    <xf numFmtId="0" fontId="12" fillId="2" borderId="26" xfId="8" applyFont="1" applyFill="1" applyBorder="1" applyAlignment="1">
      <alignment horizontal="center" vertical="center"/>
    </xf>
    <xf numFmtId="0" fontId="12" fillId="2" borderId="20" xfId="8" applyFont="1" applyFill="1" applyBorder="1" applyAlignment="1">
      <alignment horizontal="center" vertical="center"/>
    </xf>
    <xf numFmtId="0" fontId="12" fillId="2" borderId="5" xfId="8" applyFont="1" applyFill="1" applyBorder="1" applyAlignment="1">
      <alignment horizontal="center" vertical="center"/>
    </xf>
    <xf numFmtId="0" fontId="13" fillId="0" borderId="1" xfId="8" applyFont="1" applyBorder="1" applyAlignment="1">
      <alignment horizontal="left" vertical="center"/>
    </xf>
    <xf numFmtId="0" fontId="13" fillId="5" borderId="19" xfId="8" applyFont="1" applyFill="1" applyBorder="1" applyAlignment="1">
      <alignment horizontal="justify" vertical="center" wrapText="1"/>
    </xf>
    <xf numFmtId="0" fontId="13" fillId="5" borderId="20" xfId="8" applyFont="1" applyFill="1" applyBorder="1" applyAlignment="1">
      <alignment horizontal="justify" vertical="center" wrapText="1"/>
    </xf>
    <xf numFmtId="0" fontId="13" fillId="5" borderId="5" xfId="8" applyFont="1" applyFill="1" applyBorder="1" applyAlignment="1">
      <alignment horizontal="justify" vertical="center" wrapText="1"/>
    </xf>
    <xf numFmtId="2" fontId="18" fillId="0" borderId="0" xfId="2" applyNumberFormat="1" applyFont="1" applyAlignment="1">
      <alignment horizontal="left" wrapText="1"/>
    </xf>
    <xf numFmtId="2" fontId="11" fillId="0" borderId="13" xfId="12" applyBorder="1" applyAlignment="1">
      <alignment horizontal="left"/>
    </xf>
    <xf numFmtId="2" fontId="11" fillId="0" borderId="8" xfId="12" applyBorder="1" applyAlignment="1">
      <alignment horizontal="left"/>
    </xf>
    <xf numFmtId="2" fontId="11" fillId="0" borderId="2" xfId="12" applyBorder="1" applyAlignment="1">
      <alignment horizontal="left"/>
    </xf>
    <xf numFmtId="42" fontId="41" fillId="5" borderId="23" xfId="14" applyFont="1" applyFill="1" applyBorder="1" applyAlignment="1">
      <alignment horizontal="center" vertical="center" wrapText="1"/>
    </xf>
    <xf numFmtId="42" fontId="41" fillId="5" borderId="28" xfId="14" applyFont="1" applyFill="1" applyBorder="1" applyAlignment="1">
      <alignment horizontal="center" vertical="center" wrapText="1"/>
    </xf>
    <xf numFmtId="42" fontId="41" fillId="11" borderId="26" xfId="14" applyFont="1" applyFill="1" applyBorder="1" applyAlignment="1">
      <alignment horizontal="center" vertical="center" wrapText="1"/>
    </xf>
    <xf numFmtId="42" fontId="41" fillId="11" borderId="20" xfId="14" applyFont="1" applyFill="1" applyBorder="1" applyAlignment="1">
      <alignment horizontal="center" vertical="center" wrapText="1"/>
    </xf>
    <xf numFmtId="42" fontId="41" fillId="11" borderId="5" xfId="14" applyFont="1" applyFill="1" applyBorder="1" applyAlignment="1">
      <alignment horizontal="center" vertical="center" wrapText="1"/>
    </xf>
    <xf numFmtId="42" fontId="28" fillId="0" borderId="23" xfId="14" applyFont="1" applyBorder="1" applyAlignment="1">
      <alignment horizontal="center" vertical="center"/>
    </xf>
    <xf numFmtId="42" fontId="28" fillId="0" borderId="15" xfId="14" applyFont="1" applyBorder="1" applyAlignment="1">
      <alignment horizontal="center" vertical="center"/>
    </xf>
    <xf numFmtId="42" fontId="41" fillId="0" borderId="1" xfId="14" applyFont="1" applyBorder="1" applyAlignment="1">
      <alignment horizontal="center" vertical="center"/>
    </xf>
    <xf numFmtId="42" fontId="28" fillId="0" borderId="1" xfId="14" applyFont="1" applyBorder="1" applyAlignment="1">
      <alignment horizontal="center" vertical="center"/>
    </xf>
    <xf numFmtId="42" fontId="41" fillId="5" borderId="1" xfId="14" applyFont="1" applyFill="1" applyBorder="1" applyAlignment="1">
      <alignment horizontal="center" vertical="center" wrapText="1"/>
    </xf>
    <xf numFmtId="42" fontId="41" fillId="5" borderId="23" xfId="14" applyFont="1" applyFill="1" applyBorder="1" applyAlignment="1">
      <alignment horizontal="center" vertical="center"/>
    </xf>
    <xf numFmtId="42" fontId="41" fillId="5" borderId="28" xfId="14" applyFont="1" applyFill="1" applyBorder="1" applyAlignment="1">
      <alignment horizontal="center" vertical="center"/>
    </xf>
    <xf numFmtId="42" fontId="23" fillId="0" borderId="1" xfId="14" applyFont="1" applyBorder="1" applyAlignment="1">
      <alignment horizontal="center" vertical="center" wrapText="1"/>
    </xf>
    <xf numFmtId="42" fontId="26" fillId="0" borderId="0" xfId="14" applyFont="1" applyAlignment="1">
      <alignment horizontal="center" vertical="center"/>
    </xf>
    <xf numFmtId="42" fontId="23" fillId="0" borderId="59" xfId="14" applyFont="1" applyBorder="1" applyAlignment="1">
      <alignment horizontal="center" vertical="center"/>
    </xf>
    <xf numFmtId="42" fontId="23" fillId="0" borderId="60" xfId="14" applyFont="1" applyBorder="1" applyAlignment="1">
      <alignment horizontal="center" vertical="center"/>
    </xf>
    <xf numFmtId="42" fontId="23" fillId="0" borderId="61" xfId="14" applyFont="1" applyBorder="1" applyAlignment="1">
      <alignment horizontal="center" vertical="center"/>
    </xf>
    <xf numFmtId="42" fontId="35" fillId="0" borderId="37" xfId="14" applyFont="1" applyBorder="1" applyAlignment="1">
      <alignment horizontal="center" vertical="center"/>
    </xf>
    <xf numFmtId="42" fontId="35" fillId="0" borderId="38" xfId="14" applyFont="1" applyBorder="1" applyAlignment="1">
      <alignment horizontal="center" vertical="center"/>
    </xf>
    <xf numFmtId="42" fontId="35" fillId="0" borderId="39" xfId="14" applyFont="1" applyBorder="1" applyAlignment="1">
      <alignment horizontal="center" vertical="center"/>
    </xf>
    <xf numFmtId="42" fontId="37" fillId="9" borderId="40" xfId="14" applyFont="1" applyFill="1" applyBorder="1" applyAlignment="1">
      <alignment horizontal="justify" vertical="center" wrapText="1"/>
    </xf>
    <xf numFmtId="42" fontId="37" fillId="9" borderId="41" xfId="14" applyFont="1" applyFill="1" applyBorder="1" applyAlignment="1">
      <alignment horizontal="justify" vertical="center" wrapText="1"/>
    </xf>
    <xf numFmtId="42" fontId="37" fillId="9" borderId="43" xfId="14" applyFont="1" applyFill="1" applyBorder="1" applyAlignment="1">
      <alignment horizontal="justify" vertical="center" wrapText="1"/>
    </xf>
    <xf numFmtId="42" fontId="37" fillId="9" borderId="0" xfId="14" applyFont="1" applyFill="1" applyAlignment="1">
      <alignment horizontal="justify" vertical="center" wrapText="1"/>
    </xf>
    <xf numFmtId="42" fontId="38" fillId="9" borderId="40" xfId="14" applyFont="1" applyFill="1" applyBorder="1" applyAlignment="1">
      <alignment horizontal="center" vertical="center"/>
    </xf>
    <xf numFmtId="42" fontId="38" fillId="9" borderId="41" xfId="14" applyFont="1" applyFill="1" applyBorder="1" applyAlignment="1">
      <alignment horizontal="center" vertical="center"/>
    </xf>
    <xf numFmtId="42" fontId="23" fillId="0" borderId="44" xfId="14" applyFont="1" applyBorder="1" applyAlignment="1">
      <alignment horizontal="center" vertical="center" wrapText="1"/>
    </xf>
    <xf numFmtId="42" fontId="23" fillId="0" borderId="45" xfId="14" applyFont="1" applyBorder="1" applyAlignment="1">
      <alignment horizontal="center" vertical="center" wrapText="1"/>
    </xf>
    <xf numFmtId="165" fontId="21" fillId="0" borderId="1" xfId="29" applyFont="1" applyBorder="1" applyAlignment="1">
      <alignment horizontal="center"/>
    </xf>
    <xf numFmtId="201" fontId="21" fillId="0" borderId="0" xfId="28" applyNumberFormat="1" applyFont="1" applyAlignment="1">
      <alignment horizontal="center"/>
    </xf>
    <xf numFmtId="0" fontId="11" fillId="0" borderId="0" xfId="28" applyAlignment="1">
      <alignment horizontal="center"/>
    </xf>
    <xf numFmtId="0" fontId="85" fillId="0" borderId="0" xfId="26" applyFont="1" applyAlignment="1">
      <alignment horizontal="center" vertical="center"/>
    </xf>
    <xf numFmtId="0" fontId="86" fillId="0" borderId="0" xfId="26" applyFont="1" applyAlignment="1">
      <alignment horizontal="center" vertical="center"/>
    </xf>
    <xf numFmtId="0" fontId="87" fillId="0" borderId="0" xfId="28" applyFont="1" applyAlignment="1">
      <alignment horizontal="center"/>
    </xf>
    <xf numFmtId="0" fontId="21" fillId="0" borderId="0" xfId="28" applyFont="1" applyAlignment="1">
      <alignment horizontal="left" vertical="center" wrapText="1"/>
    </xf>
    <xf numFmtId="0" fontId="22" fillId="0" borderId="1" xfId="28" applyFont="1" applyBorder="1" applyAlignment="1">
      <alignment horizontal="center" vertical="center" wrapText="1"/>
    </xf>
  </cellXfs>
  <cellStyles count="49">
    <cellStyle name="Millares" xfId="1" builtinId="3"/>
    <cellStyle name="Millares [0] 2" xfId="21" xr:uid="{F92086E7-A9CB-4C84-B30A-F1FDC898C9D1}"/>
    <cellStyle name="Millares [0] 3" xfId="20" xr:uid="{70089B57-7DF7-4C41-9C7A-9B25918420B3}"/>
    <cellStyle name="Millares 10" xfId="47" xr:uid="{95C5FAC2-F6EA-4CEA-864D-6822DEF2B4B2}"/>
    <cellStyle name="Millares 10 4" xfId="45" xr:uid="{2C6CB82F-C459-462E-9A0A-B16401CEDD2E}"/>
    <cellStyle name="Millares 2 2 2" xfId="5" xr:uid="{00000000-0005-0000-0000-000001000000}"/>
    <cellStyle name="Millares 2 3" xfId="18" xr:uid="{00000000-0005-0000-0000-000002000000}"/>
    <cellStyle name="Millares 3" xfId="6" xr:uid="{00000000-0005-0000-0000-000003000000}"/>
    <cellStyle name="Millares 3 2" xfId="23" xr:uid="{CB4C9228-0943-476A-8BB1-05B67C3D5087}"/>
    <cellStyle name="Millares 3 2 4" xfId="44" xr:uid="{2660391B-7C90-4299-8B43-931234C2142D}"/>
    <cellStyle name="Millares 5" xfId="31" xr:uid="{9A13C354-05C5-4190-A282-1C552863F2A3}"/>
    <cellStyle name="Millares 6" xfId="34" xr:uid="{E34AB282-98CD-4B59-B264-CD1D5B7E83BF}"/>
    <cellStyle name="Millares_formatos APU AYAPEL 2" xfId="25" xr:uid="{1B9A9B25-4E9C-4394-B7F6-2F167F6EA184}"/>
    <cellStyle name="Millares_formatos APU AYAPEL 5" xfId="46" xr:uid="{E578289F-4E66-4D5C-A58D-ECDF42728701}"/>
    <cellStyle name="Moneda" xfId="17" builtinId="4"/>
    <cellStyle name="Moneda [0]" xfId="14" builtinId="7"/>
    <cellStyle name="Moneda [0] 5" xfId="24" xr:uid="{C1D261D6-20E3-40BD-895E-02B573A93A73}"/>
    <cellStyle name="Moneda 10" xfId="22" xr:uid="{289627D3-099E-4151-99FE-B1BC5BD073CE}"/>
    <cellStyle name="Moneda 10 2" xfId="29" xr:uid="{D9862066-115D-4CEB-8840-C01DAA646FEF}"/>
    <cellStyle name="Moneda 2" xfId="4" xr:uid="{00000000-0005-0000-0000-000007000000}"/>
    <cellStyle name="Moneda 3" xfId="9" xr:uid="{00000000-0005-0000-0000-000008000000}"/>
    <cellStyle name="Moneda 4" xfId="11" xr:uid="{00000000-0005-0000-0000-000009000000}"/>
    <cellStyle name="Normal" xfId="0" builtinId="0"/>
    <cellStyle name="Normal 10" xfId="32" xr:uid="{0FFC4C89-2001-403F-B251-205F9ED7A164}"/>
    <cellStyle name="Normal 12" xfId="40" xr:uid="{01830295-E282-4810-A525-F555ECD4E562}"/>
    <cellStyle name="Normal 14" xfId="26" xr:uid="{6804E6A0-1ED0-479C-97AE-FA88503969EB}"/>
    <cellStyle name="Normal 19" xfId="35" xr:uid="{EE6CDD08-4506-4635-9770-D8BBB5C91532}"/>
    <cellStyle name="Normal 19 5" xfId="38" xr:uid="{B5638A2A-6023-4ECC-A826-746536D659B7}"/>
    <cellStyle name="Normal 2" xfId="8" xr:uid="{00000000-0005-0000-0000-00000B000000}"/>
    <cellStyle name="Normal 2 2" xfId="12" xr:uid="{00000000-0005-0000-0000-00000C000000}"/>
    <cellStyle name="Normal 2 2 13" xfId="42" xr:uid="{01AE2D89-894A-42A3-9EC4-54DB858DE608}"/>
    <cellStyle name="Normal 2 2 2" xfId="28" xr:uid="{1A72324B-E6E6-424F-83C5-C431159C94D4}"/>
    <cellStyle name="Normal 2 2 2 2" xfId="30" xr:uid="{B56F1F7D-EB19-4581-8040-711227A8B2E9}"/>
    <cellStyle name="Normal 2 3 2" xfId="19" xr:uid="{00000000-0005-0000-0000-00000D000000}"/>
    <cellStyle name="Normal 2 4" xfId="2" xr:uid="{00000000-0005-0000-0000-00000E000000}"/>
    <cellStyle name="Normal 20 2" xfId="39" xr:uid="{B0A5D214-CF2E-4BA9-A1D5-39172A9417B3}"/>
    <cellStyle name="Normal 3" xfId="3" xr:uid="{00000000-0005-0000-0000-00000F000000}"/>
    <cellStyle name="Normal 3 2 14" xfId="15" xr:uid="{00000000-0005-0000-0000-000010000000}"/>
    <cellStyle name="Normal 4" xfId="10" xr:uid="{00000000-0005-0000-0000-000011000000}"/>
    <cellStyle name="Normal 4 3" xfId="36" xr:uid="{74E8E731-4690-4B55-A839-8DDCF5C77287}"/>
    <cellStyle name="Normal 42" xfId="48" xr:uid="{DACF4998-9DBF-484F-9F23-675E5815D1F6}"/>
    <cellStyle name="Normal 5" xfId="27" xr:uid="{3D5A98DF-F0C6-46B1-A958-6B751871593A}"/>
    <cellStyle name="Normal 5 2" xfId="37" xr:uid="{D802751B-BC78-4902-BDF3-D26AE9B73B70}"/>
    <cellStyle name="Normal 5 2 5" xfId="41" xr:uid="{D0383302-79B2-4D97-8558-D29DA44FF83D}"/>
    <cellStyle name="Normal_ISIDRO" xfId="33" xr:uid="{29AAE41E-7672-439B-B5C4-D8F00D746F7D}"/>
    <cellStyle name="Porcentaje" xfId="13" builtinId="5"/>
    <cellStyle name="Porcentaje 2" xfId="7" xr:uid="{00000000-0005-0000-0000-000013000000}"/>
    <cellStyle name="Porcentaje 4 2" xfId="43" xr:uid="{4621494A-B1AA-4BF6-B642-42D69CE33442}"/>
    <cellStyle name="Porcentual 2" xfId="16" xr:uid="{00000000-0005-0000-0000-00001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externalLink" Target="externalLinks/externalLink1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http://caucasia-antioquia.gov.co/apc-aa-files/62323433653663653032323937646232/escudo-caucasia2_3.jpg" TargetMode="External"/><Relationship Id="rId2" Type="http://schemas.openxmlformats.org/officeDocument/2006/relationships/image" Target="../media/image3.jpeg"/><Relationship Id="rId1" Type="http://schemas.openxmlformats.org/officeDocument/2006/relationships/hyperlink" Target="http://www.caucasia-antioquia.gov.co/index.shtml" TargetMode="External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http://caucasia-antioquia.gov.co/apc-aa-files/62323433653663653032323937646232/escudo-caucasia2_3.jpg" TargetMode="External"/><Relationship Id="rId2" Type="http://schemas.openxmlformats.org/officeDocument/2006/relationships/image" Target="../media/image5.jpeg"/><Relationship Id="rId1" Type="http://schemas.openxmlformats.org/officeDocument/2006/relationships/hyperlink" Target="http://www.caucasia-antioquia.gov.co/index.shtml" TargetMode="External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hyperlink" Target="http://www.caucasia-antioquia.gov.co/index.shtml" TargetMode="External"/><Relationship Id="rId1" Type="http://schemas.openxmlformats.org/officeDocument/2006/relationships/image" Target="../media/image4.png"/><Relationship Id="rId4" Type="http://schemas.openxmlformats.org/officeDocument/2006/relationships/image" Target="http://caucasia-antioquia.gov.co/apc-aa-files/62323433653663653032323937646232/escudo-caucasia2_3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69851</xdr:colOff>
      <xdr:row>0</xdr:row>
      <xdr:rowOff>95249</xdr:rowOff>
    </xdr:from>
    <xdr:to>
      <xdr:col>0</xdr:col>
      <xdr:colOff>667808</xdr:colOff>
      <xdr:row>2</xdr:row>
      <xdr:rowOff>248708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1" y="95249"/>
          <a:ext cx="597957" cy="750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106680</xdr:colOff>
      <xdr:row>36</xdr:row>
      <xdr:rowOff>7620</xdr:rowOff>
    </xdr:from>
    <xdr:to>
      <xdr:col>1</xdr:col>
      <xdr:colOff>1264920</xdr:colOff>
      <xdr:row>38</xdr:row>
      <xdr:rowOff>144780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AA3778A9-3CAE-4FA3-854A-007567F39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6824960"/>
          <a:ext cx="115824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49761</xdr:colOff>
      <xdr:row>0</xdr:row>
      <xdr:rowOff>84667</xdr:rowOff>
    </xdr:from>
    <xdr:to>
      <xdr:col>1</xdr:col>
      <xdr:colOff>142434</xdr:colOff>
      <xdr:row>3</xdr:row>
      <xdr:rowOff>65264</xdr:rowOff>
    </xdr:to>
    <xdr:pic>
      <xdr:nvPicPr>
        <xdr:cNvPr id="2" name="2 Imagen" descr="Escudo del Municipio Caucasia">
          <a:hlinkClick xmlns:r="http://schemas.openxmlformats.org/officeDocument/2006/relationships" r:id="rId1" tooltip="&quot;Pulse para consultar la página de inicio&quot;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1" y="84667"/>
          <a:ext cx="982467" cy="682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933450</xdr:colOff>
      <xdr:row>0</xdr:row>
      <xdr:rowOff>114300</xdr:rowOff>
    </xdr:from>
    <xdr:to>
      <xdr:col>6</xdr:col>
      <xdr:colOff>1011767</xdr:colOff>
      <xdr:row>4</xdr:row>
      <xdr:rowOff>66964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114300"/>
          <a:ext cx="1154642" cy="9908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30079</xdr:rowOff>
    </xdr:from>
    <xdr:to>
      <xdr:col>1</xdr:col>
      <xdr:colOff>341861</xdr:colOff>
      <xdr:row>4</xdr:row>
      <xdr:rowOff>139700</xdr:rowOff>
    </xdr:to>
    <xdr:pic>
      <xdr:nvPicPr>
        <xdr:cNvPr id="4" name="2 Imagen" descr="Escudo del Municipio Caucasia">
          <a:hlinkClick xmlns:r="http://schemas.openxmlformats.org/officeDocument/2006/relationships" r:id="rId1" tooltip="&quot;Pulse para consultar la página de inicio&quot;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0" y="30079"/>
          <a:ext cx="1072111" cy="897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994833</xdr:colOff>
      <xdr:row>0</xdr:row>
      <xdr:rowOff>33050</xdr:rowOff>
    </xdr:from>
    <xdr:to>
      <xdr:col>9</xdr:col>
      <xdr:colOff>906490</xdr:colOff>
      <xdr:row>4</xdr:row>
      <xdr:rowOff>158750</xdr:rowOff>
    </xdr:to>
    <xdr:pic>
      <xdr:nvPicPr>
        <xdr:cNvPr id="5" name="3 Imagen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0683" y="33050"/>
          <a:ext cx="1146732" cy="91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364068</xdr:colOff>
      <xdr:row>0</xdr:row>
      <xdr:rowOff>53340</xdr:rowOff>
    </xdr:from>
    <xdr:to>
      <xdr:col>3</xdr:col>
      <xdr:colOff>1173058</xdr:colOff>
      <xdr:row>4</xdr:row>
      <xdr:rowOff>119944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2BC0C805-275B-4089-AC7F-AF03E8DC9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3328" y="53340"/>
          <a:ext cx="808990" cy="920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220980</xdr:colOff>
      <xdr:row>0</xdr:row>
      <xdr:rowOff>106680</xdr:rowOff>
    </xdr:from>
    <xdr:to>
      <xdr:col>0</xdr:col>
      <xdr:colOff>1018258</xdr:colOff>
      <xdr:row>4</xdr:row>
      <xdr:rowOff>148449</xdr:rowOff>
    </xdr:to>
    <xdr:pic>
      <xdr:nvPicPr>
        <xdr:cNvPr id="3" name="2 Imagen" descr="Escudo del Municipio Caucasia">
          <a:hlinkClick xmlns:r="http://schemas.openxmlformats.org/officeDocument/2006/relationships" r:id="rId2" tooltip="&quot;Pulse para consultar la página de inicio&quot;"/>
          <a:extLst>
            <a:ext uri="{FF2B5EF4-FFF2-40B4-BE49-F238E27FC236}">
              <a16:creationId xmlns:a16="http://schemas.microsoft.com/office/drawing/2014/main" id="{03DD4AF8-1129-4507-BDB7-31EC22423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" y="106680"/>
          <a:ext cx="797278" cy="8952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danielagomeztobon/Documents/VIVA/Regal&#237;as/Magdalena%20Medio/Yond&#243;/Presupuesto/6m/Nasly/buzon/Users/Usuario/Desktop/Documents%20and%20Settings/Juan%20Arrubla/APU%20Secundaria%20Corvid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/Para%20presupuesto/Documents%20and%20Settings/67370/Configuraci&#243;n%20local/Archivos%20temporales%20de%20Internet/Content.IE5/UOTNRVQZ/Presupuesto%20correigio%20nora%20morales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otel%20Ginebra\Downloads\ANTIOQUIA\CAUCASIA\la%20aldea\INFORME%20DE%20DIAGNOSTICO\PREUP.%20ALTERNATIVAS%20%20PTAR%20PARAGUAY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milo/Desktop/Alcaldia/Presupuesto%20Bomba%20campo%20alegre/Bomba%20Campo%20alegr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mpusuccedu-my.sharepoint.com/Users/acardenas/AppData/Local/Microsoft/Windows/Temporary%20Internet%20Files/Content.IE5/IVF20PDN/HP/Documentos/MSOFFICE/Excel/SIACE/EXCEL/PPTO98/JAGUA/JAGUA1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HP/OneDrive%20-%20Universidad%20Cooperativa%20de%20Colombia/ALCALD&#205;A%20DE%20NECH&#205;/A&#209;O%202021/VIVIENDA/MEJORAMIENTO%20DE%20VIVIENDAS%20RURALES/PRESUPUESTO%20MEJORAMIENTO%20DE%20VIVIENDAS%2021-10-202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otel%20Ginebra\Downloads\ANTIOQUIA\CAUCASIA\la%20aldea\INFORME%20DE%20DIAGNOSTICO\USUARIOS\PROFESIONAL%201\PTARD%20SONSON\CALCULO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mpusuccedu-my.sharepoint.com/D/AFE/Mining/Admin/Template%20Models/Blank%2027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Desktop/Planeaci&#243;n%20Caucasia/27.%20PPTO%20MEJORAS%20LOCATIVAS%20CACER&#205;/01.%20PPTO%20MEJORAS%20LOCATIVAS%20CACER&#205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Unidad%20C\00-2004\San%20Pedro\Lagunas\Linea%20de%20Impulsion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asta%202006\E-Mails\TXT-%20EXCEL\SIMULACI&#211;NEDIFICIO.ok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rsonal/Desktop/2024/presupiesto%20liceo%20concejo/presupuesto%20cubierta%20LICEO%20CONCEJO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S\Desktop\PRESUPUESTOS%20puente%20parcelas%20union%20caceri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S\Desktop\ANUAR\PRES.%20MEJORAMIENTO%20CASA%20DE%20LA%20CULTURA%20-%20Reajustado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rsonal/Desktop/2024/ADECUACION%20COLISEO/PRESUPUESTO%20%20AJUSTADO%20COLISEO%20FI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PC3I4"/>
      <sheetName val="Hoja2"/>
      <sheetName val="Hoja3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Presupuesto correigio nora mo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Formular"/>
      <sheetName val="Recursos"/>
      <sheetName val="Equipo"/>
      <sheetName val="otros"/>
      <sheetName val="Analisis A.I.U."/>
      <sheetName val="OE 1"/>
      <sheetName val="OE 2"/>
      <sheetName val="OE 3"/>
      <sheetName val="OE 4"/>
      <sheetName val="OE 5"/>
      <sheetName val="OE 6"/>
      <sheetName val="OE 7"/>
      <sheetName val="OE 8"/>
      <sheetName val="OE 9"/>
      <sheetName val="OE 10"/>
      <sheetName val="OE 11"/>
      <sheetName val="ACTA 1 Y FINAL"/>
      <sheetName val="1,1,1"/>
      <sheetName val="1,1,2"/>
      <sheetName val="2,1,1"/>
      <sheetName val="2,1,2"/>
      <sheetName val="2,2,2"/>
      <sheetName val="2,2,3"/>
      <sheetName val="4,1,1"/>
      <sheetName val="4,1,2"/>
      <sheetName val="5,1,1"/>
      <sheetName val="6,1,1"/>
      <sheetName val="7,1,1"/>
      <sheetName val="7,1,2"/>
      <sheetName val="7,1,3"/>
      <sheetName val="7,1,5"/>
      <sheetName val="7,3,2"/>
      <sheetName val="7,3,3"/>
      <sheetName val="7,3,4"/>
      <sheetName val="7,3,5"/>
      <sheetName val="7,3,6"/>
      <sheetName val="7,4,1"/>
      <sheetName val="8,1,1"/>
      <sheetName val="8,1,2"/>
      <sheetName val="8,2,1,1"/>
      <sheetName val="8,2,1,2"/>
      <sheetName val="8,2,2,1"/>
      <sheetName val="8,2,2,2"/>
      <sheetName val="8,2,3,1"/>
      <sheetName val="8,2,3,2"/>
      <sheetName val="8,2,4,1"/>
      <sheetName val="8,2,5,1"/>
      <sheetName val="8,2,6,1"/>
      <sheetName val="8,3,1"/>
      <sheetName val="8,4,1"/>
      <sheetName val="8,7,1"/>
      <sheetName val="9,1,1"/>
      <sheetName val="OE1"/>
      <sheetName val="OE2"/>
      <sheetName val="OE3"/>
      <sheetName val="OE4"/>
      <sheetName val="OE5"/>
      <sheetName val="OE6"/>
      <sheetName val="OE7"/>
      <sheetName val="OE8"/>
      <sheetName val="OE9"/>
      <sheetName val="OE10"/>
      <sheetName val="OE11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INSUMOS_BASE2"/>
      <sheetName val="costos_mano_obra2"/>
      <sheetName val="ANEXOS_QUE_APLICAN2"/>
      <sheetName val="DATOS_GRALES2"/>
      <sheetName val="FORMATO_AU2"/>
      <sheetName val="CALCULO_ANTICIPO2"/>
      <sheetName val="GASTOS_DE_LEGALIZACIÓN2"/>
      <sheetName val="APU_AMBIENTAL2"/>
      <sheetName val="LISTA_VERIFICACIÓN_2"/>
      <sheetName val="INTERV_AMBIENTAL2"/>
      <sheetName val="APU_labores_arbolado_20142"/>
      <sheetName val="Presupuesto_correigio_nora_mora"/>
      <sheetName val="INSUMOS"/>
      <sheetName val="MAQUILA"/>
      <sheetName val="SUBPRODUC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>
        <row r="1">
          <cell r="C1">
            <v>0</v>
          </cell>
        </row>
      </sheetData>
      <sheetData sheetId="9">
        <row r="1">
          <cell r="C1">
            <v>0</v>
          </cell>
        </row>
      </sheetData>
      <sheetData sheetId="10">
        <row r="1">
          <cell r="C1">
            <v>0</v>
          </cell>
        </row>
      </sheetData>
      <sheetData sheetId="11"/>
      <sheetData sheetId="12"/>
      <sheetData sheetId="13"/>
      <sheetData sheetId="14">
        <row r="1">
          <cell r="C1">
            <v>0</v>
          </cell>
        </row>
      </sheetData>
      <sheetData sheetId="15">
        <row r="1">
          <cell r="C1">
            <v>0</v>
          </cell>
        </row>
      </sheetData>
      <sheetData sheetId="16">
        <row r="1">
          <cell r="C1">
            <v>0</v>
          </cell>
        </row>
      </sheetData>
      <sheetData sheetId="17">
        <row r="1">
          <cell r="C1">
            <v>0</v>
          </cell>
        </row>
      </sheetData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>
        <row r="1">
          <cell r="C1">
            <v>0</v>
          </cell>
        </row>
      </sheetData>
      <sheetData sheetId="23">
        <row r="1">
          <cell r="C1">
            <v>0</v>
          </cell>
        </row>
      </sheetData>
      <sheetData sheetId="24">
        <row r="1">
          <cell r="C1">
            <v>0</v>
          </cell>
        </row>
      </sheetData>
      <sheetData sheetId="25">
        <row r="1">
          <cell r="C1">
            <v>0</v>
          </cell>
        </row>
      </sheetData>
      <sheetData sheetId="26">
        <row r="1">
          <cell r="C1">
            <v>0</v>
          </cell>
        </row>
      </sheetData>
      <sheetData sheetId="27">
        <row r="1">
          <cell r="C1">
            <v>0</v>
          </cell>
        </row>
      </sheetData>
      <sheetData sheetId="28">
        <row r="1">
          <cell r="C1">
            <v>0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>
        <row r="1">
          <cell r="C1">
            <v>0</v>
          </cell>
        </row>
      </sheetData>
      <sheetData sheetId="34">
        <row r="1">
          <cell r="C1">
            <v>0</v>
          </cell>
        </row>
      </sheetData>
      <sheetData sheetId="35">
        <row r="1">
          <cell r="C1">
            <v>0</v>
          </cell>
        </row>
      </sheetData>
      <sheetData sheetId="36">
        <row r="1">
          <cell r="C1">
            <v>0</v>
          </cell>
        </row>
      </sheetData>
      <sheetData sheetId="37">
        <row r="1">
          <cell r="C1">
            <v>0</v>
          </cell>
        </row>
      </sheetData>
      <sheetData sheetId="38">
        <row r="1">
          <cell r="C1">
            <v>0</v>
          </cell>
        </row>
      </sheetData>
      <sheetData sheetId="39">
        <row r="1">
          <cell r="C1">
            <v>0</v>
          </cell>
        </row>
      </sheetData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>
        <row r="1">
          <cell r="C1">
            <v>0</v>
          </cell>
        </row>
      </sheetData>
      <sheetData sheetId="47"/>
      <sheetData sheetId="48">
        <row r="1">
          <cell r="C1">
            <v>0</v>
          </cell>
        </row>
      </sheetData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>
        <row r="1">
          <cell r="C1">
            <v>0</v>
          </cell>
        </row>
      </sheetData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>
        <row r="1">
          <cell r="C1">
            <v>0</v>
          </cell>
        </row>
      </sheetData>
      <sheetData sheetId="106"/>
      <sheetData sheetId="107">
        <row r="1">
          <cell r="C1">
            <v>0</v>
          </cell>
        </row>
      </sheetData>
      <sheetData sheetId="108"/>
      <sheetData sheetId="109"/>
      <sheetData sheetId="110"/>
      <sheetData sheetId="111"/>
      <sheetData sheetId="112"/>
      <sheetData sheetId="113">
        <row r="1">
          <cell r="C1">
            <v>0</v>
          </cell>
        </row>
      </sheetData>
      <sheetData sheetId="114">
        <row r="1">
          <cell r="C1">
            <v>0</v>
          </cell>
        </row>
      </sheetData>
      <sheetData sheetId="115">
        <row r="1">
          <cell r="C1">
            <v>0</v>
          </cell>
        </row>
      </sheetData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R1"/>
      <sheetName val="CRITERIOS DE DISEÑO"/>
      <sheetName val="CAUDAL SUTRO"/>
      <sheetName val="PARSHALL"/>
      <sheetName val="LISTADO DE ITEMS"/>
      <sheetName val="ANEXO R2"/>
      <sheetName val="PRESENTACION"/>
      <sheetName val="PRELIMINAR"/>
      <sheetName val="CANTIDADES PRELIMINAR"/>
      <sheetName val="PRESUPUESTO PRELIMINAR"/>
      <sheetName val="ANEXO R2-2"/>
      <sheetName val="ESQUEMA 1 "/>
      <sheetName val="SEDIMENTADOR PRIMARIO ALT. 1"/>
      <sheetName val="CANTIDADES S.P. ALT. 1"/>
      <sheetName val="PRESUPUESTO S.P.  ALT. 1"/>
      <sheetName val="DIGESTOR ANEROBIO ALT. 1"/>
      <sheetName val="CANTIDADES D.A. ALT. 1"/>
      <sheetName val="PRESUPUESTO D.A.  ALT. 1"/>
      <sheetName val="LECHOS DE SECADO ALT. 1"/>
      <sheetName val="CANTIDADES L.S. ALT. 1"/>
      <sheetName val="PRESUPUESTO L.S.  ALT. 1"/>
      <sheetName val="ESQUEMA 2 "/>
      <sheetName val="SEDIMENTADOR ALTA TASA ALT.2"/>
      <sheetName val="CANTIDADES SEDIMENTADOR 2"/>
      <sheetName val="PRESUPUESTO SEDIMENTADOR 2"/>
      <sheetName val="DIGESTOR ANEROBIO ALT. 2"/>
      <sheetName val="CANTIDADES D.A. ALT. 2"/>
      <sheetName val="PRESUPUESTO D.A.  ALT. 2"/>
      <sheetName val="LECHOS DE SECADO ALT. 2"/>
      <sheetName val="CANTIDADES L.S. ALT. 2"/>
      <sheetName val="PRESUPUESTO L.S.  ALT. 2"/>
      <sheetName val="ESQUEMA 3 "/>
      <sheetName val="SEDIMENTADOR PRIMARIO ALT 3"/>
      <sheetName val="CANTIDADES S.P. ALT. 3"/>
      <sheetName val="PRESUPUESTO S.P.  ALT. 3"/>
      <sheetName val="DIGESTOR ANEROBIO ALT. 3"/>
      <sheetName val="CANTIDADES D.A. ALT. 3"/>
      <sheetName val="PRESUPUESTO D.A.  ALT. 3"/>
      <sheetName val="UASB ALT.3"/>
      <sheetName val="CANTIDADES U.A.S.B. ALT. 3"/>
      <sheetName val="PRESUPUESTO UASB  ALT. 3"/>
      <sheetName val="LECHOS DE SECADO ALT. 3"/>
      <sheetName val="CANTIDADES L.S. ALT. 3"/>
      <sheetName val="PRESUPUESTO L.S.  ALT. 3"/>
      <sheetName val="ESQUEMA 4 "/>
      <sheetName val="SEDIMENTADOR ALT.  4"/>
      <sheetName val="CANTIDADES S.P. ALT. 4"/>
      <sheetName val="PRESUPUESTO S.P.  ALT. 4"/>
      <sheetName val="DIGESTOR ANEROBIO ALT. 4"/>
      <sheetName val="CANTIDADES D.A. ALT. 4"/>
      <sheetName val="PRESUPUESTO D.A.  ALT. 4"/>
      <sheetName val="UASB ALT. 4"/>
      <sheetName val="CANTIDAD U.A.S.B. 4"/>
      <sheetName val="PRESUPUESTO UASB  ALT. 4"/>
      <sheetName val="LECHOS DE SECADO ALT. 4"/>
      <sheetName val="CANTIDADES L.S. ALT. 4"/>
      <sheetName val="PRESUPUESTO L.S.  ALT. 4"/>
      <sheetName val="ESQUEMA 5"/>
      <sheetName val="SEDIMENTADOR ALT.  5"/>
      <sheetName val="CANTIDADES S.P. ALT. 5"/>
      <sheetName val="PRESUPUESTO S.P.  ALT. 5"/>
      <sheetName val="DIGESTOR ANEROBIO ALT. 5"/>
      <sheetName val="CANTIDADES D.A. ALT. 5"/>
      <sheetName val="PRESUPUESTO D.A.  ALT. 5"/>
      <sheetName val="FILTRO ANAEROBIO ALT. 5"/>
      <sheetName val="CANTIDADES F.A. ALT. 5"/>
      <sheetName val="PRESUPUESTO F.A. ALT. 5"/>
      <sheetName val="LECHOS DE SECADO ALT. 5"/>
      <sheetName val="CANTIDADES L.S. ALT. 5"/>
      <sheetName val="PRESUPUESTO L.S.  ALT. 5"/>
      <sheetName val="ESQUEMA 6"/>
      <sheetName val="LODOS ACTIVADOS ALT. 6"/>
      <sheetName val="CANTIDAD L.A. ALT. 6"/>
      <sheetName val="PRESUPUESTO L.A. ALT. 6"/>
      <sheetName val="SEDIMENTADOR SEC. ALT. 6"/>
      <sheetName val="CANTIDADES S.S. ALT. 6"/>
      <sheetName val="PRESUPUESTO S.S.  ALT. 6"/>
      <sheetName val="DIGESTOR ANEROBIO ALT. 6"/>
      <sheetName val="CANTIDADES D.A. ALT. 6"/>
      <sheetName val="PRESUPUESTO D.A.  ALT. 6"/>
      <sheetName val="LECHOS DE SECADO ALT.6"/>
      <sheetName val="CANTIDADES L.S. ALT.6"/>
      <sheetName val="PRESUPUESTO L.S.  ALT. 6"/>
      <sheetName val="ESQUEMA 7"/>
      <sheetName val="SEDIMENTADOR PRIMARIO ALT. 7"/>
      <sheetName val="CANTIDADES S.P. ALT. 7"/>
      <sheetName val="PRESUPUESTO S.P.  ALT. 7"/>
      <sheetName val="FILTRO PERCOLADOR ALT. 7"/>
      <sheetName val="CANTIDADES F.P. ALT. 7"/>
      <sheetName val="PRESUPUESTO F.P.  ALT. 7"/>
      <sheetName val="SEDIMENTADOR SEC. ALT. 7"/>
      <sheetName val="CANTIDADES S.S. ALT. 7"/>
      <sheetName val="PRESUPUESTO S.S.  ALT. 7"/>
      <sheetName val="DIGESTOR ANEROBIO ALT. 7"/>
      <sheetName val="CANTIDADES D.A. ALT. 7"/>
      <sheetName val="PRESUPUESTO D.A.  ALT. 7"/>
      <sheetName val="LECHOS DE SECADO ALT. 7"/>
      <sheetName val="CANTIDADES L.S. ALT. 7"/>
      <sheetName val="PRESUPUESTO L.S.  ALT. 7"/>
      <sheetName val="ESQUEMA 8"/>
      <sheetName val="UASB ALT. 8"/>
      <sheetName val="CANTIDAD U.A.S.B. ALT. 8"/>
      <sheetName val="PRESUPUESTO UASB  ALT. 8"/>
      <sheetName val="LECHOS DE SECADO ALT. 8"/>
      <sheetName val="CANTIDADES L.S. ALT. 8"/>
      <sheetName val="PRESUPUESTO L.S.  ALT. 8"/>
      <sheetName val="LAGUNA FACULTATIVA ALT 8"/>
      <sheetName val="CANTIDADES LAGUNA 8"/>
      <sheetName val="PRESUPUESTO LAGUNA 8"/>
      <sheetName val="ANEXO R3"/>
      <sheetName val="RESUMEN VALOR OBRAS CIVILES"/>
      <sheetName val="AREA PARA LAS ALTERNATIVAS"/>
      <sheetName val="RESUMEN DE AREA"/>
      <sheetName val="VALOR DE LAS ALTERNATIVAS"/>
      <sheetName val="VALOR TOTAL DE LAS ALTERNATIVAS"/>
      <sheetName val="ESQUEMA 1 90%"/>
      <sheetName val="UASB ALT. 1-90"/>
      <sheetName val="CANTIDAD U.A.S.B. ALT 1-90"/>
      <sheetName val="PRESUPUESTO UASB  ALT. 1-90"/>
      <sheetName val="FILTRO PERCOLADOR ALT. 1-90"/>
      <sheetName val="CANTIDADES F.P. ALT. 1-90"/>
      <sheetName val="PRESUPUESTO F.P.  ALT. 1-90"/>
      <sheetName val="SEDIMENTADOR SEC. ALT. 1-90"/>
      <sheetName val="CANTIDADES S.S. ALT. 1-90"/>
      <sheetName val="PRESUPUESTO S.S.  ALT. 1-90"/>
      <sheetName val="LECHOS DE SECADO ALT. 1-90"/>
      <sheetName val="CANTIDADES L.S. ALT. 1-90"/>
      <sheetName val="PRESUPUESTO L.S.  ALT. 1-90"/>
      <sheetName val="ESQUEMA 2 90%"/>
      <sheetName val="FILTRO ANAEROBIO ALT. 2-90"/>
      <sheetName val="CANTIDADES F.A. ALT. 2-90"/>
      <sheetName val="PRESUPUESTO F.A. ALT. 2-90"/>
      <sheetName val="FILTRO PERCOLADOR ALT. 2-90"/>
      <sheetName val="CANTIDADES F.P. ALT. 2-90"/>
      <sheetName val="PRESUPUESTO F.P.  ALT. 2-90"/>
      <sheetName val="SEDIMENTADOR SEC. ALT. 2-90"/>
      <sheetName val="CANTIDADES S.S. ALT. 2-90"/>
      <sheetName val="PRESUPUESTO S.S.  ALT. 2-90"/>
      <sheetName val="LECHOS DE SECADO ALT. 2-90"/>
      <sheetName val="CANTIDADES L.S. ALT. 2-90"/>
      <sheetName val="PRESUPUESTO L.S.  ALT. 2-90"/>
      <sheetName val="ESQUEMA 3 90%"/>
      <sheetName val="LODOS AIR. EXTENDIDA ALT. 3-90"/>
      <sheetName val="CANTIDAD L.A. ALT. 3-90"/>
      <sheetName val="PRESUPUESTO L.A. ALT. 3-90"/>
      <sheetName val="SEDIMENTADOR SEC. ALT. 3-90"/>
      <sheetName val="CANTIDADES S.S. ALT. 3-90"/>
      <sheetName val="PRESUPUESTO S.S.  ALT. 3-90"/>
      <sheetName val="DIGESTOR ANEROBIO ALT. 3-90"/>
      <sheetName val="CANTIDADES D.A. ALT. 3-90"/>
      <sheetName val="PRESUPUESTO D.A.  ALT. 3-90"/>
      <sheetName val="LECHOS DE SECADO ALT. 3-90"/>
      <sheetName val="CANTIDADES L.S. ALT. 3-90"/>
      <sheetName val="PRESUPUESTO L.S.  ALT. 3-90"/>
      <sheetName val="ESQUEMA 4 90%"/>
      <sheetName val="SEDIMENTADOR PRIMARIO ALT. 4-90"/>
      <sheetName val="CANTIDADES S.P. ALT. 4-90"/>
      <sheetName val="PRESUPUESTO S.P.  ALT. 4-90"/>
      <sheetName val="FILTRO PERCOLADOR ALT. 4-90"/>
      <sheetName val="CANTIDADES F.P. ALT. 4-90"/>
      <sheetName val="PRESUPUESTO F.P.  ALT. 4-90"/>
      <sheetName val="SEDIMENTADOR SEC. ALT. 4-90"/>
      <sheetName val="CANTIDADES S.S. ALT. 4-90"/>
      <sheetName val="PRESUPUESTO S.S.  ALT. 4-90"/>
      <sheetName val="DIGESTOR ANEROBIO ALT. 4-90"/>
      <sheetName val="CANTIDADES D.A. ALT. 4-90"/>
      <sheetName val="PRESUPUESTO D.A.  ALT. 4-90"/>
      <sheetName val="LECHOS DE SECADO ALT. 4-90"/>
      <sheetName val="CANTIDADES L.S. ALT. 4-90"/>
      <sheetName val="PRESUPUESTO L.S.  ALT. 4-90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">
          <cell r="B5">
            <v>27.12</v>
          </cell>
        </row>
        <row r="7">
          <cell r="B7">
            <v>1</v>
          </cell>
        </row>
        <row r="8">
          <cell r="B8">
            <v>2</v>
          </cell>
        </row>
        <row r="12">
          <cell r="B12">
            <v>1.2</v>
          </cell>
        </row>
        <row r="14">
          <cell r="B14">
            <v>0.01</v>
          </cell>
        </row>
        <row r="16">
          <cell r="B16">
            <v>1.0471975511965976</v>
          </cell>
        </row>
        <row r="18">
          <cell r="B18">
            <v>120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GENERAL"/>
      <sheetName val="ACTA FINAL N°1"/>
      <sheetName val="MEMORIA DE CANTIDADES"/>
      <sheetName val="LISTADO DE RECURSOS"/>
      <sheetName val="APUS"/>
      <sheetName val="APAs"/>
      <sheetName val="CRONOGRAMA"/>
      <sheetName val="A.U"/>
      <sheetName val="FACTOR PRESTACIONAL"/>
    </sheetNames>
    <sheetDataSet>
      <sheetData sheetId="0"/>
      <sheetData sheetId="1"/>
      <sheetData sheetId="2"/>
      <sheetData sheetId="3"/>
      <sheetData sheetId="4">
        <row r="1">
          <cell r="B1" t="str">
            <v>SUMINISTRO E INSTALACION DE BOMBA SUMERGIBLE TIPO LAPICERO PARA LA COMUNIDAD DEL CENTRO POBLADO CAMPO ALEGRE EN EL MUNICIPIO DE CAUCASIA ANTIOQUIA.</v>
          </cell>
          <cell r="C1"/>
          <cell r="D1"/>
          <cell r="E1"/>
          <cell r="F1"/>
          <cell r="G1"/>
          <cell r="H1"/>
          <cell r="I1"/>
          <cell r="J1"/>
          <cell r="K1"/>
          <cell r="L1"/>
          <cell r="M1"/>
          <cell r="N1"/>
        </row>
        <row r="2">
          <cell r="B2"/>
          <cell r="C2"/>
          <cell r="D2"/>
          <cell r="E2"/>
          <cell r="F2"/>
          <cell r="G2"/>
          <cell r="H2"/>
          <cell r="I2"/>
          <cell r="J2"/>
          <cell r="K2"/>
          <cell r="L2"/>
          <cell r="M2"/>
          <cell r="N2"/>
        </row>
        <row r="3">
          <cell r="B3"/>
          <cell r="C3"/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</row>
        <row r="4">
          <cell r="B4"/>
          <cell r="C4" t="e">
            <v>#N/A</v>
          </cell>
          <cell r="D4"/>
          <cell r="E4"/>
          <cell r="F4"/>
          <cell r="G4"/>
          <cell r="H4"/>
          <cell r="I4"/>
          <cell r="J4"/>
          <cell r="K4"/>
          <cell r="L4"/>
          <cell r="M4"/>
          <cell r="N4"/>
        </row>
        <row r="5">
          <cell r="B5" t="str">
            <v>ANALISIS DE PRECIO UNITARIO.</v>
          </cell>
          <cell r="C5"/>
          <cell r="D5"/>
          <cell r="E5"/>
          <cell r="F5"/>
          <cell r="G5"/>
          <cell r="H5"/>
          <cell r="I5"/>
          <cell r="J5"/>
          <cell r="K5"/>
          <cell r="L5"/>
          <cell r="M5"/>
          <cell r="N5"/>
        </row>
        <row r="6">
          <cell r="B6"/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</row>
        <row r="7">
          <cell r="B7"/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  <cell r="N7"/>
        </row>
        <row r="8">
          <cell r="B8" t="str">
            <v>DATOS ESPECÍFICOS</v>
          </cell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  <cell r="N8"/>
        </row>
        <row r="9">
          <cell r="B9" t="str">
            <v>ITEM</v>
          </cell>
          <cell r="C9" t="str">
            <v>DESCRIPCIÓN</v>
          </cell>
          <cell r="D9"/>
          <cell r="E9"/>
          <cell r="F9"/>
          <cell r="G9"/>
          <cell r="H9"/>
          <cell r="I9"/>
          <cell r="J9"/>
          <cell r="K9" t="str">
            <v>PRECIO</v>
          </cell>
          <cell r="L9" t="str">
            <v>UNIDAD</v>
          </cell>
          <cell r="M9"/>
          <cell r="N9" t="str">
            <v>CANTIDAD TOTAL</v>
          </cell>
        </row>
        <row r="10">
          <cell r="B10">
            <v>1</v>
          </cell>
          <cell r="C10" t="str">
            <v>SUMINISTRO E INSTALACION DE BOMBA SUMERGIBLE 10 HP 220V/3 FASES DESCARGAS 2" PARA POZO DE 4".</v>
          </cell>
          <cell r="D10"/>
          <cell r="E10"/>
          <cell r="F10"/>
          <cell r="G10"/>
          <cell r="H10"/>
          <cell r="I10"/>
          <cell r="J10"/>
          <cell r="K10">
            <v>11648969</v>
          </cell>
          <cell r="L10" t="str">
            <v>UND</v>
          </cell>
          <cell r="M10"/>
          <cell r="N10">
            <v>1</v>
          </cell>
        </row>
        <row r="11"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</row>
        <row r="12">
          <cell r="B12" t="str">
            <v>I. EQUIPO</v>
          </cell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</row>
        <row r="13"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</row>
        <row r="14">
          <cell r="B14" t="str">
            <v>DESCRIPCIÓN</v>
          </cell>
          <cell r="C14"/>
          <cell r="D14"/>
          <cell r="E14"/>
          <cell r="F14"/>
          <cell r="G14"/>
          <cell r="H14"/>
          <cell r="I14" t="str">
            <v>TIPO</v>
          </cell>
          <cell r="J14" t="str">
            <v>UNIDAD</v>
          </cell>
          <cell r="K14" t="str">
            <v>TARIFA</v>
          </cell>
          <cell r="L14" t="str">
            <v>RENDIMIENTO</v>
          </cell>
          <cell r="M14"/>
          <cell r="N14" t="str">
            <v>Vr. UNITARIO</v>
          </cell>
        </row>
        <row r="15">
          <cell r="B15" t="str">
            <v/>
          </cell>
          <cell r="C15"/>
          <cell r="D15"/>
          <cell r="E15"/>
          <cell r="F15"/>
          <cell r="G15"/>
          <cell r="H15"/>
          <cell r="I15"/>
          <cell r="J15" t="str">
            <v/>
          </cell>
          <cell r="K15">
            <v>0</v>
          </cell>
          <cell r="L15"/>
          <cell r="M15"/>
          <cell r="N15">
            <v>0</v>
          </cell>
        </row>
        <row r="16">
          <cell r="B16" t="str">
            <v/>
          </cell>
          <cell r="C16"/>
          <cell r="D16"/>
          <cell r="E16"/>
          <cell r="F16"/>
          <cell r="G16"/>
          <cell r="H16"/>
          <cell r="I16"/>
          <cell r="J16" t="str">
            <v/>
          </cell>
          <cell r="K16">
            <v>0</v>
          </cell>
          <cell r="L16"/>
          <cell r="M16"/>
          <cell r="N16">
            <v>0</v>
          </cell>
        </row>
        <row r="17">
          <cell r="B17" t="str">
            <v/>
          </cell>
          <cell r="C17"/>
          <cell r="D17"/>
          <cell r="E17"/>
          <cell r="F17"/>
          <cell r="G17"/>
          <cell r="H17"/>
          <cell r="I17"/>
          <cell r="J17" t="str">
            <v/>
          </cell>
          <cell r="K17">
            <v>0</v>
          </cell>
          <cell r="L17"/>
          <cell r="M17"/>
          <cell r="N17">
            <v>0</v>
          </cell>
        </row>
        <row r="18">
          <cell r="B18" t="str">
            <v xml:space="preserve">Diferencial </v>
          </cell>
          <cell r="C18"/>
          <cell r="D18"/>
          <cell r="E18"/>
          <cell r="F18"/>
          <cell r="G18"/>
          <cell r="H18"/>
          <cell r="I18"/>
          <cell r="J18" t="str">
            <v>Dia</v>
          </cell>
          <cell r="K18">
            <v>50000</v>
          </cell>
          <cell r="L18">
            <v>1</v>
          </cell>
          <cell r="M18"/>
          <cell r="N18">
            <v>50000</v>
          </cell>
        </row>
        <row r="19">
          <cell r="B19" t="str">
            <v>Andamio</v>
          </cell>
          <cell r="C19"/>
          <cell r="D19"/>
          <cell r="E19"/>
          <cell r="F19"/>
          <cell r="G19"/>
          <cell r="H19"/>
          <cell r="I19"/>
          <cell r="J19" t="str">
            <v>Día</v>
          </cell>
          <cell r="K19">
            <v>6000</v>
          </cell>
          <cell r="L19">
            <v>3</v>
          </cell>
          <cell r="M19"/>
          <cell r="N19">
            <v>18000</v>
          </cell>
        </row>
        <row r="20">
          <cell r="B20" t="str">
            <v>Herramienta menor %</v>
          </cell>
          <cell r="C20"/>
          <cell r="D20"/>
          <cell r="E20"/>
          <cell r="F20"/>
          <cell r="G20"/>
          <cell r="H20"/>
          <cell r="I20"/>
          <cell r="J20" t="str">
            <v>% de M.O</v>
          </cell>
          <cell r="K20">
            <v>0.05</v>
          </cell>
          <cell r="L20"/>
          <cell r="M20"/>
          <cell r="N20">
            <v>25093.75</v>
          </cell>
        </row>
        <row r="21">
          <cell r="B21" t="str">
            <v/>
          </cell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</row>
        <row r="22">
          <cell r="B22" t="str">
            <v>SUBTOTAL $</v>
          </cell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>
            <v>93093.75</v>
          </cell>
        </row>
        <row r="23"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</row>
        <row r="24">
          <cell r="B24" t="str">
            <v>II. MATERIALES</v>
          </cell>
          <cell r="C24"/>
          <cell r="D24"/>
          <cell r="E24"/>
          <cell r="F24"/>
          <cell r="G24"/>
          <cell r="H24"/>
          <cell r="I24"/>
          <cell r="J24"/>
          <cell r="K24"/>
          <cell r="L24"/>
          <cell r="M24"/>
          <cell r="N24"/>
        </row>
        <row r="25"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L25"/>
          <cell r="M25"/>
          <cell r="N25"/>
        </row>
        <row r="26">
          <cell r="B26" t="str">
            <v>DESCRIPCIÓN</v>
          </cell>
          <cell r="C26"/>
          <cell r="D26"/>
          <cell r="E26"/>
          <cell r="F26"/>
          <cell r="G26"/>
          <cell r="H26"/>
          <cell r="I26"/>
          <cell r="J26" t="str">
            <v>UNIDAD</v>
          </cell>
          <cell r="K26" t="str">
            <v>CANTIDAD</v>
          </cell>
          <cell r="L26" t="str">
            <v>PRECIO UNIT.</v>
          </cell>
          <cell r="M26"/>
          <cell r="N26" t="str">
            <v>Vr. UNITARIO</v>
          </cell>
        </row>
        <row r="27">
          <cell r="B27" t="str">
            <v>SUMINISTRO E INSTALACION DE BOMBA SUMERGIBLE 10 HP 220V/3 FASES DESCARGAS 2" PARA POZO DE 4".</v>
          </cell>
          <cell r="C27"/>
          <cell r="D27"/>
          <cell r="E27"/>
          <cell r="F27"/>
          <cell r="G27"/>
          <cell r="H27"/>
          <cell r="I27"/>
          <cell r="J27" t="str">
            <v>Unidad</v>
          </cell>
          <cell r="K27">
            <v>1</v>
          </cell>
          <cell r="L27">
            <v>9449000</v>
          </cell>
          <cell r="M27"/>
          <cell r="N27">
            <v>9449000</v>
          </cell>
        </row>
        <row r="28">
          <cell r="B28" t="str">
            <v>CABLE EN ACERO 3/8"</v>
          </cell>
          <cell r="C28"/>
          <cell r="D28"/>
          <cell r="E28"/>
          <cell r="F28"/>
          <cell r="G28"/>
          <cell r="H28"/>
          <cell r="I28"/>
          <cell r="J28" t="str">
            <v>Metro</v>
          </cell>
          <cell r="K28">
            <v>150</v>
          </cell>
          <cell r="L28">
            <v>10450</v>
          </cell>
          <cell r="M28"/>
          <cell r="N28">
            <v>1567500</v>
          </cell>
        </row>
        <row r="29">
          <cell r="B29" t="str">
            <v/>
          </cell>
          <cell r="C29"/>
          <cell r="D29"/>
          <cell r="E29"/>
          <cell r="F29"/>
          <cell r="G29"/>
          <cell r="H29"/>
          <cell r="I29"/>
          <cell r="J29" t="str">
            <v/>
          </cell>
          <cell r="K29"/>
          <cell r="L29">
            <v>0</v>
          </cell>
          <cell r="M29"/>
          <cell r="N29">
            <v>0</v>
          </cell>
        </row>
        <row r="30">
          <cell r="B30" t="str">
            <v/>
          </cell>
          <cell r="C30"/>
          <cell r="D30"/>
          <cell r="E30"/>
          <cell r="F30"/>
          <cell r="G30"/>
          <cell r="H30"/>
          <cell r="I30"/>
          <cell r="J30" t="str">
            <v/>
          </cell>
          <cell r="K30"/>
          <cell r="L30">
            <v>0</v>
          </cell>
          <cell r="M30"/>
          <cell r="N30">
            <v>0</v>
          </cell>
        </row>
        <row r="31">
          <cell r="B31" t="str">
            <v/>
          </cell>
          <cell r="C31"/>
          <cell r="D31"/>
          <cell r="E31"/>
          <cell r="F31"/>
          <cell r="G31"/>
          <cell r="H31"/>
          <cell r="I31"/>
          <cell r="J31" t="str">
            <v/>
          </cell>
          <cell r="K31"/>
          <cell r="L31">
            <v>0</v>
          </cell>
          <cell r="M31"/>
          <cell r="N31">
            <v>0</v>
          </cell>
        </row>
        <row r="32">
          <cell r="B32" t="str">
            <v/>
          </cell>
          <cell r="C32"/>
          <cell r="D32"/>
          <cell r="E32"/>
          <cell r="F32"/>
          <cell r="G32"/>
          <cell r="H32"/>
          <cell r="I32"/>
          <cell r="J32" t="str">
            <v/>
          </cell>
          <cell r="K32"/>
          <cell r="L32"/>
          <cell r="M32"/>
          <cell r="N32"/>
        </row>
        <row r="33">
          <cell r="B33" t="str">
            <v>SUBTOTAL $</v>
          </cell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>
            <v>11016500</v>
          </cell>
        </row>
        <row r="34"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L34"/>
          <cell r="M34"/>
          <cell r="N34"/>
        </row>
        <row r="35">
          <cell r="B35" t="str">
            <v>III. TRANSPORTES</v>
          </cell>
          <cell r="C35"/>
          <cell r="D35"/>
          <cell r="E35"/>
          <cell r="F35"/>
          <cell r="G35"/>
          <cell r="H35"/>
          <cell r="I35"/>
          <cell r="J35"/>
          <cell r="K35"/>
          <cell r="L35"/>
          <cell r="M35"/>
          <cell r="N35"/>
        </row>
        <row r="36">
          <cell r="B36"/>
          <cell r="C36"/>
          <cell r="D36"/>
          <cell r="E36"/>
          <cell r="F36"/>
          <cell r="G36"/>
          <cell r="H36"/>
          <cell r="I36"/>
          <cell r="J36"/>
          <cell r="K36"/>
          <cell r="L36"/>
          <cell r="M36"/>
          <cell r="N36"/>
        </row>
        <row r="37">
          <cell r="B37" t="str">
            <v>MATERIAL O EQUIPO</v>
          </cell>
          <cell r="C37"/>
          <cell r="D37"/>
          <cell r="E37"/>
          <cell r="F37"/>
          <cell r="G37"/>
          <cell r="H37" t="str">
            <v>UNIDAD</v>
          </cell>
          <cell r="I37" t="str">
            <v>CANTIDAD (1)</v>
          </cell>
          <cell r="J37" t="str">
            <v>DISTANCIA (2) en km</v>
          </cell>
          <cell r="K37" t="str">
            <v>(1) * (2)</v>
          </cell>
          <cell r="L37" t="str">
            <v>TARIFA</v>
          </cell>
          <cell r="M37"/>
          <cell r="N37" t="str">
            <v>Vr. UNITARIO</v>
          </cell>
        </row>
        <row r="38">
          <cell r="B38" t="str">
            <v>Transporte</v>
          </cell>
          <cell r="C38"/>
          <cell r="D38"/>
          <cell r="E38"/>
          <cell r="F38"/>
          <cell r="G38"/>
          <cell r="H38" t="str">
            <v>ton Km</v>
          </cell>
          <cell r="I38">
            <v>0.3</v>
          </cell>
          <cell r="J38">
            <v>5</v>
          </cell>
          <cell r="K38">
            <v>1.5</v>
          </cell>
          <cell r="L38">
            <v>25000</v>
          </cell>
          <cell r="M38"/>
          <cell r="N38">
            <v>37500</v>
          </cell>
        </row>
        <row r="39">
          <cell r="B39" t="str">
            <v/>
          </cell>
          <cell r="C39"/>
          <cell r="D39"/>
          <cell r="E39"/>
          <cell r="F39"/>
          <cell r="G39"/>
          <cell r="H39" t="str">
            <v/>
          </cell>
          <cell r="I39"/>
          <cell r="J39"/>
          <cell r="K39">
            <v>0</v>
          </cell>
          <cell r="L39">
            <v>0</v>
          </cell>
          <cell r="M39"/>
          <cell r="N39">
            <v>0</v>
          </cell>
        </row>
        <row r="40">
          <cell r="B40" t="str">
            <v/>
          </cell>
          <cell r="C40"/>
          <cell r="D40"/>
          <cell r="E40"/>
          <cell r="F40"/>
          <cell r="G40"/>
          <cell r="H40" t="str">
            <v/>
          </cell>
          <cell r="I40"/>
          <cell r="J40"/>
          <cell r="K40">
            <v>0</v>
          </cell>
          <cell r="L40">
            <v>0</v>
          </cell>
          <cell r="M40"/>
          <cell r="N40">
            <v>0</v>
          </cell>
        </row>
        <row r="41">
          <cell r="B41" t="str">
            <v/>
          </cell>
          <cell r="C41"/>
          <cell r="D41"/>
          <cell r="E41"/>
          <cell r="F41"/>
          <cell r="G41"/>
          <cell r="H41" t="str">
            <v/>
          </cell>
          <cell r="I41"/>
          <cell r="J41"/>
          <cell r="K41"/>
          <cell r="L41"/>
          <cell r="M41"/>
          <cell r="N41">
            <v>0</v>
          </cell>
        </row>
        <row r="42">
          <cell r="B42" t="str">
            <v/>
          </cell>
          <cell r="C42"/>
          <cell r="D42"/>
          <cell r="E42"/>
          <cell r="F42"/>
          <cell r="G42"/>
          <cell r="H42" t="str">
            <v/>
          </cell>
          <cell r="I42"/>
          <cell r="J42"/>
          <cell r="K42"/>
          <cell r="L42"/>
          <cell r="M42"/>
          <cell r="N42">
            <v>0</v>
          </cell>
        </row>
        <row r="43">
          <cell r="B43" t="str">
            <v/>
          </cell>
          <cell r="C43"/>
          <cell r="D43"/>
          <cell r="E43"/>
          <cell r="F43"/>
          <cell r="G43"/>
          <cell r="H43"/>
          <cell r="I43"/>
          <cell r="J43"/>
          <cell r="K43"/>
          <cell r="L43"/>
          <cell r="M43"/>
          <cell r="N43"/>
        </row>
        <row r="44">
          <cell r="B44" t="str">
            <v>SUBTOTAL $</v>
          </cell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>
            <v>37500</v>
          </cell>
        </row>
        <row r="45"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</row>
        <row r="46">
          <cell r="B46" t="str">
            <v>IV. MANO DE OBRA</v>
          </cell>
          <cell r="C46"/>
          <cell r="D46"/>
          <cell r="E46"/>
          <cell r="F46"/>
          <cell r="G46"/>
          <cell r="H46"/>
          <cell r="I46"/>
          <cell r="J46"/>
          <cell r="K46"/>
          <cell r="L46"/>
          <cell r="M46"/>
          <cell r="N46"/>
        </row>
        <row r="47">
          <cell r="B47"/>
          <cell r="C47"/>
          <cell r="D47"/>
          <cell r="E47"/>
          <cell r="F47"/>
          <cell r="G47"/>
          <cell r="H47"/>
          <cell r="I47"/>
          <cell r="J47"/>
          <cell r="K47"/>
          <cell r="L47"/>
          <cell r="M47"/>
          <cell r="N47"/>
        </row>
        <row r="48">
          <cell r="B48" t="str">
            <v>TRABAJADOR</v>
          </cell>
          <cell r="C48"/>
          <cell r="D48"/>
          <cell r="E48"/>
          <cell r="F48"/>
          <cell r="G48" t="str">
            <v>UNIDAD</v>
          </cell>
          <cell r="H48" t="str">
            <v>CANTIDAD</v>
          </cell>
          <cell r="I48" t="str">
            <v>$/UNIDAD</v>
          </cell>
          <cell r="J48" t="str">
            <v>PRESTACIONES</v>
          </cell>
          <cell r="K48" t="str">
            <v>JORNAL TOTAL</v>
          </cell>
          <cell r="L48" t="str">
            <v>RENDIMIENTO</v>
          </cell>
          <cell r="M48"/>
          <cell r="N48" t="str">
            <v>Vr. UNITARIO</v>
          </cell>
        </row>
        <row r="49">
          <cell r="B49" t="str">
            <v>Oficial eléctrico</v>
          </cell>
          <cell r="C49"/>
          <cell r="D49"/>
          <cell r="E49"/>
          <cell r="F49"/>
          <cell r="G49" t="str">
            <v>DÍA</v>
          </cell>
          <cell r="H49">
            <v>1</v>
          </cell>
          <cell r="I49">
            <v>100000</v>
          </cell>
          <cell r="J49">
            <v>1.55</v>
          </cell>
          <cell r="K49">
            <v>155000</v>
          </cell>
          <cell r="L49">
            <v>1.25</v>
          </cell>
          <cell r="M49"/>
          <cell r="N49">
            <v>193750</v>
          </cell>
        </row>
        <row r="50">
          <cell r="B50" t="str">
            <v>Ayudante raso</v>
          </cell>
          <cell r="C50"/>
          <cell r="D50"/>
          <cell r="E50"/>
          <cell r="F50"/>
          <cell r="G50" t="str">
            <v>DÍA</v>
          </cell>
          <cell r="H50">
            <v>2</v>
          </cell>
          <cell r="I50">
            <v>45000</v>
          </cell>
          <cell r="J50">
            <v>1.7</v>
          </cell>
          <cell r="K50">
            <v>76500</v>
          </cell>
          <cell r="L50">
            <v>2.5</v>
          </cell>
          <cell r="M50"/>
          <cell r="N50">
            <v>191250</v>
          </cell>
        </row>
        <row r="51">
          <cell r="B51" t="str">
            <v>Ayudante calificado</v>
          </cell>
          <cell r="C51"/>
          <cell r="D51"/>
          <cell r="E51"/>
          <cell r="F51"/>
          <cell r="G51" t="str">
            <v>DÍA</v>
          </cell>
          <cell r="H51">
            <v>1</v>
          </cell>
          <cell r="I51">
            <v>55000</v>
          </cell>
          <cell r="J51">
            <v>1.7</v>
          </cell>
          <cell r="K51">
            <v>93500</v>
          </cell>
          <cell r="L51">
            <v>1.25</v>
          </cell>
          <cell r="M51"/>
          <cell r="N51">
            <v>116875</v>
          </cell>
        </row>
        <row r="52">
          <cell r="B52" t="str">
            <v/>
          </cell>
          <cell r="C52"/>
          <cell r="D52"/>
          <cell r="E52"/>
          <cell r="F52"/>
          <cell r="G52" t="str">
            <v/>
          </cell>
          <cell r="H52"/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/>
          <cell r="N52">
            <v>0</v>
          </cell>
        </row>
        <row r="53">
          <cell r="B53" t="str">
            <v/>
          </cell>
          <cell r="C53"/>
          <cell r="D53"/>
          <cell r="E53"/>
          <cell r="F53"/>
          <cell r="G53" t="str">
            <v/>
          </cell>
          <cell r="H53"/>
          <cell r="I53">
            <v>0</v>
          </cell>
          <cell r="J53">
            <v>0</v>
          </cell>
          <cell r="K53">
            <v>0</v>
          </cell>
          <cell r="L53"/>
          <cell r="M53"/>
          <cell r="N53"/>
        </row>
        <row r="54">
          <cell r="B54" t="str">
            <v>SUBTOTAL $</v>
          </cell>
          <cell r="C54"/>
          <cell r="D54"/>
          <cell r="E54"/>
          <cell r="F54"/>
          <cell r="G54"/>
          <cell r="H54"/>
          <cell r="I54"/>
          <cell r="J54"/>
          <cell r="K54"/>
          <cell r="L54"/>
          <cell r="M54"/>
          <cell r="N54">
            <v>501875</v>
          </cell>
        </row>
        <row r="55"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L55"/>
          <cell r="M55"/>
          <cell r="N55"/>
        </row>
        <row r="56">
          <cell r="B56" t="str">
            <v>TOTAL COSTO DIRECTO $</v>
          </cell>
          <cell r="C56"/>
          <cell r="D56"/>
          <cell r="E56"/>
          <cell r="F56"/>
          <cell r="G56"/>
          <cell r="H56"/>
          <cell r="I56"/>
          <cell r="J56"/>
          <cell r="K56"/>
          <cell r="L56"/>
          <cell r="M56"/>
          <cell r="N56">
            <v>11648969</v>
          </cell>
        </row>
        <row r="57">
          <cell r="B57"/>
          <cell r="C57"/>
          <cell r="D57"/>
          <cell r="E57"/>
          <cell r="F57"/>
          <cell r="G57"/>
          <cell r="H57"/>
          <cell r="I57"/>
          <cell r="J57"/>
          <cell r="K57"/>
          <cell r="L57"/>
          <cell r="M57"/>
          <cell r="N57"/>
        </row>
        <row r="58">
          <cell r="B58"/>
          <cell r="C58"/>
          <cell r="D58"/>
          <cell r="E58"/>
          <cell r="F58"/>
          <cell r="G58"/>
          <cell r="H58"/>
          <cell r="I58"/>
          <cell r="J58"/>
          <cell r="K58"/>
          <cell r="L58"/>
          <cell r="M58"/>
          <cell r="N58"/>
        </row>
        <row r="59">
          <cell r="B59"/>
          <cell r="C59"/>
          <cell r="D59"/>
          <cell r="E59"/>
          <cell r="F59"/>
          <cell r="G59"/>
          <cell r="H59"/>
          <cell r="I59"/>
          <cell r="J59"/>
          <cell r="K59"/>
          <cell r="L59"/>
          <cell r="M59"/>
          <cell r="N59"/>
        </row>
        <row r="60"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L60"/>
          <cell r="M60"/>
          <cell r="N60"/>
        </row>
        <row r="61">
          <cell r="B61"/>
          <cell r="C61"/>
          <cell r="D61"/>
          <cell r="E61"/>
          <cell r="F61"/>
          <cell r="G61"/>
          <cell r="H61"/>
          <cell r="I61"/>
          <cell r="J61"/>
          <cell r="K61"/>
          <cell r="L61"/>
          <cell r="M61"/>
          <cell r="N61"/>
        </row>
        <row r="62"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</row>
        <row r="63"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</row>
        <row r="64">
          <cell r="B64" t="str">
            <v>SUMINISTRO E INSTALACION DE BOMBA SUMERGIBLE TIPO LAPICERO PARA LA COMUNIDAD DEL CENTRO POBLADO CAMPO ALEGRE EN EL MUNICIPIO DE CAUCASIA ANTIOQUIA.</v>
          </cell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</row>
        <row r="65"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L65"/>
          <cell r="M65"/>
          <cell r="N65"/>
        </row>
        <row r="66">
          <cell r="B66"/>
          <cell r="C66"/>
          <cell r="D66"/>
          <cell r="E66"/>
          <cell r="F66"/>
          <cell r="G66"/>
          <cell r="H66"/>
          <cell r="I66"/>
          <cell r="J66"/>
          <cell r="K66"/>
          <cell r="L66"/>
          <cell r="M66"/>
          <cell r="N66"/>
        </row>
        <row r="67">
          <cell r="B67"/>
          <cell r="C67" t="e">
            <v>#N/A</v>
          </cell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</row>
        <row r="68">
          <cell r="B68" t="str">
            <v>ANALISIS DE PRECIO UNITARIO.</v>
          </cell>
          <cell r="C68"/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</row>
        <row r="69">
          <cell r="B69"/>
          <cell r="C69"/>
          <cell r="D69"/>
          <cell r="E69"/>
          <cell r="F69"/>
          <cell r="G69"/>
          <cell r="H69"/>
          <cell r="I69"/>
          <cell r="J69"/>
          <cell r="K69"/>
          <cell r="L69"/>
          <cell r="M69"/>
          <cell r="N69"/>
        </row>
        <row r="70">
          <cell r="B70"/>
          <cell r="C70"/>
          <cell r="D70"/>
          <cell r="E70"/>
          <cell r="F70"/>
          <cell r="G70"/>
          <cell r="H70"/>
          <cell r="I70"/>
          <cell r="J70"/>
          <cell r="K70"/>
          <cell r="L70"/>
          <cell r="M70"/>
          <cell r="N70"/>
        </row>
        <row r="71">
          <cell r="B71" t="str">
            <v>DATOS ESPECÍFICOS</v>
          </cell>
          <cell r="C71"/>
          <cell r="D71"/>
          <cell r="E71"/>
          <cell r="F71"/>
          <cell r="G71"/>
          <cell r="H71"/>
          <cell r="I71"/>
          <cell r="J71"/>
          <cell r="K71"/>
          <cell r="L71"/>
          <cell r="M71"/>
          <cell r="N71"/>
        </row>
        <row r="72">
          <cell r="B72" t="str">
            <v>ITEM</v>
          </cell>
          <cell r="C72" t="str">
            <v>DESCRIPCIÓN</v>
          </cell>
          <cell r="D72"/>
          <cell r="E72"/>
          <cell r="F72"/>
          <cell r="G72"/>
          <cell r="H72"/>
          <cell r="I72"/>
          <cell r="J72"/>
          <cell r="K72" t="str">
            <v>PRECIO</v>
          </cell>
          <cell r="L72" t="str">
            <v>UNIDAD</v>
          </cell>
          <cell r="M72"/>
          <cell r="N72" t="str">
            <v>CANTIDAD TOTAL</v>
          </cell>
        </row>
        <row r="73">
          <cell r="B73">
            <v>2</v>
          </cell>
          <cell r="C73" t="str">
            <v>SUMINISTRO E INSTALACION DE TUBERIA DE 2" PVC RDE 21 PRESION PARA FUNCIONAMIENTO DE BOMBA SUMERGIBLE</v>
          </cell>
          <cell r="D73"/>
          <cell r="E73"/>
          <cell r="F73"/>
          <cell r="G73"/>
          <cell r="H73"/>
          <cell r="I73"/>
          <cell r="J73"/>
          <cell r="K73">
            <v>37895</v>
          </cell>
          <cell r="L73" t="str">
            <v>M</v>
          </cell>
          <cell r="M73"/>
          <cell r="N73">
            <v>117</v>
          </cell>
        </row>
        <row r="74">
          <cell r="B74"/>
          <cell r="C74"/>
          <cell r="D74"/>
          <cell r="E74"/>
          <cell r="F74"/>
          <cell r="G74"/>
          <cell r="H74"/>
          <cell r="I74"/>
          <cell r="J74"/>
          <cell r="K74"/>
          <cell r="L74"/>
          <cell r="M74"/>
          <cell r="N74"/>
        </row>
        <row r="75">
          <cell r="B75" t="str">
            <v>I. EQUIPO</v>
          </cell>
          <cell r="C75"/>
          <cell r="D75"/>
          <cell r="E75"/>
          <cell r="F75"/>
          <cell r="G75"/>
          <cell r="H75"/>
          <cell r="I75"/>
          <cell r="J75"/>
          <cell r="K75"/>
          <cell r="L75"/>
          <cell r="M75"/>
          <cell r="N75"/>
        </row>
        <row r="76">
          <cell r="B76"/>
          <cell r="C76"/>
          <cell r="D76"/>
          <cell r="E76"/>
          <cell r="F76"/>
          <cell r="G76"/>
          <cell r="H76"/>
          <cell r="I76"/>
          <cell r="J76"/>
          <cell r="K76"/>
          <cell r="L76"/>
          <cell r="M76"/>
          <cell r="N76"/>
        </row>
        <row r="77">
          <cell r="B77" t="str">
            <v>DESCRIPCIÓN</v>
          </cell>
          <cell r="C77"/>
          <cell r="D77"/>
          <cell r="E77"/>
          <cell r="F77"/>
          <cell r="G77"/>
          <cell r="H77"/>
          <cell r="I77" t="str">
            <v>TIPO</v>
          </cell>
          <cell r="J77" t="str">
            <v>UNIDAD</v>
          </cell>
          <cell r="K77" t="str">
            <v>TARIFA</v>
          </cell>
          <cell r="L77" t="str">
            <v>RENDIMIENTO</v>
          </cell>
          <cell r="M77"/>
          <cell r="N77" t="str">
            <v>Vr. UNITARIO</v>
          </cell>
        </row>
        <row r="78">
          <cell r="B78" t="str">
            <v>Herramienta menor %</v>
          </cell>
          <cell r="C78"/>
          <cell r="D78"/>
          <cell r="E78"/>
          <cell r="F78"/>
          <cell r="G78"/>
          <cell r="H78"/>
          <cell r="I78"/>
          <cell r="J78" t="str">
            <v>% de M.O</v>
          </cell>
          <cell r="K78">
            <v>0.05</v>
          </cell>
          <cell r="L78"/>
          <cell r="M78"/>
          <cell r="N78">
            <v>80.3125</v>
          </cell>
        </row>
        <row r="79">
          <cell r="B79"/>
          <cell r="C79"/>
          <cell r="D79"/>
          <cell r="E79"/>
          <cell r="F79"/>
          <cell r="G79"/>
          <cell r="H79"/>
          <cell r="I79"/>
          <cell r="J79" t="str">
            <v/>
          </cell>
          <cell r="K79">
            <v>0</v>
          </cell>
          <cell r="L79"/>
          <cell r="M79"/>
          <cell r="N79">
            <v>0</v>
          </cell>
        </row>
        <row r="80">
          <cell r="B80" t="str">
            <v/>
          </cell>
          <cell r="C80"/>
          <cell r="D80"/>
          <cell r="E80"/>
          <cell r="F80"/>
          <cell r="G80"/>
          <cell r="H80"/>
          <cell r="I80"/>
          <cell r="J80" t="str">
            <v/>
          </cell>
          <cell r="K80">
            <v>0</v>
          </cell>
          <cell r="L80"/>
          <cell r="M80"/>
          <cell r="N80">
            <v>0</v>
          </cell>
        </row>
        <row r="81">
          <cell r="B81" t="str">
            <v/>
          </cell>
          <cell r="C81"/>
          <cell r="D81"/>
          <cell r="E81"/>
          <cell r="F81"/>
          <cell r="G81"/>
          <cell r="H81"/>
          <cell r="I81"/>
          <cell r="J81" t="str">
            <v/>
          </cell>
          <cell r="K81">
            <v>0</v>
          </cell>
          <cell r="L81"/>
          <cell r="M81"/>
          <cell r="N81">
            <v>0</v>
          </cell>
        </row>
        <row r="82">
          <cell r="B82" t="str">
            <v/>
          </cell>
          <cell r="C82"/>
          <cell r="D82"/>
          <cell r="E82"/>
          <cell r="F82"/>
          <cell r="G82"/>
          <cell r="H82"/>
          <cell r="I82"/>
          <cell r="J82" t="str">
            <v/>
          </cell>
          <cell r="K82">
            <v>0</v>
          </cell>
          <cell r="L82"/>
          <cell r="M82"/>
          <cell r="N82">
            <v>0</v>
          </cell>
        </row>
        <row r="83">
          <cell r="B83" t="str">
            <v/>
          </cell>
          <cell r="C83"/>
          <cell r="D83"/>
          <cell r="E83"/>
          <cell r="F83"/>
          <cell r="G83"/>
          <cell r="H83"/>
          <cell r="I83"/>
          <cell r="J83" t="str">
            <v/>
          </cell>
          <cell r="K83">
            <v>0</v>
          </cell>
          <cell r="L83"/>
          <cell r="M83"/>
          <cell r="N83">
            <v>0</v>
          </cell>
        </row>
        <row r="84">
          <cell r="B84" t="str">
            <v/>
          </cell>
          <cell r="C84"/>
          <cell r="D84"/>
          <cell r="E84"/>
          <cell r="F84"/>
          <cell r="G84"/>
          <cell r="H84"/>
          <cell r="I84"/>
          <cell r="J84"/>
          <cell r="K84"/>
          <cell r="L84"/>
          <cell r="M84"/>
          <cell r="N84"/>
        </row>
        <row r="85">
          <cell r="B85" t="str">
            <v>SUBTOTAL $</v>
          </cell>
          <cell r="C85"/>
          <cell r="D85"/>
          <cell r="E85"/>
          <cell r="F85"/>
          <cell r="G85"/>
          <cell r="H85"/>
          <cell r="I85"/>
          <cell r="J85"/>
          <cell r="K85"/>
          <cell r="L85"/>
          <cell r="M85"/>
          <cell r="N85">
            <v>80.3125</v>
          </cell>
        </row>
        <row r="86">
          <cell r="B86"/>
          <cell r="C86"/>
          <cell r="D86"/>
          <cell r="E86"/>
          <cell r="F86"/>
          <cell r="G86"/>
          <cell r="H86"/>
          <cell r="I86"/>
          <cell r="J86"/>
          <cell r="K86"/>
          <cell r="L86"/>
          <cell r="M86"/>
          <cell r="N86"/>
        </row>
        <row r="87">
          <cell r="B87" t="str">
            <v>II. MATERIALES</v>
          </cell>
          <cell r="C87"/>
          <cell r="D87"/>
          <cell r="E87"/>
          <cell r="F87"/>
          <cell r="G87"/>
          <cell r="H87"/>
          <cell r="I87"/>
          <cell r="J87"/>
          <cell r="K87"/>
          <cell r="L87"/>
          <cell r="M87"/>
          <cell r="N87"/>
        </row>
        <row r="88">
          <cell r="B88"/>
          <cell r="C88"/>
          <cell r="D88"/>
          <cell r="E88"/>
          <cell r="F88"/>
          <cell r="G88"/>
          <cell r="H88"/>
          <cell r="I88"/>
          <cell r="J88"/>
          <cell r="K88"/>
          <cell r="L88"/>
          <cell r="M88"/>
          <cell r="N88"/>
        </row>
        <row r="89">
          <cell r="B89" t="str">
            <v>DESCRIPCIÓN</v>
          </cell>
          <cell r="C89"/>
          <cell r="D89"/>
          <cell r="E89"/>
          <cell r="F89"/>
          <cell r="G89"/>
          <cell r="H89"/>
          <cell r="I89"/>
          <cell r="J89" t="str">
            <v>UNIDAD</v>
          </cell>
          <cell r="K89" t="str">
            <v>CANTIDAD</v>
          </cell>
          <cell r="L89" t="str">
            <v>PRECIO UNIT.</v>
          </cell>
          <cell r="M89"/>
          <cell r="N89" t="str">
            <v>Vr. UNITARIO</v>
          </cell>
        </row>
        <row r="90">
          <cell r="B90" t="str">
            <v>Tubo PVC PSI 2"x 6m RDE 21</v>
          </cell>
          <cell r="C90"/>
          <cell r="D90"/>
          <cell r="E90"/>
          <cell r="F90"/>
          <cell r="G90"/>
          <cell r="H90"/>
          <cell r="I90"/>
          <cell r="J90" t="str">
            <v>m</v>
          </cell>
          <cell r="K90">
            <v>1.05</v>
          </cell>
          <cell r="L90">
            <v>18285</v>
          </cell>
          <cell r="M90"/>
          <cell r="N90">
            <v>19199.25</v>
          </cell>
        </row>
        <row r="91">
          <cell r="B91" t="str">
            <v>Union universal PVC 2"</v>
          </cell>
          <cell r="C91"/>
          <cell r="D91"/>
          <cell r="E91"/>
          <cell r="F91"/>
          <cell r="G91"/>
          <cell r="H91"/>
          <cell r="I91"/>
          <cell r="J91" t="str">
            <v>Unidad</v>
          </cell>
          <cell r="K91">
            <v>0.17</v>
          </cell>
          <cell r="L91">
            <v>55000.000000000007</v>
          </cell>
          <cell r="M91"/>
          <cell r="N91">
            <v>9350.0000000000018</v>
          </cell>
        </row>
        <row r="92">
          <cell r="B92" t="str">
            <v>Soldadura PVC 1/16</v>
          </cell>
          <cell r="C92"/>
          <cell r="D92"/>
          <cell r="E92"/>
          <cell r="F92"/>
          <cell r="G92"/>
          <cell r="H92"/>
          <cell r="I92"/>
          <cell r="J92" t="str">
            <v>Unidad</v>
          </cell>
          <cell r="K92">
            <v>2.5000000000000001E-2</v>
          </cell>
          <cell r="L92">
            <v>34100</v>
          </cell>
          <cell r="M92"/>
          <cell r="N92">
            <v>852.5</v>
          </cell>
        </row>
        <row r="93">
          <cell r="B93" t="str">
            <v>Limpiador PVC 1/16</v>
          </cell>
          <cell r="C93"/>
          <cell r="D93"/>
          <cell r="E93"/>
          <cell r="F93"/>
          <cell r="G93"/>
          <cell r="H93"/>
          <cell r="I93"/>
          <cell r="J93" t="str">
            <v>Unidad</v>
          </cell>
          <cell r="K93">
            <v>2.5000000000000001E-2</v>
          </cell>
          <cell r="L93">
            <v>22250</v>
          </cell>
          <cell r="M93"/>
          <cell r="N93">
            <v>556.25</v>
          </cell>
        </row>
        <row r="94">
          <cell r="B94" t="str">
            <v/>
          </cell>
          <cell r="C94"/>
          <cell r="D94"/>
          <cell r="E94"/>
          <cell r="F94"/>
          <cell r="G94"/>
          <cell r="H94"/>
          <cell r="I94"/>
          <cell r="J94" t="str">
            <v/>
          </cell>
          <cell r="K94"/>
          <cell r="L94"/>
          <cell r="M94"/>
          <cell r="N94"/>
        </row>
        <row r="95">
          <cell r="B95" t="str">
            <v>SUBTOTAL $</v>
          </cell>
          <cell r="C95"/>
          <cell r="D95"/>
          <cell r="E95"/>
          <cell r="F95"/>
          <cell r="G95"/>
          <cell r="H95"/>
          <cell r="I95"/>
          <cell r="J95"/>
          <cell r="K95"/>
          <cell r="L95"/>
          <cell r="M95"/>
          <cell r="N95">
            <v>29958</v>
          </cell>
        </row>
        <row r="96">
          <cell r="B96"/>
          <cell r="C96"/>
          <cell r="D96"/>
          <cell r="E96"/>
          <cell r="F96"/>
          <cell r="G96"/>
          <cell r="H96"/>
          <cell r="I96"/>
          <cell r="J96"/>
          <cell r="K96"/>
          <cell r="L96"/>
          <cell r="M96"/>
          <cell r="N96"/>
        </row>
        <row r="97">
          <cell r="B97" t="str">
            <v>III. TRANSPORTES</v>
          </cell>
          <cell r="C97"/>
          <cell r="D97"/>
          <cell r="E97"/>
          <cell r="F97"/>
          <cell r="G97"/>
          <cell r="H97"/>
          <cell r="I97"/>
          <cell r="J97"/>
          <cell r="K97"/>
          <cell r="L97"/>
          <cell r="M97"/>
          <cell r="N97"/>
        </row>
        <row r="98">
          <cell r="B98"/>
          <cell r="C98"/>
          <cell r="D98"/>
          <cell r="E98"/>
          <cell r="F98"/>
          <cell r="G98"/>
          <cell r="H98"/>
          <cell r="I98"/>
          <cell r="J98"/>
          <cell r="K98"/>
          <cell r="L98"/>
          <cell r="M98"/>
          <cell r="N98"/>
        </row>
        <row r="99">
          <cell r="B99" t="str">
            <v>MATERIAL O EQUIPO</v>
          </cell>
          <cell r="C99"/>
          <cell r="D99"/>
          <cell r="E99"/>
          <cell r="F99"/>
          <cell r="G99"/>
          <cell r="H99" t="str">
            <v>UNIDAD</v>
          </cell>
          <cell r="I99" t="str">
            <v>CANTIDAD (1)</v>
          </cell>
          <cell r="J99" t="str">
            <v>DISTANCIA (2) en km</v>
          </cell>
          <cell r="K99" t="str">
            <v>(1) * (2)</v>
          </cell>
          <cell r="L99" t="str">
            <v>TARIFA</v>
          </cell>
          <cell r="M99"/>
          <cell r="N99" t="str">
            <v>Vr. UNITARIO</v>
          </cell>
        </row>
        <row r="100">
          <cell r="B100" t="str">
            <v>Transporte</v>
          </cell>
          <cell r="C100"/>
          <cell r="D100"/>
          <cell r="E100"/>
          <cell r="F100"/>
          <cell r="G100"/>
          <cell r="H100" t="str">
            <v>ton Km</v>
          </cell>
          <cell r="I100">
            <v>0.05</v>
          </cell>
          <cell r="J100">
            <v>5</v>
          </cell>
          <cell r="K100">
            <v>0.25</v>
          </cell>
          <cell r="L100">
            <v>25000</v>
          </cell>
          <cell r="M100"/>
          <cell r="N100">
            <v>6250</v>
          </cell>
        </row>
        <row r="101">
          <cell r="B101" t="str">
            <v/>
          </cell>
          <cell r="C101"/>
          <cell r="D101"/>
          <cell r="E101"/>
          <cell r="F101"/>
          <cell r="G101"/>
          <cell r="H101" t="str">
            <v/>
          </cell>
          <cell r="I101"/>
          <cell r="J101"/>
          <cell r="K101">
            <v>0</v>
          </cell>
          <cell r="L101">
            <v>0</v>
          </cell>
          <cell r="M101"/>
          <cell r="N101">
            <v>0</v>
          </cell>
        </row>
        <row r="102">
          <cell r="B102" t="str">
            <v/>
          </cell>
          <cell r="C102"/>
          <cell r="D102"/>
          <cell r="E102"/>
          <cell r="F102"/>
          <cell r="G102"/>
          <cell r="H102" t="str">
            <v/>
          </cell>
          <cell r="I102"/>
          <cell r="J102"/>
          <cell r="K102">
            <v>0</v>
          </cell>
          <cell r="L102">
            <v>0</v>
          </cell>
          <cell r="M102"/>
          <cell r="N102">
            <v>0</v>
          </cell>
        </row>
        <row r="103">
          <cell r="B103" t="str">
            <v/>
          </cell>
          <cell r="C103"/>
          <cell r="D103"/>
          <cell r="E103"/>
          <cell r="F103"/>
          <cell r="G103"/>
          <cell r="H103" t="str">
            <v/>
          </cell>
          <cell r="I103"/>
          <cell r="J103"/>
          <cell r="K103"/>
          <cell r="L103"/>
          <cell r="M103"/>
          <cell r="N103">
            <v>0</v>
          </cell>
        </row>
        <row r="104">
          <cell r="B104" t="str">
            <v/>
          </cell>
          <cell r="C104"/>
          <cell r="D104"/>
          <cell r="E104"/>
          <cell r="F104"/>
          <cell r="G104"/>
          <cell r="H104" t="str">
            <v/>
          </cell>
          <cell r="I104"/>
          <cell r="J104"/>
          <cell r="K104"/>
          <cell r="L104"/>
          <cell r="M104"/>
          <cell r="N104">
            <v>0</v>
          </cell>
        </row>
        <row r="105">
          <cell r="B105" t="str">
            <v/>
          </cell>
          <cell r="C105"/>
          <cell r="D105"/>
          <cell r="E105"/>
          <cell r="F105"/>
          <cell r="G105"/>
          <cell r="H105"/>
          <cell r="I105"/>
          <cell r="J105"/>
          <cell r="K105"/>
          <cell r="L105"/>
          <cell r="M105"/>
          <cell r="N105"/>
        </row>
        <row r="106">
          <cell r="B106" t="str">
            <v>SUBTOTAL $</v>
          </cell>
          <cell r="C106"/>
          <cell r="D106"/>
          <cell r="E106"/>
          <cell r="F106"/>
          <cell r="G106"/>
          <cell r="H106"/>
          <cell r="I106"/>
          <cell r="J106"/>
          <cell r="K106"/>
          <cell r="L106"/>
          <cell r="M106"/>
          <cell r="N106">
            <v>6250</v>
          </cell>
        </row>
        <row r="107">
          <cell r="B107"/>
          <cell r="C107"/>
          <cell r="D107"/>
          <cell r="E107"/>
          <cell r="F107"/>
          <cell r="G107"/>
          <cell r="H107"/>
          <cell r="I107"/>
          <cell r="J107"/>
          <cell r="K107"/>
          <cell r="L107"/>
          <cell r="M107"/>
          <cell r="N107"/>
        </row>
        <row r="108">
          <cell r="B108" t="str">
            <v>IV. MANO DE OBRA</v>
          </cell>
          <cell r="C108"/>
          <cell r="D108"/>
          <cell r="E108"/>
          <cell r="F108"/>
          <cell r="G108"/>
          <cell r="H108"/>
          <cell r="I108"/>
          <cell r="J108"/>
          <cell r="K108"/>
          <cell r="L108"/>
          <cell r="M108"/>
          <cell r="N108"/>
        </row>
        <row r="109">
          <cell r="B109"/>
          <cell r="C109"/>
          <cell r="D109"/>
          <cell r="E109"/>
          <cell r="F109"/>
          <cell r="G109"/>
          <cell r="H109"/>
          <cell r="I109"/>
          <cell r="J109"/>
          <cell r="K109"/>
          <cell r="L109"/>
          <cell r="M109"/>
          <cell r="N109"/>
        </row>
        <row r="110">
          <cell r="B110" t="str">
            <v>TRABAJADOR</v>
          </cell>
          <cell r="C110"/>
          <cell r="D110"/>
          <cell r="E110"/>
          <cell r="F110"/>
          <cell r="G110" t="str">
            <v>UNIDAD</v>
          </cell>
          <cell r="H110" t="str">
            <v>CANTIDAD</v>
          </cell>
          <cell r="I110" t="str">
            <v>$/UNIDAD</v>
          </cell>
          <cell r="J110" t="str">
            <v>PRESTACIONES</v>
          </cell>
          <cell r="K110" t="str">
            <v>JORNAL TOTAL</v>
          </cell>
          <cell r="L110" t="str">
            <v>RENDIMIENTO</v>
          </cell>
          <cell r="M110"/>
          <cell r="N110" t="str">
            <v>Vr. UNITARIO</v>
          </cell>
        </row>
        <row r="111">
          <cell r="B111" t="str">
            <v>Oficial de obra civil</v>
          </cell>
          <cell r="C111"/>
          <cell r="D111"/>
          <cell r="E111"/>
          <cell r="F111"/>
          <cell r="G111" t="str">
            <v>DÍA</v>
          </cell>
          <cell r="H111">
            <v>1</v>
          </cell>
          <cell r="I111">
            <v>75000</v>
          </cell>
          <cell r="J111">
            <v>1.55</v>
          </cell>
          <cell r="K111">
            <v>116250</v>
          </cell>
          <cell r="L111">
            <v>8.3333333333333332E-3</v>
          </cell>
          <cell r="M111"/>
          <cell r="N111">
            <v>968.75</v>
          </cell>
        </row>
        <row r="112">
          <cell r="B112" t="str">
            <v>Ayudante raso</v>
          </cell>
          <cell r="C112"/>
          <cell r="D112"/>
          <cell r="E112"/>
          <cell r="F112"/>
          <cell r="G112" t="str">
            <v>DÍA</v>
          </cell>
          <cell r="H112">
            <v>1</v>
          </cell>
          <cell r="I112">
            <v>45000</v>
          </cell>
          <cell r="J112">
            <v>1.7</v>
          </cell>
          <cell r="K112">
            <v>76500</v>
          </cell>
          <cell r="L112">
            <v>8.3333333333333332E-3</v>
          </cell>
          <cell r="M112"/>
          <cell r="N112">
            <v>637.5</v>
          </cell>
        </row>
        <row r="113">
          <cell r="B113" t="str">
            <v/>
          </cell>
          <cell r="C113"/>
          <cell r="D113"/>
          <cell r="E113"/>
          <cell r="F113"/>
          <cell r="G113" t="str">
            <v/>
          </cell>
          <cell r="H113"/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/>
          <cell r="N113">
            <v>0</v>
          </cell>
        </row>
        <row r="114">
          <cell r="B114" t="str">
            <v/>
          </cell>
          <cell r="C114"/>
          <cell r="D114"/>
          <cell r="E114"/>
          <cell r="F114"/>
          <cell r="G114" t="str">
            <v/>
          </cell>
          <cell r="H114"/>
          <cell r="I114">
            <v>0</v>
          </cell>
          <cell r="J114">
            <v>0</v>
          </cell>
          <cell r="K114">
            <v>0</v>
          </cell>
          <cell r="L114"/>
          <cell r="M114"/>
          <cell r="N114">
            <v>0</v>
          </cell>
        </row>
        <row r="115">
          <cell r="B115" t="str">
            <v/>
          </cell>
          <cell r="C115"/>
          <cell r="D115"/>
          <cell r="E115"/>
          <cell r="F115"/>
          <cell r="G115" t="str">
            <v/>
          </cell>
          <cell r="H115"/>
          <cell r="I115">
            <v>0</v>
          </cell>
          <cell r="J115">
            <v>0</v>
          </cell>
          <cell r="K115">
            <v>0</v>
          </cell>
          <cell r="L115"/>
          <cell r="M115"/>
          <cell r="N115"/>
        </row>
        <row r="116">
          <cell r="B116" t="str">
            <v>SUBTOTAL $</v>
          </cell>
          <cell r="C116"/>
          <cell r="D116"/>
          <cell r="E116"/>
          <cell r="F116"/>
          <cell r="G116"/>
          <cell r="H116"/>
          <cell r="I116"/>
          <cell r="J116"/>
          <cell r="K116"/>
          <cell r="L116"/>
          <cell r="M116"/>
          <cell r="N116">
            <v>1606.25</v>
          </cell>
        </row>
        <row r="117">
          <cell r="B117"/>
          <cell r="C117"/>
          <cell r="D117"/>
          <cell r="E117"/>
          <cell r="F117"/>
          <cell r="G117"/>
          <cell r="H117"/>
          <cell r="I117"/>
          <cell r="J117"/>
          <cell r="K117"/>
          <cell r="L117"/>
          <cell r="M117"/>
          <cell r="N117"/>
        </row>
        <row r="118">
          <cell r="B118" t="str">
            <v>TOTAL COSTO DIRECTO $</v>
          </cell>
          <cell r="C118"/>
          <cell r="D118"/>
          <cell r="E118"/>
          <cell r="F118"/>
          <cell r="G118"/>
          <cell r="H118"/>
          <cell r="I118"/>
          <cell r="J118"/>
          <cell r="K118"/>
          <cell r="L118"/>
          <cell r="M118"/>
          <cell r="N118">
            <v>37895</v>
          </cell>
        </row>
        <row r="119">
          <cell r="B119"/>
          <cell r="C119"/>
          <cell r="D119"/>
          <cell r="E119"/>
          <cell r="F119"/>
          <cell r="G119"/>
          <cell r="H119"/>
          <cell r="I119"/>
          <cell r="J119"/>
          <cell r="K119"/>
          <cell r="L119"/>
          <cell r="M119"/>
          <cell r="N119"/>
        </row>
        <row r="120">
          <cell r="B120"/>
          <cell r="C120"/>
          <cell r="D120"/>
          <cell r="E120"/>
          <cell r="F120"/>
          <cell r="G120"/>
          <cell r="H120"/>
          <cell r="I120"/>
          <cell r="J120"/>
          <cell r="K120"/>
          <cell r="L120"/>
          <cell r="M120"/>
          <cell r="N120"/>
        </row>
        <row r="121">
          <cell r="B121"/>
          <cell r="C121"/>
          <cell r="D121"/>
          <cell r="E121"/>
          <cell r="F121"/>
          <cell r="G121"/>
          <cell r="H121"/>
          <cell r="I121"/>
          <cell r="J121"/>
          <cell r="K121"/>
          <cell r="L121"/>
          <cell r="M121"/>
          <cell r="N121"/>
        </row>
        <row r="122">
          <cell r="B122"/>
          <cell r="C122"/>
          <cell r="D122"/>
          <cell r="E122"/>
          <cell r="F122"/>
          <cell r="G122"/>
          <cell r="H122"/>
          <cell r="I122"/>
          <cell r="J122"/>
          <cell r="K122"/>
          <cell r="L122"/>
          <cell r="M122"/>
          <cell r="N122"/>
        </row>
        <row r="123">
          <cell r="B123"/>
          <cell r="C123"/>
          <cell r="D123"/>
          <cell r="E123"/>
          <cell r="F123"/>
          <cell r="G123"/>
          <cell r="H123"/>
          <cell r="I123"/>
          <cell r="J123"/>
          <cell r="K123"/>
          <cell r="L123"/>
          <cell r="M123"/>
          <cell r="N123"/>
        </row>
        <row r="124">
          <cell r="B124"/>
          <cell r="C124"/>
          <cell r="D124"/>
          <cell r="E124"/>
          <cell r="F124"/>
          <cell r="G124"/>
          <cell r="H124"/>
          <cell r="I124"/>
          <cell r="J124"/>
          <cell r="K124"/>
          <cell r="L124"/>
          <cell r="M124"/>
          <cell r="N124"/>
        </row>
        <row r="125">
          <cell r="B125"/>
          <cell r="C125"/>
          <cell r="D125"/>
          <cell r="E125"/>
          <cell r="F125"/>
          <cell r="G125"/>
          <cell r="H125"/>
          <cell r="I125"/>
          <cell r="J125"/>
          <cell r="K125"/>
          <cell r="L125"/>
          <cell r="M125"/>
          <cell r="N125"/>
        </row>
        <row r="126">
          <cell r="B126" t="str">
            <v>SUMINISTRO E INSTALACION DE BOMBA SUMERGIBLE TIPO LAPICERO PARA LA COMUNIDAD DEL CENTRO POBLADO CAMPO ALEGRE EN EL MUNICIPIO DE CAUCASIA ANTIOQUIA.</v>
          </cell>
          <cell r="C126"/>
          <cell r="D126"/>
          <cell r="E126"/>
          <cell r="F126"/>
          <cell r="G126"/>
          <cell r="H126"/>
          <cell r="I126"/>
          <cell r="J126"/>
          <cell r="K126"/>
          <cell r="L126"/>
          <cell r="M126"/>
          <cell r="N126"/>
        </row>
        <row r="127">
          <cell r="B127"/>
          <cell r="C127"/>
          <cell r="D127"/>
          <cell r="E127"/>
          <cell r="F127"/>
          <cell r="G127"/>
          <cell r="H127"/>
          <cell r="I127"/>
          <cell r="J127"/>
          <cell r="K127"/>
          <cell r="L127"/>
          <cell r="M127"/>
          <cell r="N127"/>
        </row>
        <row r="128">
          <cell r="B128"/>
          <cell r="C128"/>
          <cell r="D128"/>
          <cell r="E128"/>
          <cell r="F128"/>
          <cell r="G128"/>
          <cell r="H128"/>
          <cell r="I128"/>
          <cell r="J128"/>
          <cell r="K128"/>
          <cell r="L128"/>
          <cell r="M128"/>
          <cell r="N128"/>
        </row>
        <row r="129">
          <cell r="B129"/>
          <cell r="C129" t="e">
            <v>#N/A</v>
          </cell>
          <cell r="D129"/>
          <cell r="E129"/>
          <cell r="F129"/>
          <cell r="G129"/>
          <cell r="H129"/>
          <cell r="I129"/>
          <cell r="J129"/>
          <cell r="K129"/>
          <cell r="L129"/>
          <cell r="M129"/>
          <cell r="N129"/>
        </row>
        <row r="130">
          <cell r="B130" t="str">
            <v>ANALISIS DE PRECIO UNITARIO.</v>
          </cell>
          <cell r="C130"/>
          <cell r="D130"/>
          <cell r="E130"/>
          <cell r="F130"/>
          <cell r="G130"/>
          <cell r="H130"/>
          <cell r="I130"/>
          <cell r="J130"/>
          <cell r="K130"/>
          <cell r="L130"/>
          <cell r="M130"/>
          <cell r="N130"/>
        </row>
        <row r="131">
          <cell r="B131"/>
          <cell r="C131"/>
          <cell r="D131"/>
          <cell r="E131"/>
          <cell r="F131"/>
          <cell r="G131"/>
          <cell r="H131"/>
          <cell r="I131"/>
          <cell r="J131"/>
          <cell r="K131"/>
          <cell r="L131"/>
          <cell r="M131"/>
          <cell r="N131"/>
        </row>
        <row r="132">
          <cell r="B132"/>
          <cell r="C132"/>
          <cell r="D132"/>
          <cell r="E132"/>
          <cell r="F132"/>
          <cell r="G132"/>
          <cell r="H132"/>
          <cell r="I132"/>
          <cell r="J132"/>
          <cell r="K132"/>
          <cell r="L132"/>
          <cell r="M132"/>
          <cell r="N132"/>
        </row>
        <row r="133">
          <cell r="B133" t="str">
            <v>DATOS ESPECÍFICOS</v>
          </cell>
          <cell r="C133"/>
          <cell r="D133"/>
          <cell r="E133"/>
          <cell r="F133"/>
          <cell r="G133"/>
          <cell r="H133"/>
          <cell r="I133"/>
          <cell r="J133"/>
          <cell r="K133"/>
          <cell r="L133"/>
          <cell r="M133"/>
          <cell r="N133"/>
        </row>
        <row r="134">
          <cell r="B134" t="str">
            <v>ITEM</v>
          </cell>
          <cell r="C134" t="str">
            <v>DESCRIPCIÓN</v>
          </cell>
          <cell r="D134"/>
          <cell r="E134"/>
          <cell r="F134"/>
          <cell r="G134"/>
          <cell r="H134"/>
          <cell r="I134"/>
          <cell r="J134"/>
          <cell r="K134" t="str">
            <v>PRECIO</v>
          </cell>
          <cell r="L134" t="str">
            <v>UNIDAD</v>
          </cell>
          <cell r="M134"/>
          <cell r="N134" t="str">
            <v>CANTIDAD TOTAL</v>
          </cell>
        </row>
        <row r="135">
          <cell r="B135"/>
          <cell r="C135" t="e">
            <v>#N/A</v>
          </cell>
          <cell r="D135"/>
          <cell r="E135"/>
          <cell r="F135"/>
          <cell r="G135"/>
          <cell r="H135"/>
          <cell r="I135"/>
          <cell r="J135"/>
          <cell r="K135">
            <v>0</v>
          </cell>
          <cell r="L135" t="e">
            <v>#N/A</v>
          </cell>
          <cell r="M135"/>
          <cell r="N135">
            <v>0</v>
          </cell>
        </row>
        <row r="136">
          <cell r="B136"/>
          <cell r="C136"/>
          <cell r="D136"/>
          <cell r="E136"/>
          <cell r="F136"/>
          <cell r="G136"/>
          <cell r="H136"/>
          <cell r="I136"/>
          <cell r="J136"/>
          <cell r="K136"/>
          <cell r="L136"/>
          <cell r="M136"/>
          <cell r="N136"/>
        </row>
        <row r="137">
          <cell r="B137" t="str">
            <v>I. EQUIPO</v>
          </cell>
          <cell r="C137"/>
          <cell r="D137"/>
          <cell r="E137"/>
          <cell r="F137"/>
          <cell r="G137"/>
          <cell r="H137"/>
          <cell r="I137"/>
          <cell r="J137"/>
          <cell r="K137"/>
          <cell r="L137"/>
          <cell r="M137"/>
          <cell r="N137"/>
        </row>
        <row r="138">
          <cell r="B138"/>
          <cell r="C138"/>
          <cell r="D138"/>
          <cell r="E138"/>
          <cell r="F138"/>
          <cell r="G138"/>
          <cell r="H138"/>
          <cell r="I138"/>
          <cell r="J138"/>
          <cell r="K138"/>
          <cell r="L138"/>
          <cell r="M138"/>
          <cell r="N138"/>
        </row>
        <row r="139">
          <cell r="B139" t="str">
            <v>DESCRIPCIÓN</v>
          </cell>
          <cell r="C139"/>
          <cell r="D139"/>
          <cell r="E139"/>
          <cell r="F139"/>
          <cell r="G139"/>
          <cell r="H139"/>
          <cell r="I139" t="str">
            <v>TIPO</v>
          </cell>
          <cell r="J139" t="str">
            <v>UNIDAD</v>
          </cell>
          <cell r="K139" t="str">
            <v>TARIFA</v>
          </cell>
          <cell r="L139" t="str">
            <v>RENDIMIENTO</v>
          </cell>
          <cell r="M139"/>
          <cell r="N139" t="str">
            <v>Vr. UNITARIO</v>
          </cell>
        </row>
        <row r="140">
          <cell r="B140" t="str">
            <v/>
          </cell>
          <cell r="C140"/>
          <cell r="D140"/>
          <cell r="E140"/>
          <cell r="F140"/>
          <cell r="G140"/>
          <cell r="H140"/>
          <cell r="I140"/>
          <cell r="J140" t="str">
            <v/>
          </cell>
          <cell r="K140">
            <v>0</v>
          </cell>
          <cell r="L140"/>
          <cell r="M140"/>
          <cell r="N140">
            <v>0</v>
          </cell>
        </row>
        <row r="141">
          <cell r="B141" t="str">
            <v/>
          </cell>
          <cell r="C141"/>
          <cell r="D141"/>
          <cell r="E141"/>
          <cell r="F141"/>
          <cell r="G141"/>
          <cell r="H141"/>
          <cell r="I141"/>
          <cell r="J141" t="str">
            <v/>
          </cell>
          <cell r="K141">
            <v>0</v>
          </cell>
          <cell r="L141"/>
          <cell r="M141"/>
          <cell r="N141">
            <v>0</v>
          </cell>
        </row>
        <row r="142">
          <cell r="B142" t="str">
            <v/>
          </cell>
          <cell r="C142"/>
          <cell r="D142"/>
          <cell r="E142"/>
          <cell r="F142"/>
          <cell r="G142"/>
          <cell r="H142"/>
          <cell r="I142"/>
          <cell r="J142" t="str">
            <v/>
          </cell>
          <cell r="K142">
            <v>0</v>
          </cell>
          <cell r="L142"/>
          <cell r="M142"/>
          <cell r="N142">
            <v>0</v>
          </cell>
        </row>
        <row r="143">
          <cell r="B143" t="str">
            <v/>
          </cell>
          <cell r="C143"/>
          <cell r="D143"/>
          <cell r="E143"/>
          <cell r="F143"/>
          <cell r="G143"/>
          <cell r="H143"/>
          <cell r="I143"/>
          <cell r="J143" t="str">
            <v/>
          </cell>
          <cell r="K143">
            <v>0</v>
          </cell>
          <cell r="L143"/>
          <cell r="M143"/>
          <cell r="N143">
            <v>0</v>
          </cell>
        </row>
        <row r="144">
          <cell r="B144" t="str">
            <v/>
          </cell>
          <cell r="C144"/>
          <cell r="D144"/>
          <cell r="E144"/>
          <cell r="F144"/>
          <cell r="G144"/>
          <cell r="H144"/>
          <cell r="I144"/>
          <cell r="J144" t="str">
            <v/>
          </cell>
          <cell r="K144">
            <v>0</v>
          </cell>
          <cell r="L144"/>
          <cell r="M144"/>
          <cell r="N144">
            <v>0</v>
          </cell>
        </row>
        <row r="145">
          <cell r="B145" t="str">
            <v>Herramienta menor %</v>
          </cell>
          <cell r="C145"/>
          <cell r="D145"/>
          <cell r="E145"/>
          <cell r="F145"/>
          <cell r="G145"/>
          <cell r="H145"/>
          <cell r="I145"/>
          <cell r="J145" t="str">
            <v>% de M.O</v>
          </cell>
          <cell r="K145">
            <v>0.05</v>
          </cell>
          <cell r="L145"/>
          <cell r="M145"/>
          <cell r="N145">
            <v>0</v>
          </cell>
        </row>
        <row r="146">
          <cell r="B146" t="str">
            <v/>
          </cell>
          <cell r="C146"/>
          <cell r="D146"/>
          <cell r="E146"/>
          <cell r="F146"/>
          <cell r="G146"/>
          <cell r="H146"/>
          <cell r="I146"/>
          <cell r="J146"/>
          <cell r="K146"/>
          <cell r="L146"/>
          <cell r="M146"/>
          <cell r="N146"/>
        </row>
        <row r="147">
          <cell r="B147" t="str">
            <v>SUBTOTAL $</v>
          </cell>
          <cell r="C147"/>
          <cell r="D147"/>
          <cell r="E147"/>
          <cell r="F147"/>
          <cell r="G147"/>
          <cell r="H147"/>
          <cell r="I147"/>
          <cell r="J147"/>
          <cell r="K147"/>
          <cell r="L147"/>
          <cell r="M147"/>
          <cell r="N147">
            <v>0</v>
          </cell>
        </row>
        <row r="148">
          <cell r="B148"/>
          <cell r="C148"/>
          <cell r="D148"/>
          <cell r="E148"/>
          <cell r="F148"/>
          <cell r="G148"/>
          <cell r="H148"/>
          <cell r="I148"/>
          <cell r="J148"/>
          <cell r="K148"/>
          <cell r="L148"/>
          <cell r="M148"/>
          <cell r="N148"/>
        </row>
        <row r="149">
          <cell r="B149" t="str">
            <v>II. MATERIALES</v>
          </cell>
          <cell r="C149"/>
          <cell r="D149"/>
          <cell r="E149"/>
          <cell r="F149"/>
          <cell r="G149"/>
          <cell r="H149"/>
          <cell r="I149"/>
          <cell r="J149"/>
          <cell r="K149"/>
          <cell r="L149"/>
          <cell r="M149"/>
          <cell r="N149"/>
        </row>
        <row r="150">
          <cell r="B150"/>
          <cell r="C150"/>
          <cell r="D150"/>
          <cell r="E150"/>
          <cell r="F150"/>
          <cell r="G150"/>
          <cell r="H150"/>
          <cell r="I150"/>
          <cell r="J150"/>
          <cell r="K150"/>
          <cell r="L150"/>
          <cell r="M150"/>
          <cell r="N150"/>
        </row>
        <row r="151">
          <cell r="B151" t="str">
            <v>DESCRIPCIÓN</v>
          </cell>
          <cell r="C151"/>
          <cell r="D151"/>
          <cell r="E151"/>
          <cell r="F151"/>
          <cell r="G151"/>
          <cell r="H151"/>
          <cell r="I151"/>
          <cell r="J151" t="str">
            <v>UNIDAD</v>
          </cell>
          <cell r="K151" t="str">
            <v>CANTIDAD</v>
          </cell>
          <cell r="L151" t="str">
            <v>PRECIO UNIT.</v>
          </cell>
          <cell r="M151"/>
          <cell r="N151" t="str">
            <v>Vr. UNITARIO</v>
          </cell>
        </row>
        <row r="152">
          <cell r="B152" t="str">
            <v/>
          </cell>
          <cell r="C152"/>
          <cell r="D152"/>
          <cell r="E152"/>
          <cell r="F152"/>
          <cell r="G152"/>
          <cell r="H152"/>
          <cell r="I152"/>
          <cell r="J152" t="str">
            <v/>
          </cell>
          <cell r="K152"/>
          <cell r="L152">
            <v>0</v>
          </cell>
          <cell r="M152"/>
          <cell r="N152">
            <v>0</v>
          </cell>
        </row>
        <row r="153">
          <cell r="B153" t="str">
            <v/>
          </cell>
          <cell r="C153"/>
          <cell r="D153"/>
          <cell r="E153"/>
          <cell r="F153"/>
          <cell r="G153"/>
          <cell r="H153"/>
          <cell r="I153"/>
          <cell r="J153" t="str">
            <v/>
          </cell>
          <cell r="K153"/>
          <cell r="L153">
            <v>0</v>
          </cell>
          <cell r="M153"/>
          <cell r="N153">
            <v>0</v>
          </cell>
        </row>
        <row r="154">
          <cell r="B154" t="str">
            <v/>
          </cell>
          <cell r="C154"/>
          <cell r="D154"/>
          <cell r="E154"/>
          <cell r="F154"/>
          <cell r="G154"/>
          <cell r="H154"/>
          <cell r="I154"/>
          <cell r="J154" t="str">
            <v/>
          </cell>
          <cell r="K154"/>
          <cell r="L154">
            <v>0</v>
          </cell>
          <cell r="M154"/>
          <cell r="N154">
            <v>0</v>
          </cell>
        </row>
        <row r="155">
          <cell r="B155" t="str">
            <v/>
          </cell>
          <cell r="C155"/>
          <cell r="D155"/>
          <cell r="E155"/>
          <cell r="F155"/>
          <cell r="G155"/>
          <cell r="H155"/>
          <cell r="I155"/>
          <cell r="J155" t="str">
            <v/>
          </cell>
          <cell r="K155"/>
          <cell r="L155">
            <v>0</v>
          </cell>
          <cell r="M155"/>
          <cell r="N155">
            <v>0</v>
          </cell>
        </row>
        <row r="156">
          <cell r="B156" t="str">
            <v/>
          </cell>
          <cell r="C156"/>
          <cell r="D156"/>
          <cell r="E156"/>
          <cell r="F156"/>
          <cell r="G156"/>
          <cell r="H156"/>
          <cell r="I156"/>
          <cell r="J156" t="str">
            <v/>
          </cell>
          <cell r="K156"/>
          <cell r="L156">
            <v>0</v>
          </cell>
          <cell r="M156"/>
          <cell r="N156">
            <v>0</v>
          </cell>
        </row>
        <row r="157">
          <cell r="B157" t="str">
            <v/>
          </cell>
          <cell r="C157"/>
          <cell r="D157"/>
          <cell r="E157"/>
          <cell r="F157"/>
          <cell r="G157"/>
          <cell r="H157"/>
          <cell r="I157"/>
          <cell r="J157" t="str">
            <v/>
          </cell>
          <cell r="K157"/>
          <cell r="L157"/>
          <cell r="M157"/>
          <cell r="N157"/>
        </row>
        <row r="158">
          <cell r="B158" t="str">
            <v>SUBTOTAL $</v>
          </cell>
          <cell r="C158"/>
          <cell r="D158"/>
          <cell r="E158"/>
          <cell r="F158"/>
          <cell r="G158"/>
          <cell r="H158"/>
          <cell r="I158"/>
          <cell r="J158"/>
          <cell r="K158"/>
          <cell r="L158"/>
          <cell r="M158"/>
          <cell r="N158">
            <v>0</v>
          </cell>
        </row>
        <row r="159">
          <cell r="B159"/>
          <cell r="C159"/>
          <cell r="D159"/>
          <cell r="E159"/>
          <cell r="F159"/>
          <cell r="G159"/>
          <cell r="H159"/>
          <cell r="I159"/>
          <cell r="J159"/>
          <cell r="K159"/>
          <cell r="L159"/>
          <cell r="M159"/>
          <cell r="N159"/>
        </row>
        <row r="160">
          <cell r="B160" t="str">
            <v>III. TRANSPORTES</v>
          </cell>
          <cell r="C160"/>
          <cell r="D160"/>
          <cell r="E160"/>
          <cell r="F160"/>
          <cell r="G160"/>
          <cell r="H160"/>
          <cell r="I160"/>
          <cell r="J160"/>
          <cell r="K160"/>
          <cell r="L160"/>
          <cell r="M160"/>
          <cell r="N160"/>
        </row>
        <row r="161">
          <cell r="B161"/>
          <cell r="C161"/>
          <cell r="D161"/>
          <cell r="E161"/>
          <cell r="F161"/>
          <cell r="G161"/>
          <cell r="H161"/>
          <cell r="I161"/>
          <cell r="J161"/>
          <cell r="K161"/>
          <cell r="L161"/>
          <cell r="M161"/>
          <cell r="N161"/>
        </row>
        <row r="162">
          <cell r="B162" t="str">
            <v>MATERIAL O EQUIPO</v>
          </cell>
          <cell r="C162"/>
          <cell r="D162"/>
          <cell r="E162"/>
          <cell r="F162"/>
          <cell r="G162"/>
          <cell r="H162" t="str">
            <v>UNIDAD</v>
          </cell>
          <cell r="I162" t="str">
            <v>CANTIDAD (1)</v>
          </cell>
          <cell r="J162" t="str">
            <v>DISTANCIA (2) en km</v>
          </cell>
          <cell r="K162" t="str">
            <v>(1) * (2)</v>
          </cell>
          <cell r="L162" t="str">
            <v>TARIFA</v>
          </cell>
          <cell r="M162"/>
          <cell r="N162" t="str">
            <v>Vr. UNITARIO</v>
          </cell>
        </row>
        <row r="163">
          <cell r="B163" t="str">
            <v/>
          </cell>
          <cell r="C163"/>
          <cell r="D163"/>
          <cell r="E163"/>
          <cell r="F163"/>
          <cell r="G163"/>
          <cell r="H163" t="str">
            <v/>
          </cell>
          <cell r="I163"/>
          <cell r="J163"/>
          <cell r="K163">
            <v>0</v>
          </cell>
          <cell r="L163">
            <v>0</v>
          </cell>
          <cell r="M163"/>
          <cell r="N163">
            <v>0</v>
          </cell>
        </row>
        <row r="164">
          <cell r="B164" t="str">
            <v/>
          </cell>
          <cell r="C164"/>
          <cell r="D164"/>
          <cell r="E164"/>
          <cell r="F164"/>
          <cell r="G164"/>
          <cell r="H164" t="str">
            <v/>
          </cell>
          <cell r="I164"/>
          <cell r="J164"/>
          <cell r="K164">
            <v>0</v>
          </cell>
          <cell r="L164">
            <v>0</v>
          </cell>
          <cell r="M164"/>
          <cell r="N164">
            <v>0</v>
          </cell>
        </row>
        <row r="165">
          <cell r="B165" t="str">
            <v/>
          </cell>
          <cell r="C165"/>
          <cell r="D165"/>
          <cell r="E165"/>
          <cell r="F165"/>
          <cell r="G165"/>
          <cell r="H165" t="str">
            <v/>
          </cell>
          <cell r="I165"/>
          <cell r="J165"/>
          <cell r="K165">
            <v>0</v>
          </cell>
          <cell r="L165">
            <v>0</v>
          </cell>
          <cell r="M165"/>
          <cell r="N165">
            <v>0</v>
          </cell>
        </row>
        <row r="166">
          <cell r="B166" t="str">
            <v/>
          </cell>
          <cell r="C166"/>
          <cell r="D166"/>
          <cell r="E166"/>
          <cell r="F166"/>
          <cell r="G166"/>
          <cell r="H166" t="str">
            <v/>
          </cell>
          <cell r="I166"/>
          <cell r="J166"/>
          <cell r="K166"/>
          <cell r="L166"/>
          <cell r="M166"/>
          <cell r="N166">
            <v>0</v>
          </cell>
        </row>
        <row r="167">
          <cell r="B167" t="str">
            <v/>
          </cell>
          <cell r="C167"/>
          <cell r="D167"/>
          <cell r="E167"/>
          <cell r="F167"/>
          <cell r="G167"/>
          <cell r="H167" t="str">
            <v/>
          </cell>
          <cell r="I167"/>
          <cell r="J167"/>
          <cell r="K167"/>
          <cell r="L167"/>
          <cell r="M167"/>
          <cell r="N167">
            <v>0</v>
          </cell>
        </row>
        <row r="168">
          <cell r="B168" t="str">
            <v/>
          </cell>
          <cell r="C168"/>
          <cell r="D168"/>
          <cell r="E168"/>
          <cell r="F168"/>
          <cell r="G168"/>
          <cell r="H168"/>
          <cell r="I168"/>
          <cell r="J168"/>
          <cell r="K168"/>
          <cell r="L168"/>
          <cell r="M168"/>
          <cell r="N168"/>
        </row>
        <row r="169">
          <cell r="B169" t="str">
            <v>SUBTOTAL $</v>
          </cell>
          <cell r="C169"/>
          <cell r="D169"/>
          <cell r="E169"/>
          <cell r="F169"/>
          <cell r="G169"/>
          <cell r="H169"/>
          <cell r="I169"/>
          <cell r="J169"/>
          <cell r="K169"/>
          <cell r="L169"/>
          <cell r="M169"/>
          <cell r="N169">
            <v>0</v>
          </cell>
        </row>
        <row r="170">
          <cell r="B170"/>
          <cell r="C170"/>
          <cell r="D170"/>
          <cell r="E170"/>
          <cell r="F170"/>
          <cell r="G170"/>
          <cell r="H170"/>
          <cell r="I170"/>
          <cell r="J170"/>
          <cell r="K170"/>
          <cell r="L170"/>
          <cell r="M170"/>
          <cell r="N170"/>
        </row>
        <row r="171">
          <cell r="B171" t="str">
            <v>IV. MANO DE OBRA</v>
          </cell>
          <cell r="C171"/>
          <cell r="D171"/>
          <cell r="E171"/>
          <cell r="F171"/>
          <cell r="G171"/>
          <cell r="H171"/>
          <cell r="I171"/>
          <cell r="J171"/>
          <cell r="K171"/>
          <cell r="L171"/>
          <cell r="M171"/>
          <cell r="N171"/>
        </row>
        <row r="172">
          <cell r="B172"/>
          <cell r="C172"/>
          <cell r="D172"/>
          <cell r="E172"/>
          <cell r="F172"/>
          <cell r="G172"/>
          <cell r="H172"/>
          <cell r="I172"/>
          <cell r="J172"/>
          <cell r="K172"/>
          <cell r="L172"/>
          <cell r="M172"/>
          <cell r="N172"/>
        </row>
        <row r="173">
          <cell r="B173" t="str">
            <v>TRABAJADOR</v>
          </cell>
          <cell r="C173"/>
          <cell r="D173"/>
          <cell r="E173"/>
          <cell r="F173"/>
          <cell r="G173" t="str">
            <v>UNIDAD</v>
          </cell>
          <cell r="H173" t="str">
            <v>CANTIDAD</v>
          </cell>
          <cell r="I173" t="str">
            <v>$/UNIDAD</v>
          </cell>
          <cell r="J173" t="str">
            <v>PRESTACIONES</v>
          </cell>
          <cell r="K173" t="str">
            <v>JORNAL TOTAL</v>
          </cell>
          <cell r="L173" t="str">
            <v>RENDIMIENTO</v>
          </cell>
          <cell r="M173"/>
          <cell r="N173" t="str">
            <v>Vr. UNITARIO</v>
          </cell>
        </row>
        <row r="174">
          <cell r="B174" t="str">
            <v/>
          </cell>
          <cell r="C174"/>
          <cell r="D174"/>
          <cell r="E174"/>
          <cell r="F174"/>
          <cell r="G174" t="str">
            <v/>
          </cell>
          <cell r="H174"/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/>
          <cell r="N174">
            <v>0</v>
          </cell>
        </row>
        <row r="175">
          <cell r="B175" t="str">
            <v/>
          </cell>
          <cell r="C175"/>
          <cell r="D175"/>
          <cell r="E175"/>
          <cell r="F175"/>
          <cell r="G175" t="str">
            <v/>
          </cell>
          <cell r="H175"/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/>
          <cell r="N175">
            <v>0</v>
          </cell>
        </row>
        <row r="176">
          <cell r="B176" t="str">
            <v/>
          </cell>
          <cell r="C176"/>
          <cell r="D176"/>
          <cell r="E176"/>
          <cell r="F176"/>
          <cell r="G176" t="str">
            <v/>
          </cell>
          <cell r="H176"/>
          <cell r="I176">
            <v>0</v>
          </cell>
          <cell r="J176">
            <v>0</v>
          </cell>
          <cell r="K176">
            <v>0</v>
          </cell>
          <cell r="L176"/>
          <cell r="M176"/>
          <cell r="N176">
            <v>0</v>
          </cell>
        </row>
        <row r="177">
          <cell r="B177" t="str">
            <v/>
          </cell>
          <cell r="C177"/>
          <cell r="D177"/>
          <cell r="E177"/>
          <cell r="F177"/>
          <cell r="G177" t="str">
            <v/>
          </cell>
          <cell r="H177"/>
          <cell r="I177">
            <v>0</v>
          </cell>
          <cell r="J177">
            <v>0</v>
          </cell>
          <cell r="K177">
            <v>0</v>
          </cell>
          <cell r="L177"/>
          <cell r="M177"/>
          <cell r="N177">
            <v>0</v>
          </cell>
        </row>
        <row r="178">
          <cell r="B178" t="str">
            <v/>
          </cell>
          <cell r="C178"/>
          <cell r="D178"/>
          <cell r="E178"/>
          <cell r="F178"/>
          <cell r="G178" t="str">
            <v/>
          </cell>
          <cell r="H178"/>
          <cell r="I178">
            <v>0</v>
          </cell>
          <cell r="J178">
            <v>0</v>
          </cell>
          <cell r="K178">
            <v>0</v>
          </cell>
          <cell r="L178"/>
          <cell r="M178"/>
          <cell r="N178"/>
        </row>
        <row r="179">
          <cell r="B179" t="str">
            <v>SUBTOTAL $</v>
          </cell>
          <cell r="C179"/>
          <cell r="D179"/>
          <cell r="E179"/>
          <cell r="F179"/>
          <cell r="G179"/>
          <cell r="H179"/>
          <cell r="I179"/>
          <cell r="J179"/>
          <cell r="K179"/>
          <cell r="L179"/>
          <cell r="M179"/>
          <cell r="N179">
            <v>0</v>
          </cell>
        </row>
        <row r="180">
          <cell r="B180"/>
          <cell r="C180"/>
          <cell r="D180"/>
          <cell r="E180"/>
          <cell r="F180"/>
          <cell r="G180"/>
          <cell r="H180"/>
          <cell r="I180"/>
          <cell r="J180"/>
          <cell r="K180"/>
          <cell r="L180"/>
          <cell r="M180"/>
          <cell r="N180"/>
        </row>
        <row r="181">
          <cell r="B181" t="str">
            <v>TOTAL COSTO DIRECTO $</v>
          </cell>
          <cell r="C181"/>
          <cell r="D181"/>
          <cell r="E181"/>
          <cell r="F181"/>
          <cell r="G181"/>
          <cell r="H181"/>
          <cell r="I181"/>
          <cell r="J181"/>
          <cell r="K181"/>
          <cell r="L181"/>
          <cell r="M181"/>
          <cell r="N181">
            <v>0</v>
          </cell>
        </row>
        <row r="182">
          <cell r="B182"/>
          <cell r="C182"/>
          <cell r="D182"/>
          <cell r="E182"/>
          <cell r="F182"/>
          <cell r="G182"/>
          <cell r="H182"/>
          <cell r="I182"/>
          <cell r="J182"/>
          <cell r="K182"/>
          <cell r="L182"/>
          <cell r="M182"/>
          <cell r="N182"/>
        </row>
        <row r="183">
          <cell r="B183"/>
          <cell r="C183"/>
          <cell r="D183"/>
          <cell r="E183"/>
          <cell r="F183"/>
          <cell r="G183"/>
          <cell r="H183"/>
          <cell r="I183"/>
          <cell r="J183"/>
          <cell r="K183"/>
          <cell r="L183"/>
          <cell r="M183"/>
          <cell r="N183"/>
        </row>
        <row r="184">
          <cell r="B184"/>
          <cell r="C184"/>
          <cell r="D184"/>
          <cell r="E184"/>
          <cell r="F184"/>
          <cell r="G184"/>
          <cell r="H184"/>
          <cell r="I184"/>
          <cell r="J184"/>
          <cell r="K184"/>
          <cell r="L184"/>
          <cell r="M184"/>
          <cell r="N184"/>
        </row>
        <row r="185">
          <cell r="B185"/>
          <cell r="C185"/>
          <cell r="D185"/>
          <cell r="E185"/>
          <cell r="F185"/>
          <cell r="G185"/>
          <cell r="H185"/>
          <cell r="I185"/>
          <cell r="J185"/>
          <cell r="K185"/>
          <cell r="L185"/>
          <cell r="M185"/>
          <cell r="N185"/>
        </row>
        <row r="186">
          <cell r="B186"/>
          <cell r="C186"/>
          <cell r="D186"/>
          <cell r="E186"/>
          <cell r="F186"/>
          <cell r="G186"/>
          <cell r="H186"/>
          <cell r="I186"/>
          <cell r="J186"/>
          <cell r="K186"/>
          <cell r="L186"/>
          <cell r="M186"/>
          <cell r="N186"/>
        </row>
        <row r="187">
          <cell r="B187"/>
          <cell r="C187"/>
          <cell r="D187"/>
          <cell r="E187"/>
          <cell r="F187"/>
          <cell r="G187"/>
          <cell r="H187"/>
          <cell r="I187"/>
          <cell r="J187"/>
          <cell r="K187"/>
          <cell r="L187"/>
          <cell r="M187"/>
          <cell r="N187"/>
        </row>
        <row r="188">
          <cell r="B188"/>
          <cell r="C188"/>
          <cell r="D188"/>
          <cell r="E188"/>
          <cell r="F188"/>
          <cell r="G188"/>
          <cell r="H188"/>
          <cell r="I188"/>
          <cell r="J188"/>
          <cell r="K188"/>
          <cell r="L188"/>
          <cell r="M188"/>
          <cell r="N188"/>
        </row>
        <row r="189">
          <cell r="B189" t="str">
            <v>SUMINISTRO E INSTALACION DE BOMBA SUMERGIBLE TIPO LAPICERO PARA LA COMUNIDAD DEL CENTRO POBLADO CAMPO ALEGRE EN EL MUNICIPIO DE CAUCASIA ANTIOQUIA.</v>
          </cell>
          <cell r="C189"/>
          <cell r="D189"/>
          <cell r="E189"/>
          <cell r="F189"/>
          <cell r="G189"/>
          <cell r="H189"/>
          <cell r="I189"/>
          <cell r="J189"/>
          <cell r="K189"/>
          <cell r="L189"/>
          <cell r="M189"/>
          <cell r="N189"/>
        </row>
        <row r="190">
          <cell r="B190"/>
          <cell r="C190"/>
          <cell r="D190"/>
          <cell r="E190"/>
          <cell r="F190"/>
          <cell r="G190"/>
          <cell r="H190"/>
          <cell r="I190"/>
          <cell r="J190"/>
          <cell r="K190"/>
          <cell r="L190"/>
          <cell r="M190"/>
          <cell r="N190"/>
        </row>
        <row r="191">
          <cell r="B191"/>
          <cell r="C191"/>
          <cell r="D191"/>
          <cell r="E191"/>
          <cell r="F191"/>
          <cell r="G191"/>
          <cell r="H191"/>
          <cell r="I191"/>
          <cell r="J191"/>
          <cell r="K191"/>
          <cell r="L191"/>
          <cell r="M191"/>
          <cell r="N191"/>
        </row>
        <row r="192">
          <cell r="B192"/>
          <cell r="C192" t="e">
            <v>#N/A</v>
          </cell>
          <cell r="D192"/>
          <cell r="E192"/>
          <cell r="F192"/>
          <cell r="G192"/>
          <cell r="H192"/>
          <cell r="I192"/>
          <cell r="J192"/>
          <cell r="K192"/>
          <cell r="L192"/>
          <cell r="M192"/>
          <cell r="N192"/>
        </row>
        <row r="193">
          <cell r="B193" t="str">
            <v>ANALISIS DE PRECIO UNITARIO.</v>
          </cell>
          <cell r="C193"/>
          <cell r="D193"/>
          <cell r="E193"/>
          <cell r="F193"/>
          <cell r="G193"/>
          <cell r="H193"/>
          <cell r="I193"/>
          <cell r="J193"/>
          <cell r="K193"/>
          <cell r="L193"/>
          <cell r="M193"/>
          <cell r="N193"/>
        </row>
        <row r="194">
          <cell r="B194"/>
          <cell r="C194"/>
          <cell r="D194"/>
          <cell r="E194"/>
          <cell r="F194"/>
          <cell r="G194"/>
          <cell r="H194"/>
          <cell r="I194"/>
          <cell r="J194"/>
          <cell r="K194"/>
          <cell r="L194"/>
          <cell r="M194"/>
          <cell r="N194"/>
        </row>
        <row r="195">
          <cell r="B195"/>
          <cell r="C195"/>
          <cell r="D195"/>
          <cell r="E195"/>
          <cell r="F195"/>
          <cell r="G195"/>
          <cell r="H195"/>
          <cell r="I195"/>
          <cell r="J195"/>
          <cell r="K195"/>
          <cell r="L195"/>
          <cell r="M195"/>
          <cell r="N195"/>
        </row>
        <row r="196">
          <cell r="B196" t="str">
            <v>DATOS ESPECÍFICOS</v>
          </cell>
          <cell r="C196"/>
          <cell r="D196"/>
          <cell r="E196"/>
          <cell r="F196"/>
          <cell r="G196"/>
          <cell r="H196"/>
          <cell r="I196"/>
          <cell r="J196"/>
          <cell r="K196"/>
          <cell r="L196"/>
          <cell r="M196"/>
          <cell r="N196"/>
        </row>
        <row r="197">
          <cell r="B197" t="str">
            <v>ITEM</v>
          </cell>
          <cell r="C197" t="str">
            <v>DESCRIPCIÓN</v>
          </cell>
          <cell r="D197"/>
          <cell r="E197"/>
          <cell r="F197"/>
          <cell r="G197"/>
          <cell r="H197"/>
          <cell r="I197"/>
          <cell r="J197"/>
          <cell r="K197" t="str">
            <v>PRECIO</v>
          </cell>
          <cell r="L197" t="str">
            <v>UNIDAD</v>
          </cell>
          <cell r="M197"/>
          <cell r="N197" t="str">
            <v>CANTIDAD TOTAL</v>
          </cell>
        </row>
        <row r="198">
          <cell r="B198"/>
          <cell r="C198" t="e">
            <v>#N/A</v>
          </cell>
          <cell r="D198"/>
          <cell r="E198"/>
          <cell r="F198"/>
          <cell r="G198"/>
          <cell r="H198"/>
          <cell r="I198"/>
          <cell r="J198"/>
          <cell r="K198">
            <v>0</v>
          </cell>
          <cell r="L198" t="e">
            <v>#N/A</v>
          </cell>
          <cell r="M198"/>
          <cell r="N198">
            <v>0</v>
          </cell>
        </row>
        <row r="199">
          <cell r="B199"/>
          <cell r="C199"/>
          <cell r="D199"/>
          <cell r="E199"/>
          <cell r="F199"/>
          <cell r="G199"/>
          <cell r="H199"/>
          <cell r="I199"/>
          <cell r="J199"/>
          <cell r="K199"/>
          <cell r="L199"/>
          <cell r="M199"/>
          <cell r="N199"/>
        </row>
        <row r="200">
          <cell r="B200" t="str">
            <v>I. EQUIPO</v>
          </cell>
          <cell r="C200"/>
          <cell r="D200"/>
          <cell r="E200"/>
          <cell r="F200"/>
          <cell r="G200"/>
          <cell r="H200"/>
          <cell r="I200"/>
          <cell r="J200"/>
          <cell r="K200"/>
          <cell r="L200"/>
          <cell r="M200"/>
          <cell r="N200"/>
        </row>
        <row r="201">
          <cell r="B201"/>
          <cell r="C201"/>
          <cell r="D201"/>
          <cell r="E201"/>
          <cell r="F201"/>
          <cell r="G201"/>
          <cell r="H201"/>
          <cell r="I201"/>
          <cell r="J201"/>
          <cell r="K201"/>
          <cell r="L201"/>
          <cell r="M201"/>
          <cell r="N201"/>
        </row>
        <row r="202">
          <cell r="B202" t="str">
            <v>DESCRIPCIÓN</v>
          </cell>
          <cell r="C202"/>
          <cell r="D202"/>
          <cell r="E202"/>
          <cell r="F202"/>
          <cell r="G202"/>
          <cell r="H202"/>
          <cell r="I202" t="str">
            <v>TIPO</v>
          </cell>
          <cell r="J202" t="str">
            <v>UNIDAD</v>
          </cell>
          <cell r="K202" t="str">
            <v>TARIFA</v>
          </cell>
          <cell r="L202" t="str">
            <v>RENDIMIENTO</v>
          </cell>
          <cell r="M202"/>
          <cell r="N202" t="str">
            <v>Vr. UNITARIO</v>
          </cell>
        </row>
        <row r="203">
          <cell r="B203" t="str">
            <v/>
          </cell>
          <cell r="C203"/>
          <cell r="D203"/>
          <cell r="E203"/>
          <cell r="F203"/>
          <cell r="G203"/>
          <cell r="H203"/>
          <cell r="I203"/>
          <cell r="J203" t="str">
            <v/>
          </cell>
          <cell r="K203">
            <v>0</v>
          </cell>
          <cell r="L203">
            <v>0.125</v>
          </cell>
          <cell r="M203"/>
          <cell r="N203">
            <v>0</v>
          </cell>
        </row>
        <row r="204">
          <cell r="B204" t="str">
            <v/>
          </cell>
          <cell r="C204"/>
          <cell r="D204"/>
          <cell r="E204"/>
          <cell r="F204"/>
          <cell r="G204"/>
          <cell r="H204"/>
          <cell r="I204"/>
          <cell r="J204" t="str">
            <v/>
          </cell>
          <cell r="K204">
            <v>0</v>
          </cell>
          <cell r="L204">
            <v>0.125</v>
          </cell>
          <cell r="M204"/>
          <cell r="N204">
            <v>0</v>
          </cell>
        </row>
        <row r="205">
          <cell r="B205" t="str">
            <v/>
          </cell>
          <cell r="C205"/>
          <cell r="D205"/>
          <cell r="E205"/>
          <cell r="F205"/>
          <cell r="G205"/>
          <cell r="H205"/>
          <cell r="I205"/>
          <cell r="J205" t="str">
            <v/>
          </cell>
          <cell r="K205">
            <v>0</v>
          </cell>
          <cell r="L205">
            <v>5</v>
          </cell>
          <cell r="M205"/>
          <cell r="N205">
            <v>0</v>
          </cell>
        </row>
        <row r="206">
          <cell r="B206" t="str">
            <v/>
          </cell>
          <cell r="C206"/>
          <cell r="D206"/>
          <cell r="E206"/>
          <cell r="F206"/>
          <cell r="G206"/>
          <cell r="H206"/>
          <cell r="I206"/>
          <cell r="J206" t="str">
            <v/>
          </cell>
          <cell r="K206">
            <v>0</v>
          </cell>
          <cell r="L206">
            <v>0.33333333333333331</v>
          </cell>
          <cell r="M206"/>
          <cell r="N206">
            <v>0</v>
          </cell>
        </row>
        <row r="207">
          <cell r="B207" t="str">
            <v/>
          </cell>
          <cell r="C207"/>
          <cell r="D207"/>
          <cell r="E207"/>
          <cell r="F207"/>
          <cell r="G207"/>
          <cell r="H207"/>
          <cell r="I207"/>
          <cell r="J207" t="str">
            <v/>
          </cell>
          <cell r="K207">
            <v>0</v>
          </cell>
          <cell r="L207"/>
          <cell r="M207"/>
          <cell r="N207">
            <v>0</v>
          </cell>
        </row>
        <row r="208">
          <cell r="B208" t="str">
            <v>Herramienta menor %</v>
          </cell>
          <cell r="C208"/>
          <cell r="D208"/>
          <cell r="E208"/>
          <cell r="F208"/>
          <cell r="G208"/>
          <cell r="H208"/>
          <cell r="I208"/>
          <cell r="J208" t="str">
            <v>% de M.O</v>
          </cell>
          <cell r="K208">
            <v>0.05</v>
          </cell>
          <cell r="L208"/>
          <cell r="M208"/>
          <cell r="N208">
            <v>0</v>
          </cell>
        </row>
        <row r="209">
          <cell r="B209" t="str">
            <v/>
          </cell>
          <cell r="C209"/>
          <cell r="D209"/>
          <cell r="E209"/>
          <cell r="F209"/>
          <cell r="G209"/>
          <cell r="H209"/>
          <cell r="I209"/>
          <cell r="J209"/>
          <cell r="K209"/>
          <cell r="L209"/>
          <cell r="M209"/>
          <cell r="N209"/>
        </row>
        <row r="210">
          <cell r="B210" t="str">
            <v>SUBTOTAL $</v>
          </cell>
          <cell r="C210"/>
          <cell r="D210"/>
          <cell r="E210"/>
          <cell r="F210"/>
          <cell r="G210"/>
          <cell r="H210"/>
          <cell r="I210"/>
          <cell r="J210"/>
          <cell r="K210"/>
          <cell r="L210"/>
          <cell r="M210"/>
          <cell r="N210">
            <v>0</v>
          </cell>
        </row>
        <row r="211">
          <cell r="B211"/>
          <cell r="C211"/>
          <cell r="D211"/>
          <cell r="E211"/>
          <cell r="F211"/>
          <cell r="G211"/>
          <cell r="H211"/>
          <cell r="I211"/>
          <cell r="J211"/>
          <cell r="K211"/>
          <cell r="L211"/>
          <cell r="M211"/>
          <cell r="N211"/>
        </row>
        <row r="212">
          <cell r="B212" t="str">
            <v>II. MATERIALES</v>
          </cell>
          <cell r="C212"/>
          <cell r="D212"/>
          <cell r="E212"/>
          <cell r="F212"/>
          <cell r="G212"/>
          <cell r="H212"/>
          <cell r="I212"/>
          <cell r="J212"/>
          <cell r="K212"/>
          <cell r="L212"/>
          <cell r="M212"/>
          <cell r="N212"/>
        </row>
        <row r="213">
          <cell r="B213"/>
          <cell r="C213"/>
          <cell r="D213"/>
          <cell r="E213"/>
          <cell r="F213"/>
          <cell r="G213"/>
          <cell r="H213"/>
          <cell r="I213"/>
          <cell r="J213"/>
          <cell r="K213"/>
          <cell r="L213"/>
          <cell r="M213"/>
          <cell r="N213"/>
        </row>
        <row r="214">
          <cell r="B214" t="str">
            <v>DESCRIPCIÓN</v>
          </cell>
          <cell r="C214"/>
          <cell r="D214"/>
          <cell r="E214"/>
          <cell r="F214"/>
          <cell r="G214"/>
          <cell r="H214"/>
          <cell r="I214"/>
          <cell r="J214" t="str">
            <v>UNIDAD</v>
          </cell>
          <cell r="K214" t="str">
            <v>CANTIDAD</v>
          </cell>
          <cell r="L214" t="str">
            <v>PRECIO UNIT.</v>
          </cell>
          <cell r="M214"/>
          <cell r="N214" t="str">
            <v>Vr. UNITARIO</v>
          </cell>
        </row>
        <row r="215">
          <cell r="B215" t="str">
            <v/>
          </cell>
          <cell r="C215"/>
          <cell r="D215"/>
          <cell r="E215"/>
          <cell r="F215"/>
          <cell r="G215"/>
          <cell r="H215"/>
          <cell r="I215"/>
          <cell r="J215" t="str">
            <v/>
          </cell>
          <cell r="K215"/>
          <cell r="L215">
            <v>0</v>
          </cell>
          <cell r="M215"/>
          <cell r="N215">
            <v>0</v>
          </cell>
        </row>
        <row r="216">
          <cell r="B216" t="str">
            <v/>
          </cell>
          <cell r="C216"/>
          <cell r="D216"/>
          <cell r="E216"/>
          <cell r="F216"/>
          <cell r="G216"/>
          <cell r="H216"/>
          <cell r="I216"/>
          <cell r="J216" t="str">
            <v/>
          </cell>
          <cell r="K216"/>
          <cell r="L216">
            <v>0</v>
          </cell>
          <cell r="M216"/>
          <cell r="N216">
            <v>0</v>
          </cell>
        </row>
        <row r="217">
          <cell r="B217" t="str">
            <v/>
          </cell>
          <cell r="C217"/>
          <cell r="D217"/>
          <cell r="E217"/>
          <cell r="F217"/>
          <cell r="G217"/>
          <cell r="H217"/>
          <cell r="I217"/>
          <cell r="J217" t="str">
            <v/>
          </cell>
          <cell r="K217"/>
          <cell r="L217">
            <v>0</v>
          </cell>
          <cell r="M217"/>
          <cell r="N217">
            <v>0</v>
          </cell>
        </row>
        <row r="218">
          <cell r="B218" t="str">
            <v/>
          </cell>
          <cell r="C218"/>
          <cell r="D218"/>
          <cell r="E218"/>
          <cell r="F218"/>
          <cell r="G218"/>
          <cell r="H218"/>
          <cell r="I218"/>
          <cell r="J218" t="str">
            <v/>
          </cell>
          <cell r="K218"/>
          <cell r="L218">
            <v>0</v>
          </cell>
          <cell r="M218"/>
          <cell r="N218">
            <v>0</v>
          </cell>
        </row>
        <row r="219">
          <cell r="B219" t="str">
            <v/>
          </cell>
          <cell r="C219"/>
          <cell r="D219"/>
          <cell r="E219"/>
          <cell r="F219"/>
          <cell r="G219"/>
          <cell r="H219"/>
          <cell r="I219"/>
          <cell r="J219" t="str">
            <v/>
          </cell>
          <cell r="K219"/>
          <cell r="L219">
            <v>0</v>
          </cell>
          <cell r="M219"/>
          <cell r="N219">
            <v>0</v>
          </cell>
        </row>
        <row r="220">
          <cell r="B220" t="str">
            <v/>
          </cell>
          <cell r="C220"/>
          <cell r="D220"/>
          <cell r="E220"/>
          <cell r="F220"/>
          <cell r="G220"/>
          <cell r="H220"/>
          <cell r="I220"/>
          <cell r="J220" t="str">
            <v/>
          </cell>
          <cell r="K220"/>
          <cell r="L220"/>
          <cell r="M220"/>
          <cell r="N220"/>
        </row>
        <row r="221">
          <cell r="B221" t="str">
            <v>SUBTOTAL $</v>
          </cell>
          <cell r="C221"/>
          <cell r="D221"/>
          <cell r="E221"/>
          <cell r="F221"/>
          <cell r="G221"/>
          <cell r="H221"/>
          <cell r="I221"/>
          <cell r="J221"/>
          <cell r="K221"/>
          <cell r="L221"/>
          <cell r="M221"/>
          <cell r="N221">
            <v>0</v>
          </cell>
        </row>
        <row r="222">
          <cell r="B222"/>
          <cell r="C222"/>
          <cell r="D222"/>
          <cell r="E222"/>
          <cell r="F222"/>
          <cell r="G222"/>
          <cell r="H222"/>
          <cell r="I222"/>
          <cell r="J222"/>
          <cell r="K222"/>
          <cell r="L222"/>
          <cell r="M222"/>
          <cell r="N222"/>
        </row>
        <row r="223">
          <cell r="B223" t="str">
            <v>III. TRANSPORTES</v>
          </cell>
          <cell r="C223"/>
          <cell r="D223"/>
          <cell r="E223"/>
          <cell r="F223"/>
          <cell r="G223"/>
          <cell r="H223"/>
          <cell r="I223"/>
          <cell r="J223"/>
          <cell r="K223"/>
          <cell r="L223"/>
          <cell r="M223"/>
          <cell r="N223"/>
        </row>
        <row r="224">
          <cell r="B224"/>
          <cell r="C224"/>
          <cell r="D224"/>
          <cell r="E224"/>
          <cell r="F224"/>
          <cell r="G224"/>
          <cell r="H224"/>
          <cell r="I224"/>
          <cell r="J224"/>
          <cell r="K224"/>
          <cell r="L224"/>
          <cell r="M224"/>
          <cell r="N224"/>
        </row>
        <row r="225">
          <cell r="B225" t="str">
            <v>MATERIAL O EQUIPO</v>
          </cell>
          <cell r="C225"/>
          <cell r="D225"/>
          <cell r="E225"/>
          <cell r="F225"/>
          <cell r="G225"/>
          <cell r="H225" t="str">
            <v>UNIDAD</v>
          </cell>
          <cell r="I225" t="str">
            <v>CANTIDAD (1)</v>
          </cell>
          <cell r="J225" t="str">
            <v>DISTANCIA (2) en km</v>
          </cell>
          <cell r="K225" t="str">
            <v>(1) * (2)</v>
          </cell>
          <cell r="L225" t="str">
            <v>TARIFA</v>
          </cell>
          <cell r="M225"/>
          <cell r="N225" t="str">
            <v>Vr. UNITARIO</v>
          </cell>
        </row>
        <row r="226">
          <cell r="B226" t="str">
            <v/>
          </cell>
          <cell r="C226"/>
          <cell r="D226"/>
          <cell r="E226"/>
          <cell r="F226"/>
          <cell r="G226"/>
          <cell r="H226" t="str">
            <v/>
          </cell>
          <cell r="I226">
            <v>0</v>
          </cell>
          <cell r="J226">
            <v>37</v>
          </cell>
          <cell r="K226">
            <v>0</v>
          </cell>
          <cell r="L226">
            <v>0</v>
          </cell>
          <cell r="M226"/>
          <cell r="N226">
            <v>0</v>
          </cell>
        </row>
        <row r="227">
          <cell r="B227" t="str">
            <v/>
          </cell>
          <cell r="C227"/>
          <cell r="D227"/>
          <cell r="E227"/>
          <cell r="F227"/>
          <cell r="G227"/>
          <cell r="H227" t="str">
            <v/>
          </cell>
          <cell r="I227">
            <v>0</v>
          </cell>
          <cell r="J227">
            <v>37</v>
          </cell>
          <cell r="K227">
            <v>0</v>
          </cell>
          <cell r="L227">
            <v>0</v>
          </cell>
          <cell r="M227"/>
          <cell r="N227">
            <v>0</v>
          </cell>
        </row>
        <row r="228">
          <cell r="B228" t="str">
            <v/>
          </cell>
          <cell r="C228"/>
          <cell r="D228"/>
          <cell r="E228"/>
          <cell r="F228"/>
          <cell r="G228"/>
          <cell r="H228" t="str">
            <v/>
          </cell>
          <cell r="I228"/>
          <cell r="J228"/>
          <cell r="K228">
            <v>0</v>
          </cell>
          <cell r="L228">
            <v>0</v>
          </cell>
          <cell r="M228"/>
          <cell r="N228">
            <v>0</v>
          </cell>
        </row>
        <row r="229">
          <cell r="B229" t="str">
            <v/>
          </cell>
          <cell r="C229"/>
          <cell r="D229"/>
          <cell r="E229"/>
          <cell r="F229"/>
          <cell r="G229"/>
          <cell r="H229" t="str">
            <v/>
          </cell>
          <cell r="I229"/>
          <cell r="J229"/>
          <cell r="K229"/>
          <cell r="L229"/>
          <cell r="M229"/>
          <cell r="N229">
            <v>0</v>
          </cell>
        </row>
        <row r="230">
          <cell r="B230" t="str">
            <v/>
          </cell>
          <cell r="C230"/>
          <cell r="D230"/>
          <cell r="E230"/>
          <cell r="F230"/>
          <cell r="G230"/>
          <cell r="H230" t="str">
            <v/>
          </cell>
          <cell r="I230"/>
          <cell r="J230"/>
          <cell r="K230"/>
          <cell r="L230"/>
          <cell r="M230"/>
          <cell r="N230">
            <v>0</v>
          </cell>
        </row>
        <row r="231">
          <cell r="B231" t="str">
            <v/>
          </cell>
          <cell r="C231"/>
          <cell r="D231"/>
          <cell r="E231"/>
          <cell r="F231"/>
          <cell r="G231"/>
          <cell r="H231"/>
          <cell r="I231"/>
          <cell r="J231"/>
          <cell r="K231"/>
          <cell r="L231"/>
          <cell r="M231"/>
          <cell r="N231"/>
        </row>
        <row r="232">
          <cell r="B232" t="str">
            <v>SUBTOTAL $</v>
          </cell>
          <cell r="C232"/>
          <cell r="D232"/>
          <cell r="E232"/>
          <cell r="F232"/>
          <cell r="G232"/>
          <cell r="H232"/>
          <cell r="I232"/>
          <cell r="J232"/>
          <cell r="K232"/>
          <cell r="L232"/>
          <cell r="M232"/>
          <cell r="N232">
            <v>0</v>
          </cell>
        </row>
        <row r="233">
          <cell r="B233"/>
          <cell r="C233"/>
          <cell r="D233"/>
          <cell r="E233"/>
          <cell r="F233"/>
          <cell r="G233"/>
          <cell r="H233"/>
          <cell r="I233"/>
          <cell r="J233"/>
          <cell r="K233"/>
          <cell r="L233"/>
          <cell r="M233"/>
          <cell r="N233"/>
        </row>
        <row r="234">
          <cell r="B234" t="str">
            <v>IV. MANO DE OBRA</v>
          </cell>
          <cell r="C234"/>
          <cell r="D234"/>
          <cell r="E234"/>
          <cell r="F234"/>
          <cell r="G234"/>
          <cell r="H234"/>
          <cell r="I234"/>
          <cell r="J234"/>
          <cell r="K234"/>
          <cell r="L234"/>
          <cell r="M234"/>
          <cell r="N234"/>
        </row>
        <row r="235">
          <cell r="B235"/>
          <cell r="C235"/>
          <cell r="D235"/>
          <cell r="E235"/>
          <cell r="F235"/>
          <cell r="G235"/>
          <cell r="H235"/>
          <cell r="I235"/>
          <cell r="J235"/>
          <cell r="K235"/>
          <cell r="L235"/>
          <cell r="M235"/>
          <cell r="N235"/>
        </row>
        <row r="236">
          <cell r="B236" t="str">
            <v>TRABAJADOR</v>
          </cell>
          <cell r="C236"/>
          <cell r="D236"/>
          <cell r="E236"/>
          <cell r="F236"/>
          <cell r="G236" t="str">
            <v>UNIDAD</v>
          </cell>
          <cell r="H236" t="str">
            <v>CANTIDAD</v>
          </cell>
          <cell r="I236" t="str">
            <v>$/UNIDAD</v>
          </cell>
          <cell r="J236" t="str">
            <v>PRESTACIONES</v>
          </cell>
          <cell r="K236" t="str">
            <v>JORNAL TOTAL</v>
          </cell>
          <cell r="L236" t="str">
            <v>RENDIMIENTO</v>
          </cell>
          <cell r="M236"/>
          <cell r="N236" t="str">
            <v>Vr. UNITARIO</v>
          </cell>
        </row>
        <row r="237">
          <cell r="B237" t="str">
            <v/>
          </cell>
          <cell r="C237"/>
          <cell r="D237"/>
          <cell r="E237"/>
          <cell r="F237"/>
          <cell r="G237" t="str">
            <v/>
          </cell>
          <cell r="H237">
            <v>1</v>
          </cell>
          <cell r="I237">
            <v>0</v>
          </cell>
          <cell r="J237">
            <v>0</v>
          </cell>
          <cell r="K237">
            <v>0</v>
          </cell>
          <cell r="L237">
            <v>0.22222222222222221</v>
          </cell>
          <cell r="M237"/>
          <cell r="N237">
            <v>0</v>
          </cell>
        </row>
        <row r="238">
          <cell r="B238" t="str">
            <v/>
          </cell>
          <cell r="C238"/>
          <cell r="D238"/>
          <cell r="E238"/>
          <cell r="F238"/>
          <cell r="G238" t="str">
            <v/>
          </cell>
          <cell r="H238">
            <v>1</v>
          </cell>
          <cell r="I238">
            <v>0</v>
          </cell>
          <cell r="J238">
            <v>0</v>
          </cell>
          <cell r="K238">
            <v>0</v>
          </cell>
          <cell r="L238">
            <v>0.22222222222222221</v>
          </cell>
          <cell r="M238"/>
          <cell r="N238">
            <v>0</v>
          </cell>
        </row>
        <row r="239">
          <cell r="B239" t="str">
            <v/>
          </cell>
          <cell r="C239"/>
          <cell r="D239"/>
          <cell r="E239"/>
          <cell r="F239"/>
          <cell r="G239" t="str">
            <v/>
          </cell>
          <cell r="H239">
            <v>6</v>
          </cell>
          <cell r="I239">
            <v>0</v>
          </cell>
          <cell r="J239">
            <v>0</v>
          </cell>
          <cell r="K239">
            <v>0</v>
          </cell>
          <cell r="L239">
            <v>1.3333333333333333</v>
          </cell>
          <cell r="M239"/>
          <cell r="N239">
            <v>0</v>
          </cell>
        </row>
        <row r="240">
          <cell r="B240" t="str">
            <v/>
          </cell>
          <cell r="C240"/>
          <cell r="D240"/>
          <cell r="E240"/>
          <cell r="F240"/>
          <cell r="G240" t="str">
            <v/>
          </cell>
          <cell r="H240"/>
          <cell r="I240">
            <v>0</v>
          </cell>
          <cell r="J240">
            <v>0</v>
          </cell>
          <cell r="K240">
            <v>0</v>
          </cell>
          <cell r="L240"/>
          <cell r="M240"/>
          <cell r="N240">
            <v>0</v>
          </cell>
        </row>
        <row r="241">
          <cell r="B241" t="str">
            <v/>
          </cell>
          <cell r="C241"/>
          <cell r="D241"/>
          <cell r="E241"/>
          <cell r="F241"/>
          <cell r="G241" t="str">
            <v/>
          </cell>
          <cell r="H241"/>
          <cell r="I241">
            <v>0</v>
          </cell>
          <cell r="J241">
            <v>0</v>
          </cell>
          <cell r="K241">
            <v>0</v>
          </cell>
          <cell r="L241"/>
          <cell r="M241"/>
          <cell r="N241"/>
        </row>
        <row r="242">
          <cell r="B242" t="str">
            <v>SUBTOTAL $</v>
          </cell>
          <cell r="C242"/>
          <cell r="D242"/>
          <cell r="E242"/>
          <cell r="F242"/>
          <cell r="G242"/>
          <cell r="H242"/>
          <cell r="I242"/>
          <cell r="J242"/>
          <cell r="K242"/>
          <cell r="L242"/>
          <cell r="M242"/>
          <cell r="N242">
            <v>0</v>
          </cell>
        </row>
        <row r="243">
          <cell r="B243"/>
          <cell r="C243"/>
          <cell r="D243"/>
          <cell r="E243"/>
          <cell r="F243"/>
          <cell r="G243"/>
          <cell r="H243"/>
          <cell r="I243"/>
          <cell r="J243"/>
          <cell r="K243"/>
          <cell r="L243"/>
          <cell r="M243"/>
          <cell r="N243"/>
        </row>
        <row r="244">
          <cell r="B244" t="str">
            <v>TOTAL COSTO DIRECTO $</v>
          </cell>
          <cell r="C244"/>
          <cell r="D244"/>
          <cell r="E244"/>
          <cell r="F244"/>
          <cell r="G244"/>
          <cell r="H244"/>
          <cell r="I244"/>
          <cell r="J244"/>
          <cell r="K244"/>
          <cell r="L244"/>
          <cell r="M244"/>
          <cell r="N244">
            <v>0</v>
          </cell>
        </row>
        <row r="245">
          <cell r="B245"/>
          <cell r="C245"/>
          <cell r="D245"/>
          <cell r="E245"/>
          <cell r="F245"/>
          <cell r="G245"/>
          <cell r="H245"/>
          <cell r="I245"/>
          <cell r="J245"/>
          <cell r="K245"/>
          <cell r="L245"/>
          <cell r="M245"/>
          <cell r="N245"/>
        </row>
        <row r="246">
          <cell r="B246"/>
          <cell r="C246"/>
          <cell r="D246"/>
          <cell r="E246"/>
          <cell r="F246"/>
          <cell r="G246"/>
          <cell r="H246"/>
          <cell r="I246"/>
          <cell r="J246"/>
          <cell r="K246"/>
          <cell r="L246"/>
          <cell r="M246"/>
          <cell r="N246"/>
        </row>
        <row r="247">
          <cell r="B247"/>
          <cell r="C247"/>
          <cell r="D247"/>
          <cell r="E247"/>
          <cell r="F247"/>
          <cell r="G247"/>
          <cell r="H247"/>
          <cell r="I247"/>
          <cell r="J247"/>
          <cell r="K247"/>
          <cell r="L247"/>
          <cell r="M247"/>
          <cell r="N247"/>
        </row>
        <row r="248">
          <cell r="B248"/>
          <cell r="C248"/>
          <cell r="D248"/>
          <cell r="E248"/>
          <cell r="F248"/>
          <cell r="G248"/>
          <cell r="H248"/>
          <cell r="I248"/>
          <cell r="J248"/>
          <cell r="K248"/>
          <cell r="L248"/>
          <cell r="M248"/>
          <cell r="N248"/>
        </row>
        <row r="249">
          <cell r="B249"/>
          <cell r="C249"/>
          <cell r="D249"/>
          <cell r="E249"/>
          <cell r="F249"/>
          <cell r="G249"/>
          <cell r="H249"/>
          <cell r="I249"/>
          <cell r="J249"/>
          <cell r="K249"/>
          <cell r="L249"/>
          <cell r="M249"/>
          <cell r="N249"/>
        </row>
        <row r="250">
          <cell r="B250"/>
          <cell r="C250"/>
          <cell r="D250"/>
          <cell r="E250"/>
          <cell r="F250"/>
          <cell r="G250"/>
          <cell r="H250"/>
          <cell r="I250"/>
          <cell r="J250"/>
          <cell r="K250"/>
          <cell r="L250"/>
          <cell r="M250"/>
          <cell r="N250"/>
        </row>
        <row r="251">
          <cell r="B251"/>
          <cell r="C251"/>
          <cell r="D251"/>
          <cell r="E251"/>
          <cell r="F251"/>
          <cell r="G251"/>
          <cell r="H251"/>
          <cell r="I251"/>
          <cell r="J251"/>
          <cell r="K251"/>
          <cell r="L251"/>
          <cell r="M251"/>
          <cell r="N251"/>
        </row>
        <row r="252">
          <cell r="B252" t="str">
            <v>SUMINISTRO E INSTALACION DE BOMBA SUMERGIBLE TIPO LAPICERO PARA LA COMUNIDAD DEL CENTRO POBLADO CAMPO ALEGRE EN EL MUNICIPIO DE CAUCASIA ANTIOQUIA.</v>
          </cell>
          <cell r="C252"/>
          <cell r="D252"/>
          <cell r="E252"/>
          <cell r="F252"/>
          <cell r="G252"/>
          <cell r="H252"/>
          <cell r="I252"/>
          <cell r="J252"/>
          <cell r="K252"/>
          <cell r="L252"/>
          <cell r="M252"/>
          <cell r="N252"/>
        </row>
        <row r="253">
          <cell r="B253"/>
          <cell r="C253"/>
          <cell r="D253"/>
          <cell r="E253"/>
          <cell r="F253"/>
          <cell r="G253"/>
          <cell r="H253"/>
          <cell r="I253"/>
          <cell r="J253"/>
          <cell r="K253"/>
          <cell r="L253"/>
          <cell r="M253"/>
          <cell r="N253"/>
        </row>
        <row r="254">
          <cell r="B254"/>
          <cell r="C254"/>
          <cell r="D254"/>
          <cell r="E254"/>
          <cell r="F254"/>
          <cell r="G254"/>
          <cell r="H254"/>
          <cell r="I254"/>
          <cell r="J254"/>
          <cell r="K254"/>
          <cell r="L254"/>
          <cell r="M254"/>
          <cell r="N254"/>
        </row>
        <row r="255">
          <cell r="B255"/>
          <cell r="C255" t="e">
            <v>#N/A</v>
          </cell>
          <cell r="D255"/>
          <cell r="E255"/>
          <cell r="F255"/>
          <cell r="G255"/>
          <cell r="H255"/>
          <cell r="I255"/>
          <cell r="J255"/>
          <cell r="K255"/>
          <cell r="L255"/>
          <cell r="M255"/>
          <cell r="N255"/>
        </row>
        <row r="256">
          <cell r="B256" t="str">
            <v>ANALISIS DE PRECIO UNITARIO.</v>
          </cell>
          <cell r="C256"/>
          <cell r="D256"/>
          <cell r="E256"/>
          <cell r="F256"/>
          <cell r="G256"/>
          <cell r="H256"/>
          <cell r="I256"/>
          <cell r="J256"/>
          <cell r="K256"/>
          <cell r="L256"/>
          <cell r="M256"/>
          <cell r="N256"/>
        </row>
        <row r="257">
          <cell r="B257"/>
          <cell r="C257"/>
          <cell r="D257"/>
          <cell r="E257"/>
          <cell r="F257"/>
          <cell r="G257"/>
          <cell r="H257"/>
          <cell r="I257"/>
          <cell r="J257"/>
          <cell r="K257"/>
          <cell r="L257"/>
          <cell r="M257"/>
          <cell r="N257"/>
        </row>
        <row r="258">
          <cell r="B258"/>
          <cell r="C258"/>
          <cell r="D258"/>
          <cell r="E258"/>
          <cell r="F258"/>
          <cell r="G258"/>
          <cell r="H258"/>
          <cell r="I258"/>
          <cell r="J258"/>
          <cell r="K258"/>
          <cell r="L258"/>
          <cell r="M258"/>
          <cell r="N258"/>
        </row>
        <row r="259">
          <cell r="B259" t="str">
            <v>DATOS ESPECÍFICOS</v>
          </cell>
          <cell r="C259"/>
          <cell r="D259"/>
          <cell r="E259"/>
          <cell r="F259"/>
          <cell r="G259"/>
          <cell r="H259"/>
          <cell r="I259"/>
          <cell r="J259"/>
          <cell r="K259"/>
          <cell r="L259"/>
          <cell r="M259"/>
          <cell r="N259"/>
        </row>
        <row r="260">
          <cell r="B260" t="str">
            <v>ITEM</v>
          </cell>
          <cell r="C260" t="str">
            <v>DESCRIPCIÓN</v>
          </cell>
          <cell r="D260"/>
          <cell r="E260"/>
          <cell r="F260"/>
          <cell r="G260"/>
          <cell r="H260"/>
          <cell r="I260"/>
          <cell r="J260"/>
          <cell r="K260" t="str">
            <v>PRECIO</v>
          </cell>
          <cell r="L260" t="str">
            <v>UNIDAD</v>
          </cell>
          <cell r="M260"/>
          <cell r="N260" t="str">
            <v>CANTIDAD TOTAL</v>
          </cell>
        </row>
        <row r="261">
          <cell r="B261"/>
          <cell r="C261" t="e">
            <v>#N/A</v>
          </cell>
          <cell r="D261"/>
          <cell r="E261"/>
          <cell r="F261"/>
          <cell r="G261"/>
          <cell r="H261"/>
          <cell r="I261"/>
          <cell r="J261"/>
          <cell r="K261">
            <v>0</v>
          </cell>
          <cell r="L261" t="e">
            <v>#N/A</v>
          </cell>
          <cell r="M261"/>
          <cell r="N261">
            <v>0</v>
          </cell>
        </row>
        <row r="262">
          <cell r="B262"/>
          <cell r="C262"/>
          <cell r="D262"/>
          <cell r="E262"/>
          <cell r="F262"/>
          <cell r="G262"/>
          <cell r="H262"/>
          <cell r="I262"/>
          <cell r="J262"/>
          <cell r="K262"/>
          <cell r="L262"/>
          <cell r="M262"/>
          <cell r="N262"/>
        </row>
        <row r="263">
          <cell r="B263" t="str">
            <v>I. EQUIPO</v>
          </cell>
          <cell r="C263"/>
          <cell r="D263"/>
          <cell r="E263"/>
          <cell r="F263"/>
          <cell r="G263"/>
          <cell r="H263"/>
          <cell r="I263"/>
          <cell r="J263"/>
          <cell r="K263"/>
          <cell r="L263"/>
          <cell r="M263"/>
          <cell r="N263"/>
        </row>
        <row r="264">
          <cell r="B264"/>
          <cell r="C264"/>
          <cell r="D264"/>
          <cell r="E264"/>
          <cell r="F264"/>
          <cell r="G264"/>
          <cell r="H264"/>
          <cell r="I264"/>
          <cell r="J264"/>
          <cell r="K264"/>
          <cell r="L264"/>
          <cell r="M264"/>
          <cell r="N264"/>
        </row>
        <row r="265">
          <cell r="B265" t="str">
            <v>DESCRIPCIÓN</v>
          </cell>
          <cell r="C265"/>
          <cell r="D265"/>
          <cell r="E265"/>
          <cell r="F265"/>
          <cell r="G265"/>
          <cell r="H265"/>
          <cell r="I265" t="str">
            <v>TIPO</v>
          </cell>
          <cell r="J265" t="str">
            <v>UNIDAD</v>
          </cell>
          <cell r="K265" t="str">
            <v>TARIFA</v>
          </cell>
          <cell r="L265" t="str">
            <v>RENDIMIENTO</v>
          </cell>
          <cell r="M265"/>
          <cell r="N265" t="str">
            <v>Vr. UNITARIO</v>
          </cell>
        </row>
        <row r="266">
          <cell r="B266" t="str">
            <v/>
          </cell>
          <cell r="C266"/>
          <cell r="D266"/>
          <cell r="E266"/>
          <cell r="F266"/>
          <cell r="G266"/>
          <cell r="H266"/>
          <cell r="I266"/>
          <cell r="J266" t="str">
            <v/>
          </cell>
          <cell r="K266">
            <v>0</v>
          </cell>
          <cell r="L266"/>
          <cell r="M266"/>
          <cell r="N266">
            <v>0</v>
          </cell>
        </row>
        <row r="267">
          <cell r="B267" t="str">
            <v/>
          </cell>
          <cell r="C267"/>
          <cell r="D267"/>
          <cell r="E267"/>
          <cell r="F267"/>
          <cell r="G267"/>
          <cell r="H267"/>
          <cell r="I267"/>
          <cell r="J267" t="str">
            <v/>
          </cell>
          <cell r="K267">
            <v>0</v>
          </cell>
          <cell r="L267"/>
          <cell r="M267"/>
          <cell r="N267">
            <v>0</v>
          </cell>
        </row>
        <row r="268">
          <cell r="B268" t="str">
            <v/>
          </cell>
          <cell r="C268"/>
          <cell r="D268"/>
          <cell r="E268"/>
          <cell r="F268"/>
          <cell r="G268"/>
          <cell r="H268"/>
          <cell r="I268"/>
          <cell r="J268" t="str">
            <v/>
          </cell>
          <cell r="K268">
            <v>0</v>
          </cell>
          <cell r="L268"/>
          <cell r="M268"/>
          <cell r="N268">
            <v>0</v>
          </cell>
        </row>
        <row r="269">
          <cell r="B269" t="str">
            <v/>
          </cell>
          <cell r="C269"/>
          <cell r="D269"/>
          <cell r="E269"/>
          <cell r="F269"/>
          <cell r="G269"/>
          <cell r="H269"/>
          <cell r="I269"/>
          <cell r="J269" t="str">
            <v/>
          </cell>
          <cell r="K269">
            <v>0</v>
          </cell>
          <cell r="L269"/>
          <cell r="M269"/>
          <cell r="N269">
            <v>0</v>
          </cell>
        </row>
        <row r="270">
          <cell r="B270" t="str">
            <v/>
          </cell>
          <cell r="C270"/>
          <cell r="D270"/>
          <cell r="E270"/>
          <cell r="F270"/>
          <cell r="G270"/>
          <cell r="H270"/>
          <cell r="I270"/>
          <cell r="J270" t="str">
            <v/>
          </cell>
          <cell r="K270">
            <v>0</v>
          </cell>
          <cell r="L270"/>
          <cell r="M270"/>
          <cell r="N270">
            <v>0</v>
          </cell>
        </row>
        <row r="271">
          <cell r="B271" t="str">
            <v/>
          </cell>
          <cell r="C271"/>
          <cell r="D271"/>
          <cell r="E271"/>
          <cell r="F271"/>
          <cell r="G271"/>
          <cell r="H271"/>
          <cell r="I271"/>
          <cell r="J271" t="str">
            <v/>
          </cell>
          <cell r="K271">
            <v>0</v>
          </cell>
          <cell r="L271"/>
          <cell r="M271"/>
          <cell r="N271">
            <v>0</v>
          </cell>
        </row>
        <row r="272">
          <cell r="B272" t="str">
            <v/>
          </cell>
          <cell r="C272"/>
          <cell r="D272"/>
          <cell r="E272"/>
          <cell r="F272"/>
          <cell r="G272"/>
          <cell r="H272"/>
          <cell r="I272"/>
          <cell r="J272"/>
          <cell r="K272"/>
          <cell r="L272"/>
          <cell r="M272"/>
          <cell r="N272"/>
        </row>
        <row r="273">
          <cell r="B273" t="str">
            <v>SUBTOTAL $</v>
          </cell>
          <cell r="C273"/>
          <cell r="D273"/>
          <cell r="E273"/>
          <cell r="F273"/>
          <cell r="G273"/>
          <cell r="H273"/>
          <cell r="I273"/>
          <cell r="J273"/>
          <cell r="K273"/>
          <cell r="L273"/>
          <cell r="M273"/>
          <cell r="N273">
            <v>0</v>
          </cell>
        </row>
        <row r="274">
          <cell r="B274"/>
          <cell r="C274"/>
          <cell r="D274"/>
          <cell r="E274"/>
          <cell r="F274"/>
          <cell r="G274"/>
          <cell r="H274"/>
          <cell r="I274"/>
          <cell r="J274"/>
          <cell r="K274"/>
          <cell r="L274"/>
          <cell r="M274"/>
          <cell r="N274"/>
        </row>
        <row r="275">
          <cell r="B275" t="str">
            <v>II. MATERIALES</v>
          </cell>
          <cell r="C275"/>
          <cell r="D275"/>
          <cell r="E275"/>
          <cell r="F275"/>
          <cell r="G275"/>
          <cell r="H275"/>
          <cell r="I275"/>
          <cell r="J275"/>
          <cell r="K275"/>
          <cell r="L275"/>
          <cell r="M275"/>
          <cell r="N275"/>
        </row>
        <row r="276">
          <cell r="B276"/>
          <cell r="C276"/>
          <cell r="D276"/>
          <cell r="E276"/>
          <cell r="F276"/>
          <cell r="G276"/>
          <cell r="H276"/>
          <cell r="I276"/>
          <cell r="J276"/>
          <cell r="K276"/>
          <cell r="L276"/>
          <cell r="M276"/>
          <cell r="N276"/>
        </row>
        <row r="277">
          <cell r="B277" t="str">
            <v>DESCRIPCIÓN</v>
          </cell>
          <cell r="C277"/>
          <cell r="D277"/>
          <cell r="E277"/>
          <cell r="F277"/>
          <cell r="G277"/>
          <cell r="H277"/>
          <cell r="I277"/>
          <cell r="J277" t="str">
            <v>UNIDAD</v>
          </cell>
          <cell r="K277" t="str">
            <v>CANTIDAD</v>
          </cell>
          <cell r="L277" t="str">
            <v>PRECIO UNIT.</v>
          </cell>
          <cell r="M277"/>
          <cell r="N277" t="str">
            <v>Vr. UNITARIO</v>
          </cell>
        </row>
        <row r="278">
          <cell r="B278" t="str">
            <v/>
          </cell>
          <cell r="C278"/>
          <cell r="D278"/>
          <cell r="E278"/>
          <cell r="F278"/>
          <cell r="G278"/>
          <cell r="H278"/>
          <cell r="I278"/>
          <cell r="J278" t="str">
            <v/>
          </cell>
          <cell r="K278"/>
          <cell r="L278">
            <v>0</v>
          </cell>
          <cell r="M278"/>
          <cell r="N278">
            <v>0</v>
          </cell>
        </row>
        <row r="279">
          <cell r="B279" t="str">
            <v/>
          </cell>
          <cell r="C279"/>
          <cell r="D279"/>
          <cell r="E279"/>
          <cell r="F279"/>
          <cell r="G279"/>
          <cell r="H279"/>
          <cell r="I279"/>
          <cell r="J279" t="str">
            <v/>
          </cell>
          <cell r="K279"/>
          <cell r="L279">
            <v>0</v>
          </cell>
          <cell r="M279"/>
          <cell r="N279">
            <v>0</v>
          </cell>
        </row>
        <row r="280">
          <cell r="B280" t="str">
            <v/>
          </cell>
          <cell r="C280"/>
          <cell r="D280"/>
          <cell r="E280"/>
          <cell r="F280"/>
          <cell r="G280"/>
          <cell r="H280"/>
          <cell r="I280"/>
          <cell r="J280" t="str">
            <v/>
          </cell>
          <cell r="K280"/>
          <cell r="L280">
            <v>0</v>
          </cell>
          <cell r="M280"/>
          <cell r="N280">
            <v>0</v>
          </cell>
        </row>
        <row r="281">
          <cell r="B281" t="str">
            <v/>
          </cell>
          <cell r="C281"/>
          <cell r="D281"/>
          <cell r="E281"/>
          <cell r="F281"/>
          <cell r="G281"/>
          <cell r="H281"/>
          <cell r="I281"/>
          <cell r="J281" t="str">
            <v/>
          </cell>
          <cell r="K281"/>
          <cell r="L281">
            <v>0</v>
          </cell>
          <cell r="M281"/>
          <cell r="N281">
            <v>0</v>
          </cell>
        </row>
        <row r="282">
          <cell r="B282" t="str">
            <v/>
          </cell>
          <cell r="C282"/>
          <cell r="D282"/>
          <cell r="E282"/>
          <cell r="F282"/>
          <cell r="G282"/>
          <cell r="H282"/>
          <cell r="I282"/>
          <cell r="J282" t="str">
            <v/>
          </cell>
          <cell r="K282"/>
          <cell r="L282">
            <v>0</v>
          </cell>
          <cell r="M282"/>
          <cell r="N282">
            <v>0</v>
          </cell>
        </row>
        <row r="283">
          <cell r="B283" t="str">
            <v/>
          </cell>
          <cell r="C283"/>
          <cell r="D283"/>
          <cell r="E283"/>
          <cell r="F283"/>
          <cell r="G283"/>
          <cell r="H283"/>
          <cell r="I283"/>
          <cell r="J283" t="str">
            <v/>
          </cell>
          <cell r="K283"/>
          <cell r="L283">
            <v>0</v>
          </cell>
          <cell r="M283"/>
          <cell r="N283">
            <v>0</v>
          </cell>
        </row>
        <row r="284">
          <cell r="B284" t="str">
            <v>SUBTOTAL $</v>
          </cell>
          <cell r="C284"/>
          <cell r="D284"/>
          <cell r="E284"/>
          <cell r="F284"/>
          <cell r="G284"/>
          <cell r="H284"/>
          <cell r="I284"/>
          <cell r="J284"/>
          <cell r="K284"/>
          <cell r="L284"/>
          <cell r="M284"/>
          <cell r="N284">
            <v>0</v>
          </cell>
        </row>
        <row r="285">
          <cell r="B285"/>
          <cell r="C285"/>
          <cell r="D285"/>
          <cell r="E285"/>
          <cell r="F285"/>
          <cell r="G285"/>
          <cell r="H285"/>
          <cell r="I285"/>
          <cell r="J285"/>
          <cell r="K285"/>
          <cell r="L285"/>
          <cell r="M285"/>
          <cell r="N285"/>
        </row>
        <row r="286">
          <cell r="B286" t="str">
            <v>III. TRANSPORTES</v>
          </cell>
          <cell r="C286"/>
          <cell r="D286"/>
          <cell r="E286"/>
          <cell r="F286"/>
          <cell r="G286"/>
          <cell r="H286"/>
          <cell r="I286"/>
          <cell r="J286"/>
          <cell r="K286"/>
          <cell r="L286"/>
          <cell r="M286"/>
          <cell r="N286"/>
        </row>
        <row r="287">
          <cell r="B287"/>
          <cell r="C287"/>
          <cell r="D287"/>
          <cell r="E287"/>
          <cell r="F287"/>
          <cell r="G287"/>
          <cell r="H287"/>
          <cell r="I287"/>
          <cell r="J287"/>
          <cell r="K287"/>
          <cell r="L287"/>
          <cell r="M287"/>
          <cell r="N287"/>
        </row>
        <row r="288">
          <cell r="B288" t="str">
            <v>MATERIAL O EQUIPO</v>
          </cell>
          <cell r="C288"/>
          <cell r="D288"/>
          <cell r="E288"/>
          <cell r="F288"/>
          <cell r="G288"/>
          <cell r="H288" t="str">
            <v>UNIDAD</v>
          </cell>
          <cell r="I288" t="str">
            <v>CANTIDAD (1)</v>
          </cell>
          <cell r="J288" t="str">
            <v>DISTANCIA (2) en km</v>
          </cell>
          <cell r="K288" t="str">
            <v>(1) * (2)</v>
          </cell>
          <cell r="L288" t="str">
            <v>TARIFA</v>
          </cell>
          <cell r="M288"/>
          <cell r="N288" t="str">
            <v>Vr. UNITARIO</v>
          </cell>
        </row>
        <row r="289">
          <cell r="B289" t="str">
            <v/>
          </cell>
          <cell r="C289"/>
          <cell r="D289"/>
          <cell r="E289"/>
          <cell r="F289"/>
          <cell r="G289"/>
          <cell r="H289" t="str">
            <v/>
          </cell>
          <cell r="I289">
            <v>1E-3</v>
          </cell>
          <cell r="J289">
            <v>37</v>
          </cell>
          <cell r="K289">
            <v>3.6999999999999998E-2</v>
          </cell>
          <cell r="L289">
            <v>0</v>
          </cell>
          <cell r="M289"/>
          <cell r="N289">
            <v>0</v>
          </cell>
        </row>
        <row r="290">
          <cell r="B290" t="str">
            <v/>
          </cell>
          <cell r="C290"/>
          <cell r="D290"/>
          <cell r="E290"/>
          <cell r="F290"/>
          <cell r="G290"/>
          <cell r="H290" t="str">
            <v/>
          </cell>
          <cell r="I290"/>
          <cell r="J290"/>
          <cell r="K290">
            <v>0</v>
          </cell>
          <cell r="L290">
            <v>0</v>
          </cell>
          <cell r="M290"/>
          <cell r="N290">
            <v>0</v>
          </cell>
        </row>
        <row r="291">
          <cell r="B291" t="str">
            <v/>
          </cell>
          <cell r="C291"/>
          <cell r="D291"/>
          <cell r="E291"/>
          <cell r="F291"/>
          <cell r="G291"/>
          <cell r="H291" t="str">
            <v/>
          </cell>
          <cell r="I291"/>
          <cell r="J291"/>
          <cell r="K291">
            <v>0</v>
          </cell>
          <cell r="L291">
            <v>0</v>
          </cell>
          <cell r="M291"/>
          <cell r="N291">
            <v>0</v>
          </cell>
        </row>
        <row r="292">
          <cell r="B292" t="str">
            <v/>
          </cell>
          <cell r="C292"/>
          <cell r="D292"/>
          <cell r="E292"/>
          <cell r="F292"/>
          <cell r="G292"/>
          <cell r="H292" t="str">
            <v/>
          </cell>
          <cell r="I292"/>
          <cell r="J292"/>
          <cell r="K292"/>
          <cell r="L292"/>
          <cell r="M292"/>
          <cell r="N292">
            <v>0</v>
          </cell>
        </row>
        <row r="293">
          <cell r="B293" t="str">
            <v/>
          </cell>
          <cell r="C293"/>
          <cell r="D293"/>
          <cell r="E293"/>
          <cell r="F293"/>
          <cell r="G293"/>
          <cell r="H293" t="str">
            <v/>
          </cell>
          <cell r="I293"/>
          <cell r="J293"/>
          <cell r="K293"/>
          <cell r="L293"/>
          <cell r="M293"/>
          <cell r="N293">
            <v>0</v>
          </cell>
        </row>
        <row r="294">
          <cell r="B294" t="str">
            <v/>
          </cell>
          <cell r="C294"/>
          <cell r="D294"/>
          <cell r="E294"/>
          <cell r="F294"/>
          <cell r="G294"/>
          <cell r="H294"/>
          <cell r="I294"/>
          <cell r="J294"/>
          <cell r="K294"/>
          <cell r="L294"/>
          <cell r="M294"/>
          <cell r="N294"/>
        </row>
        <row r="295">
          <cell r="B295" t="str">
            <v>SUBTOTAL $</v>
          </cell>
          <cell r="C295"/>
          <cell r="D295"/>
          <cell r="E295"/>
          <cell r="F295"/>
          <cell r="G295"/>
          <cell r="H295"/>
          <cell r="I295"/>
          <cell r="J295"/>
          <cell r="K295"/>
          <cell r="L295"/>
          <cell r="M295"/>
          <cell r="N295">
            <v>0</v>
          </cell>
        </row>
        <row r="296">
          <cell r="B296"/>
          <cell r="C296"/>
          <cell r="D296"/>
          <cell r="E296"/>
          <cell r="F296"/>
          <cell r="G296"/>
          <cell r="H296"/>
          <cell r="I296"/>
          <cell r="J296"/>
          <cell r="K296"/>
          <cell r="L296"/>
          <cell r="M296"/>
          <cell r="N296"/>
        </row>
        <row r="297">
          <cell r="B297" t="str">
            <v>IV. MANO DE OBRA</v>
          </cell>
          <cell r="C297"/>
          <cell r="D297"/>
          <cell r="E297"/>
          <cell r="F297"/>
          <cell r="G297"/>
          <cell r="H297"/>
          <cell r="I297"/>
          <cell r="J297"/>
          <cell r="K297"/>
          <cell r="L297"/>
          <cell r="M297"/>
          <cell r="N297"/>
        </row>
        <row r="298">
          <cell r="B298"/>
          <cell r="C298"/>
          <cell r="D298"/>
          <cell r="E298"/>
          <cell r="F298"/>
          <cell r="G298"/>
          <cell r="H298"/>
          <cell r="I298"/>
          <cell r="J298"/>
          <cell r="K298"/>
          <cell r="L298"/>
          <cell r="M298"/>
          <cell r="N298"/>
        </row>
        <row r="299">
          <cell r="B299" t="str">
            <v>TRABAJADOR</v>
          </cell>
          <cell r="C299"/>
          <cell r="D299"/>
          <cell r="E299"/>
          <cell r="F299"/>
          <cell r="G299" t="str">
            <v>UNIDAD</v>
          </cell>
          <cell r="H299" t="str">
            <v>CANTIDAD</v>
          </cell>
          <cell r="I299" t="str">
            <v>$/UNIDAD</v>
          </cell>
          <cell r="J299" t="str">
            <v>PRESTACIONES</v>
          </cell>
          <cell r="K299" t="str">
            <v>JORNAL TOTAL</v>
          </cell>
          <cell r="L299" t="str">
            <v>RENDIMIENTO</v>
          </cell>
          <cell r="M299"/>
          <cell r="N299" t="str">
            <v>Vr. UNITARIO</v>
          </cell>
        </row>
        <row r="300">
          <cell r="B300" t="str">
            <v/>
          </cell>
          <cell r="C300"/>
          <cell r="D300"/>
          <cell r="E300"/>
          <cell r="F300"/>
          <cell r="G300" t="str">
            <v/>
          </cell>
          <cell r="H300"/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/>
          <cell r="N300">
            <v>0</v>
          </cell>
        </row>
        <row r="301">
          <cell r="B301" t="str">
            <v/>
          </cell>
          <cell r="C301"/>
          <cell r="D301"/>
          <cell r="E301"/>
          <cell r="F301"/>
          <cell r="G301" t="str">
            <v/>
          </cell>
          <cell r="H301"/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/>
          <cell r="N301">
            <v>0</v>
          </cell>
        </row>
        <row r="302">
          <cell r="B302" t="str">
            <v/>
          </cell>
          <cell r="C302"/>
          <cell r="D302"/>
          <cell r="E302"/>
          <cell r="F302"/>
          <cell r="G302" t="str">
            <v/>
          </cell>
          <cell r="H302"/>
          <cell r="I302">
            <v>0</v>
          </cell>
          <cell r="J302">
            <v>0</v>
          </cell>
          <cell r="K302">
            <v>0</v>
          </cell>
          <cell r="L302"/>
          <cell r="M302"/>
          <cell r="N302">
            <v>0</v>
          </cell>
        </row>
        <row r="303">
          <cell r="B303" t="str">
            <v/>
          </cell>
          <cell r="C303"/>
          <cell r="D303"/>
          <cell r="E303"/>
          <cell r="F303"/>
          <cell r="G303" t="str">
            <v/>
          </cell>
          <cell r="H303"/>
          <cell r="I303">
            <v>0</v>
          </cell>
          <cell r="J303">
            <v>0</v>
          </cell>
          <cell r="K303">
            <v>0</v>
          </cell>
          <cell r="L303"/>
          <cell r="M303"/>
          <cell r="N303">
            <v>0</v>
          </cell>
        </row>
        <row r="304">
          <cell r="B304" t="str">
            <v/>
          </cell>
          <cell r="C304"/>
          <cell r="D304"/>
          <cell r="E304"/>
          <cell r="F304"/>
          <cell r="G304" t="str">
            <v/>
          </cell>
          <cell r="H304"/>
          <cell r="I304">
            <v>0</v>
          </cell>
          <cell r="J304">
            <v>0</v>
          </cell>
          <cell r="K304">
            <v>0</v>
          </cell>
          <cell r="L304"/>
          <cell r="M304"/>
          <cell r="N304"/>
        </row>
        <row r="305">
          <cell r="B305" t="str">
            <v>SUBTOTAL $</v>
          </cell>
          <cell r="C305"/>
          <cell r="D305"/>
          <cell r="E305"/>
          <cell r="F305"/>
          <cell r="G305"/>
          <cell r="H305"/>
          <cell r="I305"/>
          <cell r="J305"/>
          <cell r="K305"/>
          <cell r="L305"/>
          <cell r="M305"/>
          <cell r="N305">
            <v>0</v>
          </cell>
        </row>
        <row r="306">
          <cell r="B306"/>
          <cell r="C306"/>
          <cell r="D306"/>
          <cell r="E306"/>
          <cell r="F306"/>
          <cell r="G306"/>
          <cell r="H306"/>
          <cell r="I306"/>
          <cell r="J306"/>
          <cell r="K306"/>
          <cell r="L306"/>
          <cell r="M306"/>
          <cell r="N306"/>
        </row>
        <row r="307">
          <cell r="B307" t="str">
            <v>TOTAL COSTO DIRECTO $</v>
          </cell>
          <cell r="C307"/>
          <cell r="D307"/>
          <cell r="E307"/>
          <cell r="F307"/>
          <cell r="G307"/>
          <cell r="H307"/>
          <cell r="I307"/>
          <cell r="J307"/>
          <cell r="K307"/>
          <cell r="L307"/>
          <cell r="M307"/>
          <cell r="N307">
            <v>0</v>
          </cell>
        </row>
        <row r="308">
          <cell r="B308"/>
          <cell r="C308"/>
          <cell r="D308"/>
          <cell r="E308"/>
          <cell r="F308"/>
          <cell r="G308"/>
          <cell r="H308"/>
          <cell r="I308"/>
          <cell r="J308"/>
          <cell r="K308"/>
          <cell r="L308"/>
          <cell r="M308"/>
          <cell r="N308"/>
        </row>
        <row r="309">
          <cell r="B309"/>
          <cell r="C309"/>
          <cell r="D309"/>
          <cell r="E309"/>
          <cell r="F309"/>
          <cell r="G309"/>
          <cell r="H309"/>
          <cell r="I309"/>
          <cell r="J309"/>
          <cell r="K309"/>
          <cell r="L309"/>
          <cell r="M309"/>
          <cell r="N309"/>
        </row>
        <row r="310">
          <cell r="B310"/>
          <cell r="C310"/>
          <cell r="D310"/>
          <cell r="E310"/>
          <cell r="F310"/>
          <cell r="G310"/>
          <cell r="H310"/>
          <cell r="I310"/>
          <cell r="J310"/>
          <cell r="K310"/>
          <cell r="L310"/>
          <cell r="M310"/>
          <cell r="N310"/>
        </row>
        <row r="311">
          <cell r="B311"/>
          <cell r="C311"/>
          <cell r="D311"/>
          <cell r="E311"/>
          <cell r="F311"/>
          <cell r="G311"/>
          <cell r="H311"/>
          <cell r="I311"/>
          <cell r="J311"/>
          <cell r="K311"/>
          <cell r="L311"/>
          <cell r="M311"/>
          <cell r="N311"/>
        </row>
        <row r="312">
          <cell r="B312"/>
          <cell r="C312"/>
          <cell r="D312"/>
          <cell r="E312"/>
          <cell r="F312"/>
          <cell r="G312"/>
          <cell r="H312"/>
          <cell r="I312"/>
          <cell r="J312"/>
          <cell r="K312"/>
          <cell r="L312"/>
          <cell r="M312"/>
          <cell r="N312"/>
        </row>
        <row r="313">
          <cell r="B313"/>
          <cell r="C313"/>
          <cell r="D313"/>
          <cell r="E313"/>
          <cell r="F313"/>
          <cell r="G313"/>
          <cell r="H313"/>
          <cell r="I313"/>
          <cell r="J313"/>
          <cell r="K313"/>
          <cell r="L313"/>
          <cell r="M313"/>
          <cell r="N313"/>
        </row>
        <row r="314">
          <cell r="B314"/>
          <cell r="C314"/>
          <cell r="D314"/>
          <cell r="E314"/>
          <cell r="F314"/>
          <cell r="G314"/>
          <cell r="H314"/>
          <cell r="I314"/>
          <cell r="J314"/>
          <cell r="K314"/>
          <cell r="L314"/>
          <cell r="M314"/>
          <cell r="N314"/>
        </row>
        <row r="322">
          <cell r="N322" t="str">
            <v>¿'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BENEFICIARIOS"/>
      <sheetName val="PPTO GENERAL"/>
      <sheetName val="CRONOGRAMA Y FLUJO"/>
      <sheetName val="PRESTO individual"/>
      <sheetName val="APUS"/>
      <sheetName val="LISTADO DE RECURSOS"/>
      <sheetName val="A.I.U"/>
      <sheetName val="INTERVENTORÍA"/>
      <sheetName val="F.M"/>
      <sheetName val="FACTOR PRESTACIONAL"/>
      <sheetName val="PRESUPUESTO PMA"/>
      <sheetName val="POLIZA INT."/>
      <sheetName val="ME 1"/>
      <sheetName val="ME 2"/>
      <sheetName val="ME 3"/>
      <sheetName val="ME 4"/>
      <sheetName val="ME 5"/>
      <sheetName val="ME 6"/>
      <sheetName val="ME 7"/>
      <sheetName val="ME 8"/>
      <sheetName val="ME 9"/>
      <sheetName val="ME 10"/>
      <sheetName val="ME 11"/>
      <sheetName val="M 12"/>
      <sheetName val="ME 13"/>
      <sheetName val="ME 14"/>
      <sheetName val="ME 15"/>
      <sheetName val="ME 16"/>
      <sheetName val="ME 17"/>
      <sheetName val="ME 18"/>
      <sheetName val="ME 19"/>
      <sheetName val="ME 20"/>
      <sheetName val="ME 21"/>
      <sheetName val="ME 22"/>
      <sheetName val="ME 23"/>
      <sheetName val="ME 24"/>
      <sheetName val="ME 25"/>
      <sheetName val="ME 26"/>
      <sheetName val="ME 27"/>
      <sheetName val="ME 28"/>
      <sheetName val="ME 29"/>
      <sheetName val="ME 30"/>
      <sheetName val="ME 31"/>
      <sheetName val="ME 32"/>
      <sheetName val="ME 33"/>
      <sheetName val="ME 34"/>
      <sheetName val="ME 35"/>
      <sheetName val="ME 36"/>
      <sheetName val="ME 37"/>
      <sheetName val="ME 38"/>
      <sheetName val="ME 39"/>
      <sheetName val="ME 40"/>
      <sheetName val="ME 41"/>
      <sheetName val="ME 42"/>
      <sheetName val="ME 43"/>
      <sheetName val="ME 44"/>
      <sheetName val="ME 45"/>
      <sheetName val="ME 46"/>
      <sheetName val="ME 47"/>
      <sheetName val="ME 48"/>
      <sheetName val="ME 49"/>
      <sheetName val="ME 50"/>
      <sheetName val="ME 51"/>
      <sheetName val="ME 52"/>
      <sheetName val="ME 53"/>
      <sheetName val="ME 54"/>
      <sheetName val="ME 55"/>
      <sheetName val="ME 56"/>
      <sheetName val="ME 57"/>
      <sheetName val="ME 58"/>
      <sheetName val="ME 59"/>
      <sheetName val="ME 60"/>
      <sheetName val="ME 61"/>
      <sheetName val="ME 62"/>
      <sheetName val="ME 63"/>
      <sheetName val="ME 64"/>
      <sheetName val="ME 65"/>
      <sheetName val="ME 66"/>
      <sheetName val="ME 67"/>
      <sheetName val="ME 68"/>
      <sheetName val="ME 69"/>
      <sheetName val="ME 70"/>
      <sheetName val="ME 71"/>
      <sheetName val="ME 72"/>
      <sheetName val="ME 73"/>
      <sheetName val="ME 74"/>
      <sheetName val="ME 75"/>
      <sheetName val="ME 76"/>
      <sheetName val="ME 77"/>
      <sheetName val="ME 78"/>
      <sheetName val="ME 79"/>
      <sheetName val="ME 80"/>
      <sheetName val="ME 81"/>
      <sheetName val="ME 82"/>
      <sheetName val="ME 83"/>
      <sheetName val="ME 84"/>
      <sheetName val="ME 85"/>
      <sheetName val="ME 86"/>
      <sheetName val="ME 87"/>
      <sheetName val="ME 88"/>
      <sheetName val="ME 89"/>
      <sheetName val="ME 90"/>
      <sheetName val="ME 91"/>
      <sheetName val="ME 92"/>
      <sheetName val="ME 93"/>
      <sheetName val="ME 94"/>
      <sheetName val="ME 95"/>
      <sheetName val="ME 96"/>
      <sheetName val="ME 97"/>
      <sheetName val="ME 98"/>
      <sheetName val="ME 99"/>
      <sheetName val="ME 100"/>
      <sheetName val="ME 101"/>
    </sheetNames>
    <sheetDataSet>
      <sheetData sheetId="0">
        <row r="4">
          <cell r="B4" t="str">
            <v>ID</v>
          </cell>
          <cell r="C4" t="str">
            <v>NOMBRE</v>
          </cell>
          <cell r="D4" t="str">
            <v>CEDULA</v>
          </cell>
          <cell r="E4" t="str">
            <v>DIRECCIÓN 
(ubicación del predio)</v>
          </cell>
          <cell r="F4" t="str">
            <v>TELÉFONO</v>
          </cell>
          <cell r="G4" t="str">
            <v>MEJORAS A REALIZAR</v>
          </cell>
          <cell r="H4" t="str">
            <v>VALOR DE LA INTERVENCIÓN</v>
          </cell>
        </row>
        <row r="5">
          <cell r="B5">
            <v>1</v>
          </cell>
          <cell r="C5" t="str">
            <v xml:space="preserve">MARIA CONCEPCIÓN ORTEGA RAMIREZ </v>
          </cell>
          <cell r="D5">
            <v>32739196</v>
          </cell>
          <cell r="E5" t="str">
            <v>CARGUEROS</v>
          </cell>
          <cell r="F5">
            <v>3138593012</v>
          </cell>
          <cell r="G5" t="str">
            <v>COCINA Y BAÑO</v>
          </cell>
          <cell r="H5">
            <v>1422252.2339999999</v>
          </cell>
        </row>
        <row r="6">
          <cell r="B6">
            <v>2</v>
          </cell>
          <cell r="C6" t="str">
            <v>LUZ MARINA GONZALEZ</v>
          </cell>
          <cell r="D6">
            <v>43888890</v>
          </cell>
          <cell r="E6" t="str">
            <v>CARGUEROS</v>
          </cell>
          <cell r="F6">
            <v>3216528826</v>
          </cell>
          <cell r="G6" t="str">
            <v>BAÑO</v>
          </cell>
          <cell r="H6">
            <v>2170223.2369999997</v>
          </cell>
        </row>
        <row r="7">
          <cell r="B7">
            <v>3</v>
          </cell>
          <cell r="C7" t="str">
            <v>ELIZABETH SERENO ARRIETA</v>
          </cell>
          <cell r="D7">
            <v>43890452</v>
          </cell>
          <cell r="E7" t="str">
            <v>CARGUEROS</v>
          </cell>
          <cell r="F7">
            <v>3206051957</v>
          </cell>
          <cell r="G7" t="str">
            <v>BAÑO</v>
          </cell>
          <cell r="H7">
            <v>1689918.0870000001</v>
          </cell>
        </row>
        <row r="8">
          <cell r="B8">
            <v>4</v>
          </cell>
          <cell r="C8" t="str">
            <v>ELIGIO MANUEL MORENO JIMENEZ</v>
          </cell>
          <cell r="D8">
            <v>83713378</v>
          </cell>
          <cell r="E8" t="str">
            <v>CARGUEROS</v>
          </cell>
          <cell r="F8">
            <v>3207342194</v>
          </cell>
          <cell r="G8" t="str">
            <v>BAÑO</v>
          </cell>
          <cell r="H8">
            <v>2546380.1869999999</v>
          </cell>
        </row>
        <row r="9">
          <cell r="B9">
            <v>5</v>
          </cell>
          <cell r="C9" t="str">
            <v>LUDIS MARINA MEJIA ORTEGA</v>
          </cell>
          <cell r="D9">
            <v>43804204</v>
          </cell>
          <cell r="E9" t="str">
            <v>CARGUEROS</v>
          </cell>
          <cell r="F9">
            <v>3225382561</v>
          </cell>
          <cell r="G9" t="str">
            <v>BAÑO</v>
          </cell>
          <cell r="H9">
            <v>2376538.3199999998</v>
          </cell>
        </row>
        <row r="10">
          <cell r="B10">
            <v>6</v>
          </cell>
          <cell r="C10" t="str">
            <v>MARCOS TULIO SALAZAR CALVO</v>
          </cell>
          <cell r="D10">
            <v>6796597</v>
          </cell>
          <cell r="E10" t="str">
            <v>CARGUEROS</v>
          </cell>
          <cell r="F10">
            <v>3128030053</v>
          </cell>
          <cell r="G10" t="str">
            <v>BAÑO</v>
          </cell>
          <cell r="H10">
            <v>1851202.2489999998</v>
          </cell>
        </row>
        <row r="11">
          <cell r="B11">
            <v>7</v>
          </cell>
          <cell r="C11" t="str">
            <v>CRISTINA JOSEFA GARCIA NAVARRO</v>
          </cell>
          <cell r="D11">
            <v>21647358</v>
          </cell>
          <cell r="E11" t="str">
            <v>CARGUEROS</v>
          </cell>
          <cell r="F11">
            <v>3186343001</v>
          </cell>
          <cell r="G11" t="str">
            <v>BAÑO</v>
          </cell>
          <cell r="H11">
            <v>1749464.925</v>
          </cell>
        </row>
        <row r="12">
          <cell r="B12">
            <v>8</v>
          </cell>
          <cell r="C12" t="str">
            <v>AMINTA CONTRERAS GARCIA</v>
          </cell>
          <cell r="D12">
            <v>43804882</v>
          </cell>
          <cell r="E12" t="str">
            <v>CARGUEROS</v>
          </cell>
          <cell r="F12">
            <v>3206416333</v>
          </cell>
          <cell r="G12" t="str">
            <v>PISOS Y PUERTAS</v>
          </cell>
          <cell r="H12">
            <v>1222312</v>
          </cell>
        </row>
        <row r="13">
          <cell r="B13">
            <v>9</v>
          </cell>
          <cell r="C13" t="str">
            <v>ORLEDIS MARIA MEJIA GUZMAN</v>
          </cell>
          <cell r="D13">
            <v>43804036</v>
          </cell>
          <cell r="E13" t="str">
            <v>CARGUEROS</v>
          </cell>
          <cell r="F13">
            <v>3128030053</v>
          </cell>
          <cell r="G13" t="str">
            <v>BAÑO Y PUERTA</v>
          </cell>
          <cell r="H13">
            <v>1395944.537</v>
          </cell>
        </row>
        <row r="14">
          <cell r="B14">
            <v>10</v>
          </cell>
          <cell r="C14" t="str">
            <v>WILSON MANUEL CORONADO ORTEGA</v>
          </cell>
          <cell r="D14">
            <v>8371556</v>
          </cell>
          <cell r="E14" t="str">
            <v>CARGUEROS</v>
          </cell>
          <cell r="F14">
            <v>3146348316</v>
          </cell>
          <cell r="G14" t="str">
            <v>BAÑO</v>
          </cell>
          <cell r="H14">
            <v>1822262.9620000001</v>
          </cell>
        </row>
        <row r="15">
          <cell r="D15">
            <v>22796096</v>
          </cell>
          <cell r="E15" t="str">
            <v>CARGUEROS</v>
          </cell>
          <cell r="F15">
            <v>3145006744</v>
          </cell>
          <cell r="G15" t="str">
            <v>BAÑO</v>
          </cell>
          <cell r="H15">
            <v>0</v>
          </cell>
        </row>
        <row r="16">
          <cell r="B16">
            <v>12</v>
          </cell>
          <cell r="C16" t="str">
            <v>CARMEN MARINA MENDOZA</v>
          </cell>
          <cell r="D16">
            <v>43804190</v>
          </cell>
          <cell r="E16" t="str">
            <v>CARGUEROS</v>
          </cell>
          <cell r="F16">
            <v>3137293248</v>
          </cell>
          <cell r="G16" t="str">
            <v>BAÑO</v>
          </cell>
          <cell r="H16">
            <v>2362955.8680000002</v>
          </cell>
        </row>
        <row r="17">
          <cell r="B17">
            <v>13</v>
          </cell>
          <cell r="C17" t="str">
            <v>CARMEN PATROCINIA RODRIGUEZ TORREZ</v>
          </cell>
          <cell r="D17">
            <v>43890029</v>
          </cell>
          <cell r="E17" t="str">
            <v>CARGUEROS</v>
          </cell>
          <cell r="F17">
            <v>3104741806</v>
          </cell>
          <cell r="G17" t="str">
            <v>BAÑO</v>
          </cell>
          <cell r="H17">
            <v>2031930.9919999999</v>
          </cell>
        </row>
        <row r="18">
          <cell r="B18">
            <v>14</v>
          </cell>
          <cell r="C18" t="str">
            <v>MAGALY DEL CARMEN SANCHEZ POLO</v>
          </cell>
          <cell r="D18">
            <v>26050563</v>
          </cell>
          <cell r="E18" t="str">
            <v>CARGUEROS</v>
          </cell>
          <cell r="F18">
            <v>3134204406</v>
          </cell>
          <cell r="G18" t="str">
            <v>BAÑO</v>
          </cell>
          <cell r="H18">
            <v>1917274.8530000001</v>
          </cell>
        </row>
        <row r="19">
          <cell r="B19">
            <v>15</v>
          </cell>
          <cell r="C19" t="str">
            <v>JUAN DAVID MEJIA TOBAR</v>
          </cell>
          <cell r="D19">
            <v>92130133</v>
          </cell>
          <cell r="E19" t="str">
            <v>CARGUEROS</v>
          </cell>
          <cell r="F19">
            <v>3223845999</v>
          </cell>
          <cell r="G19" t="str">
            <v>BAÑO</v>
          </cell>
          <cell r="H19">
            <v>2655493.906</v>
          </cell>
        </row>
        <row r="20">
          <cell r="B20">
            <v>16</v>
          </cell>
          <cell r="C20" t="str">
            <v>MILADIS ESTHER LARA VILORIA</v>
          </cell>
          <cell r="D20">
            <v>43804885</v>
          </cell>
          <cell r="E20" t="str">
            <v>CARGUEROS</v>
          </cell>
          <cell r="F20">
            <v>3136792224</v>
          </cell>
          <cell r="G20" t="str">
            <v>COCINA</v>
          </cell>
          <cell r="H20">
            <v>801309.05400000012</v>
          </cell>
        </row>
        <row r="21">
          <cell r="B21">
            <v>17</v>
          </cell>
          <cell r="C21" t="str">
            <v>BLANCA DENIS MEJIA NOVOA</v>
          </cell>
          <cell r="D21">
            <v>43804651</v>
          </cell>
          <cell r="E21" t="str">
            <v>CARGUEROS</v>
          </cell>
          <cell r="F21">
            <v>3138656824</v>
          </cell>
          <cell r="G21" t="str">
            <v>COCINA Y BAÑO T</v>
          </cell>
          <cell r="H21">
            <v>1579386.4839999999</v>
          </cell>
        </row>
        <row r="22">
          <cell r="B22">
            <v>18</v>
          </cell>
          <cell r="C22" t="str">
            <v>SEBASTIAN FABRA ROMERO</v>
          </cell>
          <cell r="D22">
            <v>8371108</v>
          </cell>
          <cell r="E22" t="str">
            <v>CARGUEROS</v>
          </cell>
          <cell r="F22">
            <v>3124279348</v>
          </cell>
          <cell r="G22" t="str">
            <v>COCINA</v>
          </cell>
          <cell r="H22">
            <v>1321863.608</v>
          </cell>
        </row>
        <row r="23">
          <cell r="B23">
            <v>19</v>
          </cell>
          <cell r="C23" t="str">
            <v>MARGARITA DEL CARMEN JARAMILLO ARRIETA</v>
          </cell>
          <cell r="D23">
            <v>50997572</v>
          </cell>
          <cell r="E23" t="str">
            <v>CARGUEROS</v>
          </cell>
          <cell r="F23">
            <v>3206470574</v>
          </cell>
          <cell r="G23" t="str">
            <v>BAÑO</v>
          </cell>
          <cell r="H23">
            <v>2272269.4539999999</v>
          </cell>
        </row>
        <row r="24">
          <cell r="B24">
            <v>20</v>
          </cell>
          <cell r="C24" t="str">
            <v>MARIA LOURDES VILLALBA CENTENO</v>
          </cell>
          <cell r="D24">
            <v>49693689</v>
          </cell>
          <cell r="E24" t="str">
            <v>CARGUEROS</v>
          </cell>
          <cell r="F24">
            <v>3207206217</v>
          </cell>
          <cell r="G24" t="str">
            <v>COCINA Y BAÑO T</v>
          </cell>
          <cell r="H24">
            <v>1723759.2969999998</v>
          </cell>
        </row>
        <row r="25">
          <cell r="B25">
            <v>21</v>
          </cell>
          <cell r="C25" t="str">
            <v>YAMITH DEL CARMEN CASTILLO ALMANZA</v>
          </cell>
          <cell r="D25">
            <v>43694306</v>
          </cell>
          <cell r="E25" t="str">
            <v>CARGUEROS</v>
          </cell>
          <cell r="F25">
            <v>3117653448</v>
          </cell>
          <cell r="G25" t="str">
            <v>BAÑO</v>
          </cell>
          <cell r="H25">
            <v>2409132.102</v>
          </cell>
        </row>
        <row r="26">
          <cell r="D26">
            <v>39269495</v>
          </cell>
          <cell r="E26" t="str">
            <v>COLORADO</v>
          </cell>
          <cell r="F26">
            <v>3147008504</v>
          </cell>
          <cell r="G26" t="str">
            <v>BAÑO</v>
          </cell>
          <cell r="H26">
            <v>0</v>
          </cell>
        </row>
        <row r="27">
          <cell r="B27">
            <v>23</v>
          </cell>
          <cell r="C27" t="str">
            <v>ELAINE LICETH RIVERA GOMEZ</v>
          </cell>
          <cell r="D27">
            <v>1038436003</v>
          </cell>
          <cell r="E27" t="str">
            <v>COLORADO</v>
          </cell>
          <cell r="F27">
            <v>3234809250</v>
          </cell>
          <cell r="G27" t="str">
            <v>BAÑO</v>
          </cell>
          <cell r="H27">
            <v>1595328.2150000001</v>
          </cell>
        </row>
        <row r="28">
          <cell r="B28">
            <v>24</v>
          </cell>
          <cell r="C28" t="str">
            <v>ESNEY SORETH RIVERA GOMEZ</v>
          </cell>
          <cell r="D28">
            <v>1038436502</v>
          </cell>
          <cell r="E28" t="str">
            <v>COLORADO</v>
          </cell>
          <cell r="F28">
            <v>3143408934</v>
          </cell>
          <cell r="G28" t="str">
            <v>BAÑO</v>
          </cell>
          <cell r="H28">
            <v>1803438.2340000002</v>
          </cell>
        </row>
        <row r="29">
          <cell r="B29">
            <v>25</v>
          </cell>
          <cell r="C29" t="str">
            <v>GRISELDA MARIA MESA CABALLERO</v>
          </cell>
          <cell r="D29">
            <v>21639270</v>
          </cell>
          <cell r="E29" t="str">
            <v>COLORADO</v>
          </cell>
          <cell r="F29">
            <v>3207741571</v>
          </cell>
          <cell r="G29" t="str">
            <v>BAÑO</v>
          </cell>
          <cell r="H29">
            <v>1483032.4469999999</v>
          </cell>
        </row>
        <row r="30">
          <cell r="B30">
            <v>26</v>
          </cell>
          <cell r="C30" t="str">
            <v>VILMA INES ROMERO RODELO</v>
          </cell>
          <cell r="D30">
            <v>43699359</v>
          </cell>
          <cell r="E30" t="str">
            <v>COLORADO</v>
          </cell>
          <cell r="F30">
            <v>3146064521</v>
          </cell>
          <cell r="G30" t="str">
            <v>T BAÑO CONSTRUIR PISOS</v>
          </cell>
          <cell r="H30">
            <v>2192819.9670000002</v>
          </cell>
        </row>
        <row r="31">
          <cell r="B31">
            <v>27</v>
          </cell>
          <cell r="C31" t="str">
            <v>ELSA MARIA PATERNINA MERCADO</v>
          </cell>
          <cell r="D31">
            <v>43889976</v>
          </cell>
          <cell r="E31" t="str">
            <v>COLORADO</v>
          </cell>
          <cell r="F31">
            <v>3104207874</v>
          </cell>
          <cell r="G31" t="str">
            <v>TERMINAR BAÑO</v>
          </cell>
          <cell r="H31">
            <v>2192819.9670000002</v>
          </cell>
        </row>
        <row r="32">
          <cell r="B32">
            <v>28</v>
          </cell>
          <cell r="C32" t="str">
            <v>HUGO ANTONIO LOPEZ CASTAÑEDA</v>
          </cell>
          <cell r="D32">
            <v>8374311</v>
          </cell>
          <cell r="E32" t="str">
            <v>COLORADO</v>
          </cell>
          <cell r="F32">
            <v>3172209414</v>
          </cell>
          <cell r="G32" t="str">
            <v>BAÑO</v>
          </cell>
          <cell r="H32">
            <v>1756928.2379999999</v>
          </cell>
        </row>
        <row r="33">
          <cell r="B33">
            <v>29</v>
          </cell>
          <cell r="C33" t="str">
            <v>DIOFANOR MAURE MENDOZA</v>
          </cell>
          <cell r="D33">
            <v>3442094</v>
          </cell>
          <cell r="E33" t="str">
            <v>COLORADO</v>
          </cell>
          <cell r="F33">
            <v>3116333295</v>
          </cell>
          <cell r="G33" t="str">
            <v>BAÑO Y PISOS HABITACION</v>
          </cell>
          <cell r="H33">
            <v>2332458.4919999996</v>
          </cell>
        </row>
        <row r="34">
          <cell r="B34">
            <v>30</v>
          </cell>
          <cell r="C34" t="str">
            <v xml:space="preserve"> LEDIS MARCELA LOPEZ PATERNINA</v>
          </cell>
          <cell r="D34">
            <v>1001550498</v>
          </cell>
          <cell r="E34" t="str">
            <v>COLORADO</v>
          </cell>
          <cell r="F34">
            <v>3147064781</v>
          </cell>
          <cell r="G34" t="str">
            <v>BAÑO</v>
          </cell>
          <cell r="H34">
            <v>2850877.406</v>
          </cell>
        </row>
        <row r="35">
          <cell r="B35">
            <v>31</v>
          </cell>
          <cell r="C35" t="str">
            <v>HENRRY DE JESUS GARCES CASTRILLON</v>
          </cell>
          <cell r="D35">
            <v>3442001</v>
          </cell>
          <cell r="E35" t="str">
            <v>COLORADO</v>
          </cell>
          <cell r="F35">
            <v>3218480321</v>
          </cell>
          <cell r="G35" t="str">
            <v>BAÑO</v>
          </cell>
          <cell r="H35">
            <v>2239368.4819999998</v>
          </cell>
        </row>
        <row r="36">
          <cell r="B36">
            <v>32</v>
          </cell>
          <cell r="C36" t="str">
            <v>GLADIS INES ALEAN LAMBRAÑO</v>
          </cell>
          <cell r="D36">
            <v>43804525</v>
          </cell>
          <cell r="E36" t="str">
            <v>COLORADO</v>
          </cell>
          <cell r="F36">
            <v>3127283359</v>
          </cell>
          <cell r="G36" t="str">
            <v>PISOS INTERIORES</v>
          </cell>
          <cell r="H36">
            <v>2445692.7820000001</v>
          </cell>
        </row>
        <row r="37">
          <cell r="B37">
            <v>33</v>
          </cell>
          <cell r="C37" t="str">
            <v>ANIBAL MANUEL SIMANCA BOHORQUEZ</v>
          </cell>
          <cell r="D37">
            <v>3442164</v>
          </cell>
          <cell r="E37" t="str">
            <v>COLORADO</v>
          </cell>
          <cell r="F37">
            <v>3147397936</v>
          </cell>
          <cell r="G37" t="str">
            <v>BAÑO</v>
          </cell>
          <cell r="H37">
            <v>2154034.4019999998</v>
          </cell>
        </row>
        <row r="38">
          <cell r="B38">
            <v>34</v>
          </cell>
          <cell r="C38" t="str">
            <v>ELVIRA SOFIA GUERRA MENDOZA</v>
          </cell>
          <cell r="D38">
            <v>21639302</v>
          </cell>
          <cell r="E38" t="str">
            <v>COLORADO</v>
          </cell>
          <cell r="F38">
            <v>3206583345</v>
          </cell>
          <cell r="G38" t="str">
            <v>COCINA</v>
          </cell>
          <cell r="H38">
            <v>522712.45</v>
          </cell>
        </row>
        <row r="39">
          <cell r="B39">
            <v>35</v>
          </cell>
          <cell r="C39" t="str">
            <v xml:space="preserve"> LEIDYS CORREA ANGULO</v>
          </cell>
          <cell r="D39">
            <v>1001548245</v>
          </cell>
          <cell r="E39" t="str">
            <v>COLORADO</v>
          </cell>
          <cell r="F39">
            <v>3126779798</v>
          </cell>
          <cell r="G39" t="str">
            <v>BAÑO</v>
          </cell>
          <cell r="H39">
            <v>1410883.1880000001</v>
          </cell>
        </row>
        <row r="40">
          <cell r="B40">
            <v>36</v>
          </cell>
          <cell r="C40" t="str">
            <v>ROSA HELENA AGUA LOPEZ</v>
          </cell>
          <cell r="D40">
            <v>43889178</v>
          </cell>
          <cell r="E40" t="str">
            <v>COLORADO</v>
          </cell>
          <cell r="F40">
            <v>3105108211</v>
          </cell>
          <cell r="G40" t="str">
            <v>COCINA</v>
          </cell>
          <cell r="H40">
            <v>867270.26099999994</v>
          </cell>
        </row>
        <row r="41">
          <cell r="B41">
            <v>37</v>
          </cell>
          <cell r="C41" t="str">
            <v>MARTA INES DÍAZ CASTRO</v>
          </cell>
          <cell r="D41">
            <v>1038434170</v>
          </cell>
          <cell r="E41" t="str">
            <v>COLORADO</v>
          </cell>
          <cell r="F41">
            <v>3137574800</v>
          </cell>
          <cell r="G41" t="str">
            <v>BAÑO</v>
          </cell>
          <cell r="H41">
            <v>2729522.12</v>
          </cell>
        </row>
        <row r="42">
          <cell r="B42">
            <v>38</v>
          </cell>
          <cell r="C42" t="str">
            <v>MANUEL SALVADOR MENDEZ BOHORQUEZ</v>
          </cell>
          <cell r="D42">
            <v>78107232</v>
          </cell>
          <cell r="E42" t="str">
            <v>COLORADO</v>
          </cell>
          <cell r="G42" t="str">
            <v>BAÑO</v>
          </cell>
          <cell r="H42">
            <v>1864218.811</v>
          </cell>
        </row>
        <row r="43">
          <cell r="B43">
            <v>39</v>
          </cell>
          <cell r="C43" t="str">
            <v>SANDRA LUZ GUERRA GARCIA</v>
          </cell>
          <cell r="D43">
            <v>43888560</v>
          </cell>
          <cell r="E43" t="str">
            <v>COLORADO</v>
          </cell>
          <cell r="G43" t="str">
            <v>BAÑO</v>
          </cell>
          <cell r="H43">
            <v>2003881.8020000001</v>
          </cell>
        </row>
        <row r="44">
          <cell r="B44">
            <v>40</v>
          </cell>
          <cell r="C44" t="str">
            <v>MAXIMO MANUEL TREJOS LOPEZ</v>
          </cell>
          <cell r="D44">
            <v>3443655</v>
          </cell>
          <cell r="E44" t="str">
            <v>COLORADO</v>
          </cell>
          <cell r="G44" t="str">
            <v>BAÑO</v>
          </cell>
          <cell r="H44">
            <v>1948224.2520000001</v>
          </cell>
        </row>
        <row r="45">
          <cell r="B45">
            <v>41</v>
          </cell>
          <cell r="C45" t="str">
            <v>ACELA SUAREZ RUIZ</v>
          </cell>
          <cell r="D45">
            <v>21639247</v>
          </cell>
          <cell r="E45" t="str">
            <v>COLORADO</v>
          </cell>
          <cell r="G45" t="str">
            <v>BAÑO</v>
          </cell>
          <cell r="H45">
            <v>1839000.852</v>
          </cell>
        </row>
        <row r="46">
          <cell r="B46">
            <v>42</v>
          </cell>
          <cell r="C46" t="str">
            <v>NORELIS DEL CARMEN CHAVEZ QUINTERO</v>
          </cell>
          <cell r="D46">
            <v>43804327</v>
          </cell>
          <cell r="E46" t="str">
            <v>COLORADO</v>
          </cell>
          <cell r="G46" t="str">
            <v>BAÑO</v>
          </cell>
          <cell r="H46">
            <v>2511855.4240000001</v>
          </cell>
        </row>
        <row r="47">
          <cell r="B47">
            <v>43</v>
          </cell>
          <cell r="C47" t="str">
            <v>MARIA DE LA CRUZ SERPA MORALEZ</v>
          </cell>
          <cell r="D47">
            <v>3441115</v>
          </cell>
          <cell r="E47" t="str">
            <v>COLORADO</v>
          </cell>
          <cell r="G47" t="str">
            <v>BAÑO</v>
          </cell>
          <cell r="H47">
            <v>1767935.702</v>
          </cell>
        </row>
        <row r="48">
          <cell r="B48">
            <v>44</v>
          </cell>
          <cell r="C48" t="str">
            <v>ALVARO HERNAN CARDENAS MONTES</v>
          </cell>
          <cell r="D48">
            <v>3442161</v>
          </cell>
          <cell r="E48" t="str">
            <v>COLORADO</v>
          </cell>
          <cell r="G48" t="str">
            <v>BAÑO</v>
          </cell>
          <cell r="H48">
            <v>2241018.156</v>
          </cell>
        </row>
        <row r="49">
          <cell r="B49">
            <v>45</v>
          </cell>
          <cell r="C49" t="str">
            <v>YUDIS DEL CARMEN SIMANCA MENDOZA</v>
          </cell>
          <cell r="D49">
            <v>39285378</v>
          </cell>
          <cell r="E49" t="str">
            <v>COLORADO</v>
          </cell>
          <cell r="G49" t="str">
            <v>BAÑO</v>
          </cell>
          <cell r="H49">
            <v>2469218.6740000001</v>
          </cell>
        </row>
        <row r="50">
          <cell r="B50">
            <v>46</v>
          </cell>
          <cell r="C50" t="str">
            <v xml:space="preserve"> DIANELIS ESPITIA FABRA</v>
          </cell>
          <cell r="D50">
            <v>1038479348</v>
          </cell>
          <cell r="E50" t="str">
            <v>COLORADO</v>
          </cell>
          <cell r="G50" t="str">
            <v>BAÑO</v>
          </cell>
          <cell r="H50">
            <v>1638758.3420000002</v>
          </cell>
        </row>
        <row r="51">
          <cell r="B51">
            <v>47</v>
          </cell>
          <cell r="C51" t="str">
            <v>MIRIAM SOFIA VALDERRAMA MENDOZA</v>
          </cell>
          <cell r="D51">
            <v>21639300</v>
          </cell>
          <cell r="E51" t="str">
            <v>COLORADO</v>
          </cell>
          <cell r="G51" t="str">
            <v>BAÑO</v>
          </cell>
          <cell r="H51">
            <v>2131652.2889999999</v>
          </cell>
        </row>
        <row r="52">
          <cell r="B52">
            <v>48</v>
          </cell>
          <cell r="C52" t="str">
            <v>RAFAEL ENRRIQUE RAMOS PADILLA</v>
          </cell>
          <cell r="D52">
            <v>8370515</v>
          </cell>
          <cell r="E52" t="str">
            <v>LAS FLORES</v>
          </cell>
          <cell r="F52">
            <v>3218925114</v>
          </cell>
          <cell r="G52" t="str">
            <v>BAÑO</v>
          </cell>
          <cell r="H52">
            <v>1933771.3069999998</v>
          </cell>
        </row>
        <row r="53">
          <cell r="B53">
            <v>49</v>
          </cell>
          <cell r="C53" t="str">
            <v>EDILSE OSPINO</v>
          </cell>
          <cell r="D53">
            <v>21647231</v>
          </cell>
          <cell r="E53" t="str">
            <v>LAS FLORES</v>
          </cell>
          <cell r="F53">
            <v>3225234850</v>
          </cell>
          <cell r="G53" t="str">
            <v>BAÑO</v>
          </cell>
          <cell r="H53">
            <v>2025108.267</v>
          </cell>
        </row>
        <row r="54">
          <cell r="B54">
            <v>50</v>
          </cell>
          <cell r="C54" t="str">
            <v>DOMITILA ISABEL CASTRO ARROYO</v>
          </cell>
          <cell r="D54">
            <v>22235816</v>
          </cell>
          <cell r="E54" t="str">
            <v>LAS FLORES</v>
          </cell>
          <cell r="F54">
            <v>3127097309</v>
          </cell>
          <cell r="G54" t="str">
            <v>TERMINAR BAÑO</v>
          </cell>
          <cell r="H54">
            <v>1313112.5279999999</v>
          </cell>
        </row>
        <row r="55">
          <cell r="B55">
            <v>51</v>
          </cell>
          <cell r="C55" t="str">
            <v>CARMELINA PALENCIA JIMENEZ</v>
          </cell>
          <cell r="D55">
            <v>43889953</v>
          </cell>
          <cell r="E55" t="str">
            <v>LAS FLORES</v>
          </cell>
          <cell r="F55">
            <v>3107426339</v>
          </cell>
          <cell r="G55" t="str">
            <v>BAÑO</v>
          </cell>
          <cell r="H55">
            <v>1522881.9839999999</v>
          </cell>
        </row>
        <row r="56">
          <cell r="B56">
            <v>52</v>
          </cell>
          <cell r="C56" t="str">
            <v>GLADI JAVIT SERENO MEJIA</v>
          </cell>
          <cell r="D56">
            <v>43888795</v>
          </cell>
          <cell r="E56" t="str">
            <v>LAS FLORES</v>
          </cell>
          <cell r="F56">
            <v>3107330282</v>
          </cell>
          <cell r="G56" t="str">
            <v>COCINA</v>
          </cell>
          <cell r="H56">
            <v>727866.98399999994</v>
          </cell>
        </row>
        <row r="57">
          <cell r="B57">
            <v>53</v>
          </cell>
          <cell r="C57" t="str">
            <v>LUZ DELIA MORENO MEJIA</v>
          </cell>
          <cell r="D57">
            <v>43698807</v>
          </cell>
          <cell r="E57" t="str">
            <v>LAS FLORES</v>
          </cell>
          <cell r="F57">
            <v>3147583797</v>
          </cell>
          <cell r="G57" t="str">
            <v>COCINA</v>
          </cell>
          <cell r="H57">
            <v>495656.2</v>
          </cell>
        </row>
        <row r="58">
          <cell r="B58">
            <v>54</v>
          </cell>
          <cell r="C58" t="str">
            <v>DIEGO LEON GUZMAN LONDOÑO</v>
          </cell>
          <cell r="D58">
            <v>8374000</v>
          </cell>
          <cell r="E58" t="str">
            <v>LAS FLORES</v>
          </cell>
          <cell r="G58" t="str">
            <v>BAÑO</v>
          </cell>
          <cell r="H58">
            <v>1339516.2560000001</v>
          </cell>
        </row>
        <row r="59">
          <cell r="B59">
            <v>55</v>
          </cell>
          <cell r="C59" t="str">
            <v>ROSMERY OSPINA MEJIA</v>
          </cell>
          <cell r="D59">
            <v>21647366</v>
          </cell>
          <cell r="E59" t="str">
            <v>LAS FLORES</v>
          </cell>
          <cell r="G59" t="str">
            <v>BAÑO</v>
          </cell>
          <cell r="H59">
            <v>1371945.2239999999</v>
          </cell>
        </row>
        <row r="60">
          <cell r="B60">
            <v>56</v>
          </cell>
          <cell r="C60" t="str">
            <v>FLOR ALBA JIMENEZ ESPEJO</v>
          </cell>
          <cell r="D60">
            <v>22236523</v>
          </cell>
          <cell r="E60" t="str">
            <v>LAS FLORES</v>
          </cell>
          <cell r="G60" t="str">
            <v>BAÑO</v>
          </cell>
          <cell r="H60">
            <v>1321897.1740000001</v>
          </cell>
        </row>
        <row r="61">
          <cell r="B61">
            <v>57</v>
          </cell>
          <cell r="C61" t="str">
            <v>MARIA EUGENIA CASA VEGAS</v>
          </cell>
          <cell r="D61">
            <v>1038438720</v>
          </cell>
          <cell r="E61" t="str">
            <v>LAS FLORES</v>
          </cell>
          <cell r="G61" t="str">
            <v>BAÑO</v>
          </cell>
          <cell r="H61">
            <v>1404607.074</v>
          </cell>
        </row>
        <row r="62">
          <cell r="B62">
            <v>58</v>
          </cell>
          <cell r="C62" t="str">
            <v>BEATRIZ HELENA PALENCIA JIMENEZ</v>
          </cell>
          <cell r="D62">
            <v>43699186</v>
          </cell>
          <cell r="E62" t="str">
            <v>LAS FLORES</v>
          </cell>
          <cell r="G62" t="str">
            <v>BAÑO</v>
          </cell>
          <cell r="H62">
            <v>2101742.3829999999</v>
          </cell>
        </row>
        <row r="63">
          <cell r="B63">
            <v>59</v>
          </cell>
          <cell r="C63" t="str">
            <v>DORALICE JIMENEZ MORENO</v>
          </cell>
          <cell r="D63">
            <v>22235867</v>
          </cell>
          <cell r="E63" t="str">
            <v>LAS FLORES</v>
          </cell>
          <cell r="G63" t="str">
            <v>BAÑO</v>
          </cell>
          <cell r="H63">
            <v>2132071.9419999998</v>
          </cell>
        </row>
        <row r="64">
          <cell r="B64">
            <v>60</v>
          </cell>
          <cell r="C64" t="str">
            <v>LUIS EDUARDO JIMENEZ MORENO</v>
          </cell>
          <cell r="D64">
            <v>3670547</v>
          </cell>
          <cell r="E64" t="str">
            <v>LAS FLORES</v>
          </cell>
          <cell r="G64" t="str">
            <v>COCINA</v>
          </cell>
          <cell r="H64">
            <v>894519.23599999992</v>
          </cell>
        </row>
        <row r="65">
          <cell r="B65">
            <v>61</v>
          </cell>
          <cell r="C65" t="str">
            <v>FEDERMAN ORTIZ CABALLERO</v>
          </cell>
          <cell r="D65">
            <v>8374868</v>
          </cell>
          <cell r="E65" t="str">
            <v>LAS FLORES</v>
          </cell>
          <cell r="G65" t="str">
            <v>BAÑO</v>
          </cell>
          <cell r="H65">
            <v>1286324.338</v>
          </cell>
        </row>
        <row r="66">
          <cell r="B66">
            <v>62</v>
          </cell>
          <cell r="C66" t="str">
            <v>MANUEL DE JESUS ROMERO</v>
          </cell>
          <cell r="D66">
            <v>8374603</v>
          </cell>
          <cell r="E66" t="str">
            <v>LAS FLORES</v>
          </cell>
          <cell r="G66" t="str">
            <v>COCINA</v>
          </cell>
          <cell r="H66">
            <v>964257.91799999995</v>
          </cell>
        </row>
        <row r="67">
          <cell r="B67">
            <v>63</v>
          </cell>
          <cell r="C67" t="str">
            <v>LIBIA MARIA CASTAÑEDA BERTEL</v>
          </cell>
          <cell r="D67">
            <v>43698980</v>
          </cell>
          <cell r="E67" t="str">
            <v>BIJAGUAL</v>
          </cell>
          <cell r="G67" t="str">
            <v>BAÑO</v>
          </cell>
          <cell r="H67">
            <v>1431982.3180000002</v>
          </cell>
        </row>
        <row r="68">
          <cell r="B68">
            <v>64</v>
          </cell>
          <cell r="C68" t="str">
            <v>ENIVEL DE JESUS MEJIA HERNANDEZ</v>
          </cell>
          <cell r="D68">
            <v>43889390</v>
          </cell>
          <cell r="E68" t="str">
            <v>BIJAGUAL</v>
          </cell>
          <cell r="G68" t="str">
            <v>COCINA</v>
          </cell>
          <cell r="H68">
            <v>1144348.933</v>
          </cell>
        </row>
        <row r="69">
          <cell r="D69">
            <v>43699055</v>
          </cell>
          <cell r="E69" t="str">
            <v>BIJAGUAL</v>
          </cell>
          <cell r="G69" t="str">
            <v>COCINA</v>
          </cell>
          <cell r="H69">
            <v>0</v>
          </cell>
        </row>
        <row r="70">
          <cell r="B70">
            <v>66</v>
          </cell>
          <cell r="C70" t="str">
            <v>IRENE ISABEL SALCEDO</v>
          </cell>
          <cell r="D70">
            <v>39267320</v>
          </cell>
          <cell r="E70" t="str">
            <v>BIJAGUAL</v>
          </cell>
          <cell r="G70" t="str">
            <v>BAÑO</v>
          </cell>
          <cell r="H70">
            <v>2311038.4440000001</v>
          </cell>
        </row>
        <row r="71">
          <cell r="D71">
            <v>32130233</v>
          </cell>
          <cell r="E71" t="str">
            <v>BIJAGUAL</v>
          </cell>
          <cell r="G71" t="str">
            <v>BAÑO</v>
          </cell>
          <cell r="H71">
            <v>0</v>
          </cell>
        </row>
        <row r="72">
          <cell r="B72">
            <v>68</v>
          </cell>
          <cell r="C72" t="str">
            <v>LEONOR PEREZ GARCIA</v>
          </cell>
          <cell r="D72">
            <v>43890032</v>
          </cell>
          <cell r="E72" t="str">
            <v>BIJAGUAL</v>
          </cell>
          <cell r="G72" t="str">
            <v>COCINA</v>
          </cell>
          <cell r="H72">
            <v>1025098.828</v>
          </cell>
        </row>
        <row r="73">
          <cell r="B73">
            <v>69</v>
          </cell>
          <cell r="C73" t="str">
            <v>CARMEN LILIANA ALVAREZ LUNA</v>
          </cell>
          <cell r="D73">
            <v>43890903</v>
          </cell>
          <cell r="E73" t="str">
            <v>BIJAGUAL</v>
          </cell>
          <cell r="G73" t="str">
            <v>BAÑO</v>
          </cell>
          <cell r="H73">
            <v>2211035.1120000002</v>
          </cell>
        </row>
        <row r="74">
          <cell r="B74">
            <v>70</v>
          </cell>
          <cell r="C74" t="str">
            <v>CELINA DEL CARMEN FLORESZ BASILO</v>
          </cell>
          <cell r="D74">
            <v>39265128</v>
          </cell>
          <cell r="E74" t="str">
            <v>BIJAGUAL</v>
          </cell>
          <cell r="G74" t="str">
            <v>COCINA</v>
          </cell>
          <cell r="H74">
            <v>587505.20399999991</v>
          </cell>
        </row>
        <row r="75">
          <cell r="B75">
            <v>71</v>
          </cell>
          <cell r="C75" t="str">
            <v>ANA CRISTINA SAMBRANO MEJIA</v>
          </cell>
          <cell r="D75">
            <v>43699054</v>
          </cell>
          <cell r="E75" t="str">
            <v>BIJAGUAL</v>
          </cell>
          <cell r="G75" t="str">
            <v>BAÑO</v>
          </cell>
          <cell r="H75">
            <v>2017433.9380000001</v>
          </cell>
        </row>
        <row r="76">
          <cell r="B76">
            <v>72</v>
          </cell>
          <cell r="C76" t="str">
            <v>ISAIAS VIDES MARTINEZ</v>
          </cell>
          <cell r="D76">
            <v>1001550689</v>
          </cell>
          <cell r="E76" t="str">
            <v>BIJAGUAL</v>
          </cell>
          <cell r="G76" t="str">
            <v>BAÑO</v>
          </cell>
          <cell r="H76">
            <v>1713899.824</v>
          </cell>
        </row>
        <row r="77">
          <cell r="B77">
            <v>73</v>
          </cell>
          <cell r="C77" t="str">
            <v>DURLEY ROSIO BERTEL SERPA</v>
          </cell>
          <cell r="D77">
            <v>39283904</v>
          </cell>
          <cell r="E77" t="str">
            <v>BIJAGUAL</v>
          </cell>
          <cell r="G77" t="str">
            <v>BAÑO</v>
          </cell>
          <cell r="H77">
            <v>2395595.8129999996</v>
          </cell>
        </row>
        <row r="78">
          <cell r="B78">
            <v>74</v>
          </cell>
          <cell r="C78" t="str">
            <v xml:space="preserve"> JOSE TRINIDAD CONTRERAS RAMOS</v>
          </cell>
          <cell r="D78">
            <v>15010010</v>
          </cell>
          <cell r="E78" t="str">
            <v>BIJAGUAL</v>
          </cell>
          <cell r="G78" t="str">
            <v>BAÑO</v>
          </cell>
          <cell r="H78">
            <v>1839619.8729999999</v>
          </cell>
        </row>
        <row r="79">
          <cell r="B79">
            <v>75</v>
          </cell>
          <cell r="C79" t="str">
            <v>YADIRIS ESTHER SANTOS ACOSTA</v>
          </cell>
          <cell r="D79">
            <v>1038477079</v>
          </cell>
          <cell r="E79" t="str">
            <v>BIJAGUAL</v>
          </cell>
          <cell r="G79" t="str">
            <v>COCINA</v>
          </cell>
          <cell r="H79">
            <v>1382685.122</v>
          </cell>
        </row>
        <row r="80">
          <cell r="B80">
            <v>76</v>
          </cell>
          <cell r="C80" t="str">
            <v>MARITZA HERAZO ACOSTA</v>
          </cell>
          <cell r="D80">
            <v>43698509</v>
          </cell>
          <cell r="E80" t="str">
            <v>BIJAGUAL</v>
          </cell>
          <cell r="G80" t="str">
            <v>BAÑO</v>
          </cell>
          <cell r="H80">
            <v>1821915.3030000001</v>
          </cell>
        </row>
        <row r="81">
          <cell r="B81">
            <v>77</v>
          </cell>
          <cell r="C81" t="str">
            <v>KEVIN JOSE RODRIGUEZ TORREZ</v>
          </cell>
          <cell r="D81">
            <v>1038435573</v>
          </cell>
          <cell r="E81" t="str">
            <v>CARGUEROS</v>
          </cell>
          <cell r="G81" t="str">
            <v>COCINA</v>
          </cell>
          <cell r="H81">
            <v>718016</v>
          </cell>
        </row>
        <row r="82">
          <cell r="B82">
            <v>78</v>
          </cell>
          <cell r="C82" t="str">
            <v xml:space="preserve">ANTONIO MANUEL PALENCIA PAYAREZ </v>
          </cell>
          <cell r="D82">
            <v>9312139</v>
          </cell>
          <cell r="E82" t="str">
            <v>CARGUEROS</v>
          </cell>
          <cell r="G82" t="str">
            <v>BAÑO</v>
          </cell>
          <cell r="H82">
            <v>2017131.5059999998</v>
          </cell>
        </row>
        <row r="83">
          <cell r="B83">
            <v>79</v>
          </cell>
          <cell r="C83" t="str">
            <v>DIANA MARIA CHAVERRA HINESTROZA</v>
          </cell>
          <cell r="D83">
            <v>35601294</v>
          </cell>
          <cell r="E83" t="str">
            <v>CARGUEROS</v>
          </cell>
          <cell r="G83" t="str">
            <v>BAÑO</v>
          </cell>
          <cell r="H83">
            <v>1310018.0860000001</v>
          </cell>
        </row>
        <row r="84">
          <cell r="B84">
            <v>80</v>
          </cell>
          <cell r="C84" t="str">
            <v>CARLOS HORACIO MENCO</v>
          </cell>
          <cell r="D84">
            <v>1001548291</v>
          </cell>
          <cell r="E84" t="str">
            <v>COLORADO</v>
          </cell>
          <cell r="G84" t="str">
            <v>BAÑO</v>
          </cell>
          <cell r="H84">
            <v>1553506.9160000002</v>
          </cell>
        </row>
        <row r="85">
          <cell r="B85">
            <v>81</v>
          </cell>
          <cell r="C85" t="str">
            <v>ALADINO MARQUEZ ALVAREZ</v>
          </cell>
          <cell r="D85">
            <v>18930975</v>
          </cell>
          <cell r="E85" t="str">
            <v>LAS CONCHAS</v>
          </cell>
          <cell r="G85" t="str">
            <v>BAÑO</v>
          </cell>
          <cell r="H85">
            <v>1295509.5009999999</v>
          </cell>
        </row>
        <row r="86">
          <cell r="B86">
            <v>82</v>
          </cell>
          <cell r="C86" t="str">
            <v>PETRONA MARIA MORELO RAMOS</v>
          </cell>
          <cell r="D86">
            <v>43304300</v>
          </cell>
          <cell r="E86" t="str">
            <v>LAS CONCHAS</v>
          </cell>
          <cell r="G86" t="str">
            <v>COCINA</v>
          </cell>
          <cell r="H86">
            <v>1587390.8179999997</v>
          </cell>
        </row>
        <row r="87">
          <cell r="B87">
            <v>83</v>
          </cell>
          <cell r="C87" t="str">
            <v>ARELIS MILET LEGUIA VANEGAS</v>
          </cell>
          <cell r="D87">
            <v>43699664</v>
          </cell>
          <cell r="E87" t="str">
            <v>LAS CONCHAS</v>
          </cell>
          <cell r="G87" t="str">
            <v>BAÑO</v>
          </cell>
          <cell r="H87">
            <v>1376016.2779999999</v>
          </cell>
        </row>
        <row r="88">
          <cell r="D88">
            <v>43700000</v>
          </cell>
          <cell r="E88" t="str">
            <v>LAS CONCHAS</v>
          </cell>
          <cell r="G88" t="str">
            <v>BAÑO</v>
          </cell>
          <cell r="H88">
            <v>0</v>
          </cell>
        </row>
        <row r="89">
          <cell r="B89">
            <v>85</v>
          </cell>
          <cell r="C89" t="str">
            <v>MARTA INES MERCADO VANEGAS</v>
          </cell>
          <cell r="D89">
            <v>43804008</v>
          </cell>
          <cell r="E89" t="str">
            <v>LAS CONCHAS</v>
          </cell>
          <cell r="G89" t="str">
            <v>BAÑO</v>
          </cell>
          <cell r="H89">
            <v>2098388.9419999998</v>
          </cell>
        </row>
        <row r="90">
          <cell r="D90">
            <v>21647209</v>
          </cell>
          <cell r="E90" t="str">
            <v>LAS CONCHAS</v>
          </cell>
          <cell r="G90" t="str">
            <v>COCINA</v>
          </cell>
          <cell r="H90">
            <v>0</v>
          </cell>
        </row>
        <row r="91">
          <cell r="B91">
            <v>87</v>
          </cell>
          <cell r="C91" t="str">
            <v>MANUEL JOSE GALEANO CONTRERAS</v>
          </cell>
          <cell r="D91">
            <v>8372712</v>
          </cell>
          <cell r="E91" t="str">
            <v>LAS CONCHAS</v>
          </cell>
          <cell r="G91" t="str">
            <v>BAÑO</v>
          </cell>
          <cell r="H91">
            <v>2183531.142</v>
          </cell>
        </row>
        <row r="92">
          <cell r="B92">
            <v>88</v>
          </cell>
          <cell r="C92" t="str">
            <v>ELISVELA ISABEL BENAVIDES</v>
          </cell>
          <cell r="D92">
            <v>21638811</v>
          </cell>
          <cell r="E92" t="str">
            <v>LAS CONCHAS</v>
          </cell>
          <cell r="G92" t="str">
            <v>COCINA</v>
          </cell>
          <cell r="H92">
            <v>760741.48800000001</v>
          </cell>
        </row>
        <row r="93">
          <cell r="B93">
            <v>89</v>
          </cell>
          <cell r="C93" t="str">
            <v>PEDRO FORTUNATO VIDAL FLOREZ</v>
          </cell>
          <cell r="D93">
            <v>8371070</v>
          </cell>
          <cell r="E93" t="str">
            <v>LAS CONCHAS</v>
          </cell>
          <cell r="G93" t="str">
            <v>COCINA</v>
          </cell>
          <cell r="H93">
            <v>1206282.2199999997</v>
          </cell>
        </row>
        <row r="94">
          <cell r="B94">
            <v>90</v>
          </cell>
          <cell r="C94" t="str">
            <v>DAVID ANTONIO CABRERA</v>
          </cell>
          <cell r="D94">
            <v>8370838</v>
          </cell>
          <cell r="E94" t="str">
            <v>LAS CONCHAS</v>
          </cell>
          <cell r="G94" t="str">
            <v>BAÑO</v>
          </cell>
          <cell r="H94">
            <v>2360772.44</v>
          </cell>
        </row>
        <row r="95">
          <cell r="B95">
            <v>91</v>
          </cell>
          <cell r="C95" t="str">
            <v>NIVIS JOHANA RICO ORTEGA</v>
          </cell>
          <cell r="D95">
            <v>43890193</v>
          </cell>
          <cell r="E95" t="str">
            <v>LAS CONCHAS</v>
          </cell>
          <cell r="G95" t="str">
            <v>BAÑO</v>
          </cell>
          <cell r="H95">
            <v>1636580.8030000001</v>
          </cell>
        </row>
        <row r="96">
          <cell r="B96">
            <v>92</v>
          </cell>
          <cell r="C96" t="str">
            <v>ALEJANDRINA HERNANDEZ TAFUR</v>
          </cell>
          <cell r="D96">
            <v>43699697</v>
          </cell>
          <cell r="E96" t="str">
            <v>LAS CONCHAS</v>
          </cell>
          <cell r="G96" t="str">
            <v>PISOS Y REVOQUES</v>
          </cell>
          <cell r="H96">
            <v>1873430.7539999997</v>
          </cell>
        </row>
        <row r="97">
          <cell r="B97">
            <v>93</v>
          </cell>
          <cell r="C97" t="str">
            <v>ELIZABETH GONZALEZ PEREZ</v>
          </cell>
          <cell r="D97">
            <v>43888969</v>
          </cell>
          <cell r="E97" t="str">
            <v>LAS CONCHAS</v>
          </cell>
          <cell r="G97" t="str">
            <v>BAÑO</v>
          </cell>
          <cell r="H97">
            <v>2504973.6399999997</v>
          </cell>
        </row>
        <row r="98">
          <cell r="B98">
            <v>94</v>
          </cell>
          <cell r="C98" t="str">
            <v>NORIS DEL CARMEN CARO MARQUEZ</v>
          </cell>
          <cell r="D98">
            <v>43699175</v>
          </cell>
          <cell r="E98" t="str">
            <v>LAS CONCHAS</v>
          </cell>
          <cell r="G98" t="str">
            <v>BAÑO</v>
          </cell>
          <cell r="H98">
            <v>2171664.04</v>
          </cell>
        </row>
        <row r="99">
          <cell r="B99">
            <v>95</v>
          </cell>
          <cell r="C99" t="str">
            <v>RAFAEL ALBERTO PACHECO GARCIA</v>
          </cell>
          <cell r="D99">
            <v>1038481375</v>
          </cell>
          <cell r="E99" t="str">
            <v>LAS CONCHAS</v>
          </cell>
          <cell r="G99" t="str">
            <v>BAÑO</v>
          </cell>
          <cell r="H99">
            <v>2171664.04</v>
          </cell>
        </row>
        <row r="100">
          <cell r="D100">
            <v>18795037</v>
          </cell>
          <cell r="E100" t="str">
            <v>LAS CONCHAS</v>
          </cell>
          <cell r="G100" t="str">
            <v>COCINA</v>
          </cell>
          <cell r="H100">
            <v>0</v>
          </cell>
        </row>
        <row r="101">
          <cell r="B101">
            <v>97</v>
          </cell>
          <cell r="C101" t="str">
            <v>AGUSTINA MARIA FERIA SUAREZ</v>
          </cell>
          <cell r="D101">
            <v>43804006</v>
          </cell>
          <cell r="E101" t="str">
            <v>LAS CONCHAS</v>
          </cell>
          <cell r="G101" t="str">
            <v>COCINA</v>
          </cell>
          <cell r="H101">
            <v>1128896.665</v>
          </cell>
        </row>
        <row r="102">
          <cell r="B102">
            <v>98</v>
          </cell>
          <cell r="C102" t="str">
            <v xml:space="preserve"> CARMEN ROSA RICO VARELA</v>
          </cell>
          <cell r="D102">
            <v>39267854</v>
          </cell>
          <cell r="E102" t="str">
            <v>LAS CONCHAS</v>
          </cell>
          <cell r="G102" t="str">
            <v>BAÑO</v>
          </cell>
          <cell r="H102">
            <v>1406209.4410000001</v>
          </cell>
        </row>
        <row r="103">
          <cell r="B103">
            <v>99</v>
          </cell>
          <cell r="C103" t="str">
            <v>SONIA ISABEL YENERY GUERRERO</v>
          </cell>
          <cell r="D103">
            <v>43699670</v>
          </cell>
          <cell r="E103" t="str">
            <v>LAS CONCHAS</v>
          </cell>
          <cell r="G103" t="str">
            <v>PISOS Y REVOQUES</v>
          </cell>
          <cell r="H103">
            <v>2786279.5610000002</v>
          </cell>
        </row>
        <row r="104">
          <cell r="B104">
            <v>100</v>
          </cell>
          <cell r="C104" t="str">
            <v>SINDY LICETH CORONADO ARRIETA</v>
          </cell>
          <cell r="D104">
            <v>39288755</v>
          </cell>
          <cell r="E104" t="str">
            <v>LAS CONCHAS</v>
          </cell>
          <cell r="G104" t="str">
            <v>BAÑO</v>
          </cell>
          <cell r="H104">
            <v>2390547.64</v>
          </cell>
        </row>
        <row r="105">
          <cell r="B105">
            <v>101</v>
          </cell>
          <cell r="C105" t="str">
            <v>KARINA YOHANA PEREZ BAQUERO</v>
          </cell>
          <cell r="D105">
            <v>1003305293</v>
          </cell>
          <cell r="E105" t="str">
            <v>LAS CONCHAS</v>
          </cell>
          <cell r="G105" t="str">
            <v>BAÑO</v>
          </cell>
          <cell r="H105">
            <v>2012092.953</v>
          </cell>
        </row>
        <row r="106">
          <cell r="E106" t="str">
            <v>TOTAL</v>
          </cell>
          <cell r="H106">
            <v>165581907.71199995</v>
          </cell>
        </row>
        <row r="111">
          <cell r="C111" t="str">
            <v>______________________________</v>
          </cell>
        </row>
        <row r="112">
          <cell r="C112" t="str">
            <v>FRANCISCO JOSE ZULETA ROZO</v>
          </cell>
        </row>
        <row r="113">
          <cell r="C113" t="str">
            <v>Coordinador del FOVIS.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ISARIO FINAL"/>
      <sheetName val="EFLUENTE ALIVIO PRELIMINAR"/>
      <sheetName val="ALIVIO GRUESO"/>
      <sheetName val="DESCOLE FINAL"/>
      <sheetName val="EFLUENTE FINAL DECANTADORES"/>
      <sheetName val="ORIFICIOS"/>
      <sheetName val="CALCULOS"/>
      <sheetName val="SEDIMENTADORES"/>
      <sheetName val="CHEQUEO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>
            <v>0.1278</v>
          </cell>
        </row>
      </sheetData>
      <sheetData sheetId="7" refreshError="1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ison"/>
      <sheetName val="MAIN"/>
      <sheetName val="DIV INC"/>
      <sheetName val="LBO Analysis"/>
      <sheetName val="Multiple"/>
      <sheetName val="Perpetuity"/>
      <sheetName val="DCF 3"/>
      <sheetName val="WACC II"/>
      <sheetName val="S&amp;P"/>
      <sheetName val="Developer Notes"/>
      <sheetName val="EQ. IRR"/>
      <sheetName val="COVEN"/>
      <sheetName val="SUMMARY"/>
      <sheetName val="Reconciliations"/>
      <sheetName val="LTM"/>
      <sheetName val="CREDIT STATS"/>
      <sheetName val="Toggles"/>
      <sheetName val="Data"/>
      <sheetName val="dPrint"/>
      <sheetName val="DropZone"/>
      <sheetName val="mProcess"/>
      <sheetName val="mlError"/>
      <sheetName val="mGlobals"/>
      <sheetName val="mMain"/>
      <sheetName val="mToggles"/>
      <sheetName val="mcFunctions"/>
      <sheetName val="mMisc"/>
      <sheetName val="mdPrint"/>
      <sheetName val="CONS"/>
      <sheetName val="EQUI"/>
      <sheetName val="OTROS 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61"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  <cell r="N461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  <cell r="N463">
            <v>0</v>
          </cell>
        </row>
        <row r="464"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  <cell r="N464">
            <v>0</v>
          </cell>
        </row>
        <row r="465">
          <cell r="G465" t="str">
            <v>______</v>
          </cell>
          <cell r="H465" t="str">
            <v>______</v>
          </cell>
          <cell r="I465" t="str">
            <v>______</v>
          </cell>
          <cell r="J465" t="str">
            <v>______</v>
          </cell>
          <cell r="L465" t="str">
            <v>______</v>
          </cell>
          <cell r="M465" t="str">
            <v>______</v>
          </cell>
          <cell r="N465" t="str">
            <v>______</v>
          </cell>
        </row>
        <row r="466"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  <cell r="N466">
            <v>0</v>
          </cell>
        </row>
        <row r="468"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  <cell r="N468">
            <v>0</v>
          </cell>
        </row>
        <row r="469"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  <cell r="N469">
            <v>0</v>
          </cell>
        </row>
        <row r="470">
          <cell r="G470" t="str">
            <v>______</v>
          </cell>
          <cell r="H470" t="str">
            <v>______</v>
          </cell>
          <cell r="I470" t="str">
            <v>______</v>
          </cell>
          <cell r="J470" t="str">
            <v>______</v>
          </cell>
          <cell r="L470" t="str">
            <v>______</v>
          </cell>
          <cell r="M470" t="str">
            <v>______</v>
          </cell>
          <cell r="N470" t="str">
            <v>______</v>
          </cell>
        </row>
        <row r="471"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  <cell r="N471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L473">
            <v>0</v>
          </cell>
          <cell r="M473">
            <v>0</v>
          </cell>
          <cell r="N473">
            <v>0</v>
          </cell>
        </row>
        <row r="474"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L474">
            <v>0</v>
          </cell>
          <cell r="M474">
            <v>0</v>
          </cell>
          <cell r="N474">
            <v>0</v>
          </cell>
        </row>
        <row r="475"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  <cell r="N475">
            <v>0</v>
          </cell>
        </row>
        <row r="477"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  <cell r="N477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L480">
            <v>0</v>
          </cell>
          <cell r="M480">
            <v>0</v>
          </cell>
          <cell r="N480">
            <v>0</v>
          </cell>
        </row>
        <row r="481">
          <cell r="G481" t="str">
            <v>______</v>
          </cell>
          <cell r="H481" t="str">
            <v>______</v>
          </cell>
          <cell r="I481" t="str">
            <v>______</v>
          </cell>
          <cell r="J481" t="str">
            <v>______</v>
          </cell>
          <cell r="L481" t="str">
            <v>______</v>
          </cell>
          <cell r="M481" t="str">
            <v>______</v>
          </cell>
          <cell r="N481" t="str">
            <v>______</v>
          </cell>
        </row>
        <row r="482"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  <cell r="N482">
            <v>0</v>
          </cell>
        </row>
        <row r="484"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  <cell r="N484">
            <v>0</v>
          </cell>
        </row>
        <row r="485"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  <cell r="N485">
            <v>0</v>
          </cell>
        </row>
        <row r="486">
          <cell r="G486" t="str">
            <v>______</v>
          </cell>
          <cell r="H486" t="str">
            <v>______</v>
          </cell>
          <cell r="I486" t="str">
            <v>______</v>
          </cell>
          <cell r="J486" t="str">
            <v>______</v>
          </cell>
          <cell r="L486" t="str">
            <v>______</v>
          </cell>
          <cell r="M486" t="str">
            <v>______</v>
          </cell>
          <cell r="N486" t="str">
            <v>______</v>
          </cell>
        </row>
        <row r="487"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L487">
            <v>0</v>
          </cell>
          <cell r="M487">
            <v>0</v>
          </cell>
          <cell r="N487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L490">
            <v>0</v>
          </cell>
          <cell r="M490">
            <v>0</v>
          </cell>
          <cell r="N490">
            <v>0</v>
          </cell>
        </row>
        <row r="510">
          <cell r="G510" t="str">
            <v>______</v>
          </cell>
          <cell r="H510" t="str">
            <v>______</v>
          </cell>
          <cell r="I510" t="str">
            <v>______</v>
          </cell>
          <cell r="J510" t="str">
            <v>______</v>
          </cell>
          <cell r="L510" t="str">
            <v>______</v>
          </cell>
          <cell r="M510" t="str">
            <v>______</v>
          </cell>
          <cell r="N510" t="str">
            <v>______</v>
          </cell>
        </row>
        <row r="511"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  <cell r="N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L512">
            <v>0</v>
          </cell>
          <cell r="M512">
            <v>0</v>
          </cell>
          <cell r="N512">
            <v>0</v>
          </cell>
        </row>
        <row r="514"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M514">
            <v>0</v>
          </cell>
          <cell r="N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L515">
            <v>0</v>
          </cell>
          <cell r="M515">
            <v>0</v>
          </cell>
          <cell r="N515">
            <v>0</v>
          </cell>
        </row>
        <row r="516"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M516">
            <v>0</v>
          </cell>
          <cell r="N516">
            <v>0</v>
          </cell>
        </row>
        <row r="517"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L517">
            <v>0</v>
          </cell>
          <cell r="M517">
            <v>0</v>
          </cell>
          <cell r="N517">
            <v>0</v>
          </cell>
        </row>
        <row r="518"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L518">
            <v>0</v>
          </cell>
          <cell r="M518">
            <v>0</v>
          </cell>
          <cell r="N518">
            <v>0</v>
          </cell>
        </row>
        <row r="519">
          <cell r="G519" t="str">
            <v>______</v>
          </cell>
          <cell r="H519" t="str">
            <v>______</v>
          </cell>
          <cell r="I519" t="str">
            <v>______</v>
          </cell>
          <cell r="J519" t="str">
            <v>______</v>
          </cell>
          <cell r="L519" t="str">
            <v>______</v>
          </cell>
          <cell r="M519" t="str">
            <v>______</v>
          </cell>
          <cell r="N519" t="str">
            <v>______</v>
          </cell>
        </row>
        <row r="520"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L520">
            <v>0</v>
          </cell>
          <cell r="M520">
            <v>0</v>
          </cell>
          <cell r="N520">
            <v>0</v>
          </cell>
        </row>
        <row r="522">
          <cell r="G522">
            <v>1998</v>
          </cell>
          <cell r="H522">
            <v>1999</v>
          </cell>
          <cell r="I522">
            <v>2000</v>
          </cell>
          <cell r="J522">
            <v>2001</v>
          </cell>
          <cell r="L522">
            <v>2000</v>
          </cell>
          <cell r="M522">
            <v>2001</v>
          </cell>
          <cell r="N522">
            <v>2002</v>
          </cell>
        </row>
        <row r="525"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L525">
            <v>0</v>
          </cell>
          <cell r="M525">
            <v>0</v>
          </cell>
          <cell r="N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L526">
            <v>0</v>
          </cell>
          <cell r="M526">
            <v>0</v>
          </cell>
          <cell r="N526">
            <v>0</v>
          </cell>
        </row>
        <row r="527">
          <cell r="G527" t="str">
            <v>______</v>
          </cell>
          <cell r="H527" t="str">
            <v>______</v>
          </cell>
          <cell r="I527" t="str">
            <v>______</v>
          </cell>
          <cell r="J527" t="str">
            <v>______</v>
          </cell>
          <cell r="L527" t="str">
            <v>______</v>
          </cell>
          <cell r="M527" t="str">
            <v>______</v>
          </cell>
          <cell r="N527" t="str">
            <v>______</v>
          </cell>
        </row>
        <row r="528"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  <cell r="N528">
            <v>0</v>
          </cell>
        </row>
        <row r="529">
          <cell r="G529" t="str">
            <v>______</v>
          </cell>
          <cell r="H529" t="str">
            <v>______</v>
          </cell>
          <cell r="I529" t="str">
            <v>______</v>
          </cell>
          <cell r="J529" t="str">
            <v>______</v>
          </cell>
          <cell r="L529" t="str">
            <v>______</v>
          </cell>
          <cell r="M529" t="str">
            <v>______</v>
          </cell>
          <cell r="N529" t="str">
            <v>______</v>
          </cell>
        </row>
        <row r="530"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L530">
            <v>0</v>
          </cell>
          <cell r="M530">
            <v>0</v>
          </cell>
          <cell r="N530">
            <v>0</v>
          </cell>
        </row>
        <row r="532"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L532">
            <v>0</v>
          </cell>
          <cell r="M532">
            <v>0</v>
          </cell>
          <cell r="N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  <cell r="N533">
            <v>0</v>
          </cell>
        </row>
        <row r="534"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  <cell r="N534">
            <v>0</v>
          </cell>
        </row>
        <row r="535"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M535">
            <v>0</v>
          </cell>
          <cell r="N535">
            <v>0</v>
          </cell>
        </row>
        <row r="536"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M536">
            <v>0</v>
          </cell>
          <cell r="N536">
            <v>0</v>
          </cell>
        </row>
        <row r="537"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L537">
            <v>0</v>
          </cell>
          <cell r="M537">
            <v>0</v>
          </cell>
          <cell r="N537">
            <v>0</v>
          </cell>
        </row>
        <row r="538">
          <cell r="G538" t="str">
            <v>______</v>
          </cell>
          <cell r="H538" t="str">
            <v>______</v>
          </cell>
          <cell r="I538" t="str">
            <v>______</v>
          </cell>
          <cell r="J538" t="str">
            <v>______</v>
          </cell>
          <cell r="L538" t="str">
            <v>______</v>
          </cell>
          <cell r="M538" t="str">
            <v>______</v>
          </cell>
          <cell r="N538" t="str">
            <v>______</v>
          </cell>
        </row>
        <row r="539"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L539">
            <v>0</v>
          </cell>
          <cell r="M539">
            <v>0</v>
          </cell>
          <cell r="N539">
            <v>0</v>
          </cell>
        </row>
        <row r="548"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L548">
            <v>0</v>
          </cell>
          <cell r="M548">
            <v>0</v>
          </cell>
          <cell r="N548">
            <v>0</v>
          </cell>
        </row>
        <row r="550"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M550">
            <v>0</v>
          </cell>
          <cell r="N550">
            <v>0</v>
          </cell>
        </row>
        <row r="551"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L551">
            <v>0</v>
          </cell>
          <cell r="M551">
            <v>0</v>
          </cell>
          <cell r="N551">
            <v>0</v>
          </cell>
        </row>
        <row r="552"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L552">
            <v>0</v>
          </cell>
          <cell r="M552">
            <v>0</v>
          </cell>
          <cell r="N552">
            <v>0</v>
          </cell>
        </row>
        <row r="553"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L553">
            <v>0</v>
          </cell>
          <cell r="M553">
            <v>0</v>
          </cell>
          <cell r="N553">
            <v>0</v>
          </cell>
        </row>
        <row r="554"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L555">
            <v>0</v>
          </cell>
          <cell r="M555">
            <v>0</v>
          </cell>
          <cell r="N555">
            <v>0</v>
          </cell>
        </row>
        <row r="556"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L556">
            <v>0</v>
          </cell>
          <cell r="M556">
            <v>0</v>
          </cell>
          <cell r="N556">
            <v>0</v>
          </cell>
        </row>
        <row r="557"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L557">
            <v>0</v>
          </cell>
          <cell r="M557">
            <v>0</v>
          </cell>
          <cell r="N557">
            <v>0</v>
          </cell>
        </row>
        <row r="558"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L558">
            <v>0</v>
          </cell>
          <cell r="M558">
            <v>0</v>
          </cell>
          <cell r="N558">
            <v>0</v>
          </cell>
        </row>
        <row r="559"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L559">
            <v>0</v>
          </cell>
          <cell r="M559">
            <v>0</v>
          </cell>
          <cell r="N559">
            <v>0</v>
          </cell>
        </row>
        <row r="560"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L560">
            <v>0</v>
          </cell>
          <cell r="M560">
            <v>0</v>
          </cell>
          <cell r="N560">
            <v>0</v>
          </cell>
        </row>
        <row r="561">
          <cell r="G561" t="str">
            <v>______</v>
          </cell>
          <cell r="H561" t="str">
            <v>______</v>
          </cell>
          <cell r="I561" t="str">
            <v>______</v>
          </cell>
          <cell r="J561" t="str">
            <v>______</v>
          </cell>
          <cell r="L561" t="str">
            <v>______</v>
          </cell>
          <cell r="M561" t="str">
            <v>______</v>
          </cell>
          <cell r="N561" t="str">
            <v>______</v>
          </cell>
        </row>
        <row r="562"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L562">
            <v>0</v>
          </cell>
          <cell r="M562">
            <v>0</v>
          </cell>
          <cell r="N562">
            <v>0</v>
          </cell>
        </row>
        <row r="565">
          <cell r="H565">
            <v>0</v>
          </cell>
          <cell r="I565">
            <v>0</v>
          </cell>
          <cell r="J565">
            <v>0</v>
          </cell>
          <cell r="M565">
            <v>0</v>
          </cell>
          <cell r="N565">
            <v>0</v>
          </cell>
        </row>
        <row r="566">
          <cell r="H566">
            <v>0</v>
          </cell>
          <cell r="I566">
            <v>0</v>
          </cell>
          <cell r="J566">
            <v>0</v>
          </cell>
          <cell r="M566">
            <v>0</v>
          </cell>
          <cell r="N566">
            <v>0</v>
          </cell>
        </row>
        <row r="567">
          <cell r="H567">
            <v>0</v>
          </cell>
          <cell r="I567">
            <v>0</v>
          </cell>
          <cell r="J567">
            <v>0</v>
          </cell>
          <cell r="M567">
            <v>0</v>
          </cell>
          <cell r="N567">
            <v>0</v>
          </cell>
        </row>
        <row r="568">
          <cell r="H568">
            <v>0</v>
          </cell>
          <cell r="I568">
            <v>0</v>
          </cell>
          <cell r="J568">
            <v>0</v>
          </cell>
          <cell r="M568">
            <v>0</v>
          </cell>
          <cell r="N568">
            <v>0</v>
          </cell>
        </row>
        <row r="569">
          <cell r="H569">
            <v>0</v>
          </cell>
          <cell r="I569">
            <v>0</v>
          </cell>
          <cell r="J569">
            <v>0</v>
          </cell>
          <cell r="M569">
            <v>0</v>
          </cell>
          <cell r="N569">
            <v>0</v>
          </cell>
        </row>
        <row r="570">
          <cell r="H570">
            <v>0</v>
          </cell>
          <cell r="I570">
            <v>0</v>
          </cell>
          <cell r="J570">
            <v>0</v>
          </cell>
          <cell r="M570">
            <v>0</v>
          </cell>
          <cell r="N570">
            <v>0</v>
          </cell>
        </row>
        <row r="571">
          <cell r="H571">
            <v>0</v>
          </cell>
          <cell r="I571">
            <v>0</v>
          </cell>
          <cell r="J571">
            <v>0</v>
          </cell>
          <cell r="M571">
            <v>0</v>
          </cell>
          <cell r="N571">
            <v>0</v>
          </cell>
        </row>
        <row r="572">
          <cell r="H572">
            <v>0</v>
          </cell>
          <cell r="I572">
            <v>0</v>
          </cell>
          <cell r="J572">
            <v>0</v>
          </cell>
          <cell r="M572">
            <v>0</v>
          </cell>
          <cell r="N572">
            <v>0</v>
          </cell>
        </row>
        <row r="573">
          <cell r="H573">
            <v>0</v>
          </cell>
          <cell r="I573">
            <v>0</v>
          </cell>
          <cell r="J573">
            <v>0</v>
          </cell>
          <cell r="M573">
            <v>0</v>
          </cell>
          <cell r="N573">
            <v>0</v>
          </cell>
        </row>
        <row r="574">
          <cell r="H574">
            <v>0</v>
          </cell>
          <cell r="I574">
            <v>0</v>
          </cell>
          <cell r="J574">
            <v>0</v>
          </cell>
          <cell r="M574">
            <v>0</v>
          </cell>
          <cell r="N574">
            <v>0</v>
          </cell>
        </row>
        <row r="575">
          <cell r="H575">
            <v>0</v>
          </cell>
          <cell r="I575">
            <v>0</v>
          </cell>
          <cell r="J575">
            <v>0</v>
          </cell>
          <cell r="M575">
            <v>0</v>
          </cell>
          <cell r="N575">
            <v>0</v>
          </cell>
        </row>
        <row r="576">
          <cell r="H576">
            <v>0</v>
          </cell>
          <cell r="I576">
            <v>0</v>
          </cell>
          <cell r="J576">
            <v>0</v>
          </cell>
          <cell r="M576">
            <v>0</v>
          </cell>
          <cell r="N576">
            <v>0</v>
          </cell>
        </row>
        <row r="577">
          <cell r="H577">
            <v>0</v>
          </cell>
          <cell r="I577">
            <v>0</v>
          </cell>
          <cell r="J577">
            <v>0</v>
          </cell>
          <cell r="M577">
            <v>0</v>
          </cell>
          <cell r="N577">
            <v>0</v>
          </cell>
        </row>
        <row r="578">
          <cell r="H578">
            <v>0</v>
          </cell>
          <cell r="I578">
            <v>0</v>
          </cell>
          <cell r="J578">
            <v>0</v>
          </cell>
          <cell r="M578">
            <v>0</v>
          </cell>
          <cell r="N578">
            <v>0</v>
          </cell>
        </row>
        <row r="579">
          <cell r="H579" t="str">
            <v>______</v>
          </cell>
          <cell r="I579" t="str">
            <v>______</v>
          </cell>
          <cell r="J579" t="str">
            <v>______</v>
          </cell>
          <cell r="M579" t="str">
            <v>______</v>
          </cell>
          <cell r="N579" t="str">
            <v>______</v>
          </cell>
        </row>
        <row r="580">
          <cell r="H580">
            <v>0</v>
          </cell>
          <cell r="I580">
            <v>0</v>
          </cell>
          <cell r="J580">
            <v>0</v>
          </cell>
          <cell r="M580">
            <v>0</v>
          </cell>
          <cell r="N580">
            <v>0</v>
          </cell>
        </row>
        <row r="581">
          <cell r="H581" t="str">
            <v>______</v>
          </cell>
          <cell r="I581" t="str">
            <v>______</v>
          </cell>
          <cell r="J581" t="str">
            <v>______</v>
          </cell>
          <cell r="M581" t="str">
            <v>______</v>
          </cell>
          <cell r="N581" t="str">
            <v>______</v>
          </cell>
        </row>
        <row r="582">
          <cell r="H582">
            <v>0</v>
          </cell>
          <cell r="I582">
            <v>0</v>
          </cell>
          <cell r="J582">
            <v>0</v>
          </cell>
          <cell r="M582">
            <v>0</v>
          </cell>
          <cell r="N582">
            <v>0</v>
          </cell>
        </row>
        <row r="584">
          <cell r="H584">
            <v>0</v>
          </cell>
          <cell r="I584">
            <v>0</v>
          </cell>
          <cell r="J584">
            <v>0</v>
          </cell>
          <cell r="M584">
            <v>0</v>
          </cell>
          <cell r="N584">
            <v>0</v>
          </cell>
        </row>
        <row r="585">
          <cell r="H585">
            <v>0</v>
          </cell>
          <cell r="I585">
            <v>0</v>
          </cell>
          <cell r="J585">
            <v>0</v>
          </cell>
          <cell r="M585">
            <v>0</v>
          </cell>
          <cell r="N585">
            <v>0</v>
          </cell>
        </row>
        <row r="586">
          <cell r="H586" t="str">
            <v>______</v>
          </cell>
          <cell r="I586" t="str">
            <v>______</v>
          </cell>
          <cell r="J586" t="str">
            <v>______</v>
          </cell>
          <cell r="M586" t="str">
            <v>______</v>
          </cell>
          <cell r="N586" t="str">
            <v>______</v>
          </cell>
        </row>
        <row r="587">
          <cell r="H587">
            <v>0</v>
          </cell>
          <cell r="I587">
            <v>0</v>
          </cell>
          <cell r="J587">
            <v>0</v>
          </cell>
          <cell r="M587">
            <v>0</v>
          </cell>
          <cell r="N587">
            <v>0</v>
          </cell>
        </row>
        <row r="590">
          <cell r="H590">
            <v>0</v>
          </cell>
          <cell r="I590">
            <v>0</v>
          </cell>
          <cell r="J590">
            <v>0</v>
          </cell>
          <cell r="M590">
            <v>0</v>
          </cell>
          <cell r="N590">
            <v>0</v>
          </cell>
        </row>
        <row r="591">
          <cell r="H591">
            <v>0</v>
          </cell>
          <cell r="I591">
            <v>0</v>
          </cell>
          <cell r="J591">
            <v>0</v>
          </cell>
          <cell r="M591">
            <v>0</v>
          </cell>
          <cell r="N591">
            <v>0</v>
          </cell>
        </row>
        <row r="593">
          <cell r="H593">
            <v>0</v>
          </cell>
          <cell r="I593">
            <v>0</v>
          </cell>
          <cell r="J593">
            <v>0</v>
          </cell>
          <cell r="M593">
            <v>0</v>
          </cell>
          <cell r="N593">
            <v>0</v>
          </cell>
        </row>
        <row r="594">
          <cell r="H594">
            <v>0</v>
          </cell>
          <cell r="I594">
            <v>0</v>
          </cell>
          <cell r="J594">
            <v>0</v>
          </cell>
          <cell r="M594">
            <v>0</v>
          </cell>
          <cell r="N594">
            <v>0</v>
          </cell>
        </row>
        <row r="595">
          <cell r="H595">
            <v>0</v>
          </cell>
          <cell r="I595">
            <v>0</v>
          </cell>
          <cell r="J595">
            <v>0</v>
          </cell>
          <cell r="M595">
            <v>0</v>
          </cell>
          <cell r="N595">
            <v>0</v>
          </cell>
        </row>
        <row r="596">
          <cell r="H596">
            <v>0</v>
          </cell>
          <cell r="I596">
            <v>0</v>
          </cell>
          <cell r="J596">
            <v>0</v>
          </cell>
          <cell r="M596">
            <v>0</v>
          </cell>
          <cell r="N596">
            <v>0</v>
          </cell>
        </row>
        <row r="597">
          <cell r="H597">
            <v>0</v>
          </cell>
          <cell r="I597">
            <v>0</v>
          </cell>
          <cell r="J597">
            <v>0</v>
          </cell>
          <cell r="M597">
            <v>0</v>
          </cell>
          <cell r="N597">
            <v>0</v>
          </cell>
        </row>
        <row r="598">
          <cell r="H598">
            <v>0</v>
          </cell>
          <cell r="I598">
            <v>0</v>
          </cell>
          <cell r="J598">
            <v>0</v>
          </cell>
          <cell r="M598">
            <v>0</v>
          </cell>
          <cell r="N598">
            <v>0</v>
          </cell>
        </row>
        <row r="599">
          <cell r="H599">
            <v>0</v>
          </cell>
          <cell r="I599">
            <v>0</v>
          </cell>
          <cell r="J599">
            <v>0</v>
          </cell>
          <cell r="M599">
            <v>0</v>
          </cell>
          <cell r="N599">
            <v>0</v>
          </cell>
        </row>
        <row r="600">
          <cell r="H600">
            <v>0</v>
          </cell>
          <cell r="I600">
            <v>0</v>
          </cell>
          <cell r="J600">
            <v>0</v>
          </cell>
          <cell r="M600">
            <v>0</v>
          </cell>
          <cell r="N600">
            <v>0</v>
          </cell>
        </row>
        <row r="601">
          <cell r="H601">
            <v>0</v>
          </cell>
          <cell r="I601">
            <v>0</v>
          </cell>
          <cell r="J601">
            <v>0</v>
          </cell>
          <cell r="M601">
            <v>0</v>
          </cell>
          <cell r="N601">
            <v>0</v>
          </cell>
        </row>
        <row r="602">
          <cell r="H602">
            <v>0</v>
          </cell>
          <cell r="I602">
            <v>0</v>
          </cell>
          <cell r="J602">
            <v>0</v>
          </cell>
          <cell r="M602">
            <v>0</v>
          </cell>
          <cell r="N602">
            <v>0</v>
          </cell>
        </row>
        <row r="603">
          <cell r="H603">
            <v>0</v>
          </cell>
          <cell r="I603">
            <v>0</v>
          </cell>
          <cell r="J603">
            <v>0</v>
          </cell>
          <cell r="M603">
            <v>0</v>
          </cell>
          <cell r="N603">
            <v>0</v>
          </cell>
        </row>
        <row r="604">
          <cell r="H604">
            <v>0</v>
          </cell>
          <cell r="I604">
            <v>0</v>
          </cell>
          <cell r="J604">
            <v>0</v>
          </cell>
          <cell r="M604">
            <v>0</v>
          </cell>
          <cell r="N604">
            <v>0</v>
          </cell>
        </row>
        <row r="605">
          <cell r="H605">
            <v>0</v>
          </cell>
          <cell r="I605">
            <v>0</v>
          </cell>
          <cell r="J605">
            <v>0</v>
          </cell>
          <cell r="M605">
            <v>0</v>
          </cell>
          <cell r="N605">
            <v>0</v>
          </cell>
        </row>
        <row r="606">
          <cell r="H606">
            <v>0</v>
          </cell>
          <cell r="I606">
            <v>0</v>
          </cell>
          <cell r="J606">
            <v>0</v>
          </cell>
          <cell r="M606">
            <v>0</v>
          </cell>
          <cell r="N606">
            <v>0</v>
          </cell>
        </row>
        <row r="608">
          <cell r="H608">
            <v>0</v>
          </cell>
          <cell r="I608">
            <v>0</v>
          </cell>
          <cell r="J608">
            <v>0</v>
          </cell>
          <cell r="M608">
            <v>0</v>
          </cell>
          <cell r="N608">
            <v>0</v>
          </cell>
        </row>
        <row r="614">
          <cell r="H614">
            <v>0</v>
          </cell>
          <cell r="I614">
            <v>0</v>
          </cell>
          <cell r="J614">
            <v>0</v>
          </cell>
          <cell r="M614">
            <v>0</v>
          </cell>
          <cell r="N614">
            <v>0</v>
          </cell>
        </row>
        <row r="632">
          <cell r="H632" t="str">
            <v>______</v>
          </cell>
          <cell r="I632" t="str">
            <v>______</v>
          </cell>
          <cell r="J632" t="str">
            <v>______</v>
          </cell>
          <cell r="M632" t="str">
            <v>______</v>
          </cell>
          <cell r="N632" t="str">
            <v>______</v>
          </cell>
        </row>
        <row r="633">
          <cell r="H633">
            <v>0</v>
          </cell>
          <cell r="I633">
            <v>0</v>
          </cell>
          <cell r="J633">
            <v>0</v>
          </cell>
          <cell r="M633">
            <v>0</v>
          </cell>
          <cell r="N633">
            <v>0</v>
          </cell>
        </row>
        <row r="635">
          <cell r="H635">
            <v>0</v>
          </cell>
          <cell r="I635">
            <v>0</v>
          </cell>
          <cell r="J635">
            <v>0</v>
          </cell>
          <cell r="M635">
            <v>0</v>
          </cell>
          <cell r="N635">
            <v>0</v>
          </cell>
        </row>
        <row r="636">
          <cell r="H636">
            <v>0</v>
          </cell>
          <cell r="I636">
            <v>0</v>
          </cell>
          <cell r="J636">
            <v>0</v>
          </cell>
          <cell r="M636">
            <v>0</v>
          </cell>
          <cell r="N636">
            <v>0</v>
          </cell>
        </row>
        <row r="637">
          <cell r="H637" t="str">
            <v>______</v>
          </cell>
          <cell r="I637" t="str">
            <v>______</v>
          </cell>
          <cell r="J637" t="str">
            <v>______</v>
          </cell>
          <cell r="M637" t="str">
            <v>______</v>
          </cell>
          <cell r="N637" t="str">
            <v>______</v>
          </cell>
        </row>
        <row r="665">
          <cell r="H665">
            <v>0</v>
          </cell>
          <cell r="I665">
            <v>0</v>
          </cell>
          <cell r="J665">
            <v>0</v>
          </cell>
          <cell r="M665">
            <v>0</v>
          </cell>
          <cell r="N665">
            <v>0</v>
          </cell>
        </row>
        <row r="667">
          <cell r="H667">
            <v>0</v>
          </cell>
          <cell r="I667">
            <v>0</v>
          </cell>
          <cell r="J667">
            <v>0</v>
          </cell>
          <cell r="M667">
            <v>0</v>
          </cell>
          <cell r="N667">
            <v>0</v>
          </cell>
        </row>
        <row r="676"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  <cell r="N676">
            <v>0</v>
          </cell>
        </row>
        <row r="677"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L677">
            <v>0</v>
          </cell>
          <cell r="M677">
            <v>0</v>
          </cell>
          <cell r="N677">
            <v>0</v>
          </cell>
        </row>
        <row r="678"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L678">
            <v>0</v>
          </cell>
          <cell r="M678">
            <v>0</v>
          </cell>
          <cell r="N678">
            <v>0</v>
          </cell>
        </row>
        <row r="679"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L679">
            <v>0</v>
          </cell>
          <cell r="M679">
            <v>0</v>
          </cell>
          <cell r="N679">
            <v>0</v>
          </cell>
        </row>
        <row r="680"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L680">
            <v>0</v>
          </cell>
          <cell r="M680">
            <v>0</v>
          </cell>
          <cell r="N680">
            <v>0</v>
          </cell>
        </row>
        <row r="681"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  <cell r="N681">
            <v>0</v>
          </cell>
        </row>
        <row r="682"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L682">
            <v>0</v>
          </cell>
          <cell r="M682">
            <v>0</v>
          </cell>
          <cell r="N682">
            <v>0</v>
          </cell>
        </row>
        <row r="683">
          <cell r="G683" t="str">
            <v>______</v>
          </cell>
          <cell r="H683" t="str">
            <v>______</v>
          </cell>
          <cell r="I683" t="str">
            <v>______</v>
          </cell>
          <cell r="J683" t="str">
            <v>______</v>
          </cell>
          <cell r="L683" t="str">
            <v>______</v>
          </cell>
          <cell r="M683" t="str">
            <v>______</v>
          </cell>
          <cell r="N683" t="str">
            <v>______</v>
          </cell>
        </row>
        <row r="684"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  <cell r="N684">
            <v>0</v>
          </cell>
        </row>
        <row r="686"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L686">
            <v>0</v>
          </cell>
          <cell r="M686">
            <v>0</v>
          </cell>
          <cell r="N686">
            <v>0</v>
          </cell>
        </row>
        <row r="688"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L688">
            <v>0</v>
          </cell>
          <cell r="M688">
            <v>0</v>
          </cell>
          <cell r="N688">
            <v>0</v>
          </cell>
        </row>
        <row r="689"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L689">
            <v>0</v>
          </cell>
          <cell r="M689">
            <v>0</v>
          </cell>
          <cell r="N689">
            <v>0</v>
          </cell>
        </row>
        <row r="690"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  <cell r="N690">
            <v>0</v>
          </cell>
        </row>
        <row r="691"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L691">
            <v>0</v>
          </cell>
          <cell r="M691">
            <v>0</v>
          </cell>
          <cell r="N691">
            <v>0</v>
          </cell>
        </row>
        <row r="692"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L692">
            <v>0</v>
          </cell>
          <cell r="M692">
            <v>0</v>
          </cell>
          <cell r="N692">
            <v>0</v>
          </cell>
        </row>
        <row r="693"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L693">
            <v>0</v>
          </cell>
          <cell r="M693">
            <v>0</v>
          </cell>
          <cell r="N693">
            <v>0</v>
          </cell>
        </row>
        <row r="694"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  <cell r="N694">
            <v>0</v>
          </cell>
        </row>
        <row r="696"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  <cell r="N696">
            <v>0</v>
          </cell>
        </row>
        <row r="699"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  <cell r="N699">
            <v>0</v>
          </cell>
        </row>
        <row r="700"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  <cell r="N700">
            <v>0</v>
          </cell>
        </row>
        <row r="701"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L701">
            <v>0</v>
          </cell>
          <cell r="M701">
            <v>0</v>
          </cell>
          <cell r="N701">
            <v>0</v>
          </cell>
        </row>
        <row r="702"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  <cell r="N702">
            <v>0</v>
          </cell>
        </row>
        <row r="703"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L703">
            <v>0</v>
          </cell>
          <cell r="M703">
            <v>0</v>
          </cell>
          <cell r="N703">
            <v>0</v>
          </cell>
        </row>
        <row r="704"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  <cell r="N704">
            <v>0</v>
          </cell>
        </row>
        <row r="705"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  <cell r="N705">
            <v>0</v>
          </cell>
        </row>
        <row r="706"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  <cell r="N706">
            <v>0</v>
          </cell>
        </row>
        <row r="707">
          <cell r="G707" t="str">
            <v>______</v>
          </cell>
          <cell r="H707" t="str">
            <v>______</v>
          </cell>
          <cell r="I707" t="str">
            <v>______</v>
          </cell>
          <cell r="J707" t="str">
            <v>______</v>
          </cell>
          <cell r="L707" t="str">
            <v>______</v>
          </cell>
          <cell r="M707" t="str">
            <v>______</v>
          </cell>
          <cell r="N707" t="str">
            <v>______</v>
          </cell>
        </row>
        <row r="708"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L708">
            <v>0</v>
          </cell>
          <cell r="M708">
            <v>0</v>
          </cell>
          <cell r="N708">
            <v>0</v>
          </cell>
        </row>
        <row r="710"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L710">
            <v>0</v>
          </cell>
          <cell r="M710">
            <v>0</v>
          </cell>
          <cell r="N710">
            <v>0</v>
          </cell>
        </row>
        <row r="711"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L711">
            <v>0</v>
          </cell>
          <cell r="M711">
            <v>0</v>
          </cell>
          <cell r="N711">
            <v>0</v>
          </cell>
        </row>
        <row r="712"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  <cell r="N712">
            <v>0</v>
          </cell>
        </row>
        <row r="713"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  <cell r="N713">
            <v>0</v>
          </cell>
        </row>
        <row r="714"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  <cell r="N714">
            <v>0</v>
          </cell>
        </row>
        <row r="717"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  <cell r="N717">
            <v>0</v>
          </cell>
        </row>
        <row r="718"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  <cell r="N718">
            <v>0</v>
          </cell>
        </row>
        <row r="719"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  <cell r="N719">
            <v>0</v>
          </cell>
        </row>
        <row r="720"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  <cell r="N720">
            <v>0</v>
          </cell>
        </row>
        <row r="721"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  <cell r="N721">
            <v>0</v>
          </cell>
        </row>
        <row r="722"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L722">
            <v>0</v>
          </cell>
          <cell r="M722">
            <v>0</v>
          </cell>
          <cell r="N722">
            <v>0</v>
          </cell>
        </row>
        <row r="723"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L723">
            <v>0</v>
          </cell>
          <cell r="M723">
            <v>0</v>
          </cell>
          <cell r="N723">
            <v>0</v>
          </cell>
        </row>
        <row r="724"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L724">
            <v>0</v>
          </cell>
          <cell r="M724">
            <v>0</v>
          </cell>
          <cell r="N724">
            <v>0</v>
          </cell>
        </row>
        <row r="725"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  <cell r="N725">
            <v>0</v>
          </cell>
        </row>
        <row r="726"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L726">
            <v>0</v>
          </cell>
          <cell r="M726">
            <v>0</v>
          </cell>
          <cell r="N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L727">
            <v>0</v>
          </cell>
          <cell r="M727">
            <v>0</v>
          </cell>
          <cell r="N727">
            <v>0</v>
          </cell>
        </row>
        <row r="728"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  <cell r="N728">
            <v>0</v>
          </cell>
        </row>
        <row r="729"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L729">
            <v>0</v>
          </cell>
          <cell r="M729">
            <v>0</v>
          </cell>
          <cell r="N729">
            <v>0</v>
          </cell>
        </row>
        <row r="730"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L730">
            <v>0</v>
          </cell>
          <cell r="M730">
            <v>0</v>
          </cell>
          <cell r="N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  <cell r="N731">
            <v>0</v>
          </cell>
        </row>
        <row r="732"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  <cell r="N732">
            <v>0</v>
          </cell>
        </row>
        <row r="733"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L733">
            <v>0</v>
          </cell>
          <cell r="M733">
            <v>0</v>
          </cell>
          <cell r="N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L734">
            <v>0</v>
          </cell>
          <cell r="M734">
            <v>0</v>
          </cell>
          <cell r="N734">
            <v>0</v>
          </cell>
        </row>
        <row r="735">
          <cell r="G735" t="str">
            <v>______</v>
          </cell>
          <cell r="H735" t="str">
            <v>______</v>
          </cell>
          <cell r="I735" t="str">
            <v>______</v>
          </cell>
          <cell r="J735" t="str">
            <v>______</v>
          </cell>
          <cell r="L735" t="str">
            <v>______</v>
          </cell>
          <cell r="M735" t="str">
            <v>______</v>
          </cell>
          <cell r="N735" t="str">
            <v>______</v>
          </cell>
        </row>
        <row r="736"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L736">
            <v>0</v>
          </cell>
          <cell r="M736">
            <v>0</v>
          </cell>
          <cell r="N736">
            <v>0</v>
          </cell>
        </row>
        <row r="738"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  <cell r="N738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L740">
            <v>0</v>
          </cell>
          <cell r="M740">
            <v>0</v>
          </cell>
          <cell r="N740">
            <v>0</v>
          </cell>
        </row>
        <row r="742">
          <cell r="G742">
            <v>1998</v>
          </cell>
          <cell r="H742">
            <v>1999</v>
          </cell>
          <cell r="I742">
            <v>2000</v>
          </cell>
          <cell r="J742">
            <v>2001</v>
          </cell>
          <cell r="L742">
            <v>2000</v>
          </cell>
          <cell r="M742">
            <v>2001</v>
          </cell>
          <cell r="N742">
            <v>2002</v>
          </cell>
        </row>
        <row r="745"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L745">
            <v>0</v>
          </cell>
          <cell r="M745">
            <v>0</v>
          </cell>
          <cell r="N745">
            <v>0</v>
          </cell>
        </row>
        <row r="746"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L746">
            <v>0</v>
          </cell>
          <cell r="M746">
            <v>0</v>
          </cell>
          <cell r="N746">
            <v>0</v>
          </cell>
        </row>
        <row r="747"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  <cell r="N747">
            <v>0</v>
          </cell>
        </row>
        <row r="748"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L748">
            <v>0</v>
          </cell>
          <cell r="M748">
            <v>0</v>
          </cell>
          <cell r="N748">
            <v>0</v>
          </cell>
        </row>
        <row r="749"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L749">
            <v>0</v>
          </cell>
          <cell r="M749">
            <v>0</v>
          </cell>
          <cell r="N749">
            <v>0</v>
          </cell>
        </row>
        <row r="750"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L750">
            <v>0</v>
          </cell>
          <cell r="M750">
            <v>0</v>
          </cell>
          <cell r="N750">
            <v>0</v>
          </cell>
        </row>
        <row r="751"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L751">
            <v>0</v>
          </cell>
          <cell r="M751">
            <v>0</v>
          </cell>
          <cell r="N751">
            <v>0</v>
          </cell>
        </row>
        <row r="753"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L753">
            <v>0</v>
          </cell>
          <cell r="M753">
            <v>0</v>
          </cell>
          <cell r="N753">
            <v>0</v>
          </cell>
        </row>
        <row r="755"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L755">
            <v>0</v>
          </cell>
          <cell r="M755">
            <v>0</v>
          </cell>
          <cell r="N755">
            <v>0</v>
          </cell>
        </row>
        <row r="757"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  <cell r="N757">
            <v>0</v>
          </cell>
        </row>
        <row r="837">
          <cell r="L837">
            <v>0</v>
          </cell>
          <cell r="M837">
            <v>0</v>
          </cell>
          <cell r="N837">
            <v>0</v>
          </cell>
        </row>
        <row r="838">
          <cell r="L838">
            <v>0</v>
          </cell>
          <cell r="M838">
            <v>0</v>
          </cell>
          <cell r="N838">
            <v>0</v>
          </cell>
        </row>
        <row r="840"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L840">
            <v>0</v>
          </cell>
          <cell r="M840">
            <v>0</v>
          </cell>
          <cell r="N840">
            <v>0</v>
          </cell>
        </row>
        <row r="1266">
          <cell r="H1266">
            <v>0</v>
          </cell>
          <cell r="I1266">
            <v>0</v>
          </cell>
          <cell r="J1266">
            <v>0</v>
          </cell>
          <cell r="M1266">
            <v>0</v>
          </cell>
          <cell r="N1266">
            <v>0</v>
          </cell>
        </row>
        <row r="1267">
          <cell r="G1267">
            <v>0</v>
          </cell>
          <cell r="H1267">
            <v>0</v>
          </cell>
          <cell r="I1267">
            <v>0</v>
          </cell>
          <cell r="J1267">
            <v>0</v>
          </cell>
        </row>
        <row r="1454"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L1454">
            <v>0</v>
          </cell>
          <cell r="M1454">
            <v>0</v>
          </cell>
          <cell r="N1454">
            <v>0</v>
          </cell>
        </row>
        <row r="1455">
          <cell r="G1455">
            <v>0</v>
          </cell>
          <cell r="H1455">
            <v>0</v>
          </cell>
          <cell r="I1455">
            <v>0</v>
          </cell>
          <cell r="J1455">
            <v>0</v>
          </cell>
          <cell r="L1455">
            <v>0</v>
          </cell>
          <cell r="M1455">
            <v>0</v>
          </cell>
          <cell r="N1455">
            <v>0</v>
          </cell>
        </row>
        <row r="1456"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L1456">
            <v>0</v>
          </cell>
          <cell r="M1456">
            <v>0</v>
          </cell>
          <cell r="N1456">
            <v>0</v>
          </cell>
        </row>
        <row r="1457"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L1457">
            <v>0</v>
          </cell>
          <cell r="M1457">
            <v>0</v>
          </cell>
          <cell r="N1457">
            <v>0</v>
          </cell>
        </row>
        <row r="1458"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L1458">
            <v>0</v>
          </cell>
          <cell r="M1458">
            <v>0</v>
          </cell>
          <cell r="N1458">
            <v>0</v>
          </cell>
        </row>
        <row r="1459">
          <cell r="G1459">
            <v>0</v>
          </cell>
          <cell r="H1459">
            <v>0</v>
          </cell>
          <cell r="I1459">
            <v>0</v>
          </cell>
          <cell r="J1459">
            <v>0</v>
          </cell>
        </row>
        <row r="1460">
          <cell r="G1460">
            <v>0</v>
          </cell>
          <cell r="H1460">
            <v>0</v>
          </cell>
          <cell r="I1460">
            <v>0</v>
          </cell>
          <cell r="J1460">
            <v>0</v>
          </cell>
        </row>
        <row r="1461"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J1462">
            <v>0</v>
          </cell>
        </row>
        <row r="1463">
          <cell r="J1463">
            <v>0</v>
          </cell>
        </row>
        <row r="1464">
          <cell r="J1464">
            <v>0</v>
          </cell>
        </row>
        <row r="1465">
          <cell r="J1465">
            <v>0</v>
          </cell>
        </row>
        <row r="1468"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L1468">
            <v>0</v>
          </cell>
          <cell r="M1468">
            <v>0</v>
          </cell>
          <cell r="N1468">
            <v>0</v>
          </cell>
        </row>
        <row r="1469"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L1469">
            <v>0</v>
          </cell>
          <cell r="M1469">
            <v>0</v>
          </cell>
          <cell r="N1469">
            <v>0</v>
          </cell>
        </row>
      </sheetData>
      <sheetData sheetId="15" refreshError="1">
        <row r="9">
          <cell r="B9" t="str">
            <v>Senior Debt*/EBITDA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B10" t="str">
            <v>Total Debt/EBITDA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B11" t="str">
            <v>Total Debt/(EBITDA-CAPEX)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I11">
            <v>0</v>
          </cell>
          <cell r="J11">
            <v>0</v>
          </cell>
          <cell r="K11">
            <v>0</v>
          </cell>
          <cell r="O11" t="str">
            <v>EBITDA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O12" t="str">
            <v xml:space="preserve">      EBITDA Margin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O13" t="str">
            <v xml:space="preserve">      % Growth</v>
          </cell>
          <cell r="R13">
            <v>0</v>
          </cell>
          <cell r="S13">
            <v>0</v>
          </cell>
          <cell r="T13">
            <v>0</v>
          </cell>
          <cell r="W13">
            <v>0</v>
          </cell>
          <cell r="X13">
            <v>0</v>
          </cell>
        </row>
        <row r="14">
          <cell r="O14" t="str">
            <v>Depreciation &amp; Amortization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</row>
        <row r="25">
          <cell r="B25" t="str">
            <v>EBITDA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O25" t="str">
            <v>Total Cash &amp; Cash Equivalents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 t="str">
            <v xml:space="preserve">      Interest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O26" t="str">
            <v>Working Capital, Including Cash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 t="str">
            <v xml:space="preserve">      CAPEX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</row>
        <row r="28">
          <cell r="B28" t="str">
            <v>EBITDA/Total Interest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</row>
        <row r="29">
          <cell r="B29" t="str">
            <v>(EBITDA-CAPEX)/Total Interest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</row>
        <row r="30">
          <cell r="B30" t="str">
            <v>EBIT/Total Interest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INICIALES"/>
      <sheetName val="PPTO GENERAL"/>
      <sheetName val="MEMORIA DE CANTIDADES"/>
      <sheetName val="APUS"/>
      <sheetName val="APAs"/>
      <sheetName val="CRONOGRAMA"/>
      <sheetName val="LISTADO DE RECURSOS"/>
      <sheetName val="A.U"/>
      <sheetName val="FACTOR PRESTACIONAL"/>
      <sheetName val="COTIZACIONES"/>
    </sheetNames>
    <sheetDataSet>
      <sheetData sheetId="0"/>
      <sheetData sheetId="1">
        <row r="6">
          <cell r="B6" t="str">
            <v>OBRAS DE MANTENIMIENTO Y MEJORAS LOCATIVAS PARA LA INSTITUCIÓN EDUCATIVA RURAL CACERÍ, ZONA RURAL DEL MUNICIPIO DE CAUCASIA- ANTIOQUIA.</v>
          </cell>
        </row>
        <row r="9">
          <cell r="B9" t="str">
            <v>Items</v>
          </cell>
          <cell r="C9" t="str">
            <v>Actividad</v>
          </cell>
          <cell r="D9" t="str">
            <v>Unidad</v>
          </cell>
          <cell r="E9" t="str">
            <v>Cantidad</v>
          </cell>
          <cell r="F9" t="str">
            <v>Vr Unitario</v>
          </cell>
          <cell r="G9" t="str">
            <v>Vr. Total/C.U</v>
          </cell>
          <cell r="H9" t="str">
            <v>Vr Capitulo.</v>
          </cell>
        </row>
        <row r="10">
          <cell r="B10">
            <v>1</v>
          </cell>
          <cell r="C10" t="str">
            <v xml:space="preserve">OBRAS DE MEJORAMIENTO </v>
          </cell>
          <cell r="H10">
            <v>82124359.609999999</v>
          </cell>
        </row>
        <row r="11">
          <cell r="B11">
            <v>1.1000000000000001</v>
          </cell>
          <cell r="C11" t="str">
            <v>Aplicación de PINTURA A BASE DE AGUA EN MUROS INTERNOS, CON VINILO TIPO 1 de primera calidad sobre muros revocados y/o estucados, para muros internos; tres manos o las necesarias hasta obtener una superficie pareja y homogénea. Incluye suministro y transporte de los materiales, lijada de superficie, resanes, reparación de humedades y todo lo necesario para su correcto funcionamiento.</v>
          </cell>
          <cell r="D11" t="str">
            <v>m2</v>
          </cell>
          <cell r="E11">
            <v>1624.91</v>
          </cell>
          <cell r="F11">
            <v>17885</v>
          </cell>
          <cell r="G11">
            <v>29061515.350000001</v>
          </cell>
        </row>
        <row r="12">
          <cell r="B12">
            <v>1.2</v>
          </cell>
          <cell r="C12" t="str">
            <v>Aplicación de PINTURA A BASE DE AGUA EN MUROS DE FACHADA, CON VINILO TIPO KORAZA de primera calidad sobre muros revocados y/o estucados, para muros internos; tres manos o las necesarias hasta obtener una superficie pareja y homogénea. Incluye suministro y transporte de los materiales, lijada de superficie, resanes, reparación de humedades y todo lo necesario para su correcto funcionamiento.</v>
          </cell>
          <cell r="D12" t="str">
            <v>m2</v>
          </cell>
          <cell r="E12">
            <v>1013.38</v>
          </cell>
          <cell r="F12">
            <v>20377</v>
          </cell>
          <cell r="G12">
            <v>20649644.260000002</v>
          </cell>
        </row>
        <row r="13">
          <cell r="B13">
            <v>1.3</v>
          </cell>
          <cell r="C13" t="str">
            <v>Suministro, transporte e instalación de ventiladores de techo, incluye todo lo necesario para su correcto funcionamiento.</v>
          </cell>
          <cell r="D13" t="str">
            <v>Unidad</v>
          </cell>
          <cell r="E13">
            <v>60</v>
          </cell>
          <cell r="F13">
            <v>540220</v>
          </cell>
          <cell r="G13">
            <v>32413200</v>
          </cell>
        </row>
        <row r="14">
          <cell r="H14" t="e">
            <v>#REF!</v>
          </cell>
        </row>
        <row r="15">
          <cell r="F15" t="str">
            <v>TOTAL COSTO DIRECTO</v>
          </cell>
          <cell r="H15">
            <v>82124359.609999999</v>
          </cell>
        </row>
      </sheetData>
      <sheetData sheetId="2">
        <row r="1">
          <cell r="B1" t="str">
            <v>MEMORIA DE CÁLCULO DE CANTIDADES DE OBRA</v>
          </cell>
        </row>
        <row r="2">
          <cell r="B2" t="str">
            <v>CAPITULO:</v>
          </cell>
          <cell r="C2">
            <v>1</v>
          </cell>
          <cell r="D2" t="str">
            <v xml:space="preserve">OBRAS DE MEJORAMIENTO </v>
          </cell>
          <cell r="I2" t="str">
            <v xml:space="preserve">ELABORÓ: </v>
          </cell>
          <cell r="J2" t="str">
            <v xml:space="preserve">FECHA: </v>
          </cell>
        </row>
        <row r="4">
          <cell r="B4" t="str">
            <v>ITEM</v>
          </cell>
          <cell r="C4" t="str">
            <v>Aplicación de PINTURA A BASE DE AGUA EN MUROS DE FACHADA, CON VINILO TIPO KORAZA de primera calidad sobre muros revocados y/o estucados, para muros internos; tres manos o las necesarias hasta obtener una superficie pareja y homogénea. Incluye suministro y transporte de los materiales, lijada de superficie, resanes, reparación de humedades y todo lo necesario para su correcto funcionamiento.</v>
          </cell>
          <cell r="J4" t="str">
            <v>UNIDAD:</v>
          </cell>
        </row>
        <row r="5">
          <cell r="B5">
            <v>1.2</v>
          </cell>
          <cell r="J5" t="str">
            <v>m2</v>
          </cell>
          <cell r="K5">
            <v>1013.38</v>
          </cell>
        </row>
        <row r="6">
          <cell r="B6" t="str">
            <v>UBICACIÓN</v>
          </cell>
          <cell r="D6" t="str">
            <v>LARGO</v>
          </cell>
          <cell r="E6" t="str">
            <v>ANCHO</v>
          </cell>
          <cell r="F6" t="str">
            <v>ALTURA</v>
          </cell>
          <cell r="G6" t="str">
            <v>CANT.</v>
          </cell>
          <cell r="H6" t="str">
            <v>TOTAL</v>
          </cell>
          <cell r="I6" t="str">
            <v>DETALLES</v>
          </cell>
        </row>
        <row r="7">
          <cell r="B7" t="str">
            <v>ZONA RECTORÍA</v>
          </cell>
          <cell r="D7">
            <v>12.15</v>
          </cell>
          <cell r="F7">
            <v>4</v>
          </cell>
          <cell r="G7">
            <v>1</v>
          </cell>
          <cell r="H7">
            <v>48.6</v>
          </cell>
        </row>
        <row r="8">
          <cell r="D8">
            <v>2.7</v>
          </cell>
          <cell r="F8">
            <v>4</v>
          </cell>
          <cell r="G8">
            <v>1</v>
          </cell>
          <cell r="H8">
            <v>10.8</v>
          </cell>
        </row>
        <row r="9">
          <cell r="D9">
            <v>4.5</v>
          </cell>
          <cell r="F9">
            <v>4</v>
          </cell>
          <cell r="G9">
            <v>1</v>
          </cell>
          <cell r="H9">
            <v>18</v>
          </cell>
        </row>
        <row r="10">
          <cell r="B10" t="str">
            <v>PUERTA</v>
          </cell>
          <cell r="E10">
            <v>0.8</v>
          </cell>
          <cell r="F10">
            <v>-2</v>
          </cell>
          <cell r="H10">
            <v>-1.6</v>
          </cell>
        </row>
        <row r="11">
          <cell r="D11">
            <v>9.8000000000000007</v>
          </cell>
          <cell r="F11">
            <v>4</v>
          </cell>
          <cell r="H11">
            <v>39.200000000000003</v>
          </cell>
        </row>
        <row r="12">
          <cell r="D12">
            <v>27</v>
          </cell>
          <cell r="F12">
            <v>4</v>
          </cell>
          <cell r="H12">
            <v>108</v>
          </cell>
        </row>
        <row r="13">
          <cell r="D13">
            <v>32.1</v>
          </cell>
          <cell r="F13">
            <v>4</v>
          </cell>
          <cell r="H13">
            <v>128.4</v>
          </cell>
        </row>
        <row r="14">
          <cell r="B14" t="str">
            <v xml:space="preserve">SALON 1 Y 2 </v>
          </cell>
          <cell r="D14">
            <v>19.3</v>
          </cell>
          <cell r="F14">
            <v>3.3</v>
          </cell>
          <cell r="G14">
            <v>2</v>
          </cell>
          <cell r="H14">
            <v>127.38</v>
          </cell>
        </row>
        <row r="15">
          <cell r="D15">
            <v>6.85</v>
          </cell>
          <cell r="F15">
            <v>3.3</v>
          </cell>
          <cell r="G15">
            <v>2</v>
          </cell>
          <cell r="H15">
            <v>45.209999999999994</v>
          </cell>
        </row>
        <row r="16">
          <cell r="B16" t="str">
            <v xml:space="preserve">VENTANA </v>
          </cell>
          <cell r="E16">
            <v>0.6</v>
          </cell>
          <cell r="F16">
            <v>-1</v>
          </cell>
          <cell r="G16">
            <v>8</v>
          </cell>
          <cell r="H16">
            <v>-4.8</v>
          </cell>
        </row>
        <row r="17">
          <cell r="B17" t="str">
            <v xml:space="preserve">PUERTAS </v>
          </cell>
          <cell r="E17">
            <v>0.8</v>
          </cell>
          <cell r="F17">
            <v>-2</v>
          </cell>
          <cell r="G17">
            <v>2</v>
          </cell>
          <cell r="H17">
            <v>-3.2</v>
          </cell>
        </row>
        <row r="18">
          <cell r="B18" t="str">
            <v xml:space="preserve">SALON 3, 4 Y 5 </v>
          </cell>
          <cell r="H18">
            <v>0</v>
          </cell>
        </row>
        <row r="19">
          <cell r="D19">
            <v>21.4</v>
          </cell>
          <cell r="F19">
            <v>4</v>
          </cell>
          <cell r="G19">
            <v>2</v>
          </cell>
          <cell r="H19">
            <v>171.2</v>
          </cell>
        </row>
        <row r="20">
          <cell r="D20">
            <v>6.16</v>
          </cell>
          <cell r="F20">
            <v>4</v>
          </cell>
          <cell r="G20">
            <v>2</v>
          </cell>
          <cell r="H20">
            <v>49.28</v>
          </cell>
        </row>
        <row r="21">
          <cell r="B21" t="str">
            <v>PUERTAS</v>
          </cell>
          <cell r="E21">
            <v>0.8</v>
          </cell>
          <cell r="F21">
            <v>-2</v>
          </cell>
          <cell r="G21">
            <v>3</v>
          </cell>
          <cell r="H21">
            <v>-4.8000000000000007</v>
          </cell>
        </row>
        <row r="22">
          <cell r="B22" t="str">
            <v>SALON 6 Y 7</v>
          </cell>
          <cell r="H22">
            <v>0</v>
          </cell>
        </row>
        <row r="23">
          <cell r="D23">
            <v>6.1</v>
          </cell>
          <cell r="F23">
            <v>3.3</v>
          </cell>
          <cell r="G23">
            <v>2</v>
          </cell>
          <cell r="H23">
            <v>40.26</v>
          </cell>
        </row>
        <row r="24">
          <cell r="D24">
            <v>12.16</v>
          </cell>
          <cell r="F24">
            <v>3.3</v>
          </cell>
          <cell r="G24">
            <v>2</v>
          </cell>
          <cell r="H24">
            <v>80.256</v>
          </cell>
        </row>
        <row r="25">
          <cell r="B25" t="str">
            <v>PUERTAS</v>
          </cell>
          <cell r="E25">
            <v>0.8</v>
          </cell>
          <cell r="F25">
            <v>-2</v>
          </cell>
          <cell r="G25">
            <v>2</v>
          </cell>
          <cell r="H25">
            <v>-3.2</v>
          </cell>
        </row>
        <row r="26">
          <cell r="B26" t="str">
            <v xml:space="preserve">BAÑO PUBLICO </v>
          </cell>
          <cell r="H26">
            <v>0</v>
          </cell>
        </row>
        <row r="27">
          <cell r="D27">
            <v>9</v>
          </cell>
          <cell r="F27">
            <v>3.3</v>
          </cell>
          <cell r="G27">
            <v>2</v>
          </cell>
          <cell r="H27">
            <v>59.4</v>
          </cell>
        </row>
        <row r="28">
          <cell r="D28">
            <v>4.9000000000000004</v>
          </cell>
          <cell r="F28">
            <v>3.3</v>
          </cell>
          <cell r="G28">
            <v>2</v>
          </cell>
          <cell r="H28">
            <v>32.340000000000003</v>
          </cell>
        </row>
        <row r="29">
          <cell r="B29" t="str">
            <v xml:space="preserve">SALON 8 Y 9 </v>
          </cell>
          <cell r="H29">
            <v>0</v>
          </cell>
        </row>
        <row r="30">
          <cell r="D30">
            <v>12.5</v>
          </cell>
          <cell r="F30">
            <v>3.3</v>
          </cell>
          <cell r="H30">
            <v>41.25</v>
          </cell>
        </row>
        <row r="31">
          <cell r="D31">
            <v>5</v>
          </cell>
          <cell r="F31">
            <v>3.3</v>
          </cell>
          <cell r="G31">
            <v>2</v>
          </cell>
          <cell r="H31">
            <v>33</v>
          </cell>
        </row>
        <row r="32">
          <cell r="B32" t="str">
            <v>PUERTAS</v>
          </cell>
          <cell r="E32">
            <v>0.8</v>
          </cell>
          <cell r="G32">
            <v>-2</v>
          </cell>
          <cell r="H32">
            <v>-1.6</v>
          </cell>
        </row>
        <row r="33">
          <cell r="G33" t="str">
            <v>TOTAL</v>
          </cell>
          <cell r="H33">
            <v>1013.38</v>
          </cell>
        </row>
        <row r="42">
          <cell r="B42" t="str">
            <v>MEMORIA DE CÁLCULO DE CANTIDADES DE OBRA</v>
          </cell>
        </row>
        <row r="43">
          <cell r="B43" t="str">
            <v>CAPITULO:</v>
          </cell>
          <cell r="C43">
            <v>1</v>
          </cell>
          <cell r="D43" t="str">
            <v xml:space="preserve">OBRAS DE MEJORAMIENTO </v>
          </cell>
          <cell r="I43" t="str">
            <v xml:space="preserve">ELABORÓ: </v>
          </cell>
          <cell r="J43" t="str">
            <v xml:space="preserve">FECHA: </v>
          </cell>
        </row>
        <row r="45">
          <cell r="B45" t="str">
            <v>ITEM</v>
          </cell>
          <cell r="C45" t="str">
            <v>Aplicación de PINTURA A BASE DE AGUA EN MUROS INTERNOS, CON VINILO TIPO 1 de primera calidad sobre muros revocados y/o estucados, para muros internos; tres manos o las necesarias hasta obtener una superficie pareja y homogénea. Incluye suministro y transporte de los materiales, lijada de superficie, resanes, reparación de humedades y todo lo necesario para su correcto funcionamiento.</v>
          </cell>
          <cell r="J45" t="str">
            <v>UNIDAD:</v>
          </cell>
        </row>
        <row r="46">
          <cell r="B46">
            <v>1.1000000000000001</v>
          </cell>
          <cell r="J46" t="str">
            <v>m2</v>
          </cell>
          <cell r="K46">
            <v>1624.91</v>
          </cell>
        </row>
        <row r="47">
          <cell r="B47" t="str">
            <v>UBICACIÓN</v>
          </cell>
          <cell r="D47" t="str">
            <v>LARGO</v>
          </cell>
          <cell r="E47" t="str">
            <v>ANCHO</v>
          </cell>
          <cell r="F47" t="str">
            <v>ALTURA</v>
          </cell>
          <cell r="G47" t="str">
            <v>CANT.</v>
          </cell>
          <cell r="H47" t="str">
            <v>TOTAL</v>
          </cell>
          <cell r="I47" t="str">
            <v>DETALLES</v>
          </cell>
        </row>
        <row r="48">
          <cell r="B48" t="str">
            <v>ZONA RECTORÍA</v>
          </cell>
          <cell r="D48">
            <v>12.15</v>
          </cell>
          <cell r="F48">
            <v>4</v>
          </cell>
          <cell r="G48">
            <v>1</v>
          </cell>
          <cell r="H48">
            <v>48.6</v>
          </cell>
        </row>
        <row r="49">
          <cell r="D49">
            <v>2.7</v>
          </cell>
          <cell r="F49">
            <v>4</v>
          </cell>
          <cell r="G49">
            <v>2</v>
          </cell>
          <cell r="H49">
            <v>21.6</v>
          </cell>
        </row>
        <row r="50">
          <cell r="D50">
            <v>4.5</v>
          </cell>
          <cell r="F50">
            <v>4</v>
          </cell>
          <cell r="G50">
            <v>1</v>
          </cell>
          <cell r="H50">
            <v>18</v>
          </cell>
        </row>
        <row r="51">
          <cell r="B51" t="str">
            <v>PUERTA</v>
          </cell>
          <cell r="E51">
            <v>0.8</v>
          </cell>
          <cell r="F51">
            <v>-2</v>
          </cell>
          <cell r="H51">
            <v>-1.6</v>
          </cell>
        </row>
        <row r="52">
          <cell r="D52">
            <v>9.8000000000000007</v>
          </cell>
          <cell r="F52">
            <v>4</v>
          </cell>
          <cell r="H52">
            <v>39.200000000000003</v>
          </cell>
        </row>
        <row r="53">
          <cell r="D53">
            <v>27</v>
          </cell>
          <cell r="F53">
            <v>4</v>
          </cell>
          <cell r="H53">
            <v>108</v>
          </cell>
        </row>
        <row r="54">
          <cell r="D54">
            <v>32.1</v>
          </cell>
          <cell r="F54">
            <v>4</v>
          </cell>
          <cell r="H54">
            <v>128.4</v>
          </cell>
        </row>
        <row r="55">
          <cell r="D55">
            <v>6.9</v>
          </cell>
          <cell r="F55">
            <v>4</v>
          </cell>
          <cell r="G55">
            <v>8</v>
          </cell>
          <cell r="H55">
            <v>220.8</v>
          </cell>
        </row>
        <row r="56">
          <cell r="D56">
            <v>8.16</v>
          </cell>
          <cell r="F56">
            <v>4</v>
          </cell>
          <cell r="G56">
            <v>4</v>
          </cell>
          <cell r="H56">
            <v>130.56</v>
          </cell>
        </row>
        <row r="57">
          <cell r="B57" t="str">
            <v xml:space="preserve">SALON 1 Y 2 </v>
          </cell>
          <cell r="D57">
            <v>19.3</v>
          </cell>
          <cell r="F57">
            <v>3.3</v>
          </cell>
          <cell r="G57">
            <v>2</v>
          </cell>
          <cell r="H57">
            <v>127.38</v>
          </cell>
        </row>
        <row r="58">
          <cell r="D58">
            <v>6.85</v>
          </cell>
          <cell r="F58">
            <v>3.3</v>
          </cell>
          <cell r="G58">
            <v>4</v>
          </cell>
          <cell r="H58">
            <v>90.419999999999987</v>
          </cell>
        </row>
        <row r="59">
          <cell r="B59" t="str">
            <v xml:space="preserve">VENTANA </v>
          </cell>
          <cell r="E59">
            <v>0.6</v>
          </cell>
          <cell r="F59">
            <v>-1</v>
          </cell>
          <cell r="G59">
            <v>8</v>
          </cell>
          <cell r="H59">
            <v>-4.8</v>
          </cell>
        </row>
        <row r="60">
          <cell r="B60" t="str">
            <v xml:space="preserve">PUERTAS </v>
          </cell>
          <cell r="E60">
            <v>0.8</v>
          </cell>
          <cell r="F60">
            <v>-2</v>
          </cell>
          <cell r="G60">
            <v>2</v>
          </cell>
          <cell r="H60">
            <v>-3.2</v>
          </cell>
        </row>
        <row r="61">
          <cell r="B61" t="str">
            <v xml:space="preserve">SALON 3, 4 Y 5 </v>
          </cell>
          <cell r="H61">
            <v>0</v>
          </cell>
        </row>
        <row r="62">
          <cell r="D62">
            <v>21.4</v>
          </cell>
          <cell r="F62">
            <v>4</v>
          </cell>
          <cell r="G62">
            <v>2</v>
          </cell>
          <cell r="H62">
            <v>171.2</v>
          </cell>
        </row>
        <row r="63">
          <cell r="D63">
            <v>6.16</v>
          </cell>
          <cell r="F63">
            <v>4</v>
          </cell>
          <cell r="G63">
            <v>6</v>
          </cell>
          <cell r="H63">
            <v>147.84</v>
          </cell>
        </row>
        <row r="64">
          <cell r="B64" t="str">
            <v>PUERTAS</v>
          </cell>
          <cell r="E64">
            <v>0.8</v>
          </cell>
          <cell r="F64">
            <v>-2</v>
          </cell>
          <cell r="G64">
            <v>3</v>
          </cell>
          <cell r="H64">
            <v>-4.8000000000000007</v>
          </cell>
        </row>
        <row r="65">
          <cell r="B65" t="str">
            <v>SALON 6 Y 7</v>
          </cell>
          <cell r="H65">
            <v>0</v>
          </cell>
        </row>
        <row r="66">
          <cell r="D66">
            <v>6.1</v>
          </cell>
          <cell r="F66">
            <v>3.3</v>
          </cell>
          <cell r="G66">
            <v>4</v>
          </cell>
          <cell r="H66">
            <v>80.52</v>
          </cell>
        </row>
        <row r="67">
          <cell r="D67">
            <v>12.16</v>
          </cell>
          <cell r="F67">
            <v>3.3</v>
          </cell>
          <cell r="G67">
            <v>2</v>
          </cell>
          <cell r="H67">
            <v>80.256</v>
          </cell>
        </row>
        <row r="68">
          <cell r="B68" t="str">
            <v>PUERTAS</v>
          </cell>
          <cell r="E68">
            <v>0.8</v>
          </cell>
          <cell r="F68">
            <v>-2</v>
          </cell>
          <cell r="G68">
            <v>2</v>
          </cell>
          <cell r="H68">
            <v>-3.2</v>
          </cell>
        </row>
        <row r="69">
          <cell r="B69" t="str">
            <v xml:space="preserve">BAÑO PUBLICO </v>
          </cell>
          <cell r="H69">
            <v>0</v>
          </cell>
        </row>
        <row r="70">
          <cell r="D70">
            <v>9</v>
          </cell>
          <cell r="F70">
            <v>3.3</v>
          </cell>
          <cell r="G70">
            <v>2</v>
          </cell>
          <cell r="H70">
            <v>59.4</v>
          </cell>
        </row>
        <row r="71">
          <cell r="D71">
            <v>4.9000000000000004</v>
          </cell>
          <cell r="F71">
            <v>3.3</v>
          </cell>
          <cell r="G71">
            <v>4</v>
          </cell>
          <cell r="H71">
            <v>64.680000000000007</v>
          </cell>
        </row>
        <row r="72">
          <cell r="B72" t="str">
            <v xml:space="preserve">SALON 8 Y 9 </v>
          </cell>
          <cell r="H72">
            <v>0</v>
          </cell>
        </row>
        <row r="73">
          <cell r="D73">
            <v>12.5</v>
          </cell>
          <cell r="F73">
            <v>3.3</v>
          </cell>
          <cell r="H73">
            <v>41.25</v>
          </cell>
        </row>
        <row r="74">
          <cell r="D74">
            <v>5</v>
          </cell>
          <cell r="F74">
            <v>3.3</v>
          </cell>
          <cell r="G74">
            <v>4</v>
          </cell>
          <cell r="H74">
            <v>66</v>
          </cell>
        </row>
        <row r="75">
          <cell r="B75" t="str">
            <v>PUERTAS</v>
          </cell>
          <cell r="E75">
            <v>0.8</v>
          </cell>
          <cell r="G75">
            <v>-2</v>
          </cell>
          <cell r="H75">
            <v>-1.6</v>
          </cell>
        </row>
        <row r="76">
          <cell r="G76" t="str">
            <v>TOTAL</v>
          </cell>
          <cell r="H76">
            <v>1624.91</v>
          </cell>
        </row>
        <row r="85">
          <cell r="B85" t="str">
            <v>MEMORIA DE CÁLCULO DE CANTIDADES DE OBRA</v>
          </cell>
        </row>
        <row r="86">
          <cell r="B86" t="str">
            <v>CAPITULO:</v>
          </cell>
          <cell r="C86">
            <v>1</v>
          </cell>
          <cell r="D86" t="str">
            <v xml:space="preserve">OBRAS DE MEJORAMIENTO </v>
          </cell>
          <cell r="I86" t="str">
            <v xml:space="preserve">ELABORÓ: </v>
          </cell>
          <cell r="J86" t="str">
            <v xml:space="preserve">FECHA: </v>
          </cell>
        </row>
        <row r="88">
          <cell r="B88" t="str">
            <v>ITEM</v>
          </cell>
          <cell r="C88" t="str">
            <v>Suministro, transporte e instalación de ventiladores de techo, incluye todo lo necesario para su correcto funcionamiento.</v>
          </cell>
          <cell r="J88" t="str">
            <v>UNIDAD:</v>
          </cell>
        </row>
        <row r="89">
          <cell r="B89">
            <v>1.3</v>
          </cell>
          <cell r="J89" t="str">
            <v>Unidad</v>
          </cell>
          <cell r="K89">
            <v>60</v>
          </cell>
        </row>
        <row r="90">
          <cell r="B90" t="str">
            <v>UBICACIÓN</v>
          </cell>
          <cell r="D90" t="str">
            <v>LARGO m</v>
          </cell>
          <cell r="E90" t="str">
            <v>ANCHO</v>
          </cell>
          <cell r="F90" t="str">
            <v>REP.</v>
          </cell>
          <cell r="G90" t="str">
            <v>CANT.</v>
          </cell>
          <cell r="H90" t="str">
            <v>TOTAL</v>
          </cell>
          <cell r="I90" t="str">
            <v>DETALLES</v>
          </cell>
        </row>
        <row r="91">
          <cell r="B91" t="str">
            <v xml:space="preserve">varios </v>
          </cell>
          <cell r="G91">
            <v>60</v>
          </cell>
          <cell r="H91">
            <v>60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0</v>
          </cell>
        </row>
        <row r="97">
          <cell r="H97">
            <v>0</v>
          </cell>
        </row>
        <row r="98">
          <cell r="H98">
            <v>0</v>
          </cell>
        </row>
        <row r="99">
          <cell r="G99" t="str">
            <v>TOTAL</v>
          </cell>
          <cell r="H99">
            <v>60</v>
          </cell>
        </row>
      </sheetData>
      <sheetData sheetId="3">
        <row r="1">
          <cell r="B1" t="str">
            <v>OBRAS DE MANTENIMIENTO Y MEJORAS LOCATIVAS PARA LA INSTITUCIÓN EDUCATIVA RURAL CACERÍ, ZONA RURAL DEL MUNICIPIO DE CAUCASIA- ANTIOQUIA.</v>
          </cell>
          <cell r="P1" t="str">
            <v>REDONDEO</v>
          </cell>
        </row>
        <row r="6">
          <cell r="P6">
            <v>144</v>
          </cell>
        </row>
        <row r="15">
          <cell r="A15" t="str">
            <v>EQUI09</v>
          </cell>
          <cell r="P15">
            <v>81.245500000000007</v>
          </cell>
        </row>
        <row r="16">
          <cell r="A16" t="str">
            <v>EQUI04</v>
          </cell>
          <cell r="P16">
            <v>81.245500000000007</v>
          </cell>
        </row>
        <row r="17">
          <cell r="P17">
            <v>0</v>
          </cell>
        </row>
        <row r="18">
          <cell r="P18">
            <v>0</v>
          </cell>
        </row>
        <row r="19">
          <cell r="P19">
            <v>0</v>
          </cell>
        </row>
        <row r="20">
          <cell r="A20" t="str">
            <v>H01</v>
          </cell>
          <cell r="P20">
            <v>651124.65</v>
          </cell>
        </row>
        <row r="27">
          <cell r="A27" t="str">
            <v>MAT19</v>
          </cell>
          <cell r="P27">
            <v>107.46759259259261</v>
          </cell>
        </row>
        <row r="28">
          <cell r="A28" t="str">
            <v>MAT48</v>
          </cell>
          <cell r="P28">
            <v>32.498200000000004</v>
          </cell>
        </row>
        <row r="29">
          <cell r="A29" t="str">
            <v>MAT49</v>
          </cell>
          <cell r="P29">
            <v>81.245500000000007</v>
          </cell>
        </row>
        <row r="30">
          <cell r="A30" t="str">
            <v>MAT47</v>
          </cell>
          <cell r="P30">
            <v>32.498200000000004</v>
          </cell>
        </row>
        <row r="31">
          <cell r="P31">
            <v>0</v>
          </cell>
        </row>
        <row r="38">
          <cell r="A38" t="str">
            <v>EQUI16</v>
          </cell>
          <cell r="P38">
            <v>2708183.333333333</v>
          </cell>
        </row>
        <row r="39">
          <cell r="P39">
            <v>0</v>
          </cell>
        </row>
        <row r="40">
          <cell r="P40">
            <v>0</v>
          </cell>
        </row>
        <row r="41">
          <cell r="P41">
            <v>0</v>
          </cell>
        </row>
        <row r="42">
          <cell r="P42">
            <v>0</v>
          </cell>
        </row>
        <row r="49">
          <cell r="A49" t="str">
            <v>OFI01</v>
          </cell>
          <cell r="P49">
            <v>5919315</v>
          </cell>
        </row>
        <row r="50">
          <cell r="A50" t="str">
            <v>AYU</v>
          </cell>
          <cell r="P50">
            <v>7103178.0000000009</v>
          </cell>
        </row>
        <row r="51">
          <cell r="P51">
            <v>0</v>
          </cell>
        </row>
        <row r="52">
          <cell r="P52">
            <v>0</v>
          </cell>
        </row>
        <row r="53">
          <cell r="P53">
            <v>0</v>
          </cell>
        </row>
        <row r="67">
          <cell r="P67">
            <v>32</v>
          </cell>
        </row>
        <row r="73">
          <cell r="P73" t="str">
            <v>vibro</v>
          </cell>
        </row>
        <row r="75">
          <cell r="P75" t="str">
            <v>motoniveladora</v>
          </cell>
        </row>
        <row r="78">
          <cell r="A78" t="str">
            <v>EQUI09</v>
          </cell>
          <cell r="P78">
            <v>50.669000000000004</v>
          </cell>
        </row>
        <row r="79">
          <cell r="A79" t="str">
            <v>EQUI04</v>
          </cell>
          <cell r="P79">
            <v>50.669000000000004</v>
          </cell>
        </row>
        <row r="80">
          <cell r="P80">
            <v>0</v>
          </cell>
        </row>
        <row r="81">
          <cell r="P81">
            <v>0</v>
          </cell>
        </row>
        <row r="82">
          <cell r="P82">
            <v>0</v>
          </cell>
        </row>
        <row r="83">
          <cell r="A83" t="str">
            <v>H01</v>
          </cell>
          <cell r="P83">
            <v>473755.15</v>
          </cell>
        </row>
        <row r="90">
          <cell r="A90" t="str">
            <v>MAT21</v>
          </cell>
          <cell r="P90">
            <v>67.022486772486786</v>
          </cell>
        </row>
        <row r="91">
          <cell r="A91" t="str">
            <v>MAT48</v>
          </cell>
          <cell r="P91">
            <v>20.267600000000002</v>
          </cell>
        </row>
        <row r="92">
          <cell r="A92" t="str">
            <v>MAT49</v>
          </cell>
          <cell r="P92">
            <v>50.669000000000004</v>
          </cell>
        </row>
        <row r="93">
          <cell r="A93" t="str">
            <v>MAT47</v>
          </cell>
          <cell r="P93">
            <v>20.267600000000002</v>
          </cell>
        </row>
        <row r="94">
          <cell r="P94">
            <v>0</v>
          </cell>
        </row>
        <row r="101">
          <cell r="A101" t="str">
            <v>EQUI16</v>
          </cell>
          <cell r="P101">
            <v>1688966.6666666665</v>
          </cell>
        </row>
        <row r="102">
          <cell r="P102">
            <v>0</v>
          </cell>
        </row>
        <row r="103">
          <cell r="P103">
            <v>0</v>
          </cell>
        </row>
        <row r="104">
          <cell r="P104">
            <v>0</v>
          </cell>
        </row>
        <row r="105">
          <cell r="P105">
            <v>0</v>
          </cell>
        </row>
        <row r="112">
          <cell r="A112" t="str">
            <v>OFI01</v>
          </cell>
          <cell r="P112">
            <v>4306865</v>
          </cell>
        </row>
        <row r="113">
          <cell r="A113" t="str">
            <v>AYU</v>
          </cell>
          <cell r="P113">
            <v>5168238</v>
          </cell>
        </row>
        <row r="114">
          <cell r="P114">
            <v>0</v>
          </cell>
        </row>
        <row r="115">
          <cell r="P115">
            <v>0</v>
          </cell>
        </row>
        <row r="116">
          <cell r="P116">
            <v>0</v>
          </cell>
        </row>
        <row r="134">
          <cell r="P134">
            <v>8500</v>
          </cell>
        </row>
        <row r="138">
          <cell r="P138">
            <v>2E-3</v>
          </cell>
        </row>
        <row r="141">
          <cell r="A141" t="str">
            <v>EQUI09</v>
          </cell>
          <cell r="P141" t="str">
            <v>ml/Dia</v>
          </cell>
        </row>
        <row r="142">
          <cell r="A142" t="str">
            <v>EQUI04</v>
          </cell>
          <cell r="P142">
            <v>480</v>
          </cell>
        </row>
        <row r="143">
          <cell r="P143">
            <v>0</v>
          </cell>
        </row>
        <row r="144">
          <cell r="P144">
            <v>0</v>
          </cell>
        </row>
        <row r="145">
          <cell r="P145">
            <v>0</v>
          </cell>
        </row>
        <row r="146">
          <cell r="A146" t="str">
            <v>H01</v>
          </cell>
          <cell r="P146">
            <v>86812.5</v>
          </cell>
        </row>
        <row r="153">
          <cell r="A153" t="str">
            <v>MAT50</v>
          </cell>
          <cell r="P153">
            <v>60</v>
          </cell>
        </row>
        <row r="154">
          <cell r="A154" t="str">
            <v>MAT20</v>
          </cell>
          <cell r="P154">
            <v>1.7999999999999998</v>
          </cell>
        </row>
        <row r="155">
          <cell r="P155">
            <v>0</v>
          </cell>
        </row>
        <row r="156">
          <cell r="P156">
            <v>0</v>
          </cell>
        </row>
        <row r="157">
          <cell r="P157">
            <v>0</v>
          </cell>
        </row>
        <row r="164">
          <cell r="A164" t="str">
            <v>EQUI16</v>
          </cell>
          <cell r="P164">
            <v>199999.99999999997</v>
          </cell>
        </row>
        <row r="165">
          <cell r="P165">
            <v>0</v>
          </cell>
        </row>
        <row r="166">
          <cell r="P166">
            <v>0</v>
          </cell>
        </row>
        <row r="167">
          <cell r="P167">
            <v>0</v>
          </cell>
        </row>
        <row r="168">
          <cell r="P168">
            <v>0</v>
          </cell>
        </row>
        <row r="175">
          <cell r="A175" t="str">
            <v>AYU</v>
          </cell>
          <cell r="P175">
            <v>573750</v>
          </cell>
        </row>
        <row r="176">
          <cell r="A176" t="str">
            <v>OFI02</v>
          </cell>
          <cell r="P176">
            <v>1162500</v>
          </cell>
        </row>
        <row r="177">
          <cell r="P177">
            <v>0</v>
          </cell>
        </row>
        <row r="178">
          <cell r="P178">
            <v>0</v>
          </cell>
        </row>
        <row r="179">
          <cell r="P179">
            <v>0</v>
          </cell>
        </row>
      </sheetData>
      <sheetData sheetId="4"/>
      <sheetData sheetId="5">
        <row r="4">
          <cell r="D4" t="str">
            <v>Semana 1</v>
          </cell>
        </row>
      </sheetData>
      <sheetData sheetId="6">
        <row r="4">
          <cell r="B4" t="str">
            <v>MAT01</v>
          </cell>
          <cell r="C4" t="str">
            <v>Larguero madera común de 2x2 de 3m</v>
          </cell>
          <cell r="D4" t="str">
            <v>UNIDAD</v>
          </cell>
          <cell r="E4">
            <v>8000</v>
          </cell>
        </row>
        <row r="5">
          <cell r="B5" t="str">
            <v>MAT17</v>
          </cell>
          <cell r="C5" t="str">
            <v>Cerámica de 42,5x42,5 o similar</v>
          </cell>
          <cell r="D5" t="str">
            <v>m2</v>
          </cell>
          <cell r="E5">
            <v>38000</v>
          </cell>
        </row>
        <row r="6">
          <cell r="B6" t="str">
            <v>MAT18</v>
          </cell>
          <cell r="C6" t="str">
            <v>Concolor (lechada) x 5kg</v>
          </cell>
          <cell r="D6" t="str">
            <v>Caja</v>
          </cell>
          <cell r="E6">
            <v>25000</v>
          </cell>
        </row>
        <row r="7">
          <cell r="B7" t="str">
            <v>MAT19</v>
          </cell>
          <cell r="C7" t="str">
            <v xml:space="preserve">Pintura tipo 1 para interiores </v>
          </cell>
          <cell r="D7" t="str">
            <v>Galón</v>
          </cell>
          <cell r="E7">
            <v>74980</v>
          </cell>
        </row>
        <row r="8">
          <cell r="B8" t="str">
            <v>MAT20</v>
          </cell>
          <cell r="C8" t="str">
            <v xml:space="preserve">Cinta aislante autofundente </v>
          </cell>
          <cell r="D8" t="str">
            <v>UNIDAD</v>
          </cell>
          <cell r="E8">
            <v>70900</v>
          </cell>
        </row>
        <row r="9">
          <cell r="B9" t="str">
            <v>MAT21</v>
          </cell>
          <cell r="C9" t="str">
            <v xml:space="preserve">Pintura tipo koraza </v>
          </cell>
          <cell r="D9" t="str">
            <v>Galón</v>
          </cell>
          <cell r="E9">
            <v>65000</v>
          </cell>
        </row>
        <row r="10">
          <cell r="B10" t="str">
            <v>MAT47</v>
          </cell>
          <cell r="C10" t="str">
            <v xml:space="preserve">Brocha de 4" </v>
          </cell>
          <cell r="D10" t="str">
            <v>Unidad</v>
          </cell>
          <cell r="E10">
            <v>9200</v>
          </cell>
        </row>
        <row r="11">
          <cell r="B11" t="str">
            <v>MAT48</v>
          </cell>
          <cell r="C11" t="str">
            <v xml:space="preserve">Cinta de enmascarar </v>
          </cell>
          <cell r="D11" t="str">
            <v>UNIDAD</v>
          </cell>
          <cell r="E11">
            <v>8000</v>
          </cell>
        </row>
        <row r="12">
          <cell r="B12" t="str">
            <v>MAT49</v>
          </cell>
          <cell r="C12" t="str">
            <v xml:space="preserve">Rodillo de 9" felpa acrílica </v>
          </cell>
          <cell r="D12" t="str">
            <v>Unidad</v>
          </cell>
          <cell r="E12">
            <v>15000</v>
          </cell>
        </row>
        <row r="13">
          <cell r="B13" t="str">
            <v>MAT50</v>
          </cell>
          <cell r="C13" t="str">
            <v>Ventilador de techo tipo KDK o similar</v>
          </cell>
          <cell r="D13" t="str">
            <v>UNIDAD</v>
          </cell>
          <cell r="E13">
            <v>500000</v>
          </cell>
        </row>
        <row r="14">
          <cell r="B14" t="str">
            <v>MAT51</v>
          </cell>
          <cell r="C14" t="str">
            <v>Material de cantera para mejoramiento de vias terciarias</v>
          </cell>
          <cell r="D14" t="str">
            <v>m3</v>
          </cell>
          <cell r="E14">
            <v>0</v>
          </cell>
        </row>
        <row r="18">
          <cell r="B18" t="str">
            <v>LISTADO DE EQUIPOS</v>
          </cell>
        </row>
        <row r="19">
          <cell r="B19" t="str">
            <v>CÓDIGO</v>
          </cell>
          <cell r="C19" t="str">
            <v>NOMBRE</v>
          </cell>
          <cell r="D19" t="str">
            <v>UNIDAD</v>
          </cell>
          <cell r="E19" t="str">
            <v>$ /UNIDAD</v>
          </cell>
        </row>
        <row r="20">
          <cell r="B20" t="str">
            <v>H01</v>
          </cell>
          <cell r="C20" t="str">
            <v>Herramienta menor %</v>
          </cell>
          <cell r="D20" t="str">
            <v>% de M.O</v>
          </cell>
          <cell r="E20">
            <v>0.05</v>
          </cell>
        </row>
        <row r="21">
          <cell r="B21" t="str">
            <v>EQUI01</v>
          </cell>
          <cell r="C21" t="str">
            <v>Retrocargador (Pajarita)</v>
          </cell>
          <cell r="D21" t="str">
            <v>Hora</v>
          </cell>
          <cell r="E21">
            <v>130000</v>
          </cell>
        </row>
        <row r="22">
          <cell r="B22" t="str">
            <v>EQUI02</v>
          </cell>
          <cell r="C22" t="str">
            <v>Concretadora de 2 saco.</v>
          </cell>
          <cell r="D22" t="str">
            <v>Día</v>
          </cell>
          <cell r="E22">
            <v>90000</v>
          </cell>
        </row>
        <row r="23">
          <cell r="B23" t="str">
            <v>EQUI03</v>
          </cell>
          <cell r="C23" t="str">
            <v>Vibrador de concreto.</v>
          </cell>
          <cell r="D23" t="str">
            <v>Día</v>
          </cell>
          <cell r="E23">
            <v>30000</v>
          </cell>
        </row>
        <row r="24">
          <cell r="B24" t="str">
            <v>EQUI04</v>
          </cell>
          <cell r="C24" t="str">
            <v xml:space="preserve">Cuerpo de Andamio + tablon </v>
          </cell>
          <cell r="D24" t="str">
            <v>Día</v>
          </cell>
          <cell r="E24">
            <v>5000</v>
          </cell>
        </row>
        <row r="25">
          <cell r="B25" t="str">
            <v>EQUI05</v>
          </cell>
          <cell r="C25" t="str">
            <v>Motobomba</v>
          </cell>
          <cell r="D25" t="str">
            <v>Día</v>
          </cell>
          <cell r="E25">
            <v>60000</v>
          </cell>
        </row>
        <row r="26">
          <cell r="B26" t="str">
            <v>EQUI06</v>
          </cell>
          <cell r="C26" t="str">
            <v>Tronzadora</v>
          </cell>
          <cell r="D26" t="str">
            <v>Día</v>
          </cell>
          <cell r="E26">
            <v>35000</v>
          </cell>
        </row>
        <row r="27">
          <cell r="B27" t="str">
            <v>EQUI07</v>
          </cell>
          <cell r="C27" t="str">
            <v>Escalera</v>
          </cell>
          <cell r="D27" t="str">
            <v>Día</v>
          </cell>
          <cell r="E27">
            <v>30000</v>
          </cell>
        </row>
        <row r="28">
          <cell r="B28" t="str">
            <v>EQUI08</v>
          </cell>
          <cell r="C28" t="str">
            <v xml:space="preserve">Alquiler día - equipo de topografía, incluye estación total, nivel y elementos complementarios </v>
          </cell>
          <cell r="D28" t="str">
            <v>Día</v>
          </cell>
          <cell r="E28">
            <v>117000</v>
          </cell>
        </row>
        <row r="29">
          <cell r="B29" t="str">
            <v>EQUI09</v>
          </cell>
          <cell r="C29" t="str">
            <v xml:space="preserve">Equipo de trabajo en alturas </v>
          </cell>
          <cell r="D29" t="str">
            <v>Día</v>
          </cell>
          <cell r="E29">
            <v>30000</v>
          </cell>
        </row>
        <row r="30">
          <cell r="B30" t="str">
            <v>EQUI10</v>
          </cell>
          <cell r="C30" t="str">
            <v>Formaleta metálica y tacos</v>
          </cell>
          <cell r="D30" t="str">
            <v>Día</v>
          </cell>
          <cell r="E30">
            <v>9000</v>
          </cell>
        </row>
        <row r="31">
          <cell r="B31" t="str">
            <v>EQUI11</v>
          </cell>
          <cell r="C31" t="str">
            <v xml:space="preserve">Motoniveladora </v>
          </cell>
          <cell r="D31" t="str">
            <v>Hora</v>
          </cell>
          <cell r="E31">
            <v>178500</v>
          </cell>
        </row>
        <row r="32">
          <cell r="B32" t="str">
            <v>EQUI12</v>
          </cell>
          <cell r="C32" t="str">
            <v>Bulldozer</v>
          </cell>
          <cell r="D32" t="str">
            <v>Hora</v>
          </cell>
          <cell r="E32">
            <v>150000</v>
          </cell>
        </row>
        <row r="33">
          <cell r="B33" t="str">
            <v>EQUI13</v>
          </cell>
          <cell r="C33" t="str">
            <v xml:space="preserve">Vibrocompactador </v>
          </cell>
          <cell r="D33" t="str">
            <v>Hora</v>
          </cell>
          <cell r="E33">
            <v>130900</v>
          </cell>
        </row>
        <row r="34">
          <cell r="B34" t="str">
            <v>EQUI14</v>
          </cell>
          <cell r="C34" t="str">
            <v xml:space="preserve">Carrotanque con agua </v>
          </cell>
          <cell r="D34" t="str">
            <v xml:space="preserve">Día </v>
          </cell>
          <cell r="E34">
            <v>100000</v>
          </cell>
        </row>
        <row r="35">
          <cell r="B35" t="str">
            <v>EQUI15</v>
          </cell>
          <cell r="C35" t="str">
            <v xml:space="preserve">Volqueta </v>
          </cell>
          <cell r="D35" t="str">
            <v>Día</v>
          </cell>
          <cell r="E35">
            <v>500000</v>
          </cell>
        </row>
        <row r="36">
          <cell r="B36" t="str">
            <v>EQUI16</v>
          </cell>
          <cell r="C36" t="str">
            <v xml:space="preserve">Motocarro </v>
          </cell>
          <cell r="D36" t="str">
            <v>Día</v>
          </cell>
          <cell r="E36">
            <v>200000</v>
          </cell>
        </row>
        <row r="40">
          <cell r="B40" t="str">
            <v>LISTADO DE TRASNPORTES</v>
          </cell>
        </row>
        <row r="41">
          <cell r="B41" t="str">
            <v>CÓDIGO</v>
          </cell>
          <cell r="C41" t="str">
            <v>NOMBRE</v>
          </cell>
          <cell r="D41" t="str">
            <v>UNIDAD</v>
          </cell>
          <cell r="E41" t="str">
            <v>$ /UNIDAD</v>
          </cell>
        </row>
        <row r="42">
          <cell r="B42" t="str">
            <v>TR01</v>
          </cell>
          <cell r="C42" t="str">
            <v>Transporte de material de playa</v>
          </cell>
          <cell r="D42" t="str">
            <v>m3 km</v>
          </cell>
          <cell r="E42">
            <v>4000</v>
          </cell>
        </row>
        <row r="43">
          <cell r="B43" t="str">
            <v>TR02</v>
          </cell>
          <cell r="C43" t="str">
            <v>Transporte interno de material seleccionado para lleno</v>
          </cell>
          <cell r="D43" t="str">
            <v>m3 km</v>
          </cell>
          <cell r="E43">
            <v>2000</v>
          </cell>
        </row>
        <row r="44">
          <cell r="B44" t="str">
            <v>TR03</v>
          </cell>
          <cell r="C44" t="str">
            <v>Transportes de cemento, icluye cargue y descargue</v>
          </cell>
          <cell r="D44" t="str">
            <v>ton Km</v>
          </cell>
          <cell r="E44">
            <v>4500</v>
          </cell>
        </row>
        <row r="45">
          <cell r="B45" t="str">
            <v>TR04</v>
          </cell>
          <cell r="C45" t="str">
            <v>Transporte</v>
          </cell>
          <cell r="D45" t="str">
            <v>ton Km</v>
          </cell>
          <cell r="E45">
            <v>2000</v>
          </cell>
        </row>
        <row r="46">
          <cell r="E46" t="str">
            <v>TOTAL</v>
          </cell>
        </row>
        <row r="49">
          <cell r="B49" t="str">
            <v>LISTADO DE MANO DE OBRA</v>
          </cell>
        </row>
        <row r="50">
          <cell r="B50" t="str">
            <v>CÓDIGO</v>
          </cell>
          <cell r="C50" t="str">
            <v>NOMBRE</v>
          </cell>
          <cell r="D50" t="str">
            <v>UNIDAD</v>
          </cell>
          <cell r="E50" t="str">
            <v>VALOR $</v>
          </cell>
        </row>
        <row r="51">
          <cell r="B51" t="str">
            <v>OFI01</v>
          </cell>
          <cell r="C51" t="str">
            <v>Oficial de obra civil</v>
          </cell>
          <cell r="D51" t="str">
            <v>DÍA</v>
          </cell>
          <cell r="E51">
            <v>75000</v>
          </cell>
        </row>
        <row r="52">
          <cell r="B52" t="str">
            <v>OFI02</v>
          </cell>
          <cell r="C52" t="str">
            <v>Oficial eléctrico</v>
          </cell>
          <cell r="D52" t="str">
            <v>DÍA</v>
          </cell>
          <cell r="E52">
            <v>100000</v>
          </cell>
        </row>
        <row r="53">
          <cell r="B53" t="str">
            <v>AYUEN</v>
          </cell>
          <cell r="C53" t="str">
            <v>Ayudante calificado</v>
          </cell>
          <cell r="D53" t="str">
            <v>DÍA</v>
          </cell>
          <cell r="E53">
            <v>55000</v>
          </cell>
        </row>
        <row r="54">
          <cell r="B54" t="str">
            <v>AYU</v>
          </cell>
          <cell r="C54" t="str">
            <v>Ayudante raso</v>
          </cell>
          <cell r="D54" t="str">
            <v>DÍA</v>
          </cell>
          <cell r="E54">
            <v>45000</v>
          </cell>
        </row>
        <row r="55">
          <cell r="B55" t="str">
            <v>TOP</v>
          </cell>
          <cell r="C55" t="str">
            <v>Topógrafo</v>
          </cell>
          <cell r="D55" t="str">
            <v>DÍA</v>
          </cell>
          <cell r="E55">
            <v>124054</v>
          </cell>
        </row>
        <row r="56">
          <cell r="B56" t="str">
            <v>AUTOP</v>
          </cell>
          <cell r="C56" t="str">
            <v xml:space="preserve">Auxiliar de topografía </v>
          </cell>
          <cell r="D56" t="str">
            <v>DÍA</v>
          </cell>
          <cell r="E56">
            <v>54720</v>
          </cell>
        </row>
        <row r="57">
          <cell r="E57" t="str">
            <v>TOTAL</v>
          </cell>
        </row>
      </sheetData>
      <sheetData sheetId="7"/>
      <sheetData sheetId="8"/>
      <sheetData sheetId="9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didas"/>
      <sheetName val="Curva-sistema"/>
      <sheetName val="Curva.bomba"/>
      <sheetName val="Datos-Gráfica-Apartada"/>
      <sheetName val="Gráf.-Apartada-01"/>
      <sheetName val="Datos Garavito"/>
      <sheetName val="Gráfica Garavito"/>
      <sheetName val="Linea de Impulsion"/>
      <sheetName val="items"/>
      <sheetName val="Linea de Impulsion.xls"/>
      <sheetName val="Linea%20de%20Impulsion.xls"/>
      <sheetName val="1.1"/>
      <sheetName val="1.2"/>
      <sheetName val="1.3"/>
      <sheetName val="2.1"/>
      <sheetName val="2.2"/>
      <sheetName val="3.1"/>
      <sheetName val="3.2"/>
      <sheetName val="3.3"/>
      <sheetName val="3.4"/>
      <sheetName val="3.5"/>
      <sheetName val="4.1"/>
      <sheetName val="4.2"/>
      <sheetName val="5.1"/>
      <sheetName val="5.2"/>
      <sheetName val="5.3"/>
      <sheetName val="6.1"/>
      <sheetName val="6.2"/>
      <sheetName val="6.3"/>
      <sheetName val="6.4"/>
      <sheetName val="7.1"/>
      <sheetName val="7.2"/>
      <sheetName val="ESTADO VÍA-CRIT.TECNICO"/>
      <sheetName val="M y E "/>
      <sheetName val="relacion facturas"/>
      <sheetName val="MATERIALES  SEPARADOS "/>
      <sheetName val="NOMINA "/>
      <sheetName val="ELEMENTOS SEPARADOS 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completo "/>
      <sheetName val="Presupuesto"/>
      <sheetName val="CRONOGRAMA"/>
      <sheetName val="APU"/>
      <sheetName val="APA"/>
      <sheetName val="CUADRILLA"/>
      <sheetName val="AU"/>
      <sheetName val="EQUIPO"/>
      <sheetName val="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.U "/>
      <sheetName val="cronograma"/>
      <sheetName val="APU"/>
      <sheetName val="A.P.A"/>
      <sheetName val="HERRAMIENTAS"/>
      <sheetName val="Cuadrillas"/>
      <sheetName val="Hoja1"/>
      <sheetName val="PRESUPUESTO OFICIAL "/>
      <sheetName val="A.P.U. "/>
      <sheetName val="A.I.U"/>
    </sheetNames>
    <sheetDataSet>
      <sheetData sheetId="0" refreshError="1">
        <row r="24">
          <cell r="B24" t="str">
            <v xml:space="preserve">FERNEY ALONSO HOYOS OQUENDO </v>
          </cell>
        </row>
        <row r="25">
          <cell r="B25" t="str">
            <v>Secretario de Planeacion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PTO ICPA"/>
      <sheetName val="PRO MPIO"/>
      <sheetName val="Materiales"/>
      <sheetName val="CASA DIANA"/>
      <sheetName val="MAQUINARIAS"/>
      <sheetName val="APA"/>
      <sheetName val="CUADRILLAS"/>
      <sheetName val="A.U"/>
      <sheetName val="CRONOGRAMA"/>
    </sheetNames>
    <sheetDataSet>
      <sheetData sheetId="0">
        <row r="57">
          <cell r="F57">
            <v>44734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CTA DE COBRO N°1"/>
      <sheetName val="MEMORIAS "/>
      <sheetName val="CRONOGRAMA"/>
      <sheetName val="AU"/>
      <sheetName val="APU ITEM 1 Y 2"/>
      <sheetName val="APA"/>
      <sheetName val="APU ITEM 3, 4, 5 Y 6"/>
      <sheetName val="MATERIALES"/>
      <sheetName val="APU ITEM 7 Y 8"/>
      <sheetName val="CUADRILLAS"/>
      <sheetName val="SALARIOS Y PRESTACIONES "/>
      <sheetName val="P.ELECT"/>
    </sheetNames>
    <sheetDataSet>
      <sheetData sheetId="0">
        <row r="8">
          <cell r="A8" t="str">
            <v>MANTENIMIENTO Y REPARACION DE LAS INSTALACIONES DEL COLISEO CUBIERTO DEL MUNICIPIO DE CAUCASIA - ANTIOQUIA.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6">
          <cell r="B26">
            <v>43333.333333333336</v>
          </cell>
        </row>
      </sheetData>
      <sheetData sheetId="11">
        <row r="16">
          <cell r="D16">
            <v>5200000</v>
          </cell>
          <cell r="E16">
            <v>3900000</v>
          </cell>
          <cell r="F16">
            <v>1950000</v>
          </cell>
          <cell r="I16">
            <v>2600000</v>
          </cell>
          <cell r="J16">
            <v>1300000</v>
          </cell>
        </row>
        <row r="29">
          <cell r="D29">
            <v>1.4479333333333333</v>
          </cell>
          <cell r="E29">
            <v>1.4479333333333333</v>
          </cell>
          <cell r="F29">
            <v>1.5815333333333332</v>
          </cell>
          <cell r="I29">
            <v>1.5581333333333334</v>
          </cell>
          <cell r="J29">
            <v>1.6283333333333334</v>
          </cell>
        </row>
        <row r="42">
          <cell r="H42">
            <v>3250000</v>
          </cell>
        </row>
        <row r="55">
          <cell r="H55">
            <v>1.45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0"/>
  <sheetViews>
    <sheetView tabSelected="1" view="pageBreakPreview" zoomScale="120" zoomScaleNormal="120" zoomScaleSheetLayoutView="120" zoomScalePageLayoutView="120" workbookViewId="0">
      <selection activeCell="A8" sqref="A8:F8"/>
    </sheetView>
  </sheetViews>
  <sheetFormatPr baseColWidth="10" defaultColWidth="11.44140625" defaultRowHeight="15.6"/>
  <cols>
    <col min="1" max="1" width="10.6640625" style="11" customWidth="1"/>
    <col min="2" max="2" width="48.6640625" style="11" customWidth="1"/>
    <col min="3" max="3" width="5.44140625" style="11" customWidth="1"/>
    <col min="4" max="4" width="6.6640625" style="161" customWidth="1"/>
    <col min="5" max="5" width="13.33203125" style="11" bestFit="1" customWidth="1"/>
    <col min="6" max="6" width="18.6640625" style="164" bestFit="1" customWidth="1"/>
    <col min="7" max="7" width="16.44140625" style="11" bestFit="1" customWidth="1"/>
    <col min="8" max="16384" width="11.44140625" style="11"/>
  </cols>
  <sheetData>
    <row r="1" spans="1:6" s="225" customFormat="1" ht="24" customHeight="1">
      <c r="A1" s="518"/>
      <c r="B1" s="519" t="s">
        <v>318</v>
      </c>
      <c r="C1" s="520"/>
      <c r="D1" s="520"/>
      <c r="E1" s="521" t="s">
        <v>319</v>
      </c>
      <c r="F1" s="522"/>
    </row>
    <row r="2" spans="1:6" s="225" customFormat="1" ht="23.25" customHeight="1">
      <c r="A2" s="518"/>
      <c r="B2" s="520"/>
      <c r="C2" s="520"/>
      <c r="D2" s="520"/>
      <c r="E2" s="523" t="s">
        <v>320</v>
      </c>
      <c r="F2" s="524"/>
    </row>
    <row r="3" spans="1:6" s="225" customFormat="1" ht="25.5" customHeight="1">
      <c r="A3" s="518"/>
      <c r="B3" s="520"/>
      <c r="C3" s="520"/>
      <c r="D3" s="520"/>
      <c r="E3" s="521" t="s">
        <v>321</v>
      </c>
      <c r="F3" s="525"/>
    </row>
    <row r="4" spans="1:6" s="225" customFormat="1" ht="15" customHeight="1">
      <c r="A4" s="226"/>
      <c r="B4" s="227"/>
      <c r="C4" s="227"/>
      <c r="D4" s="227"/>
      <c r="E4" s="228"/>
      <c r="F4" s="228"/>
    </row>
    <row r="5" spans="1:6" s="49" customFormat="1" ht="11.25" customHeight="1">
      <c r="A5" s="506" t="s">
        <v>246</v>
      </c>
      <c r="B5" s="506"/>
      <c r="C5" s="506"/>
      <c r="D5" s="506"/>
      <c r="E5" s="506"/>
      <c r="F5" s="506"/>
    </row>
    <row r="6" spans="1:6" s="49" customFormat="1" ht="16.5" customHeight="1">
      <c r="A6" s="506" t="s">
        <v>322</v>
      </c>
      <c r="B6" s="506"/>
      <c r="C6" s="506"/>
      <c r="D6" s="506"/>
      <c r="E6" s="506"/>
      <c r="F6" s="506"/>
    </row>
    <row r="7" spans="1:6" s="229" customFormat="1">
      <c r="A7" s="312" t="s">
        <v>281</v>
      </c>
      <c r="B7" s="507"/>
      <c r="C7" s="507"/>
      <c r="D7" s="507"/>
      <c r="E7" s="507"/>
      <c r="F7" s="507"/>
    </row>
    <row r="8" spans="1:6" s="229" customFormat="1" ht="42" customHeight="1">
      <c r="A8" s="508" t="s">
        <v>583</v>
      </c>
      <c r="B8" s="508"/>
      <c r="C8" s="508"/>
      <c r="D8" s="508"/>
      <c r="E8" s="508"/>
      <c r="F8" s="508"/>
    </row>
    <row r="9" spans="1:6">
      <c r="A9" s="509"/>
      <c r="B9" s="510"/>
      <c r="C9" s="510"/>
      <c r="D9" s="510"/>
      <c r="E9" s="510"/>
      <c r="F9" s="510"/>
    </row>
    <row r="10" spans="1:6">
      <c r="A10" s="3" t="s">
        <v>8</v>
      </c>
      <c r="B10" s="4" t="s">
        <v>9</v>
      </c>
      <c r="C10" s="3" t="s">
        <v>10</v>
      </c>
      <c r="D10" s="5" t="s">
        <v>11</v>
      </c>
      <c r="E10" s="6" t="s">
        <v>12</v>
      </c>
      <c r="F10" s="6" t="s">
        <v>13</v>
      </c>
    </row>
    <row r="11" spans="1:6">
      <c r="A11" s="305">
        <v>1</v>
      </c>
      <c r="B11" s="306" t="s">
        <v>401</v>
      </c>
      <c r="C11" s="306"/>
      <c r="D11" s="306"/>
      <c r="E11" s="306"/>
      <c r="F11" s="307">
        <f>F12+F13</f>
        <v>719379</v>
      </c>
    </row>
    <row r="12" spans="1:6" ht="62.4" customHeight="1">
      <c r="A12" s="7" t="s">
        <v>92</v>
      </c>
      <c r="B12" s="404" t="s">
        <v>402</v>
      </c>
      <c r="C12" s="7" t="s">
        <v>14</v>
      </c>
      <c r="D12" s="405">
        <f>'MEMORIAS '!G13</f>
        <v>7.22</v>
      </c>
      <c r="E12" s="10">
        <f>APUS!E13</f>
        <v>39608.807282420697</v>
      </c>
      <c r="F12" s="10">
        <f>ROUND(D12*E12,0)</f>
        <v>285976</v>
      </c>
    </row>
    <row r="13" spans="1:6" ht="41.4">
      <c r="A13" s="7" t="s">
        <v>93</v>
      </c>
      <c r="B13" s="8" t="s">
        <v>394</v>
      </c>
      <c r="C13" s="7" t="s">
        <v>14</v>
      </c>
      <c r="D13" s="499">
        <f>'MEMORIAS '!G29</f>
        <v>7.22</v>
      </c>
      <c r="E13" s="10">
        <f>APUS!E30</f>
        <v>60028.143750000003</v>
      </c>
      <c r="F13" s="10">
        <f>ROUND(D13*E13,0)</f>
        <v>433403</v>
      </c>
    </row>
    <row r="14" spans="1:6">
      <c r="A14" s="305">
        <v>2</v>
      </c>
      <c r="B14" s="306" t="s">
        <v>406</v>
      </c>
      <c r="C14" s="306"/>
      <c r="D14" s="306"/>
      <c r="E14" s="306"/>
      <c r="F14" s="307">
        <f>F15+F16+F17+F18</f>
        <v>15503264.485956509</v>
      </c>
    </row>
    <row r="15" spans="1:6" ht="41.4">
      <c r="A15" s="7" t="s">
        <v>236</v>
      </c>
      <c r="B15" s="8" t="s">
        <v>415</v>
      </c>
      <c r="C15" s="7" t="s">
        <v>5</v>
      </c>
      <c r="D15" s="405">
        <f>'MEMORIAS '!G45</f>
        <v>72.209999999999994</v>
      </c>
      <c r="E15" s="10">
        <f>APUS!E50</f>
        <v>187495.60279608046</v>
      </c>
      <c r="F15" s="10">
        <f>E15*D15</f>
        <v>13539057.47790497</v>
      </c>
    </row>
    <row r="16" spans="1:6">
      <c r="A16" s="7" t="s">
        <v>237</v>
      </c>
      <c r="B16" s="8" t="s">
        <v>416</v>
      </c>
      <c r="C16" s="7" t="s">
        <v>5</v>
      </c>
      <c r="D16" s="405">
        <f>'MEMORIAS '!G60</f>
        <v>72.209999999999994</v>
      </c>
      <c r="E16" s="10">
        <f>APUS!E67</f>
        <v>9154.7215500000002</v>
      </c>
      <c r="F16" s="10">
        <f>D16*E16</f>
        <v>661062.44312549999</v>
      </c>
    </row>
    <row r="17" spans="1:6" ht="82.8">
      <c r="A17" s="7" t="s">
        <v>238</v>
      </c>
      <c r="B17" s="8" t="s">
        <v>441</v>
      </c>
      <c r="C17" s="7" t="s">
        <v>14</v>
      </c>
      <c r="D17" s="405">
        <f>'MEMORIAS '!G75</f>
        <v>0.37</v>
      </c>
      <c r="E17" s="10">
        <f>APUS!E91</f>
        <v>993023.09731759131</v>
      </c>
      <c r="F17" s="10">
        <f>D17*E17</f>
        <v>367418.54600750876</v>
      </c>
    </row>
    <row r="18" spans="1:6" ht="55.2">
      <c r="A18" s="7" t="s">
        <v>444</v>
      </c>
      <c r="B18" s="8" t="s">
        <v>445</v>
      </c>
      <c r="C18" s="7" t="s">
        <v>15</v>
      </c>
      <c r="D18" s="405">
        <f>'MEMORIAS '!G90</f>
        <v>103.45</v>
      </c>
      <c r="E18" s="10">
        <f>APUS!E108</f>
        <v>9045.200762866416</v>
      </c>
      <c r="F18" s="10">
        <f>D18*E18</f>
        <v>935726.01891853078</v>
      </c>
    </row>
    <row r="19" spans="1:6">
      <c r="A19" s="305">
        <v>3</v>
      </c>
      <c r="B19" s="306" t="s">
        <v>455</v>
      </c>
      <c r="C19" s="306"/>
      <c r="D19" s="306"/>
      <c r="E19" s="306"/>
      <c r="F19" s="307">
        <f>F20+F21+F22</f>
        <v>11485354.306383735</v>
      </c>
    </row>
    <row r="20" spans="1:6" ht="110.4">
      <c r="A20" s="7" t="s">
        <v>239</v>
      </c>
      <c r="B20" s="8" t="s">
        <v>452</v>
      </c>
      <c r="C20" s="7" t="s">
        <v>5</v>
      </c>
      <c r="D20" s="405">
        <f>'MEMORIAS '!G106</f>
        <v>46.56</v>
      </c>
      <c r="E20" s="10">
        <f>APUS!E129</f>
        <v>94012.636168368335</v>
      </c>
      <c r="F20" s="10">
        <f>D20*E20</f>
        <v>4377228.3399992296</v>
      </c>
    </row>
    <row r="21" spans="1:6" ht="110.4">
      <c r="A21" s="7" t="s">
        <v>454</v>
      </c>
      <c r="B21" s="8" t="s">
        <v>481</v>
      </c>
      <c r="C21" s="7" t="s">
        <v>230</v>
      </c>
      <c r="D21" s="325">
        <f>'MEMORIAS '!G121</f>
        <v>14.4</v>
      </c>
      <c r="E21" s="10">
        <f>APUS!E155</f>
        <v>350022.66957115202</v>
      </c>
      <c r="F21" s="10">
        <f>D21*E21</f>
        <v>5040326.4418245889</v>
      </c>
    </row>
    <row r="22" spans="1:6" ht="82.8">
      <c r="A22" s="7" t="s">
        <v>480</v>
      </c>
      <c r="B22" s="8" t="s">
        <v>482</v>
      </c>
      <c r="C22" s="7" t="s">
        <v>54</v>
      </c>
      <c r="D22" s="325">
        <v>4</v>
      </c>
      <c r="E22" s="10">
        <f>APUS!E181</f>
        <v>516949.88113997929</v>
      </c>
      <c r="F22" s="10">
        <f>D22*E22</f>
        <v>2067799.5245599172</v>
      </c>
    </row>
    <row r="23" spans="1:6">
      <c r="A23" s="305">
        <v>4</v>
      </c>
      <c r="B23" s="306" t="s">
        <v>485</v>
      </c>
      <c r="C23" s="306"/>
      <c r="D23" s="306"/>
      <c r="E23" s="306"/>
      <c r="F23" s="307">
        <f>SUM(F24:F25)</f>
        <v>5134105.9602148328</v>
      </c>
    </row>
    <row r="24" spans="1:6" ht="110.4">
      <c r="A24" s="308" t="s">
        <v>240</v>
      </c>
      <c r="B24" s="322" t="s">
        <v>379</v>
      </c>
      <c r="C24" s="308" t="s">
        <v>5</v>
      </c>
      <c r="D24" s="323">
        <f>'MEMORIAS '!G138</f>
        <v>93.12</v>
      </c>
      <c r="E24" s="311">
        <f>APUS!E203</f>
        <v>23184.777923269256</v>
      </c>
      <c r="F24" s="324">
        <f>E24*D24</f>
        <v>2158966.5202148333</v>
      </c>
    </row>
    <row r="25" spans="1:6" ht="27.6">
      <c r="A25" s="308" t="s">
        <v>486</v>
      </c>
      <c r="B25" s="309" t="s">
        <v>495</v>
      </c>
      <c r="C25" s="308" t="s">
        <v>5</v>
      </c>
      <c r="D25" s="499">
        <f>'MEMORIAS '!G152</f>
        <v>28.21</v>
      </c>
      <c r="E25" s="311">
        <f>APUS!I251</f>
        <v>105464</v>
      </c>
      <c r="F25" s="324">
        <f>E25*D25</f>
        <v>2975139.44</v>
      </c>
    </row>
    <row r="26" spans="1:6">
      <c r="A26" s="305">
        <v>5</v>
      </c>
      <c r="B26" s="306" t="s">
        <v>496</v>
      </c>
      <c r="C26" s="306"/>
      <c r="D26" s="306"/>
      <c r="E26" s="306"/>
      <c r="F26" s="307">
        <f>SUM(F27:F29)</f>
        <v>4031210.6370391045</v>
      </c>
    </row>
    <row r="27" spans="1:6" ht="41.4">
      <c r="A27" s="445" t="s">
        <v>497</v>
      </c>
      <c r="B27" s="309" t="s">
        <v>500</v>
      </c>
      <c r="C27" s="308" t="s">
        <v>54</v>
      </c>
      <c r="D27" s="310">
        <v>4</v>
      </c>
      <c r="E27" s="311">
        <f>APUS!E275</f>
        <v>267011.71712647507</v>
      </c>
      <c r="F27" s="324">
        <f>D27*E27</f>
        <v>1068046.8685059003</v>
      </c>
    </row>
    <row r="28" spans="1:6" ht="97.2" customHeight="1">
      <c r="A28" s="445" t="s">
        <v>498</v>
      </c>
      <c r="B28" s="309" t="s">
        <v>501</v>
      </c>
      <c r="C28" s="308" t="s">
        <v>54</v>
      </c>
      <c r="D28" s="310">
        <v>1</v>
      </c>
      <c r="E28" s="311">
        <f>APUS!E299</f>
        <v>389408.16825895396</v>
      </c>
      <c r="F28" s="324">
        <f>D28*E28</f>
        <v>389408.16825895396</v>
      </c>
    </row>
    <row r="29" spans="1:6" ht="55.2">
      <c r="A29" s="445" t="s">
        <v>499</v>
      </c>
      <c r="B29" s="309" t="s">
        <v>538</v>
      </c>
      <c r="C29" s="308" t="s">
        <v>537</v>
      </c>
      <c r="D29" s="310">
        <v>30</v>
      </c>
      <c r="E29" s="311">
        <f>APUS!E321</f>
        <v>85791.853342475006</v>
      </c>
      <c r="F29" s="324">
        <f>D29*E29</f>
        <v>2573755.6002742504</v>
      </c>
    </row>
    <row r="30" spans="1:6">
      <c r="A30" s="305">
        <v>6</v>
      </c>
      <c r="B30" s="306" t="s">
        <v>496</v>
      </c>
      <c r="C30" s="306"/>
      <c r="D30" s="306"/>
      <c r="E30" s="306"/>
      <c r="F30" s="307">
        <f>SUM(F31)</f>
        <v>2632776.3253950002</v>
      </c>
    </row>
    <row r="31" spans="1:6">
      <c r="A31" s="445">
        <v>6.1</v>
      </c>
      <c r="B31" s="309" t="s">
        <v>575</v>
      </c>
      <c r="C31" s="308" t="s">
        <v>54</v>
      </c>
      <c r="D31" s="310">
        <v>1</v>
      </c>
      <c r="E31" s="311">
        <f>APUS!E333</f>
        <v>2632776.3253950002</v>
      </c>
      <c r="F31" s="324">
        <f>D31*E31</f>
        <v>2632776.3253950002</v>
      </c>
    </row>
    <row r="32" spans="1:6">
      <c r="A32" s="511" t="s">
        <v>262</v>
      </c>
      <c r="B32" s="512"/>
      <c r="C32" s="512"/>
      <c r="D32" s="512"/>
      <c r="E32" s="513"/>
      <c r="F32" s="9">
        <f>F23+F19+F14+F11+F26+F30</f>
        <v>39506090.714989185</v>
      </c>
    </row>
    <row r="33" spans="1:7">
      <c r="A33" s="160"/>
      <c r="B33" s="160" t="s">
        <v>261</v>
      </c>
      <c r="C33" s="160"/>
      <c r="D33" s="514">
        <v>0.3</v>
      </c>
      <c r="E33" s="515"/>
      <c r="F33" s="9">
        <f>+F32*D33</f>
        <v>11851827.214496756</v>
      </c>
      <c r="G33" s="165"/>
    </row>
    <row r="34" spans="1:7">
      <c r="A34" s="160"/>
      <c r="B34" s="160" t="s">
        <v>94</v>
      </c>
      <c r="C34" s="160"/>
      <c r="D34" s="514">
        <v>0.05</v>
      </c>
      <c r="E34" s="515"/>
      <c r="F34" s="9">
        <f>F32*D34</f>
        <v>1975304.5357494594</v>
      </c>
      <c r="G34" s="165"/>
    </row>
    <row r="35" spans="1:7">
      <c r="A35" s="160"/>
      <c r="B35" s="160"/>
      <c r="C35" s="160"/>
      <c r="D35" s="326"/>
      <c r="E35" s="327"/>
      <c r="F35" s="9"/>
      <c r="G35" s="165"/>
    </row>
    <row r="36" spans="1:7">
      <c r="A36" s="314"/>
      <c r="B36" s="315" t="s">
        <v>274</v>
      </c>
      <c r="C36" s="314"/>
      <c r="D36" s="516"/>
      <c r="E36" s="517"/>
      <c r="F36" s="313">
        <f>SUM(F32:F34)</f>
        <v>53333222.465235397</v>
      </c>
    </row>
    <row r="37" spans="1:7">
      <c r="F37" s="162"/>
      <c r="G37" s="165"/>
    </row>
    <row r="39" spans="1:7" ht="16.2" thickBot="1">
      <c r="B39" s="238"/>
    </row>
    <row r="40" spans="1:7" s="229" customFormat="1">
      <c r="A40" s="230"/>
      <c r="B40" s="498" t="s">
        <v>581</v>
      </c>
      <c r="C40" s="231"/>
      <c r="D40" s="232"/>
      <c r="E40" s="233"/>
      <c r="F40" s="234"/>
    </row>
    <row r="41" spans="1:7" s="229" customFormat="1" ht="15">
      <c r="A41" s="235"/>
      <c r="B41" s="236" t="s">
        <v>582</v>
      </c>
      <c r="C41" s="235"/>
      <c r="D41" s="235"/>
      <c r="E41" s="235"/>
      <c r="F41" s="235"/>
    </row>
    <row r="42" spans="1:7" s="237" customFormat="1" ht="15.75" customHeight="1">
      <c r="A42" s="239"/>
      <c r="B42" s="239" t="s">
        <v>303</v>
      </c>
      <c r="C42" s="505" t="s">
        <v>304</v>
      </c>
      <c r="D42" s="505"/>
      <c r="E42" s="240" t="s">
        <v>305</v>
      </c>
      <c r="F42" s="239" t="s">
        <v>0</v>
      </c>
    </row>
    <row r="43" spans="1:7" s="237" customFormat="1" ht="19.5" customHeight="1">
      <c r="A43" s="223" t="s">
        <v>337</v>
      </c>
      <c r="B43" s="241" t="s">
        <v>336</v>
      </c>
      <c r="C43" s="504" t="s">
        <v>323</v>
      </c>
      <c r="D43" s="504"/>
      <c r="E43" s="242"/>
      <c r="F43" s="243">
        <v>45896</v>
      </c>
    </row>
    <row r="44" spans="1:7" s="237" customFormat="1" ht="18" customHeight="1">
      <c r="A44" s="504" t="s">
        <v>314</v>
      </c>
      <c r="B44" s="504"/>
      <c r="C44" s="504"/>
      <c r="D44" s="504"/>
      <c r="E44" s="504"/>
      <c r="F44" s="504"/>
    </row>
    <row r="46" spans="1:7">
      <c r="F46" s="2"/>
    </row>
    <row r="50" spans="6:6">
      <c r="F50" s="163"/>
    </row>
  </sheetData>
  <mergeCells count="17">
    <mergeCell ref="A1:A3"/>
    <mergeCell ref="B1:D3"/>
    <mergeCell ref="E1:F1"/>
    <mergeCell ref="E2:F2"/>
    <mergeCell ref="E3:F3"/>
    <mergeCell ref="C43:D43"/>
    <mergeCell ref="C42:D42"/>
    <mergeCell ref="A44:F44"/>
    <mergeCell ref="A5:F5"/>
    <mergeCell ref="A6:F6"/>
    <mergeCell ref="B7:F7"/>
    <mergeCell ref="A8:F8"/>
    <mergeCell ref="A9:F9"/>
    <mergeCell ref="A32:E32"/>
    <mergeCell ref="D33:E33"/>
    <mergeCell ref="D36:E36"/>
    <mergeCell ref="D34:E34"/>
  </mergeCells>
  <phoneticPr fontId="74" type="noConversion"/>
  <printOptions horizontalCentered="1"/>
  <pageMargins left="0.25" right="0.25" top="0.75" bottom="0.75" header="0.3" footer="0.3"/>
  <pageSetup scale="4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5D38D-FA98-477D-811A-0F38E615A241}">
  <dimension ref="A1:I333"/>
  <sheetViews>
    <sheetView view="pageBreakPreview" zoomScale="80" zoomScaleNormal="100" zoomScaleSheetLayoutView="80" workbookViewId="0">
      <selection activeCell="E342" sqref="E342"/>
    </sheetView>
  </sheetViews>
  <sheetFormatPr baseColWidth="10" defaultRowHeight="13.2"/>
  <cols>
    <col min="1" max="1" width="17.6640625" customWidth="1"/>
    <col min="2" max="2" width="23.6640625" customWidth="1"/>
    <col min="6" max="6" width="20.44140625" customWidth="1"/>
    <col min="7" max="7" width="15.33203125" bestFit="1" customWidth="1"/>
    <col min="8" max="8" width="19.44140625" customWidth="1"/>
    <col min="9" max="9" width="17.88671875" customWidth="1"/>
  </cols>
  <sheetData>
    <row r="1" spans="1:6" ht="28.95" customHeight="1">
      <c r="A1" s="551" t="str">
        <f>PRESUPUESTO!B12</f>
        <v>EXCAVACIÓN DE 0 A 2M de profundidad, manual en material heterogeneo (rocas hasta volumenes de 0.10) bajo cualquier grado de humedad, para estructuras( diferentes a pilas),para redes y obras complementarias.</v>
      </c>
      <c r="B1" s="551"/>
      <c r="C1" s="551"/>
      <c r="D1" s="551"/>
      <c r="E1" s="350" t="s">
        <v>347</v>
      </c>
      <c r="F1" s="350" t="s">
        <v>348</v>
      </c>
    </row>
    <row r="2" spans="1:6" ht="13.8">
      <c r="A2" s="551"/>
      <c r="B2" s="551"/>
      <c r="C2" s="551"/>
      <c r="D2" s="551"/>
      <c r="E2" s="399" t="str">
        <f>PRESUPUESTO!A12</f>
        <v>1.1</v>
      </c>
      <c r="F2" s="400" t="str">
        <f>PRESUPUESTO!C12</f>
        <v>M3</v>
      </c>
    </row>
    <row r="3" spans="1:6">
      <c r="A3" s="351" t="s">
        <v>349</v>
      </c>
      <c r="B3" s="352" t="s">
        <v>364</v>
      </c>
      <c r="C3" s="334" t="s">
        <v>348</v>
      </c>
      <c r="D3" s="334" t="s">
        <v>351</v>
      </c>
      <c r="E3" s="333" t="s">
        <v>352</v>
      </c>
      <c r="F3" s="333" t="s">
        <v>353</v>
      </c>
    </row>
    <row r="4" spans="1:6">
      <c r="A4" s="335" t="s">
        <v>395</v>
      </c>
      <c r="B4" s="336" t="s">
        <v>396</v>
      </c>
      <c r="C4" s="337" t="s">
        <v>367</v>
      </c>
      <c r="D4" s="337">
        <v>0.25</v>
      </c>
      <c r="E4" s="338">
        <v>107562.07265</v>
      </c>
      <c r="F4" s="338">
        <f>D4*E4</f>
        <v>26890.5181625</v>
      </c>
    </row>
    <row r="5" spans="1:6" ht="26.4">
      <c r="A5" s="335" t="s">
        <v>397</v>
      </c>
      <c r="B5" s="336" t="s">
        <v>398</v>
      </c>
      <c r="C5" s="337" t="s">
        <v>367</v>
      </c>
      <c r="D5" s="337">
        <v>0.125</v>
      </c>
      <c r="E5" s="338">
        <v>83381.45166666666</v>
      </c>
      <c r="F5" s="338">
        <f>D5*E5</f>
        <v>10422.681458333333</v>
      </c>
    </row>
    <row r="6" spans="1:6" ht="26.4">
      <c r="A6" s="331" t="s">
        <v>368</v>
      </c>
      <c r="B6" s="339"/>
      <c r="C6" s="340">
        <f>1/D5</f>
        <v>8</v>
      </c>
      <c r="D6" s="353">
        <f>1/D4</f>
        <v>4</v>
      </c>
      <c r="E6" s="341" t="s">
        <v>363</v>
      </c>
      <c r="F6" s="342">
        <f>F4+F5</f>
        <v>37313.199620833329</v>
      </c>
    </row>
    <row r="7" spans="1:6">
      <c r="A7" s="331" t="s">
        <v>349</v>
      </c>
      <c r="B7" s="332" t="s">
        <v>369</v>
      </c>
      <c r="C7" s="333" t="s">
        <v>348</v>
      </c>
      <c r="D7" s="333" t="s">
        <v>351</v>
      </c>
      <c r="E7" s="333" t="s">
        <v>352</v>
      </c>
      <c r="F7" s="333" t="s">
        <v>353</v>
      </c>
    </row>
    <row r="8" spans="1:6" ht="26.4">
      <c r="A8" s="335" t="s">
        <v>370</v>
      </c>
      <c r="B8" s="336" t="s">
        <v>26</v>
      </c>
      <c r="C8" s="337" t="s">
        <v>371</v>
      </c>
      <c r="D8" s="337">
        <v>0.05</v>
      </c>
      <c r="E8" s="338">
        <f>F6</f>
        <v>37313.199620833329</v>
      </c>
      <c r="F8" s="338">
        <f>D8*E8</f>
        <v>1865.6599810416665</v>
      </c>
    </row>
    <row r="9" spans="1:6" ht="26.4">
      <c r="A9" s="331" t="s">
        <v>372</v>
      </c>
      <c r="B9" s="339"/>
      <c r="C9" s="340"/>
      <c r="D9" s="339"/>
      <c r="E9" s="341" t="s">
        <v>363</v>
      </c>
      <c r="F9" s="342">
        <f>F8</f>
        <v>1865.6599810416665</v>
      </c>
    </row>
    <row r="10" spans="1:6">
      <c r="A10" s="331" t="s">
        <v>349</v>
      </c>
      <c r="B10" s="332" t="s">
        <v>383</v>
      </c>
      <c r="C10" s="333" t="s">
        <v>348</v>
      </c>
      <c r="D10" s="333" t="s">
        <v>351</v>
      </c>
      <c r="E10" s="333" t="s">
        <v>352</v>
      </c>
      <c r="F10" s="333" t="s">
        <v>353</v>
      </c>
    </row>
    <row r="11" spans="1:6" ht="79.2">
      <c r="A11" s="335" t="s">
        <v>403</v>
      </c>
      <c r="B11" s="336" t="s">
        <v>404</v>
      </c>
      <c r="C11" s="337" t="s">
        <v>380</v>
      </c>
      <c r="D11" s="337">
        <v>0.01</v>
      </c>
      <c r="E11" s="338">
        <v>42994.768054570217</v>
      </c>
      <c r="F11" s="338">
        <f>D11*E11</f>
        <v>429.94768054570216</v>
      </c>
    </row>
    <row r="12" spans="1:6">
      <c r="A12" s="331" t="s">
        <v>384</v>
      </c>
      <c r="B12" s="339"/>
      <c r="C12" s="340"/>
      <c r="D12" s="339"/>
      <c r="E12" s="341" t="s">
        <v>363</v>
      </c>
      <c r="F12" s="342">
        <f>F11</f>
        <v>429.94768054570216</v>
      </c>
    </row>
    <row r="13" spans="1:6" ht="13.8">
      <c r="A13" s="533" t="s">
        <v>378</v>
      </c>
      <c r="B13" s="533"/>
      <c r="C13" s="533"/>
      <c r="D13" s="533"/>
      <c r="E13" s="535">
        <f>SUM(F6+F9+F12)</f>
        <v>39608.807282420697</v>
      </c>
      <c r="F13" s="535"/>
    </row>
    <row r="15" spans="1:6" ht="46.2" customHeight="1">
      <c r="A15" s="551" t="str">
        <f>PRESUPUESTO!B13</f>
        <v>BOTADA DE MATERIAL, incluye cargue en volqueta y disposición final en escombrera o sitio donde indique la interventoría.</v>
      </c>
      <c r="B15" s="551"/>
      <c r="C15" s="551"/>
      <c r="D15" s="551"/>
      <c r="E15" s="350" t="s">
        <v>347</v>
      </c>
      <c r="F15" s="350" t="s">
        <v>348</v>
      </c>
    </row>
    <row r="16" spans="1:6" ht="13.8">
      <c r="A16" s="551"/>
      <c r="B16" s="551"/>
      <c r="C16" s="551"/>
      <c r="D16" s="551"/>
      <c r="E16" s="399" t="str">
        <f>PRESUPUESTO!A13</f>
        <v>1.2</v>
      </c>
      <c r="F16" s="400" t="str">
        <f>PRESUPUESTO!C13</f>
        <v>M3</v>
      </c>
    </row>
    <row r="17" spans="1:6">
      <c r="A17" s="351" t="s">
        <v>349</v>
      </c>
      <c r="B17" s="352" t="s">
        <v>364</v>
      </c>
      <c r="C17" s="334" t="s">
        <v>348</v>
      </c>
      <c r="D17" s="334" t="s">
        <v>351</v>
      </c>
      <c r="E17" s="333" t="s">
        <v>352</v>
      </c>
      <c r="F17" s="333" t="s">
        <v>353</v>
      </c>
    </row>
    <row r="18" spans="1:6">
      <c r="A18" s="335" t="s">
        <v>395</v>
      </c>
      <c r="B18" s="336" t="s">
        <v>396</v>
      </c>
      <c r="C18" s="337" t="s">
        <v>367</v>
      </c>
      <c r="D18" s="337">
        <v>0.25</v>
      </c>
      <c r="E18" s="338">
        <v>83081</v>
      </c>
      <c r="F18" s="338">
        <f>D18*E18</f>
        <v>20770.25</v>
      </c>
    </row>
    <row r="19" spans="1:6" ht="26.4">
      <c r="A19" s="335" t="s">
        <v>397</v>
      </c>
      <c r="B19" s="336" t="s">
        <v>398</v>
      </c>
      <c r="C19" s="337" t="s">
        <v>367</v>
      </c>
      <c r="D19" s="337">
        <v>0.125</v>
      </c>
      <c r="E19" s="338">
        <f>+E18</f>
        <v>83081</v>
      </c>
      <c r="F19" s="338">
        <f>D19*E19</f>
        <v>10385.125</v>
      </c>
    </row>
    <row r="20" spans="1:6" ht="26.4">
      <c r="A20" s="331" t="s">
        <v>368</v>
      </c>
      <c r="B20" s="339"/>
      <c r="C20" s="340">
        <f>1/D19</f>
        <v>8</v>
      </c>
      <c r="D20" s="353">
        <f>1/D18</f>
        <v>4</v>
      </c>
      <c r="E20" s="341" t="s">
        <v>363</v>
      </c>
      <c r="F20" s="342">
        <f>F18+F19</f>
        <v>31155.375</v>
      </c>
    </row>
    <row r="21" spans="1:6">
      <c r="A21" s="331" t="s">
        <v>349</v>
      </c>
      <c r="B21" s="332" t="s">
        <v>369</v>
      </c>
      <c r="C21" s="333" t="s">
        <v>348</v>
      </c>
      <c r="D21" s="333" t="s">
        <v>351</v>
      </c>
      <c r="E21" s="333" t="s">
        <v>352</v>
      </c>
      <c r="F21" s="333" t="s">
        <v>353</v>
      </c>
    </row>
    <row r="22" spans="1:6" ht="26.4">
      <c r="A22" s="335" t="s">
        <v>370</v>
      </c>
      <c r="B22" s="336" t="s">
        <v>26</v>
      </c>
      <c r="C22" s="337" t="s">
        <v>371</v>
      </c>
      <c r="D22" s="337">
        <v>0.05</v>
      </c>
      <c r="E22" s="338">
        <f>F20</f>
        <v>31155.375</v>
      </c>
      <c r="F22" s="338">
        <f>D22*E22</f>
        <v>1557.7687500000002</v>
      </c>
    </row>
    <row r="23" spans="1:6" ht="26.4">
      <c r="A23" s="331" t="s">
        <v>372</v>
      </c>
      <c r="B23" s="339"/>
      <c r="C23" s="340"/>
      <c r="D23" s="339"/>
      <c r="E23" s="341" t="s">
        <v>363</v>
      </c>
      <c r="F23" s="342">
        <f>F22</f>
        <v>1557.7687500000002</v>
      </c>
    </row>
    <row r="24" spans="1:6">
      <c r="A24" s="331" t="s">
        <v>349</v>
      </c>
      <c r="B24" s="332" t="s">
        <v>383</v>
      </c>
      <c r="C24" s="333" t="s">
        <v>348</v>
      </c>
      <c r="D24" s="333" t="s">
        <v>351</v>
      </c>
      <c r="E24" s="333" t="s">
        <v>352</v>
      </c>
      <c r="F24" s="333" t="s">
        <v>353</v>
      </c>
    </row>
    <row r="25" spans="1:6">
      <c r="A25" s="335"/>
      <c r="B25" s="336"/>
      <c r="C25" s="337"/>
      <c r="D25" s="337"/>
      <c r="E25" s="338"/>
      <c r="F25" s="338"/>
    </row>
    <row r="26" spans="1:6">
      <c r="A26" s="331" t="s">
        <v>384</v>
      </c>
      <c r="B26" s="339"/>
      <c r="C26" s="340"/>
      <c r="D26" s="339"/>
      <c r="E26" s="341" t="s">
        <v>363</v>
      </c>
      <c r="F26" s="342">
        <f>F25</f>
        <v>0</v>
      </c>
    </row>
    <row r="27" spans="1:6">
      <c r="A27" s="331" t="s">
        <v>349</v>
      </c>
      <c r="B27" s="332" t="s">
        <v>375</v>
      </c>
      <c r="C27" s="333" t="s">
        <v>348</v>
      </c>
      <c r="D27" s="333" t="s">
        <v>351</v>
      </c>
      <c r="E27" s="333" t="s">
        <v>352</v>
      </c>
      <c r="F27" s="333" t="s">
        <v>353</v>
      </c>
    </row>
    <row r="28" spans="1:6" ht="39.6">
      <c r="A28" s="335" t="s">
        <v>399</v>
      </c>
      <c r="B28" s="336" t="s">
        <v>400</v>
      </c>
      <c r="C28" s="337" t="s">
        <v>48</v>
      </c>
      <c r="D28" s="337">
        <v>1.8</v>
      </c>
      <c r="E28" s="338">
        <v>15175</v>
      </c>
      <c r="F28" s="338">
        <f>D28*E28</f>
        <v>27315</v>
      </c>
    </row>
    <row r="29" spans="1:6">
      <c r="A29" s="331" t="s">
        <v>374</v>
      </c>
      <c r="B29" s="339"/>
      <c r="C29" s="340"/>
      <c r="D29" s="339"/>
      <c r="E29" s="341" t="s">
        <v>363</v>
      </c>
      <c r="F29" s="342">
        <f>F28</f>
        <v>27315</v>
      </c>
    </row>
    <row r="30" spans="1:6" ht="13.8">
      <c r="A30" s="533" t="s">
        <v>378</v>
      </c>
      <c r="B30" s="533"/>
      <c r="C30" s="533"/>
      <c r="D30" s="533"/>
      <c r="E30" s="535">
        <f>SUM(F20+F23+F26+F29)</f>
        <v>60028.143750000003</v>
      </c>
      <c r="F30" s="535"/>
    </row>
    <row r="32" spans="1:6" ht="13.2" customHeight="1">
      <c r="A32" s="536" t="str">
        <f>PRESUPUESTO!B15</f>
        <v>Suministro e instalación de PLACA DE CONTRAPISO LLANEADA   en concreto resistencia f'c = 21 MPa  (3.000 psi.) No incluye refuerzo.</v>
      </c>
      <c r="B32" s="536"/>
      <c r="C32" s="536"/>
      <c r="D32" s="536"/>
      <c r="E32" s="328" t="s">
        <v>347</v>
      </c>
      <c r="F32" s="333" t="s">
        <v>348</v>
      </c>
    </row>
    <row r="33" spans="1:6" ht="13.8">
      <c r="A33" s="536"/>
      <c r="B33" s="536"/>
      <c r="C33" s="536"/>
      <c r="D33" s="536"/>
      <c r="E33" s="344" t="str">
        <f>PRESUPUESTO!A15</f>
        <v>2.1</v>
      </c>
      <c r="F33" s="345" t="str">
        <f>PRESUPUESTO!C15</f>
        <v>M2</v>
      </c>
    </row>
    <row r="34" spans="1:6">
      <c r="A34" s="331" t="s">
        <v>349</v>
      </c>
      <c r="B34" s="332" t="s">
        <v>350</v>
      </c>
      <c r="C34" s="333" t="s">
        <v>348</v>
      </c>
      <c r="D34" s="333" t="s">
        <v>351</v>
      </c>
      <c r="E34" s="333" t="s">
        <v>352</v>
      </c>
      <c r="F34" s="333" t="s">
        <v>353</v>
      </c>
    </row>
    <row r="35" spans="1:6" ht="26.4">
      <c r="A35" s="335" t="s">
        <v>407</v>
      </c>
      <c r="B35" s="336" t="s">
        <v>414</v>
      </c>
      <c r="C35" s="337" t="s">
        <v>18</v>
      </c>
      <c r="D35" s="406">
        <v>0.32</v>
      </c>
      <c r="E35" s="338">
        <v>35000</v>
      </c>
      <c r="F35" s="338">
        <f>D35*E35</f>
        <v>11200</v>
      </c>
    </row>
    <row r="36" spans="1:6" ht="39.6">
      <c r="A36" s="335" t="s">
        <v>408</v>
      </c>
      <c r="B36" s="336" t="s">
        <v>409</v>
      </c>
      <c r="C36" s="337" t="s">
        <v>48</v>
      </c>
      <c r="D36" s="406">
        <v>0.157</v>
      </c>
      <c r="E36" s="338">
        <v>862254</v>
      </c>
      <c r="F36" s="338">
        <f>D36*E36</f>
        <v>135373.878</v>
      </c>
    </row>
    <row r="37" spans="1:6">
      <c r="A37" s="331" t="s">
        <v>362</v>
      </c>
      <c r="B37" s="339"/>
      <c r="C37" s="340"/>
      <c r="D37" s="339"/>
      <c r="E37" s="341" t="s">
        <v>363</v>
      </c>
      <c r="F37" s="342">
        <f>SUM(F35:F36)</f>
        <v>146573.878</v>
      </c>
    </row>
    <row r="38" spans="1:6">
      <c r="A38" s="331" t="s">
        <v>349</v>
      </c>
      <c r="B38" s="332" t="s">
        <v>364</v>
      </c>
      <c r="C38" s="333" t="s">
        <v>348</v>
      </c>
      <c r="D38" s="333" t="s">
        <v>351</v>
      </c>
      <c r="E38" s="333" t="s">
        <v>352</v>
      </c>
      <c r="F38" s="333" t="s">
        <v>353</v>
      </c>
    </row>
    <row r="39" spans="1:6" ht="26.4">
      <c r="A39" s="335" t="s">
        <v>410</v>
      </c>
      <c r="B39" s="336" t="s">
        <v>411</v>
      </c>
      <c r="C39" s="337" t="s">
        <v>367</v>
      </c>
      <c r="D39" s="337">
        <v>0.1</v>
      </c>
      <c r="E39" s="338">
        <v>327689</v>
      </c>
      <c r="F39" s="338">
        <f>D39*E39</f>
        <v>32768.9</v>
      </c>
    </row>
    <row r="40" spans="1:6" ht="26.4">
      <c r="A40" s="331" t="s">
        <v>368</v>
      </c>
      <c r="B40" s="339"/>
      <c r="C40" s="340"/>
      <c r="D40" s="339"/>
      <c r="E40" s="341" t="s">
        <v>363</v>
      </c>
      <c r="F40" s="342">
        <f>F39</f>
        <v>32768.9</v>
      </c>
    </row>
    <row r="41" spans="1:6">
      <c r="A41" s="331" t="s">
        <v>349</v>
      </c>
      <c r="B41" s="332" t="s">
        <v>369</v>
      </c>
      <c r="C41" s="333" t="s">
        <v>348</v>
      </c>
      <c r="D41" s="333" t="s">
        <v>351</v>
      </c>
      <c r="E41" s="333" t="s">
        <v>352</v>
      </c>
      <c r="F41" s="333" t="s">
        <v>353</v>
      </c>
    </row>
    <row r="42" spans="1:6" ht="26.4">
      <c r="A42" s="335" t="s">
        <v>370</v>
      </c>
      <c r="B42" s="336" t="s">
        <v>26</v>
      </c>
      <c r="C42" s="337" t="s">
        <v>371</v>
      </c>
      <c r="D42" s="337">
        <v>0.05</v>
      </c>
      <c r="E42" s="338">
        <f>F40</f>
        <v>32768.9</v>
      </c>
      <c r="F42" s="338">
        <f>D42*E42</f>
        <v>1638.4450000000002</v>
      </c>
    </row>
    <row r="43" spans="1:6" ht="26.4">
      <c r="A43" s="331" t="s">
        <v>372</v>
      </c>
      <c r="B43" s="339"/>
      <c r="C43" s="340"/>
      <c r="D43" s="339"/>
      <c r="E43" s="341" t="s">
        <v>363</v>
      </c>
      <c r="F43" s="342">
        <f>F42</f>
        <v>1638.4450000000002</v>
      </c>
    </row>
    <row r="44" spans="1:6">
      <c r="A44" s="331" t="s">
        <v>349</v>
      </c>
      <c r="B44" s="332" t="s">
        <v>383</v>
      </c>
      <c r="C44" s="333" t="s">
        <v>348</v>
      </c>
      <c r="D44" s="333" t="s">
        <v>351</v>
      </c>
      <c r="E44" s="333" t="s">
        <v>352</v>
      </c>
      <c r="F44" s="333" t="s">
        <v>353</v>
      </c>
    </row>
    <row r="45" spans="1:6" ht="39.6">
      <c r="A45" s="335" t="s">
        <v>412</v>
      </c>
      <c r="B45" s="336" t="s">
        <v>413</v>
      </c>
      <c r="C45" s="337" t="s">
        <v>380</v>
      </c>
      <c r="D45" s="337">
        <v>0.02</v>
      </c>
      <c r="E45" s="338">
        <v>138218.98980402303</v>
      </c>
      <c r="F45" s="338">
        <f>D45*E45</f>
        <v>2764.3797960804609</v>
      </c>
    </row>
    <row r="46" spans="1:6">
      <c r="A46" s="331" t="s">
        <v>384</v>
      </c>
      <c r="B46" s="339"/>
      <c r="C46" s="340"/>
      <c r="D46" s="339"/>
      <c r="E46" s="341" t="s">
        <v>363</v>
      </c>
      <c r="F46" s="342">
        <f>F45</f>
        <v>2764.3797960804609</v>
      </c>
    </row>
    <row r="47" spans="1:6" ht="13.95" customHeight="1">
      <c r="A47" s="331" t="s">
        <v>349</v>
      </c>
      <c r="B47" s="332" t="s">
        <v>375</v>
      </c>
      <c r="C47" s="333" t="s">
        <v>348</v>
      </c>
      <c r="D47" s="333" t="s">
        <v>351</v>
      </c>
      <c r="E47" s="333" t="s">
        <v>352</v>
      </c>
      <c r="F47" s="333" t="s">
        <v>353</v>
      </c>
    </row>
    <row r="48" spans="1:6" ht="26.4">
      <c r="A48" s="335" t="s">
        <v>381</v>
      </c>
      <c r="B48" s="336" t="s">
        <v>382</v>
      </c>
      <c r="C48" s="337" t="s">
        <v>14</v>
      </c>
      <c r="D48" s="349">
        <v>0.15</v>
      </c>
      <c r="E48" s="338">
        <v>25000</v>
      </c>
      <c r="F48" s="338">
        <f>D48*E48</f>
        <v>3750</v>
      </c>
    </row>
    <row r="49" spans="1:6" ht="13.2" customHeight="1">
      <c r="A49" s="389" t="s">
        <v>374</v>
      </c>
      <c r="B49" s="390"/>
      <c r="C49" s="391"/>
      <c r="D49" s="390"/>
      <c r="E49" s="392" t="s">
        <v>363</v>
      </c>
      <c r="F49" s="409">
        <f>F48</f>
        <v>3750</v>
      </c>
    </row>
    <row r="50" spans="1:6" ht="27.6" customHeight="1">
      <c r="A50" s="549" t="s">
        <v>378</v>
      </c>
      <c r="B50" s="549"/>
      <c r="C50" s="549"/>
      <c r="D50" s="549"/>
      <c r="E50" s="550">
        <f>F37+F40+F43+F46+F49</f>
        <v>187495.60279608046</v>
      </c>
      <c r="F50" s="550"/>
    </row>
    <row r="51" spans="1:6" s="407" customFormat="1" ht="27.6" customHeight="1">
      <c r="A51" s="408"/>
      <c r="B51" s="408"/>
      <c r="C51" s="408"/>
      <c r="D51" s="408"/>
      <c r="E51" s="398"/>
      <c r="F51" s="398"/>
    </row>
    <row r="52" spans="1:6">
      <c r="A52" s="536" t="str">
        <f>PRESUPUESTO!B16</f>
        <v>Suministro e instalación de MALLA ELECTROSOLDADA U-84</v>
      </c>
      <c r="B52" s="536"/>
      <c r="C52" s="536"/>
      <c r="D52" s="536"/>
      <c r="E52" s="328" t="s">
        <v>347</v>
      </c>
      <c r="F52" s="333" t="s">
        <v>348</v>
      </c>
    </row>
    <row r="53" spans="1:6" ht="13.8">
      <c r="A53" s="536"/>
      <c r="B53" s="536"/>
      <c r="C53" s="536"/>
      <c r="D53" s="536"/>
      <c r="E53" s="344" t="str">
        <f>PRESUPUESTO!A16</f>
        <v>2.2</v>
      </c>
      <c r="F53" s="345" t="str">
        <f>PRESUPUESTO!C16</f>
        <v>M2</v>
      </c>
    </row>
    <row r="54" spans="1:6">
      <c r="A54" s="331" t="s">
        <v>349</v>
      </c>
      <c r="B54" s="332" t="s">
        <v>350</v>
      </c>
      <c r="C54" s="333" t="s">
        <v>348</v>
      </c>
      <c r="D54" s="333" t="s">
        <v>351</v>
      </c>
      <c r="E54" s="333" t="s">
        <v>352</v>
      </c>
      <c r="F54" s="333" t="s">
        <v>353</v>
      </c>
    </row>
    <row r="55" spans="1:6">
      <c r="A55" s="335"/>
      <c r="B55" s="335" t="s">
        <v>417</v>
      </c>
      <c r="C55" s="337" t="s">
        <v>50</v>
      </c>
      <c r="D55" s="337">
        <v>1</v>
      </c>
      <c r="E55" s="338">
        <v>5309</v>
      </c>
      <c r="F55" s="338">
        <f>D55*E55</f>
        <v>5309</v>
      </c>
    </row>
    <row r="56" spans="1:6">
      <c r="A56" s="335"/>
      <c r="B56" s="335" t="s">
        <v>418</v>
      </c>
      <c r="C56" s="337" t="s">
        <v>17</v>
      </c>
      <c r="D56" s="337">
        <v>0.2</v>
      </c>
      <c r="E56" s="338">
        <v>2683</v>
      </c>
      <c r="F56" s="338">
        <f>D56*E56</f>
        <v>536.6</v>
      </c>
    </row>
    <row r="57" spans="1:6">
      <c r="A57" s="331" t="s">
        <v>362</v>
      </c>
      <c r="B57" s="339"/>
      <c r="C57" s="340"/>
      <c r="D57" s="339"/>
      <c r="E57" s="341" t="s">
        <v>363</v>
      </c>
      <c r="F57" s="342">
        <f>F55+F56</f>
        <v>5845.6</v>
      </c>
    </row>
    <row r="58" spans="1:6">
      <c r="A58" s="331" t="s">
        <v>349</v>
      </c>
      <c r="B58" s="332" t="s">
        <v>364</v>
      </c>
      <c r="C58" s="333" t="s">
        <v>348</v>
      </c>
      <c r="D58" s="333" t="s">
        <v>351</v>
      </c>
      <c r="E58" s="333" t="s">
        <v>352</v>
      </c>
      <c r="F58" s="333" t="s">
        <v>353</v>
      </c>
    </row>
    <row r="59" spans="1:6">
      <c r="A59" s="335" t="s">
        <v>419</v>
      </c>
      <c r="B59" s="336" t="s">
        <v>420</v>
      </c>
      <c r="C59" s="337" t="s">
        <v>367</v>
      </c>
      <c r="D59" s="346">
        <v>7.0000000000000001E-3</v>
      </c>
      <c r="E59" s="338">
        <v>411071</v>
      </c>
      <c r="F59" s="338">
        <f>D59*E59</f>
        <v>2877.4969999999998</v>
      </c>
    </row>
    <row r="60" spans="1:6" ht="26.4">
      <c r="A60" s="331" t="s">
        <v>368</v>
      </c>
      <c r="B60" s="339"/>
      <c r="C60" s="340"/>
      <c r="D60" s="339"/>
      <c r="E60" s="341" t="s">
        <v>363</v>
      </c>
      <c r="F60" s="342">
        <f>F59</f>
        <v>2877.4969999999998</v>
      </c>
    </row>
    <row r="61" spans="1:6">
      <c r="A61" s="331" t="s">
        <v>349</v>
      </c>
      <c r="B61" s="332" t="s">
        <v>369</v>
      </c>
      <c r="C61" s="333" t="s">
        <v>348</v>
      </c>
      <c r="D61" s="333" t="s">
        <v>351</v>
      </c>
      <c r="E61" s="333" t="s">
        <v>352</v>
      </c>
      <c r="F61" s="333" t="s">
        <v>353</v>
      </c>
    </row>
    <row r="62" spans="1:6" ht="26.4">
      <c r="A62" s="335" t="s">
        <v>370</v>
      </c>
      <c r="B62" s="336" t="s">
        <v>26</v>
      </c>
      <c r="C62" s="337" t="s">
        <v>371</v>
      </c>
      <c r="D62" s="337">
        <v>0.05</v>
      </c>
      <c r="E62" s="338">
        <f>F60</f>
        <v>2877.4969999999998</v>
      </c>
      <c r="F62" s="338">
        <f>D62*E62</f>
        <v>143.87485000000001</v>
      </c>
    </row>
    <row r="63" spans="1:6" ht="26.4">
      <c r="A63" s="331" t="s">
        <v>372</v>
      </c>
      <c r="B63" s="339"/>
      <c r="C63" s="340"/>
      <c r="D63" s="339"/>
      <c r="E63" s="341" t="s">
        <v>363</v>
      </c>
      <c r="F63" s="342">
        <f>F62</f>
        <v>143.87485000000001</v>
      </c>
    </row>
    <row r="64" spans="1:6">
      <c r="A64" s="331" t="s">
        <v>349</v>
      </c>
      <c r="B64" s="332" t="s">
        <v>375</v>
      </c>
      <c r="C64" s="333" t="s">
        <v>348</v>
      </c>
      <c r="D64" s="333" t="s">
        <v>351</v>
      </c>
      <c r="E64" s="333" t="s">
        <v>352</v>
      </c>
      <c r="F64" s="333" t="s">
        <v>353</v>
      </c>
    </row>
    <row r="65" spans="1:6" ht="26.4">
      <c r="A65" s="335" t="s">
        <v>381</v>
      </c>
      <c r="B65" s="336" t="s">
        <v>382</v>
      </c>
      <c r="C65" s="337" t="s">
        <v>48</v>
      </c>
      <c r="D65" s="410">
        <v>0.1</v>
      </c>
      <c r="E65" s="411">
        <f>+F60</f>
        <v>2877.4969999999998</v>
      </c>
      <c r="F65" s="412">
        <f>D65*E65</f>
        <v>287.74970000000002</v>
      </c>
    </row>
    <row r="66" spans="1:6">
      <c r="A66" s="331" t="s">
        <v>374</v>
      </c>
      <c r="B66" s="339"/>
      <c r="C66" s="340"/>
      <c r="D66" s="413"/>
      <c r="E66" s="414" t="s">
        <v>363</v>
      </c>
      <c r="F66" s="415">
        <f>F65</f>
        <v>287.74970000000002</v>
      </c>
    </row>
    <row r="67" spans="1:6" ht="13.8">
      <c r="A67" s="533" t="s">
        <v>378</v>
      </c>
      <c r="B67" s="533"/>
      <c r="C67" s="533"/>
      <c r="D67" s="533"/>
      <c r="E67" s="537">
        <f>F57+F60+F63+F66</f>
        <v>9154.7215500000002</v>
      </c>
      <c r="F67" s="538"/>
    </row>
    <row r="68" spans="1:6" s="407" customFormat="1" ht="13.8">
      <c r="A68" s="408"/>
      <c r="B68" s="420"/>
      <c r="C68" s="421"/>
      <c r="D68" s="421"/>
      <c r="E68" s="398"/>
      <c r="F68" s="422"/>
    </row>
    <row r="69" spans="1:6" s="416" customFormat="1" ht="12.75" customHeight="1">
      <c r="A69" s="529" t="str">
        <f>PRESUPUESTO!B17</f>
        <v>Suministro e instalación de concreto de VIGAS AEREA resistencia f'c = 21 MPa  (3.000 psi.).  Incluye el suministro del concreto, mano de obra, vibrado, protección y curado, para estructuras de acuerdo con las diferentes dimensiones establecidas en los planos y diseños. incluye acarreo interno. No incluye refuerzo.</v>
      </c>
      <c r="B69" s="530"/>
      <c r="C69" s="530"/>
      <c r="D69" s="530"/>
      <c r="E69" s="417" t="s">
        <v>347</v>
      </c>
      <c r="F69" s="333" t="s">
        <v>348</v>
      </c>
    </row>
    <row r="70" spans="1:6" s="416" customFormat="1" ht="54" customHeight="1">
      <c r="A70" s="531"/>
      <c r="B70" s="532"/>
      <c r="C70" s="532"/>
      <c r="D70" s="532"/>
      <c r="E70" s="418" t="str">
        <f>PRESUPUESTO!A17</f>
        <v>2.3</v>
      </c>
      <c r="F70" s="345" t="str">
        <f>PRESUPUESTO!C17</f>
        <v>M3</v>
      </c>
    </row>
    <row r="71" spans="1:6" s="416" customFormat="1">
      <c r="A71" s="331" t="s">
        <v>349</v>
      </c>
      <c r="B71" s="332" t="s">
        <v>350</v>
      </c>
      <c r="C71" s="333" t="s">
        <v>348</v>
      </c>
      <c r="D71" s="333" t="s">
        <v>351</v>
      </c>
      <c r="E71" s="334" t="s">
        <v>352</v>
      </c>
      <c r="F71" s="333" t="s">
        <v>353</v>
      </c>
    </row>
    <row r="72" spans="1:6" s="416" customFormat="1" ht="39.6">
      <c r="A72" s="335" t="s">
        <v>430</v>
      </c>
      <c r="B72" s="336" t="s">
        <v>409</v>
      </c>
      <c r="C72" s="337" t="s">
        <v>48</v>
      </c>
      <c r="D72" s="337">
        <v>1.05</v>
      </c>
      <c r="E72" s="338">
        <v>862254.49938059342</v>
      </c>
      <c r="F72" s="338">
        <f t="shared" ref="F72:F77" si="0">D72*E72</f>
        <v>905367.22434962308</v>
      </c>
    </row>
    <row r="73" spans="1:6" s="416" customFormat="1" ht="26.4">
      <c r="A73" s="335" t="s">
        <v>431</v>
      </c>
      <c r="B73" s="336" t="s">
        <v>432</v>
      </c>
      <c r="C73" s="337" t="s">
        <v>17</v>
      </c>
      <c r="D73" s="337">
        <v>0.5</v>
      </c>
      <c r="E73" s="338">
        <v>19080</v>
      </c>
      <c r="F73" s="338">
        <f t="shared" si="0"/>
        <v>9540</v>
      </c>
    </row>
    <row r="74" spans="1:6" s="416" customFormat="1" ht="26.4">
      <c r="A74" s="335" t="s">
        <v>433</v>
      </c>
      <c r="B74" s="336" t="s">
        <v>434</v>
      </c>
      <c r="C74" s="337" t="s">
        <v>216</v>
      </c>
      <c r="D74" s="337">
        <v>0.3</v>
      </c>
      <c r="E74" s="338">
        <v>5100</v>
      </c>
      <c r="F74" s="338">
        <f t="shared" si="0"/>
        <v>1530</v>
      </c>
    </row>
    <row r="75" spans="1:6" s="416" customFormat="1" ht="26.4">
      <c r="A75" s="335" t="s">
        <v>435</v>
      </c>
      <c r="B75" s="419" t="s">
        <v>436</v>
      </c>
      <c r="C75" s="337" t="s">
        <v>18</v>
      </c>
      <c r="D75" s="337">
        <v>0.53</v>
      </c>
      <c r="E75" s="338">
        <v>22900</v>
      </c>
      <c r="F75" s="338">
        <f t="shared" si="0"/>
        <v>12137</v>
      </c>
    </row>
    <row r="76" spans="1:6" s="416" customFormat="1" ht="26.4">
      <c r="A76" s="335" t="s">
        <v>437</v>
      </c>
      <c r="B76" s="336" t="s">
        <v>438</v>
      </c>
      <c r="C76" s="337" t="s">
        <v>18</v>
      </c>
      <c r="D76" s="337">
        <v>3.7503000000000002E-2</v>
      </c>
      <c r="E76" s="338">
        <v>289000</v>
      </c>
      <c r="F76" s="338">
        <f t="shared" si="0"/>
        <v>10838.367</v>
      </c>
    </row>
    <row r="77" spans="1:6" s="416" customFormat="1" ht="26.4">
      <c r="A77" s="335" t="s">
        <v>439</v>
      </c>
      <c r="B77" s="336" t="s">
        <v>440</v>
      </c>
      <c r="C77" s="337" t="s">
        <v>18</v>
      </c>
      <c r="D77" s="337">
        <v>0.22</v>
      </c>
      <c r="E77" s="338">
        <v>27500</v>
      </c>
      <c r="F77" s="338">
        <f t="shared" si="0"/>
        <v>6050</v>
      </c>
    </row>
    <row r="78" spans="1:6" s="416" customFormat="1">
      <c r="A78" s="331" t="s">
        <v>362</v>
      </c>
      <c r="B78" s="339"/>
      <c r="C78" s="340"/>
      <c r="D78" s="339"/>
      <c r="E78" s="341" t="s">
        <v>363</v>
      </c>
      <c r="F78" s="342">
        <f>F72+F73+F74+F75+F76+F77</f>
        <v>945462.59134962305</v>
      </c>
    </row>
    <row r="79" spans="1:6" s="416" customFormat="1">
      <c r="A79" s="331" t="s">
        <v>349</v>
      </c>
      <c r="B79" s="332" t="s">
        <v>364</v>
      </c>
      <c r="C79" s="333" t="s">
        <v>348</v>
      </c>
      <c r="D79" s="333" t="s">
        <v>351</v>
      </c>
      <c r="E79" s="333" t="s">
        <v>352</v>
      </c>
      <c r="F79" s="333" t="s">
        <v>353</v>
      </c>
    </row>
    <row r="80" spans="1:6" s="416" customFormat="1" ht="26.4">
      <c r="A80" s="335" t="s">
        <v>386</v>
      </c>
      <c r="B80" s="336" t="s">
        <v>387</v>
      </c>
      <c r="C80" s="337" t="s">
        <v>367</v>
      </c>
      <c r="D80" s="337">
        <v>6.4189999999999997E-2</v>
      </c>
      <c r="E80" s="338">
        <v>269796.65945000004</v>
      </c>
      <c r="F80" s="338">
        <f>D80*E80</f>
        <v>17318.2475700955</v>
      </c>
    </row>
    <row r="81" spans="1:6" s="416" customFormat="1" ht="26.4">
      <c r="A81" s="331" t="s">
        <v>368</v>
      </c>
      <c r="B81" s="339"/>
      <c r="C81" s="340"/>
      <c r="D81" s="353"/>
      <c r="E81" s="341" t="s">
        <v>363</v>
      </c>
      <c r="F81" s="342">
        <f>F80</f>
        <v>17318.2475700955</v>
      </c>
    </row>
    <row r="82" spans="1:6" s="416" customFormat="1">
      <c r="A82" s="331" t="s">
        <v>349</v>
      </c>
      <c r="B82" s="332" t="s">
        <v>369</v>
      </c>
      <c r="C82" s="333" t="s">
        <v>348</v>
      </c>
      <c r="D82" s="333" t="s">
        <v>351</v>
      </c>
      <c r="E82" s="333" t="s">
        <v>352</v>
      </c>
      <c r="F82" s="333" t="s">
        <v>353</v>
      </c>
    </row>
    <row r="83" spans="1:6" s="416" customFormat="1" ht="15" customHeight="1">
      <c r="A83" s="335" t="s">
        <v>370</v>
      </c>
      <c r="B83" s="336" t="s">
        <v>26</v>
      </c>
      <c r="C83" s="337" t="s">
        <v>371</v>
      </c>
      <c r="D83" s="337">
        <v>0.05</v>
      </c>
      <c r="E83" s="338">
        <f>F81</f>
        <v>17318.2475700955</v>
      </c>
      <c r="F83" s="338">
        <f>D83*E83</f>
        <v>865.91237850477501</v>
      </c>
    </row>
    <row r="84" spans="1:6" s="416" customFormat="1" ht="26.4">
      <c r="A84" s="331" t="s">
        <v>372</v>
      </c>
      <c r="B84" s="339"/>
      <c r="C84" s="340"/>
      <c r="D84" s="339"/>
      <c r="E84" s="341" t="s">
        <v>363</v>
      </c>
      <c r="F84" s="342">
        <f>F83</f>
        <v>865.91237850477501</v>
      </c>
    </row>
    <row r="85" spans="1:6" s="416" customFormat="1" ht="12.75" customHeight="1">
      <c r="A85" s="331" t="s">
        <v>349</v>
      </c>
      <c r="B85" s="332" t="s">
        <v>383</v>
      </c>
      <c r="C85" s="333" t="s">
        <v>348</v>
      </c>
      <c r="D85" s="333" t="s">
        <v>351</v>
      </c>
      <c r="E85" s="333" t="s">
        <v>352</v>
      </c>
      <c r="F85" s="333" t="s">
        <v>353</v>
      </c>
    </row>
    <row r="86" spans="1:6" s="416" customFormat="1" ht="39.6">
      <c r="A86" s="335" t="s">
        <v>412</v>
      </c>
      <c r="B86" s="336" t="s">
        <v>413</v>
      </c>
      <c r="C86" s="337" t="s">
        <v>380</v>
      </c>
      <c r="D86" s="337">
        <v>0.08</v>
      </c>
      <c r="E86" s="338">
        <v>74175.575242100182</v>
      </c>
      <c r="F86" s="338">
        <f>D86*E86</f>
        <v>5934.0460193680146</v>
      </c>
    </row>
    <row r="87" spans="1:6" s="416" customFormat="1">
      <c r="A87" s="331" t="s">
        <v>384</v>
      </c>
      <c r="B87" s="339"/>
      <c r="C87" s="340"/>
      <c r="D87" s="339"/>
      <c r="E87" s="341" t="s">
        <v>363</v>
      </c>
      <c r="F87" s="342">
        <f>F86</f>
        <v>5934.0460193680146</v>
      </c>
    </row>
    <row r="88" spans="1:6" s="416" customFormat="1">
      <c r="A88" s="331" t="s">
        <v>349</v>
      </c>
      <c r="B88" s="332" t="s">
        <v>375</v>
      </c>
      <c r="C88" s="333" t="s">
        <v>348</v>
      </c>
      <c r="D88" s="333" t="s">
        <v>351</v>
      </c>
      <c r="E88" s="333" t="s">
        <v>352</v>
      </c>
      <c r="F88" s="333" t="s">
        <v>353</v>
      </c>
    </row>
    <row r="89" spans="1:6" s="416" customFormat="1" ht="26.4">
      <c r="A89" s="335" t="s">
        <v>381</v>
      </c>
      <c r="B89" s="336" t="s">
        <v>382</v>
      </c>
      <c r="C89" s="337" t="s">
        <v>48</v>
      </c>
      <c r="D89" s="337">
        <v>1.05</v>
      </c>
      <c r="E89" s="338">
        <v>22326</v>
      </c>
      <c r="F89" s="338">
        <f>D89*E89</f>
        <v>23442.3</v>
      </c>
    </row>
    <row r="90" spans="1:6" s="416" customFormat="1">
      <c r="A90" s="331" t="s">
        <v>374</v>
      </c>
      <c r="B90" s="339"/>
      <c r="C90" s="340"/>
      <c r="D90" s="339"/>
      <c r="E90" s="341" t="s">
        <v>363</v>
      </c>
      <c r="F90" s="342">
        <f>F89</f>
        <v>23442.3</v>
      </c>
    </row>
    <row r="91" spans="1:6" s="416" customFormat="1" ht="15" customHeight="1">
      <c r="A91" s="533" t="s">
        <v>378</v>
      </c>
      <c r="B91" s="533"/>
      <c r="C91" s="533"/>
      <c r="D91" s="533"/>
      <c r="E91" s="534">
        <f>F90+F87+F84+F81+F78</f>
        <v>993023.09731759131</v>
      </c>
      <c r="F91" s="535"/>
    </row>
    <row r="93" spans="1:6">
      <c r="A93" s="536" t="str">
        <f>PRESUPUESTO!B18</f>
        <v>Suministro y figurado ACERO DE REFUERZO de fy = 420 MPa (60000psi),(zapatas, columnas, vigas, Escaleras, dovelas de mampostería y otros elementos) incluye amarres en alambre recocido.</v>
      </c>
      <c r="B93" s="536"/>
      <c r="C93" s="536"/>
      <c r="D93" s="536"/>
      <c r="E93" s="328" t="s">
        <v>347</v>
      </c>
      <c r="F93" s="333" t="s">
        <v>348</v>
      </c>
    </row>
    <row r="94" spans="1:6" ht="34.200000000000003" customHeight="1">
      <c r="A94" s="536"/>
      <c r="B94" s="536"/>
      <c r="C94" s="536"/>
      <c r="D94" s="536"/>
      <c r="E94" s="344" t="str">
        <f>PRESUPUESTO!A18</f>
        <v>2.4</v>
      </c>
      <c r="F94" s="345" t="str">
        <f>PRESUPUESTO!C18</f>
        <v>KG</v>
      </c>
    </row>
    <row r="95" spans="1:6">
      <c r="A95" s="331" t="s">
        <v>349</v>
      </c>
      <c r="B95" s="332" t="s">
        <v>350</v>
      </c>
      <c r="C95" s="333" t="s">
        <v>348</v>
      </c>
      <c r="D95" s="333" t="s">
        <v>351</v>
      </c>
      <c r="E95" s="333" t="s">
        <v>352</v>
      </c>
      <c r="F95" s="333" t="s">
        <v>353</v>
      </c>
    </row>
    <row r="96" spans="1:6" ht="26.4">
      <c r="A96" s="335" t="s">
        <v>446</v>
      </c>
      <c r="B96" s="335" t="s">
        <v>447</v>
      </c>
      <c r="C96" s="337" t="s">
        <v>17</v>
      </c>
      <c r="D96" s="337">
        <v>1.05</v>
      </c>
      <c r="E96" s="338">
        <v>4500</v>
      </c>
      <c r="F96" s="338">
        <f>D96*E96</f>
        <v>4725</v>
      </c>
    </row>
    <row r="97" spans="1:6">
      <c r="A97" s="335" t="s">
        <v>448</v>
      </c>
      <c r="B97" s="335" t="s">
        <v>449</v>
      </c>
      <c r="C97" s="337" t="s">
        <v>17</v>
      </c>
      <c r="D97" s="337">
        <v>0.03</v>
      </c>
      <c r="E97" s="338">
        <v>19080</v>
      </c>
      <c r="F97" s="338">
        <f>D97*E97</f>
        <v>572.4</v>
      </c>
    </row>
    <row r="98" spans="1:6">
      <c r="A98" s="331" t="s">
        <v>362</v>
      </c>
      <c r="B98" s="339"/>
      <c r="C98" s="340"/>
      <c r="D98" s="339"/>
      <c r="E98" s="341" t="s">
        <v>363</v>
      </c>
      <c r="F98" s="342">
        <f>F96+F97</f>
        <v>5297.4</v>
      </c>
    </row>
    <row r="99" spans="1:6">
      <c r="A99" s="331" t="s">
        <v>349</v>
      </c>
      <c r="B99" s="332" t="s">
        <v>364</v>
      </c>
      <c r="C99" s="333" t="s">
        <v>348</v>
      </c>
      <c r="D99" s="333" t="s">
        <v>351</v>
      </c>
      <c r="E99" s="333" t="s">
        <v>352</v>
      </c>
      <c r="F99" s="333" t="s">
        <v>353</v>
      </c>
    </row>
    <row r="100" spans="1:6">
      <c r="A100" s="335" t="s">
        <v>419</v>
      </c>
      <c r="B100" s="336" t="s">
        <v>420</v>
      </c>
      <c r="C100" s="337" t="s">
        <v>367</v>
      </c>
      <c r="D100" s="346">
        <v>7.1000000000000004E-3</v>
      </c>
      <c r="E100" s="338">
        <v>269796.65945000004</v>
      </c>
      <c r="F100" s="338">
        <f>D100*E100</f>
        <v>1915.5562820950004</v>
      </c>
    </row>
    <row r="101" spans="1:6" ht="26.4">
      <c r="A101" s="331" t="s">
        <v>368</v>
      </c>
      <c r="B101" s="339"/>
      <c r="C101" s="340"/>
      <c r="D101" s="339"/>
      <c r="E101" s="341" t="s">
        <v>363</v>
      </c>
      <c r="F101" s="342">
        <f>F100</f>
        <v>1915.5562820950004</v>
      </c>
    </row>
    <row r="102" spans="1:6">
      <c r="A102" s="331" t="s">
        <v>349</v>
      </c>
      <c r="B102" s="332" t="s">
        <v>369</v>
      </c>
      <c r="C102" s="333" t="s">
        <v>348</v>
      </c>
      <c r="D102" s="333" t="s">
        <v>351</v>
      </c>
      <c r="E102" s="333" t="s">
        <v>352</v>
      </c>
      <c r="F102" s="333" t="s">
        <v>353</v>
      </c>
    </row>
    <row r="103" spans="1:6" ht="26.4">
      <c r="A103" s="335" t="s">
        <v>370</v>
      </c>
      <c r="B103" s="336" t="s">
        <v>26</v>
      </c>
      <c r="C103" s="337" t="s">
        <v>371</v>
      </c>
      <c r="D103" s="337">
        <v>0.05</v>
      </c>
      <c r="E103" s="338">
        <f>F101</f>
        <v>1915.5562820950004</v>
      </c>
      <c r="F103" s="338">
        <f>D103*E103</f>
        <v>95.777814104750021</v>
      </c>
    </row>
    <row r="104" spans="1:6" ht="26.4">
      <c r="A104" s="331" t="s">
        <v>372</v>
      </c>
      <c r="B104" s="339"/>
      <c r="C104" s="340"/>
      <c r="D104" s="339"/>
      <c r="E104" s="341" t="s">
        <v>363</v>
      </c>
      <c r="F104" s="342">
        <f>F103</f>
        <v>95.777814104750021</v>
      </c>
    </row>
    <row r="105" spans="1:6">
      <c r="A105" s="331" t="s">
        <v>349</v>
      </c>
      <c r="B105" s="332" t="s">
        <v>375</v>
      </c>
      <c r="C105" s="333" t="s">
        <v>348</v>
      </c>
      <c r="D105" s="333" t="s">
        <v>351</v>
      </c>
      <c r="E105" s="333" t="s">
        <v>352</v>
      </c>
      <c r="F105" s="333" t="s">
        <v>353</v>
      </c>
    </row>
    <row r="106" spans="1:6" ht="26.4">
      <c r="A106" s="335" t="s">
        <v>381</v>
      </c>
      <c r="B106" s="336" t="s">
        <v>382</v>
      </c>
      <c r="C106" s="337" t="s">
        <v>48</v>
      </c>
      <c r="D106" s="410">
        <f>(8/60)*(35/60)</f>
        <v>7.7777777777777779E-2</v>
      </c>
      <c r="E106" s="411">
        <v>22326</v>
      </c>
      <c r="F106" s="412">
        <f>D106*E106</f>
        <v>1736.4666666666667</v>
      </c>
    </row>
    <row r="107" spans="1:6">
      <c r="A107" s="331" t="s">
        <v>374</v>
      </c>
      <c r="B107" s="339"/>
      <c r="C107" s="340"/>
      <c r="D107" s="413"/>
      <c r="E107" s="414" t="s">
        <v>363</v>
      </c>
      <c r="F107" s="415">
        <f>F106</f>
        <v>1736.4666666666667</v>
      </c>
    </row>
    <row r="108" spans="1:6" ht="13.8">
      <c r="A108" s="533" t="s">
        <v>378</v>
      </c>
      <c r="B108" s="533"/>
      <c r="C108" s="533"/>
      <c r="D108" s="533"/>
      <c r="E108" s="537">
        <f>F98+F101+F104+F107</f>
        <v>9045.200762866416</v>
      </c>
      <c r="F108" s="538"/>
    </row>
    <row r="111" spans="1:6" ht="47.4" customHeight="1">
      <c r="A111" s="536" t="str">
        <f>PRESUPUESTO!B20</f>
        <v>Construcción muros de MAMPOSTERÍA EN LADRILLO 0.15*0.20*0.40 M, para revocar. Cumpliendo con norma NTC 4205. Incluye mortero de pega 1:4, trabas, dovelas,machones, cuchillas, remates de enrases,  encorozados, aticos y chapas necesarias por detalles de construcción que se ejecuten en  el mismo material que se esta midiendo.Todos los cortes seran realizados a maquina. (Según norma Icontec 451, 296 y la Astm C-652 y C-34)</v>
      </c>
      <c r="B111" s="536"/>
      <c r="C111" s="536"/>
      <c r="D111" s="536"/>
      <c r="E111" s="328" t="s">
        <v>347</v>
      </c>
      <c r="F111" s="333" t="s">
        <v>348</v>
      </c>
    </row>
    <row r="112" spans="1:6" ht="63.6" customHeight="1">
      <c r="A112" s="536"/>
      <c r="B112" s="536"/>
      <c r="C112" s="536"/>
      <c r="D112" s="536"/>
      <c r="E112" s="348" t="str">
        <f>PRESUPUESTO!A20</f>
        <v>3.1</v>
      </c>
      <c r="F112" s="345" t="str">
        <f>PRESUPUESTO!C20</f>
        <v>M2</v>
      </c>
    </row>
    <row r="113" spans="1:6">
      <c r="A113" s="331" t="s">
        <v>349</v>
      </c>
      <c r="B113" s="332" t="s">
        <v>350</v>
      </c>
      <c r="C113" s="333" t="s">
        <v>348</v>
      </c>
      <c r="D113" s="333" t="s">
        <v>351</v>
      </c>
      <c r="E113" s="333" t="s">
        <v>352</v>
      </c>
      <c r="F113" s="333" t="s">
        <v>353</v>
      </c>
    </row>
    <row r="114" spans="1:6" ht="26.4">
      <c r="A114" s="335" t="s">
        <v>421</v>
      </c>
      <c r="B114" s="336" t="s">
        <v>443</v>
      </c>
      <c r="C114" s="337" t="s">
        <v>18</v>
      </c>
      <c r="D114" s="337">
        <v>13</v>
      </c>
      <c r="E114" s="338">
        <v>3000</v>
      </c>
      <c r="F114" s="338">
        <f>D114*E114</f>
        <v>39000</v>
      </c>
    </row>
    <row r="115" spans="1:6">
      <c r="A115" s="335" t="s">
        <v>385</v>
      </c>
      <c r="B115" s="336" t="s">
        <v>422</v>
      </c>
      <c r="C115" s="337" t="s">
        <v>48</v>
      </c>
      <c r="D115" s="337">
        <v>0.04</v>
      </c>
      <c r="E115" s="338">
        <v>1913.221984208275</v>
      </c>
      <c r="F115" s="338">
        <f>D115*E115</f>
        <v>76.528879368331005</v>
      </c>
    </row>
    <row r="116" spans="1:6">
      <c r="A116" s="331" t="s">
        <v>362</v>
      </c>
      <c r="B116" s="339"/>
      <c r="C116" s="340"/>
      <c r="D116" s="339"/>
      <c r="E116" s="341" t="s">
        <v>363</v>
      </c>
      <c r="F116" s="342">
        <f>F114+F115</f>
        <v>39076.528879368328</v>
      </c>
    </row>
    <row r="117" spans="1:6">
      <c r="A117" s="331" t="s">
        <v>349</v>
      </c>
      <c r="B117" s="332" t="s">
        <v>364</v>
      </c>
      <c r="C117" s="333" t="s">
        <v>348</v>
      </c>
      <c r="D117" s="333" t="s">
        <v>351</v>
      </c>
      <c r="E117" s="333" t="s">
        <v>352</v>
      </c>
      <c r="F117" s="333" t="s">
        <v>353</v>
      </c>
    </row>
    <row r="118" spans="1:6" ht="26.4">
      <c r="A118" s="335" t="s">
        <v>423</v>
      </c>
      <c r="B118" s="336" t="s">
        <v>424</v>
      </c>
      <c r="C118" s="337" t="s">
        <v>367</v>
      </c>
      <c r="D118" s="337">
        <v>6.6666666666666666E-2</v>
      </c>
      <c r="E118" s="338">
        <v>685395.53269999998</v>
      </c>
      <c r="F118" s="338">
        <f>D118*E118</f>
        <v>45693.035513333329</v>
      </c>
    </row>
    <row r="119" spans="1:6" ht="26.4">
      <c r="A119" s="331" t="s">
        <v>368</v>
      </c>
      <c r="B119" s="339"/>
      <c r="C119" s="340"/>
      <c r="D119" s="353"/>
      <c r="E119" s="341" t="s">
        <v>363</v>
      </c>
      <c r="F119" s="342">
        <f>F118</f>
        <v>45693.035513333329</v>
      </c>
    </row>
    <row r="120" spans="1:6">
      <c r="A120" s="331" t="s">
        <v>349</v>
      </c>
      <c r="B120" s="332" t="s">
        <v>369</v>
      </c>
      <c r="C120" s="333" t="s">
        <v>348</v>
      </c>
      <c r="D120" s="333" t="s">
        <v>351</v>
      </c>
      <c r="E120" s="333" t="s">
        <v>352</v>
      </c>
      <c r="F120" s="333" t="s">
        <v>353</v>
      </c>
    </row>
    <row r="121" spans="1:6" ht="26.4">
      <c r="A121" s="335" t="s">
        <v>370</v>
      </c>
      <c r="B121" s="336" t="s">
        <v>26</v>
      </c>
      <c r="C121" s="337" t="s">
        <v>371</v>
      </c>
      <c r="D121" s="337">
        <v>0.05</v>
      </c>
      <c r="E121" s="338">
        <f>F119</f>
        <v>45693.035513333329</v>
      </c>
      <c r="F121" s="338">
        <f>D121*E121</f>
        <v>2284.6517756666667</v>
      </c>
    </row>
    <row r="122" spans="1:6" ht="26.4">
      <c r="A122" s="331" t="s">
        <v>372</v>
      </c>
      <c r="B122" s="339"/>
      <c r="C122" s="340"/>
      <c r="D122" s="339"/>
      <c r="E122" s="341" t="s">
        <v>363</v>
      </c>
      <c r="F122" s="342">
        <f>F121</f>
        <v>2284.6517756666667</v>
      </c>
    </row>
    <row r="123" spans="1:6">
      <c r="A123" s="331" t="s">
        <v>349</v>
      </c>
      <c r="B123" s="332" t="s">
        <v>383</v>
      </c>
      <c r="C123" s="333" t="s">
        <v>348</v>
      </c>
      <c r="D123" s="333" t="s">
        <v>351</v>
      </c>
      <c r="E123" s="333" t="s">
        <v>352</v>
      </c>
      <c r="F123" s="333" t="s">
        <v>353</v>
      </c>
    </row>
    <row r="124" spans="1:6" ht="26.4">
      <c r="A124" s="335" t="s">
        <v>425</v>
      </c>
      <c r="B124" s="336" t="s">
        <v>426</v>
      </c>
      <c r="C124" s="337" t="s">
        <v>380</v>
      </c>
      <c r="D124" s="337">
        <v>0.02</v>
      </c>
      <c r="E124" s="338">
        <v>97921</v>
      </c>
      <c r="F124" s="338">
        <f>D124*E124</f>
        <v>1958.42</v>
      </c>
    </row>
    <row r="125" spans="1:6">
      <c r="A125" s="331" t="s">
        <v>384</v>
      </c>
      <c r="B125" s="339"/>
      <c r="C125" s="340"/>
      <c r="D125" s="339"/>
      <c r="E125" s="341" t="s">
        <v>363</v>
      </c>
      <c r="F125" s="342">
        <f>+F124</f>
        <v>1958.42</v>
      </c>
    </row>
    <row r="126" spans="1:6">
      <c r="A126" s="331" t="s">
        <v>349</v>
      </c>
      <c r="B126" s="332" t="s">
        <v>375</v>
      </c>
      <c r="C126" s="333" t="s">
        <v>348</v>
      </c>
      <c r="D126" s="333" t="s">
        <v>351</v>
      </c>
      <c r="E126" s="333" t="s">
        <v>352</v>
      </c>
      <c r="F126" s="333" t="s">
        <v>353</v>
      </c>
    </row>
    <row r="127" spans="1:6" ht="26.4">
      <c r="A127" s="335" t="s">
        <v>427</v>
      </c>
      <c r="B127" s="336" t="s">
        <v>382</v>
      </c>
      <c r="C127" s="337" t="s">
        <v>48</v>
      </c>
      <c r="D127" s="337">
        <v>0.2</v>
      </c>
      <c r="E127" s="338">
        <v>25000</v>
      </c>
      <c r="F127" s="338">
        <f>D127*E127</f>
        <v>5000</v>
      </c>
    </row>
    <row r="128" spans="1:6">
      <c r="A128" s="331" t="s">
        <v>374</v>
      </c>
      <c r="B128" s="339"/>
      <c r="C128" s="340"/>
      <c r="D128" s="339"/>
      <c r="E128" s="341" t="s">
        <v>363</v>
      </c>
      <c r="F128" s="342">
        <f>F127</f>
        <v>5000</v>
      </c>
    </row>
    <row r="129" spans="1:6" ht="13.8">
      <c r="A129" s="533" t="s">
        <v>378</v>
      </c>
      <c r="B129" s="533"/>
      <c r="C129" s="533"/>
      <c r="D129" s="533"/>
      <c r="E129" s="534">
        <f>F116+F119+F122+F125+F128</f>
        <v>94012.636168368335</v>
      </c>
      <c r="F129" s="535"/>
    </row>
    <row r="131" spans="1:6" ht="45" customHeight="1">
      <c r="A131" s="536" t="str">
        <f>PRESUPUESTO!B21</f>
        <v>Suministro e instalación de MALLA ESLABONADA, calibre 10 ojo 5, Incluye tuberia galvanizada de 11/2" para postes con  gallinazo sencillo cada 1,20 m. ( H poste = 1,200m. incluido gallinazos) y para pieamigos en esquinas e intermedios ( L = 1,2 m.), tuberia superior , altura malla 1,20 m.,pintura anticorrosiva y pintura de acabado color aluminio en soldadura, tapones en lamina galvanizada y demas elementos necesarios para su correcto funcionamiento.</v>
      </c>
      <c r="B131" s="536"/>
      <c r="C131" s="536"/>
      <c r="D131" s="536"/>
      <c r="E131" s="328" t="s">
        <v>347</v>
      </c>
      <c r="F131" s="329" t="s">
        <v>348</v>
      </c>
    </row>
    <row r="132" spans="1:6" ht="45" customHeight="1">
      <c r="A132" s="536"/>
      <c r="B132" s="536"/>
      <c r="C132" s="536"/>
      <c r="D132" s="536"/>
      <c r="E132" s="348" t="str">
        <f>PRESUPUESTO!A21</f>
        <v>3.2</v>
      </c>
      <c r="F132" s="330" t="s">
        <v>100</v>
      </c>
    </row>
    <row r="133" spans="1:6">
      <c r="A133" s="331" t="s">
        <v>349</v>
      </c>
      <c r="B133" s="332" t="s">
        <v>350</v>
      </c>
      <c r="C133" s="333" t="s">
        <v>348</v>
      </c>
      <c r="D133" s="333" t="s">
        <v>351</v>
      </c>
      <c r="E133" s="333" t="s">
        <v>352</v>
      </c>
      <c r="F133" s="334" t="s">
        <v>353</v>
      </c>
    </row>
    <row r="134" spans="1:6" ht="39.6">
      <c r="A134" s="335" t="s">
        <v>456</v>
      </c>
      <c r="B134" s="336" t="s">
        <v>457</v>
      </c>
      <c r="C134" s="337" t="s">
        <v>50</v>
      </c>
      <c r="D134" s="337">
        <v>1</v>
      </c>
      <c r="E134" s="338">
        <v>30541.158325723016</v>
      </c>
      <c r="F134" s="338">
        <f t="shared" ref="F134:F144" si="1">D134*E134</f>
        <v>30541.158325723016</v>
      </c>
    </row>
    <row r="135" spans="1:6" ht="26.4">
      <c r="A135" s="335" t="s">
        <v>458</v>
      </c>
      <c r="B135" s="336" t="s">
        <v>459</v>
      </c>
      <c r="C135" s="337" t="s">
        <v>17</v>
      </c>
      <c r="D135" s="337">
        <v>0.3</v>
      </c>
      <c r="E135" s="338">
        <v>21878.77015</v>
      </c>
      <c r="F135" s="338">
        <f t="shared" si="1"/>
        <v>6563.6310450000001</v>
      </c>
    </row>
    <row r="136" spans="1:6" ht="26.4">
      <c r="A136" s="335" t="s">
        <v>460</v>
      </c>
      <c r="B136" s="336" t="s">
        <v>461</v>
      </c>
      <c r="C136" s="337" t="s">
        <v>462</v>
      </c>
      <c r="D136" s="337">
        <v>0.73</v>
      </c>
      <c r="E136" s="338">
        <v>7788.4705971313251</v>
      </c>
      <c r="F136" s="338">
        <f t="shared" si="1"/>
        <v>5685.5835359058674</v>
      </c>
    </row>
    <row r="137" spans="1:6">
      <c r="A137" s="335" t="s">
        <v>463</v>
      </c>
      <c r="B137" s="336" t="s">
        <v>464</v>
      </c>
      <c r="C137" s="337" t="s">
        <v>48</v>
      </c>
      <c r="D137" s="337">
        <v>0.02</v>
      </c>
      <c r="E137" s="338">
        <v>413105.30118865607</v>
      </c>
      <c r="F137" s="338">
        <f t="shared" si="1"/>
        <v>8262.1060237731217</v>
      </c>
    </row>
    <row r="138" spans="1:6" ht="26.4">
      <c r="A138" s="335" t="s">
        <v>465</v>
      </c>
      <c r="B138" s="336" t="s">
        <v>466</v>
      </c>
      <c r="C138" s="337" t="s">
        <v>96</v>
      </c>
      <c r="D138" s="337">
        <v>3.3</v>
      </c>
      <c r="E138" s="338">
        <v>11992.800000000001</v>
      </c>
      <c r="F138" s="338">
        <f t="shared" si="1"/>
        <v>39576.239999999998</v>
      </c>
    </row>
    <row r="139" spans="1:6" ht="26.4">
      <c r="A139" s="335" t="s">
        <v>467</v>
      </c>
      <c r="B139" s="336" t="s">
        <v>468</v>
      </c>
      <c r="C139" s="337" t="s">
        <v>96</v>
      </c>
      <c r="D139" s="337">
        <v>6.3</v>
      </c>
      <c r="E139" s="338">
        <v>4523.6000000000004</v>
      </c>
      <c r="F139" s="338">
        <f t="shared" si="1"/>
        <v>28498.68</v>
      </c>
    </row>
    <row r="140" spans="1:6" ht="26.4">
      <c r="A140" s="335" t="s">
        <v>469</v>
      </c>
      <c r="B140" s="336" t="s">
        <v>470</v>
      </c>
      <c r="C140" s="337" t="s">
        <v>96</v>
      </c>
      <c r="D140" s="337">
        <v>3</v>
      </c>
      <c r="E140" s="338">
        <v>9844.616</v>
      </c>
      <c r="F140" s="338">
        <f t="shared" si="1"/>
        <v>29533.847999999998</v>
      </c>
    </row>
    <row r="141" spans="1:6" ht="26.4">
      <c r="A141" s="335" t="s">
        <v>471</v>
      </c>
      <c r="B141" s="336" t="s">
        <v>472</v>
      </c>
      <c r="C141" s="337" t="s">
        <v>96</v>
      </c>
      <c r="D141" s="337">
        <v>3</v>
      </c>
      <c r="E141" s="338">
        <v>6838</v>
      </c>
      <c r="F141" s="338">
        <f t="shared" si="1"/>
        <v>20514</v>
      </c>
    </row>
    <row r="142" spans="1:6">
      <c r="A142" s="335" t="s">
        <v>473</v>
      </c>
      <c r="B142" s="336" t="s">
        <v>473</v>
      </c>
      <c r="C142" s="337" t="s">
        <v>392</v>
      </c>
      <c r="D142" s="337">
        <v>0.04</v>
      </c>
      <c r="E142" s="338">
        <v>140968</v>
      </c>
      <c r="F142" s="338">
        <f t="shared" si="1"/>
        <v>5638.72</v>
      </c>
    </row>
    <row r="143" spans="1:6">
      <c r="A143" s="335" t="s">
        <v>474</v>
      </c>
      <c r="B143" s="336" t="s">
        <v>475</v>
      </c>
      <c r="C143" s="337" t="s">
        <v>392</v>
      </c>
      <c r="D143" s="337">
        <v>0.04</v>
      </c>
      <c r="E143" s="338">
        <v>88000</v>
      </c>
      <c r="F143" s="338">
        <f t="shared" si="1"/>
        <v>3520</v>
      </c>
    </row>
    <row r="144" spans="1:6" ht="26.4">
      <c r="A144" s="335" t="s">
        <v>476</v>
      </c>
      <c r="B144" s="336" t="s">
        <v>477</v>
      </c>
      <c r="C144" s="337" t="s">
        <v>392</v>
      </c>
      <c r="D144" s="337">
        <v>0.08</v>
      </c>
      <c r="E144" s="338">
        <v>109900</v>
      </c>
      <c r="F144" s="338">
        <f t="shared" si="1"/>
        <v>8792</v>
      </c>
    </row>
    <row r="145" spans="1:6">
      <c r="A145" s="331" t="s">
        <v>362</v>
      </c>
      <c r="B145" s="339"/>
      <c r="C145" s="340"/>
      <c r="D145" s="339"/>
      <c r="E145" s="341" t="s">
        <v>363</v>
      </c>
      <c r="F145" s="342">
        <f>SUM(F134:F144)</f>
        <v>187125.96693040201</v>
      </c>
    </row>
    <row r="146" spans="1:6">
      <c r="A146" s="331" t="s">
        <v>349</v>
      </c>
      <c r="B146" s="332" t="s">
        <v>364</v>
      </c>
      <c r="C146" s="333" t="s">
        <v>348</v>
      </c>
      <c r="D146" s="333" t="s">
        <v>351</v>
      </c>
      <c r="E146" s="333" t="s">
        <v>352</v>
      </c>
      <c r="F146" s="333" t="s">
        <v>353</v>
      </c>
    </row>
    <row r="147" spans="1:6" ht="26.4">
      <c r="A147" s="335" t="s">
        <v>365</v>
      </c>
      <c r="B147" s="336" t="s">
        <v>478</v>
      </c>
      <c r="C147" s="337" t="s">
        <v>367</v>
      </c>
      <c r="D147" s="346">
        <v>0.3</v>
      </c>
      <c r="E147" s="338">
        <v>494452.00838333333</v>
      </c>
      <c r="F147" s="338">
        <f>D147*E147</f>
        <v>148335.60251500001</v>
      </c>
    </row>
    <row r="148" spans="1:6" ht="26.4">
      <c r="A148" s="331" t="s">
        <v>368</v>
      </c>
      <c r="B148" s="339"/>
      <c r="C148" s="340"/>
      <c r="D148" s="339"/>
      <c r="E148" s="341" t="s">
        <v>363</v>
      </c>
      <c r="F148" s="342">
        <f>F147</f>
        <v>148335.60251500001</v>
      </c>
    </row>
    <row r="149" spans="1:6">
      <c r="A149" s="331" t="s">
        <v>349</v>
      </c>
      <c r="B149" s="332" t="s">
        <v>369</v>
      </c>
      <c r="C149" s="333" t="s">
        <v>348</v>
      </c>
      <c r="D149" s="333" t="s">
        <v>351</v>
      </c>
      <c r="E149" s="333" t="s">
        <v>352</v>
      </c>
      <c r="F149" s="333" t="s">
        <v>353</v>
      </c>
    </row>
    <row r="150" spans="1:6" ht="13.95" customHeight="1">
      <c r="A150" s="335" t="s">
        <v>370</v>
      </c>
      <c r="B150" s="336" t="s">
        <v>26</v>
      </c>
      <c r="C150" s="337" t="s">
        <v>371</v>
      </c>
      <c r="D150" s="337">
        <v>0.05</v>
      </c>
      <c r="E150" s="338">
        <f>F148</f>
        <v>148335.60251500001</v>
      </c>
      <c r="F150" s="338">
        <f>D150*E150</f>
        <v>7416.7801257500005</v>
      </c>
    </row>
    <row r="151" spans="1:6" ht="26.4">
      <c r="A151" s="331" t="s">
        <v>372</v>
      </c>
      <c r="B151" s="339"/>
      <c r="C151" s="340"/>
      <c r="D151" s="339"/>
      <c r="E151" s="341" t="s">
        <v>363</v>
      </c>
      <c r="F151" s="342">
        <f>F150</f>
        <v>7416.7801257500005</v>
      </c>
    </row>
    <row r="152" spans="1:6" ht="25.2" customHeight="1">
      <c r="A152" s="331" t="s">
        <v>349</v>
      </c>
      <c r="B152" s="332" t="s">
        <v>375</v>
      </c>
      <c r="C152" s="333" t="s">
        <v>348</v>
      </c>
      <c r="D152" s="333" t="s">
        <v>351</v>
      </c>
      <c r="E152" s="333" t="s">
        <v>352</v>
      </c>
      <c r="F152" s="333" t="s">
        <v>353</v>
      </c>
    </row>
    <row r="153" spans="1:6" ht="39.6" customHeight="1">
      <c r="A153" s="335" t="s">
        <v>376</v>
      </c>
      <c r="B153" s="336" t="s">
        <v>377</v>
      </c>
      <c r="C153" s="337" t="s">
        <v>48</v>
      </c>
      <c r="D153" s="337">
        <v>0.32</v>
      </c>
      <c r="E153" s="338">
        <v>22326</v>
      </c>
      <c r="F153" s="338">
        <f>D153*E153</f>
        <v>7144.32</v>
      </c>
    </row>
    <row r="154" spans="1:6">
      <c r="A154" s="389" t="s">
        <v>374</v>
      </c>
      <c r="B154" s="390"/>
      <c r="C154" s="391"/>
      <c r="D154" s="390"/>
      <c r="E154" s="392" t="s">
        <v>363</v>
      </c>
      <c r="F154" s="393">
        <f>F153</f>
        <v>7144.32</v>
      </c>
    </row>
    <row r="155" spans="1:6" ht="13.8">
      <c r="A155" s="549" t="s">
        <v>378</v>
      </c>
      <c r="B155" s="549"/>
      <c r="C155" s="549"/>
      <c r="D155" s="549"/>
      <c r="E155" s="550">
        <f>F145+F148+F151+F154</f>
        <v>350022.66957115202</v>
      </c>
      <c r="F155" s="550"/>
    </row>
    <row r="156" spans="1:6" s="407" customFormat="1" ht="13.8">
      <c r="A156" s="408"/>
      <c r="B156" s="408"/>
      <c r="C156" s="408"/>
      <c r="D156" s="408"/>
      <c r="E156" s="398"/>
      <c r="F156" s="398"/>
    </row>
    <row r="157" spans="1:6" ht="45" customHeight="1">
      <c r="A157" s="551" t="str">
        <f>PRESUPUESTO!B22</f>
        <v>Suministro y colocación de puerta batiente en MALLA ESLABONADA, calibre 10 ojo 5, Incluye tuberia galvanizada de 11/2" para postes con  gallinazo sencillo, (marco, ala y montante),  pintura anticorrosiva y acabado con esmalte semibrillante  y demás elementos necesarios para su correcta instalación y funcionamiento.</v>
      </c>
      <c r="B157" s="551"/>
      <c r="C157" s="551"/>
      <c r="D157" s="551"/>
      <c r="E157" s="350" t="s">
        <v>347</v>
      </c>
      <c r="F157" s="350" t="s">
        <v>348</v>
      </c>
    </row>
    <row r="158" spans="1:6" ht="45" customHeight="1">
      <c r="A158" s="551"/>
      <c r="B158" s="551"/>
      <c r="C158" s="551"/>
      <c r="D158" s="551"/>
      <c r="E158" s="348" t="str">
        <f>PRESUPUESTO!A22</f>
        <v>3.3</v>
      </c>
      <c r="F158" s="428" t="s">
        <v>72</v>
      </c>
    </row>
    <row r="159" spans="1:6">
      <c r="A159" s="351" t="s">
        <v>349</v>
      </c>
      <c r="B159" s="352" t="s">
        <v>350</v>
      </c>
      <c r="C159" s="334" t="s">
        <v>348</v>
      </c>
      <c r="D159" s="334" t="s">
        <v>351</v>
      </c>
      <c r="E159" s="334" t="s">
        <v>352</v>
      </c>
      <c r="F159" s="334" t="s">
        <v>353</v>
      </c>
    </row>
    <row r="160" spans="1:6" ht="39.6">
      <c r="A160" s="335" t="s">
        <v>456</v>
      </c>
      <c r="B160" s="336" t="s">
        <v>457</v>
      </c>
      <c r="C160" s="337" t="s">
        <v>50</v>
      </c>
      <c r="D160" s="337">
        <v>1.2</v>
      </c>
      <c r="E160" s="338">
        <v>30541.158325723016</v>
      </c>
      <c r="F160" s="338">
        <f t="shared" ref="F160:F170" si="2">D160*E160</f>
        <v>36649.389990867618</v>
      </c>
    </row>
    <row r="161" spans="1:6" ht="26.4">
      <c r="A161" s="335" t="s">
        <v>458</v>
      </c>
      <c r="B161" s="336" t="s">
        <v>459</v>
      </c>
      <c r="C161" s="337" t="s">
        <v>17</v>
      </c>
      <c r="D161" s="337">
        <v>0.3</v>
      </c>
      <c r="E161" s="338">
        <v>21878.77015</v>
      </c>
      <c r="F161" s="338">
        <f t="shared" si="2"/>
        <v>6563.6310450000001</v>
      </c>
    </row>
    <row r="162" spans="1:6" ht="26.4">
      <c r="A162" s="335" t="s">
        <v>460</v>
      </c>
      <c r="B162" s="336" t="s">
        <v>461</v>
      </c>
      <c r="C162" s="337" t="s">
        <v>462</v>
      </c>
      <c r="D162" s="337">
        <v>5.8</v>
      </c>
      <c r="E162" s="338">
        <v>7788.4705971313251</v>
      </c>
      <c r="F162" s="338">
        <f t="shared" si="2"/>
        <v>45173.129463361685</v>
      </c>
    </row>
    <row r="163" spans="1:6">
      <c r="A163" s="335" t="s">
        <v>484</v>
      </c>
      <c r="B163" s="336" t="s">
        <v>483</v>
      </c>
      <c r="C163" s="337" t="s">
        <v>54</v>
      </c>
      <c r="D163" s="337">
        <v>1</v>
      </c>
      <c r="E163" s="338">
        <v>75000</v>
      </c>
      <c r="F163" s="338">
        <f t="shared" si="2"/>
        <v>75000</v>
      </c>
    </row>
    <row r="164" spans="1:6" ht="26.4">
      <c r="A164" s="335" t="s">
        <v>465</v>
      </c>
      <c r="B164" s="336" t="s">
        <v>466</v>
      </c>
      <c r="C164" s="337" t="s">
        <v>96</v>
      </c>
      <c r="D164" s="337">
        <v>5.8</v>
      </c>
      <c r="E164" s="338">
        <v>11992.800000000001</v>
      </c>
      <c r="F164" s="338">
        <f t="shared" si="2"/>
        <v>69558.240000000005</v>
      </c>
    </row>
    <row r="165" spans="1:6" ht="26.4">
      <c r="A165" s="335" t="s">
        <v>467</v>
      </c>
      <c r="B165" s="336" t="s">
        <v>468</v>
      </c>
      <c r="C165" s="337" t="s">
        <v>96</v>
      </c>
      <c r="D165" s="337">
        <v>6.3</v>
      </c>
      <c r="E165" s="338">
        <v>4523.6000000000004</v>
      </c>
      <c r="F165" s="338">
        <f t="shared" si="2"/>
        <v>28498.68</v>
      </c>
    </row>
    <row r="166" spans="1:6" ht="26.4">
      <c r="A166" s="335" t="s">
        <v>469</v>
      </c>
      <c r="B166" s="336" t="s">
        <v>470</v>
      </c>
      <c r="C166" s="337" t="s">
        <v>96</v>
      </c>
      <c r="D166" s="337">
        <v>5.5</v>
      </c>
      <c r="E166" s="338">
        <v>9844.616</v>
      </c>
      <c r="F166" s="338">
        <f t="shared" si="2"/>
        <v>54145.387999999999</v>
      </c>
    </row>
    <row r="167" spans="1:6" ht="26.4">
      <c r="A167" s="335" t="s">
        <v>471</v>
      </c>
      <c r="B167" s="336" t="s">
        <v>472</v>
      </c>
      <c r="C167" s="337" t="s">
        <v>96</v>
      </c>
      <c r="D167" s="337">
        <v>3</v>
      </c>
      <c r="E167" s="338">
        <v>6838</v>
      </c>
      <c r="F167" s="338">
        <f t="shared" si="2"/>
        <v>20514</v>
      </c>
    </row>
    <row r="168" spans="1:6">
      <c r="A168" s="335" t="s">
        <v>473</v>
      </c>
      <c r="B168" s="336" t="s">
        <v>473</v>
      </c>
      <c r="C168" s="337" t="s">
        <v>392</v>
      </c>
      <c r="D168" s="337">
        <v>0.04</v>
      </c>
      <c r="E168" s="338">
        <v>140968</v>
      </c>
      <c r="F168" s="338">
        <f t="shared" si="2"/>
        <v>5638.72</v>
      </c>
    </row>
    <row r="169" spans="1:6">
      <c r="A169" s="335" t="s">
        <v>474</v>
      </c>
      <c r="B169" s="336" t="s">
        <v>475</v>
      </c>
      <c r="C169" s="337" t="s">
        <v>392</v>
      </c>
      <c r="D169" s="337">
        <v>0.04</v>
      </c>
      <c r="E169" s="338">
        <v>88000</v>
      </c>
      <c r="F169" s="338">
        <f t="shared" si="2"/>
        <v>3520</v>
      </c>
    </row>
    <row r="170" spans="1:6" ht="26.4">
      <c r="A170" s="335" t="s">
        <v>476</v>
      </c>
      <c r="B170" s="336" t="s">
        <v>477</v>
      </c>
      <c r="C170" s="337" t="s">
        <v>392</v>
      </c>
      <c r="D170" s="337">
        <v>0.08</v>
      </c>
      <c r="E170" s="338">
        <v>109900</v>
      </c>
      <c r="F170" s="338">
        <f t="shared" si="2"/>
        <v>8792</v>
      </c>
    </row>
    <row r="171" spans="1:6">
      <c r="A171" s="331" t="s">
        <v>362</v>
      </c>
      <c r="B171" s="339"/>
      <c r="C171" s="340"/>
      <c r="D171" s="339"/>
      <c r="E171" s="341" t="s">
        <v>363</v>
      </c>
      <c r="F171" s="342">
        <f>SUM(F160:F170)</f>
        <v>354053.17849922925</v>
      </c>
    </row>
    <row r="172" spans="1:6">
      <c r="A172" s="331" t="s">
        <v>349</v>
      </c>
      <c r="B172" s="332" t="s">
        <v>364</v>
      </c>
      <c r="C172" s="333" t="s">
        <v>348</v>
      </c>
      <c r="D172" s="333" t="s">
        <v>351</v>
      </c>
      <c r="E172" s="333" t="s">
        <v>352</v>
      </c>
      <c r="F172" s="333" t="s">
        <v>353</v>
      </c>
    </row>
    <row r="173" spans="1:6" ht="26.4">
      <c r="A173" s="335" t="s">
        <v>365</v>
      </c>
      <c r="B173" s="336" t="s">
        <v>478</v>
      </c>
      <c r="C173" s="337" t="s">
        <v>367</v>
      </c>
      <c r="D173" s="347">
        <v>0.3</v>
      </c>
      <c r="E173" s="338">
        <v>494452.00838333333</v>
      </c>
      <c r="F173" s="338">
        <f>D173*E173</f>
        <v>148335.60251500001</v>
      </c>
    </row>
    <row r="174" spans="1:6" ht="26.4">
      <c r="A174" s="331" t="s">
        <v>368</v>
      </c>
      <c r="B174" s="339"/>
      <c r="C174" s="340"/>
      <c r="D174" s="339"/>
      <c r="E174" s="341" t="s">
        <v>363</v>
      </c>
      <c r="F174" s="342">
        <f>F173</f>
        <v>148335.60251500001</v>
      </c>
    </row>
    <row r="175" spans="1:6">
      <c r="A175" s="331" t="s">
        <v>349</v>
      </c>
      <c r="B175" s="332" t="s">
        <v>369</v>
      </c>
      <c r="C175" s="333" t="s">
        <v>348</v>
      </c>
      <c r="D175" s="333" t="s">
        <v>351</v>
      </c>
      <c r="E175" s="333" t="s">
        <v>352</v>
      </c>
      <c r="F175" s="333" t="s">
        <v>353</v>
      </c>
    </row>
    <row r="176" spans="1:6" ht="24" customHeight="1">
      <c r="A176" s="335" t="s">
        <v>370</v>
      </c>
      <c r="B176" s="336" t="s">
        <v>26</v>
      </c>
      <c r="C176" s="337" t="s">
        <v>371</v>
      </c>
      <c r="D176" s="337">
        <v>0.05</v>
      </c>
      <c r="E176" s="338">
        <f>F174</f>
        <v>148335.60251500001</v>
      </c>
      <c r="F176" s="338">
        <f>D176*E176</f>
        <v>7416.7801257500005</v>
      </c>
    </row>
    <row r="177" spans="1:6" ht="26.4">
      <c r="A177" s="331" t="s">
        <v>372</v>
      </c>
      <c r="B177" s="339"/>
      <c r="C177" s="340"/>
      <c r="D177" s="339"/>
      <c r="E177" s="341" t="s">
        <v>363</v>
      </c>
      <c r="F177" s="342">
        <f>F176</f>
        <v>7416.7801257500005</v>
      </c>
    </row>
    <row r="178" spans="1:6" ht="25.2" customHeight="1">
      <c r="A178" s="331" t="s">
        <v>349</v>
      </c>
      <c r="B178" s="332" t="s">
        <v>375</v>
      </c>
      <c r="C178" s="333" t="s">
        <v>348</v>
      </c>
      <c r="D178" s="333" t="s">
        <v>351</v>
      </c>
      <c r="E178" s="333" t="s">
        <v>352</v>
      </c>
      <c r="F178" s="333" t="s">
        <v>353</v>
      </c>
    </row>
    <row r="179" spans="1:6">
      <c r="A179" s="335" t="s">
        <v>376</v>
      </c>
      <c r="B179" s="336" t="s">
        <v>377</v>
      </c>
      <c r="C179" s="337" t="s">
        <v>48</v>
      </c>
      <c r="D179" s="337">
        <v>0.32</v>
      </c>
      <c r="E179" s="338">
        <v>22326</v>
      </c>
      <c r="F179" s="338">
        <f>D179*E179</f>
        <v>7144.32</v>
      </c>
    </row>
    <row r="180" spans="1:6">
      <c r="A180" s="331" t="s">
        <v>374</v>
      </c>
      <c r="B180" s="339"/>
      <c r="C180" s="340"/>
      <c r="D180" s="339"/>
      <c r="E180" s="341" t="s">
        <v>363</v>
      </c>
      <c r="F180" s="342">
        <f>F179</f>
        <v>7144.32</v>
      </c>
    </row>
    <row r="181" spans="1:6" ht="13.8">
      <c r="A181" s="533" t="s">
        <v>378</v>
      </c>
      <c r="B181" s="533"/>
      <c r="C181" s="533"/>
      <c r="D181" s="533"/>
      <c r="E181" s="534">
        <f>F171+F174+F177+F180</f>
        <v>516949.88113997929</v>
      </c>
      <c r="F181" s="535"/>
    </row>
    <row r="182" spans="1:6" ht="13.8">
      <c r="A182" s="397"/>
      <c r="B182" s="397"/>
      <c r="C182" s="397"/>
      <c r="D182" s="397"/>
      <c r="E182" s="398"/>
      <c r="F182" s="398"/>
    </row>
    <row r="183" spans="1:6">
      <c r="A183" s="529" t="str">
        <f>PRESUPUESTO!B24</f>
        <v>RESANE Y REPINTE PINTURA INTERIOR  sobre muros y cielos calidad vinIltex o similar tipo 1 o quivalente para interiores (hidrorepelente) de primera calidad que cumpla con la Norma NTC 1335, 3 manos o las que sean necesarias para obtener una superficie pareja y homogénea, a satisfacción de la interventoría. Incluye suministro de los materiales, preparada y adecuación de la superficie a intervenir. Color a definir según aprobación de la interventoría.</v>
      </c>
      <c r="B183" s="530"/>
      <c r="C183" s="530"/>
      <c r="D183" s="530"/>
      <c r="E183" s="328" t="s">
        <v>347</v>
      </c>
      <c r="F183" s="329" t="s">
        <v>348</v>
      </c>
    </row>
    <row r="184" spans="1:6" ht="80.400000000000006" customHeight="1">
      <c r="A184" s="531"/>
      <c r="B184" s="532"/>
      <c r="C184" s="532"/>
      <c r="D184" s="532"/>
      <c r="E184" s="354" t="str">
        <f>PRESUPUESTO!A24</f>
        <v>4.1</v>
      </c>
      <c r="F184" s="330" t="s">
        <v>50</v>
      </c>
    </row>
    <row r="185" spans="1:6">
      <c r="A185" s="331" t="s">
        <v>349</v>
      </c>
      <c r="B185" s="332" t="s">
        <v>350</v>
      </c>
      <c r="C185" s="333" t="s">
        <v>348</v>
      </c>
      <c r="D185" s="333" t="s">
        <v>351</v>
      </c>
      <c r="E185" s="333" t="s">
        <v>352</v>
      </c>
      <c r="F185" s="334" t="s">
        <v>353</v>
      </c>
    </row>
    <row r="186" spans="1:6" ht="26.4">
      <c r="A186" s="335" t="s">
        <v>354</v>
      </c>
      <c r="B186" s="336" t="s">
        <v>355</v>
      </c>
      <c r="C186" s="337" t="s">
        <v>356</v>
      </c>
      <c r="D186" s="337">
        <v>8.2500000000000004E-2</v>
      </c>
      <c r="E186" s="338">
        <v>89900</v>
      </c>
      <c r="F186" s="338">
        <f>D186*E186</f>
        <v>7416.75</v>
      </c>
    </row>
    <row r="187" spans="1:6">
      <c r="A187" s="335" t="s">
        <v>357</v>
      </c>
      <c r="B187" s="336" t="s">
        <v>358</v>
      </c>
      <c r="C187" s="337" t="s">
        <v>17</v>
      </c>
      <c r="D187" s="337">
        <v>0.3</v>
      </c>
      <c r="E187" s="338">
        <v>3793</v>
      </c>
      <c r="F187" s="338">
        <f>D187*E187</f>
        <v>1137.8999999999999</v>
      </c>
    </row>
    <row r="188" spans="1:6">
      <c r="A188" s="335" t="s">
        <v>359</v>
      </c>
      <c r="B188" s="336" t="s">
        <v>360</v>
      </c>
      <c r="C188" s="337" t="s">
        <v>17</v>
      </c>
      <c r="D188" s="337">
        <v>0.1</v>
      </c>
      <c r="E188" s="338">
        <v>19900</v>
      </c>
      <c r="F188" s="338">
        <f>D188*E188</f>
        <v>1990</v>
      </c>
    </row>
    <row r="189" spans="1:6">
      <c r="A189" s="335" t="s">
        <v>361</v>
      </c>
      <c r="B189" s="336" t="s">
        <v>361</v>
      </c>
      <c r="C189" s="337" t="s">
        <v>18</v>
      </c>
      <c r="D189" s="337">
        <v>0.5</v>
      </c>
      <c r="E189" s="338">
        <v>1385.9560830485143</v>
      </c>
      <c r="F189" s="338">
        <f>D189*E189</f>
        <v>692.97804152425715</v>
      </c>
    </row>
    <row r="190" spans="1:6">
      <c r="A190" s="331" t="s">
        <v>362</v>
      </c>
      <c r="B190" s="339"/>
      <c r="C190" s="340"/>
      <c r="D190" s="339"/>
      <c r="E190" s="341" t="s">
        <v>363</v>
      </c>
      <c r="F190" s="342">
        <f>F186+F187+F188+F189</f>
        <v>11237.628041524256</v>
      </c>
    </row>
    <row r="191" spans="1:6">
      <c r="A191" s="331" t="s">
        <v>349</v>
      </c>
      <c r="B191" s="332" t="s">
        <v>364</v>
      </c>
      <c r="C191" s="333" t="s">
        <v>348</v>
      </c>
      <c r="D191" s="333" t="s">
        <v>351</v>
      </c>
      <c r="E191" s="333" t="s">
        <v>352</v>
      </c>
      <c r="F191" s="333" t="s">
        <v>353</v>
      </c>
    </row>
    <row r="192" spans="1:6" ht="26.4">
      <c r="A192" s="335" t="s">
        <v>365</v>
      </c>
      <c r="B192" s="336" t="s">
        <v>366</v>
      </c>
      <c r="C192" s="337" t="s">
        <v>367</v>
      </c>
      <c r="D192" s="337">
        <v>4.2000000000000003E-2</v>
      </c>
      <c r="E192" s="338">
        <v>269796.65945000004</v>
      </c>
      <c r="F192" s="338">
        <f>D192*E192</f>
        <v>11331.459696900001</v>
      </c>
    </row>
    <row r="193" spans="1:9" ht="26.4">
      <c r="A193" s="331" t="s">
        <v>368</v>
      </c>
      <c r="B193" s="339"/>
      <c r="C193" s="340"/>
      <c r="D193" s="339"/>
      <c r="E193" s="341" t="s">
        <v>363</v>
      </c>
      <c r="F193" s="342">
        <f>F192</f>
        <v>11331.459696900001</v>
      </c>
    </row>
    <row r="194" spans="1:9" ht="13.95" customHeight="1">
      <c r="A194" s="331" t="s">
        <v>349</v>
      </c>
      <c r="B194" s="332" t="s">
        <v>369</v>
      </c>
      <c r="C194" s="333" t="s">
        <v>348</v>
      </c>
      <c r="D194" s="333" t="s">
        <v>351</v>
      </c>
      <c r="E194" s="333" t="s">
        <v>352</v>
      </c>
      <c r="F194" s="333" t="s">
        <v>353</v>
      </c>
    </row>
    <row r="195" spans="1:9" ht="26.4">
      <c r="A195" s="335" t="s">
        <v>370</v>
      </c>
      <c r="B195" s="336" t="s">
        <v>26</v>
      </c>
      <c r="C195" s="337" t="s">
        <v>371</v>
      </c>
      <c r="D195" s="337">
        <v>0.05</v>
      </c>
      <c r="E195" s="338">
        <f>F193</f>
        <v>11331.459696900001</v>
      </c>
      <c r="F195" s="338">
        <f>D195*E195</f>
        <v>566.57298484500006</v>
      </c>
    </row>
    <row r="196" spans="1:9" ht="26.4">
      <c r="A196" s="331" t="s">
        <v>372</v>
      </c>
      <c r="B196" s="339"/>
      <c r="C196" s="340"/>
      <c r="D196" s="339"/>
      <c r="E196" s="341" t="s">
        <v>363</v>
      </c>
      <c r="F196" s="342">
        <f>F195</f>
        <v>566.57298484500006</v>
      </c>
    </row>
    <row r="197" spans="1:9">
      <c r="A197" s="331" t="s">
        <v>349</v>
      </c>
      <c r="B197" s="332" t="s">
        <v>373</v>
      </c>
      <c r="C197" s="333" t="s">
        <v>348</v>
      </c>
      <c r="D197" s="333" t="s">
        <v>351</v>
      </c>
      <c r="E197" s="333" t="s">
        <v>352</v>
      </c>
      <c r="F197" s="333" t="s">
        <v>353</v>
      </c>
    </row>
    <row r="198" spans="1:9">
      <c r="A198" s="335"/>
      <c r="B198" s="336"/>
      <c r="C198" s="337"/>
      <c r="D198" s="337"/>
      <c r="E198" s="338"/>
      <c r="F198" s="338"/>
    </row>
    <row r="199" spans="1:9">
      <c r="A199" s="331" t="s">
        <v>374</v>
      </c>
      <c r="B199" s="339"/>
      <c r="C199" s="340"/>
      <c r="D199" s="339"/>
      <c r="E199" s="341" t="s">
        <v>363</v>
      </c>
      <c r="F199" s="342">
        <f>F198</f>
        <v>0</v>
      </c>
    </row>
    <row r="200" spans="1:9">
      <c r="A200" s="331" t="s">
        <v>349</v>
      </c>
      <c r="B200" s="332" t="s">
        <v>375</v>
      </c>
      <c r="C200" s="333" t="s">
        <v>348</v>
      </c>
      <c r="D200" s="333" t="s">
        <v>351</v>
      </c>
      <c r="E200" s="333" t="s">
        <v>352</v>
      </c>
      <c r="F200" s="333" t="s">
        <v>353</v>
      </c>
    </row>
    <row r="201" spans="1:9">
      <c r="A201" s="335" t="s">
        <v>376</v>
      </c>
      <c r="B201" s="336" t="s">
        <v>377</v>
      </c>
      <c r="C201" s="337" t="s">
        <v>48</v>
      </c>
      <c r="D201" s="343">
        <v>2.2000000000000001E-3</v>
      </c>
      <c r="E201" s="338">
        <v>22326</v>
      </c>
      <c r="F201" s="338">
        <f>D201*E201</f>
        <v>49.117200000000004</v>
      </c>
    </row>
    <row r="202" spans="1:9">
      <c r="A202" s="331" t="s">
        <v>374</v>
      </c>
      <c r="B202" s="339"/>
      <c r="C202" s="340"/>
      <c r="D202" s="339"/>
      <c r="E202" s="341" t="s">
        <v>363</v>
      </c>
      <c r="F202" s="342">
        <f>F201</f>
        <v>49.117200000000004</v>
      </c>
    </row>
    <row r="203" spans="1:9" ht="13.8">
      <c r="A203" s="533" t="s">
        <v>378</v>
      </c>
      <c r="B203" s="533"/>
      <c r="C203" s="533"/>
      <c r="D203" s="533"/>
      <c r="E203" s="534">
        <f>F190+F193+F196+F199+F202</f>
        <v>23184.777923269256</v>
      </c>
      <c r="F203" s="535"/>
    </row>
    <row r="204" spans="1:9" ht="13.8">
      <c r="A204" s="397"/>
      <c r="B204" s="397"/>
      <c r="C204" s="397"/>
      <c r="D204" s="397"/>
      <c r="E204" s="398"/>
      <c r="F204" s="398"/>
    </row>
    <row r="205" spans="1:9">
      <c r="A205" s="539" t="s">
        <v>487</v>
      </c>
      <c r="B205" s="539"/>
      <c r="C205" s="539"/>
      <c r="D205" s="539"/>
      <c r="E205" s="539"/>
      <c r="F205" s="540" t="s">
        <v>488</v>
      </c>
      <c r="G205" s="540"/>
      <c r="H205" s="540"/>
      <c r="I205" s="540"/>
    </row>
    <row r="206" spans="1:9">
      <c r="A206" s="539"/>
      <c r="B206" s="539"/>
      <c r="C206" s="539"/>
      <c r="D206" s="539"/>
      <c r="E206" s="539"/>
      <c r="F206" s="540"/>
      <c r="G206" s="540"/>
      <c r="H206" s="540"/>
      <c r="I206" s="540"/>
    </row>
    <row r="207" spans="1:9">
      <c r="A207" s="539"/>
      <c r="B207" s="539"/>
      <c r="C207" s="539"/>
      <c r="D207" s="539"/>
      <c r="E207" s="539"/>
      <c r="F207" s="540"/>
      <c r="G207" s="540"/>
      <c r="H207" s="540"/>
      <c r="I207" s="540"/>
    </row>
    <row r="208" spans="1:9" ht="15.6">
      <c r="A208" s="438"/>
      <c r="B208" s="439"/>
      <c r="C208" s="439"/>
      <c r="D208" s="439"/>
      <c r="E208" s="439"/>
      <c r="F208" s="440"/>
      <c r="G208" s="440"/>
      <c r="H208" s="440"/>
      <c r="I208" s="441"/>
    </row>
    <row r="209" spans="1:9" ht="15.6">
      <c r="A209" s="359" t="s">
        <v>489</v>
      </c>
      <c r="B209" s="541" t="str">
        <f>B163</f>
        <v xml:space="preserve">BISAGRA CON CANDADO </v>
      </c>
      <c r="C209" s="541"/>
      <c r="D209" s="541"/>
      <c r="E209" s="541"/>
      <c r="F209" s="541"/>
      <c r="G209" s="541"/>
      <c r="H209" s="541"/>
      <c r="I209" s="542"/>
    </row>
    <row r="210" spans="1:9" ht="15">
      <c r="A210" s="373" t="s">
        <v>490</v>
      </c>
      <c r="B210" s="541"/>
      <c r="C210" s="541"/>
      <c r="D210" s="541"/>
      <c r="E210" s="541"/>
      <c r="F210" s="541"/>
      <c r="G210" s="541"/>
      <c r="H210" s="541"/>
      <c r="I210" s="542"/>
    </row>
    <row r="211" spans="1:9" ht="15.6">
      <c r="A211" s="357" t="s">
        <v>95</v>
      </c>
      <c r="B211" s="543">
        <f>'[12]presupuesto completo '!B171</f>
        <v>0</v>
      </c>
      <c r="C211" s="543"/>
      <c r="D211" s="543"/>
      <c r="E211" s="543"/>
      <c r="F211" s="543"/>
      <c r="G211" s="543"/>
      <c r="H211" s="543"/>
      <c r="I211" s="544"/>
    </row>
    <row r="212" spans="1:9">
      <c r="A212" s="545">
        <f>'[12]presupuesto completo '!A171</f>
        <v>0</v>
      </c>
      <c r="B212" s="543"/>
      <c r="C212" s="543"/>
      <c r="D212" s="543"/>
      <c r="E212" s="543"/>
      <c r="F212" s="543"/>
      <c r="G212" s="543"/>
      <c r="H212" s="543"/>
      <c r="I212" s="544"/>
    </row>
    <row r="213" spans="1:9">
      <c r="A213" s="545"/>
      <c r="B213" s="543"/>
      <c r="C213" s="543"/>
      <c r="D213" s="543"/>
      <c r="E213" s="543"/>
      <c r="F213" s="543"/>
      <c r="G213" s="543"/>
      <c r="H213" s="543"/>
      <c r="I213" s="544"/>
    </row>
    <row r="214" spans="1:9" ht="15.6">
      <c r="A214" s="358"/>
      <c r="B214" s="546"/>
      <c r="C214" s="546"/>
      <c r="D214" s="546"/>
      <c r="E214" s="546"/>
      <c r="F214" s="546"/>
      <c r="G214" s="546"/>
      <c r="H214" s="546"/>
      <c r="I214" s="547"/>
    </row>
    <row r="215" spans="1:9" ht="15.6">
      <c r="A215" s="359"/>
      <c r="B215" s="360"/>
      <c r="C215" s="360"/>
      <c r="D215" s="361"/>
      <c r="E215" s="361"/>
      <c r="F215" s="361"/>
      <c r="G215" s="361"/>
      <c r="H215" s="362" t="s">
        <v>20</v>
      </c>
      <c r="I215" s="363">
        <f>'[12]presupuesto completo '!C171</f>
        <v>0</v>
      </c>
    </row>
    <row r="216" spans="1:9" ht="15.6">
      <c r="A216" s="359" t="s">
        <v>21</v>
      </c>
      <c r="B216" s="360"/>
      <c r="C216" s="360"/>
      <c r="D216" s="360"/>
      <c r="E216" s="361"/>
      <c r="F216" s="361"/>
      <c r="G216" s="361"/>
      <c r="H216" s="364"/>
      <c r="I216" s="365"/>
    </row>
    <row r="217" spans="1:9" ht="15">
      <c r="A217" s="548" t="s">
        <v>22</v>
      </c>
      <c r="B217" s="548"/>
      <c r="C217" s="548"/>
      <c r="D217" s="548"/>
      <c r="E217" s="548"/>
      <c r="F217" s="366" t="s">
        <v>11</v>
      </c>
      <c r="G217" s="366" t="s">
        <v>23</v>
      </c>
      <c r="H217" s="367" t="s">
        <v>24</v>
      </c>
      <c r="I217" s="368" t="s">
        <v>25</v>
      </c>
    </row>
    <row r="218" spans="1:9" ht="15">
      <c r="A218" s="526" t="s">
        <v>26</v>
      </c>
      <c r="B218" s="527"/>
      <c r="C218" s="527"/>
      <c r="D218" s="527"/>
      <c r="E218" s="528"/>
      <c r="F218" s="369"/>
      <c r="G218" s="370"/>
      <c r="H218" s="371"/>
      <c r="I218" s="304">
        <f>ROUND(I241*0.05,)</f>
        <v>1726</v>
      </c>
    </row>
    <row r="219" spans="1:9" ht="15">
      <c r="A219" s="526" t="s">
        <v>388</v>
      </c>
      <c r="B219" s="527"/>
      <c r="C219" s="527"/>
      <c r="D219" s="527"/>
      <c r="E219" s="528"/>
      <c r="F219" s="369">
        <v>1</v>
      </c>
      <c r="G219" s="370">
        <v>30000</v>
      </c>
      <c r="H219" s="371">
        <f>+H240</f>
        <v>8</v>
      </c>
      <c r="I219" s="372">
        <f>+ROUND((F219*G219)/H219,0)</f>
        <v>3750</v>
      </c>
    </row>
    <row r="220" spans="1:9" ht="15">
      <c r="A220" s="526" t="s">
        <v>389</v>
      </c>
      <c r="B220" s="527"/>
      <c r="C220" s="527"/>
      <c r="D220" s="527"/>
      <c r="E220" s="528"/>
      <c r="F220" s="369">
        <v>2</v>
      </c>
      <c r="G220" s="370">
        <v>4000</v>
      </c>
      <c r="H220" s="371">
        <f>+H240</f>
        <v>8</v>
      </c>
      <c r="I220" s="372">
        <f t="shared" ref="I220:I221" si="3">+ROUND((F220*G220)/H220,0)</f>
        <v>1000</v>
      </c>
    </row>
    <row r="221" spans="1:9" ht="13.95" customHeight="1">
      <c r="A221" s="526" t="s">
        <v>390</v>
      </c>
      <c r="B221" s="527"/>
      <c r="C221" s="527"/>
      <c r="D221" s="527"/>
      <c r="E221" s="528"/>
      <c r="F221" s="369">
        <v>1</v>
      </c>
      <c r="G221" s="370">
        <v>30000</v>
      </c>
      <c r="H221" s="371">
        <f>+H240</f>
        <v>8</v>
      </c>
      <c r="I221" s="372">
        <f t="shared" si="3"/>
        <v>3750</v>
      </c>
    </row>
    <row r="222" spans="1:9" ht="15.6">
      <c r="A222" s="373"/>
      <c r="B222" s="361"/>
      <c r="C222" s="361"/>
      <c r="D222" s="361"/>
      <c r="E222" s="361"/>
      <c r="F222" s="361"/>
      <c r="G222" s="374"/>
      <c r="H222" s="362" t="s">
        <v>27</v>
      </c>
      <c r="I222" s="379">
        <f>ROUND((SUM(I218:I221)),2)</f>
        <v>10226</v>
      </c>
    </row>
    <row r="223" spans="1:9" ht="15.6">
      <c r="A223" s="359" t="s">
        <v>28</v>
      </c>
      <c r="B223" s="360"/>
      <c r="C223" s="360"/>
      <c r="D223" s="360"/>
      <c r="E223" s="361"/>
      <c r="F223" s="361"/>
      <c r="G223" s="374"/>
      <c r="H223" s="364"/>
      <c r="I223" s="365"/>
    </row>
    <row r="224" spans="1:9" ht="15">
      <c r="A224" s="548" t="s">
        <v>22</v>
      </c>
      <c r="B224" s="548"/>
      <c r="C224" s="548"/>
      <c r="D224" s="548"/>
      <c r="E224" s="548"/>
      <c r="F224" s="366" t="s">
        <v>29</v>
      </c>
      <c r="G224" s="375" t="s">
        <v>30</v>
      </c>
      <c r="H224" s="367" t="s">
        <v>31</v>
      </c>
      <c r="I224" s="368" t="s">
        <v>25</v>
      </c>
    </row>
    <row r="225" spans="1:9" ht="15">
      <c r="A225" s="552" t="s">
        <v>492</v>
      </c>
      <c r="B225" s="552"/>
      <c r="C225" s="552"/>
      <c r="D225" s="552"/>
      <c r="E225" s="552"/>
      <c r="F225" s="366" t="s">
        <v>50</v>
      </c>
      <c r="G225" s="370">
        <v>17000</v>
      </c>
      <c r="H225" s="376">
        <v>1.1000000000000001</v>
      </c>
      <c r="I225" s="304">
        <f>ROUND(G225*H225,)</f>
        <v>18700</v>
      </c>
    </row>
    <row r="226" spans="1:9" ht="15">
      <c r="A226" s="552" t="s">
        <v>391</v>
      </c>
      <c r="B226" s="552"/>
      <c r="C226" s="552"/>
      <c r="D226" s="552"/>
      <c r="E226" s="552"/>
      <c r="F226" s="366" t="s">
        <v>29</v>
      </c>
      <c r="G226" s="370">
        <v>1201</v>
      </c>
      <c r="H226" s="377">
        <v>3</v>
      </c>
      <c r="I226" s="304">
        <f t="shared" ref="I226:I227" si="4">ROUND(G226*H226,)</f>
        <v>3603</v>
      </c>
    </row>
    <row r="227" spans="1:9" ht="15">
      <c r="A227" s="552" t="s">
        <v>493</v>
      </c>
      <c r="B227" s="552"/>
      <c r="C227" s="552"/>
      <c r="D227" s="552"/>
      <c r="E227" s="552"/>
      <c r="F227" s="366" t="s">
        <v>96</v>
      </c>
      <c r="G227" s="370">
        <v>20000</v>
      </c>
      <c r="H227" s="376">
        <v>1.3</v>
      </c>
      <c r="I227" s="304">
        <f t="shared" si="4"/>
        <v>26000</v>
      </c>
    </row>
    <row r="228" spans="1:9" ht="15">
      <c r="A228" s="401"/>
      <c r="B228" s="402"/>
      <c r="C228" s="402"/>
      <c r="D228" s="402"/>
      <c r="E228" s="403"/>
      <c r="F228" s="378"/>
      <c r="G228" s="442"/>
      <c r="H228" s="376"/>
      <c r="I228" s="304"/>
    </row>
    <row r="229" spans="1:9" ht="15">
      <c r="A229" s="553"/>
      <c r="B229" s="554"/>
      <c r="C229" s="554"/>
      <c r="D229" s="554"/>
      <c r="E229" s="555"/>
      <c r="F229" s="378"/>
      <c r="G229" s="443"/>
      <c r="H229" s="444"/>
      <c r="I229" s="304"/>
    </row>
    <row r="230" spans="1:9" ht="15">
      <c r="A230" s="556"/>
      <c r="B230" s="556"/>
      <c r="C230" s="556"/>
      <c r="D230" s="556"/>
      <c r="E230" s="556"/>
      <c r="F230" s="366"/>
      <c r="G230" s="370"/>
      <c r="H230" s="376"/>
      <c r="I230" s="304"/>
    </row>
    <row r="231" spans="1:9" ht="15.6">
      <c r="A231" s="373"/>
      <c r="B231" s="361"/>
      <c r="C231" s="361"/>
      <c r="D231" s="361"/>
      <c r="E231" s="361"/>
      <c r="F231" s="361"/>
      <c r="G231" s="374"/>
      <c r="H231" s="362" t="s">
        <v>27</v>
      </c>
      <c r="I231" s="379">
        <f>ROUND((SUM(I225:I230)),2)</f>
        <v>48303</v>
      </c>
    </row>
    <row r="232" spans="1:9" ht="15.6">
      <c r="A232" s="359" t="s">
        <v>32</v>
      </c>
      <c r="B232" s="360"/>
      <c r="C232" s="360"/>
      <c r="D232" s="360"/>
      <c r="E232" s="361"/>
      <c r="F232" s="361"/>
      <c r="G232" s="361"/>
      <c r="H232" s="364"/>
      <c r="I232" s="365"/>
    </row>
    <row r="233" spans="1:9" ht="13.95" customHeight="1">
      <c r="A233" s="548" t="s">
        <v>33</v>
      </c>
      <c r="B233" s="548"/>
      <c r="C233" s="548"/>
      <c r="D233" s="548"/>
      <c r="E233" s="380" t="s">
        <v>34</v>
      </c>
      <c r="F233" s="366" t="s">
        <v>35</v>
      </c>
      <c r="G233" s="366" t="s">
        <v>36</v>
      </c>
      <c r="H233" s="367" t="s">
        <v>37</v>
      </c>
      <c r="I233" s="368" t="s">
        <v>25</v>
      </c>
    </row>
    <row r="234" spans="1:9" ht="15">
      <c r="A234" s="556" t="s">
        <v>393</v>
      </c>
      <c r="B234" s="556"/>
      <c r="C234" s="556"/>
      <c r="D234" s="556"/>
      <c r="E234" s="381"/>
      <c r="F234" s="381"/>
      <c r="G234" s="381"/>
      <c r="H234" s="370"/>
      <c r="I234" s="304">
        <f>ROUND(I231*0.05,0)</f>
        <v>2415</v>
      </c>
    </row>
    <row r="235" spans="1:9" ht="27" customHeight="1">
      <c r="A235" s="556" t="s">
        <v>491</v>
      </c>
      <c r="B235" s="556"/>
      <c r="C235" s="556"/>
      <c r="D235" s="556"/>
      <c r="E235" s="381"/>
      <c r="F235" s="381"/>
      <c r="G235" s="381"/>
      <c r="H235" s="370">
        <v>10000</v>
      </c>
      <c r="I235" s="304">
        <f>H235</f>
        <v>10000</v>
      </c>
    </row>
    <row r="236" spans="1:9" ht="15">
      <c r="A236" s="556"/>
      <c r="B236" s="556"/>
      <c r="C236" s="556"/>
      <c r="D236" s="556"/>
      <c r="E236" s="381"/>
      <c r="F236" s="381"/>
      <c r="G236" s="381"/>
      <c r="H236" s="370"/>
      <c r="I236" s="304"/>
    </row>
    <row r="237" spans="1:9" ht="15.6">
      <c r="A237" s="373"/>
      <c r="B237" s="361"/>
      <c r="C237" s="361"/>
      <c r="D237" s="361"/>
      <c r="E237" s="361"/>
      <c r="F237" s="361"/>
      <c r="G237" s="361"/>
      <c r="H237" s="362" t="s">
        <v>27</v>
      </c>
      <c r="I237" s="379">
        <f>ROUND((SUM(I234:I236)),2)</f>
        <v>12415</v>
      </c>
    </row>
    <row r="238" spans="1:9" ht="15.6">
      <c r="A238" s="359" t="s">
        <v>38</v>
      </c>
      <c r="B238" s="360"/>
      <c r="C238" s="360"/>
      <c r="D238" s="360"/>
      <c r="E238" s="361"/>
      <c r="F238" s="361"/>
      <c r="G238" s="361"/>
      <c r="H238" s="364"/>
      <c r="I238" s="365"/>
    </row>
    <row r="239" spans="1:9" ht="15">
      <c r="A239" s="548" t="s">
        <v>39</v>
      </c>
      <c r="B239" s="548"/>
      <c r="C239" s="548"/>
      <c r="D239" s="548"/>
      <c r="E239" s="366" t="s">
        <v>2</v>
      </c>
      <c r="F239" s="557" t="s">
        <v>40</v>
      </c>
      <c r="G239" s="557"/>
      <c r="H239" s="367" t="s">
        <v>24</v>
      </c>
      <c r="I239" s="368" t="s">
        <v>25</v>
      </c>
    </row>
    <row r="240" spans="1:9" ht="15">
      <c r="A240" s="558" t="s">
        <v>494</v>
      </c>
      <c r="B240" s="559"/>
      <c r="C240" s="559"/>
      <c r="D240" s="560"/>
      <c r="E240" s="382">
        <v>1</v>
      </c>
      <c r="F240" s="561">
        <v>276160</v>
      </c>
      <c r="G240" s="562"/>
      <c r="H240" s="367">
        <v>8</v>
      </c>
      <c r="I240" s="304">
        <f>ROUND(F240/H240,)</f>
        <v>34520</v>
      </c>
    </row>
    <row r="241" spans="1:9" ht="15.6">
      <c r="A241" s="373"/>
      <c r="B241" s="361"/>
      <c r="C241" s="361"/>
      <c r="D241" s="361"/>
      <c r="E241" s="374"/>
      <c r="F241" s="383"/>
      <c r="G241" s="374"/>
      <c r="H241" s="362" t="s">
        <v>27</v>
      </c>
      <c r="I241" s="379">
        <f>ROUND((SUM(I240:I240)),2)</f>
        <v>34520</v>
      </c>
    </row>
    <row r="242" spans="1:9" ht="15">
      <c r="A242" s="373"/>
      <c r="B242" s="361"/>
      <c r="C242" s="361"/>
      <c r="D242" s="361"/>
      <c r="E242" s="374"/>
      <c r="F242" s="374"/>
      <c r="G242" s="374"/>
      <c r="H242" s="364"/>
      <c r="I242" s="363"/>
    </row>
    <row r="243" spans="1:9" ht="15.6">
      <c r="A243" s="373"/>
      <c r="B243" s="361"/>
      <c r="C243" s="361"/>
      <c r="D243" s="361"/>
      <c r="E243" s="374"/>
      <c r="F243" s="384" t="s">
        <v>41</v>
      </c>
      <c r="G243" s="361"/>
      <c r="H243" s="385"/>
      <c r="I243" s="379">
        <f>+I241+I237+I231+I222</f>
        <v>105464</v>
      </c>
    </row>
    <row r="244" spans="1:9" ht="15.6">
      <c r="A244" s="359" t="s">
        <v>42</v>
      </c>
      <c r="B244" s="360"/>
      <c r="C244" s="360"/>
      <c r="D244" s="360"/>
      <c r="E244" s="374"/>
      <c r="F244" s="374"/>
      <c r="G244" s="374"/>
      <c r="H244" s="364"/>
      <c r="I244" s="365"/>
    </row>
    <row r="245" spans="1:9" ht="15">
      <c r="A245" s="548" t="s">
        <v>22</v>
      </c>
      <c r="B245" s="548"/>
      <c r="C245" s="548"/>
      <c r="D245" s="548"/>
      <c r="E245" s="548"/>
      <c r="F245" s="548"/>
      <c r="G245" s="548"/>
      <c r="H245" s="367" t="s">
        <v>43</v>
      </c>
      <c r="I245" s="368" t="s">
        <v>44</v>
      </c>
    </row>
    <row r="246" spans="1:9" ht="15">
      <c r="A246" s="556" t="s">
        <v>45</v>
      </c>
      <c r="B246" s="556"/>
      <c r="C246" s="556"/>
      <c r="D246" s="556"/>
      <c r="E246" s="556"/>
      <c r="F246" s="556"/>
      <c r="G246" s="556"/>
      <c r="H246" s="386"/>
      <c r="I246" s="304"/>
    </row>
    <row r="247" spans="1:9" ht="15">
      <c r="A247" s="556" t="s">
        <v>46</v>
      </c>
      <c r="B247" s="556"/>
      <c r="C247" s="556"/>
      <c r="D247" s="556"/>
      <c r="E247" s="556"/>
      <c r="F247" s="556"/>
      <c r="G247" s="556"/>
      <c r="H247" s="386"/>
      <c r="I247" s="304"/>
    </row>
    <row r="248" spans="1:9" ht="15">
      <c r="A248" s="556" t="s">
        <v>49</v>
      </c>
      <c r="B248" s="556"/>
      <c r="C248" s="556"/>
      <c r="D248" s="556"/>
      <c r="E248" s="556"/>
      <c r="F248" s="556"/>
      <c r="G248" s="556"/>
      <c r="H248" s="386"/>
      <c r="I248" s="304"/>
    </row>
    <row r="249" spans="1:9" ht="15.6">
      <c r="A249" s="373"/>
      <c r="B249" s="361"/>
      <c r="C249" s="361"/>
      <c r="D249" s="361"/>
      <c r="E249" s="374"/>
      <c r="F249" s="374"/>
      <c r="G249" s="374"/>
      <c r="H249" s="362" t="s">
        <v>27</v>
      </c>
      <c r="I249" s="379">
        <f>ROUND((SUM(I246:I248)),0)</f>
        <v>0</v>
      </c>
    </row>
    <row r="250" spans="1:9" ht="15">
      <c r="A250" s="373"/>
      <c r="B250" s="361"/>
      <c r="C250" s="361"/>
      <c r="D250" s="361"/>
      <c r="E250" s="374"/>
      <c r="F250" s="374"/>
      <c r="G250" s="374"/>
      <c r="H250" s="364"/>
      <c r="I250" s="365"/>
    </row>
    <row r="251" spans="1:9" ht="15.6">
      <c r="A251" s="373"/>
      <c r="B251" s="361"/>
      <c r="C251" s="361"/>
      <c r="D251" s="361"/>
      <c r="E251" s="374"/>
      <c r="F251" s="384"/>
      <c r="G251" s="387"/>
      <c r="H251" s="388" t="s">
        <v>47</v>
      </c>
      <c r="I251" s="379">
        <f>ROUND((I243+I249),0)</f>
        <v>105464</v>
      </c>
    </row>
    <row r="253" spans="1:9">
      <c r="A253" s="536" t="str">
        <f>PRESUPUESTO!B27</f>
        <v>Suministro e instalación de SALIDA SANITARIA DE 4". Incluye accesorios, tubería 4.0m y todo lo necesario para su buen funcionamiento.</v>
      </c>
      <c r="B253" s="536"/>
      <c r="C253" s="536"/>
      <c r="D253" s="536"/>
      <c r="E253" s="328" t="s">
        <v>347</v>
      </c>
      <c r="F253" s="333" t="s">
        <v>348</v>
      </c>
    </row>
    <row r="254" spans="1:9" ht="13.8">
      <c r="A254" s="536"/>
      <c r="B254" s="536"/>
      <c r="C254" s="536"/>
      <c r="D254" s="536"/>
      <c r="E254" s="446" t="str">
        <f>PRESUPUESTO!A27</f>
        <v>5.1</v>
      </c>
      <c r="F254" s="447" t="str">
        <f>PRESUPUESTO!C27</f>
        <v>UND</v>
      </c>
    </row>
    <row r="255" spans="1:9">
      <c r="A255" s="331" t="s">
        <v>349</v>
      </c>
      <c r="B255" s="332" t="s">
        <v>350</v>
      </c>
      <c r="C255" s="333" t="s">
        <v>348</v>
      </c>
      <c r="D255" s="333" t="s">
        <v>351</v>
      </c>
      <c r="E255" s="333" t="s">
        <v>352</v>
      </c>
      <c r="F255" s="329" t="s">
        <v>353</v>
      </c>
    </row>
    <row r="256" spans="1:9">
      <c r="A256" s="335" t="s">
        <v>502</v>
      </c>
      <c r="B256" s="336" t="s">
        <v>503</v>
      </c>
      <c r="C256" s="448" t="s">
        <v>100</v>
      </c>
      <c r="D256" s="349">
        <v>4</v>
      </c>
      <c r="E256" s="449">
        <v>33416.78</v>
      </c>
      <c r="F256" s="450">
        <f>D256*E256</f>
        <v>133667.12</v>
      </c>
    </row>
    <row r="257" spans="1:6" ht="26.4">
      <c r="A257" s="335" t="s">
        <v>504</v>
      </c>
      <c r="B257" s="336" t="s">
        <v>505</v>
      </c>
      <c r="C257" s="448" t="s">
        <v>18</v>
      </c>
      <c r="D257" s="349">
        <v>1</v>
      </c>
      <c r="E257" s="449">
        <v>17079.22</v>
      </c>
      <c r="F257" s="450">
        <f t="shared" ref="F257:F264" si="5">D257*E257</f>
        <v>17079.22</v>
      </c>
    </row>
    <row r="258" spans="1:6" ht="26.4">
      <c r="A258" s="335" t="s">
        <v>506</v>
      </c>
      <c r="B258" s="336" t="s">
        <v>507</v>
      </c>
      <c r="C258" s="448" t="s">
        <v>18</v>
      </c>
      <c r="D258" s="349">
        <v>1</v>
      </c>
      <c r="E258" s="449">
        <v>17967.33944</v>
      </c>
      <c r="F258" s="450">
        <f t="shared" si="5"/>
        <v>17967.33944</v>
      </c>
    </row>
    <row r="259" spans="1:6" ht="26.4">
      <c r="A259" s="335" t="s">
        <v>521</v>
      </c>
      <c r="B259" s="336" t="s">
        <v>522</v>
      </c>
      <c r="C259" s="448" t="s">
        <v>18</v>
      </c>
      <c r="D259" s="349">
        <v>1</v>
      </c>
      <c r="E259" s="449">
        <v>15900</v>
      </c>
      <c r="F259" s="450">
        <f t="shared" si="5"/>
        <v>15900</v>
      </c>
    </row>
    <row r="260" spans="1:6" ht="26.4">
      <c r="A260" s="335" t="s">
        <v>508</v>
      </c>
      <c r="B260" s="336" t="s">
        <v>509</v>
      </c>
      <c r="C260" s="448" t="s">
        <v>18</v>
      </c>
      <c r="D260" s="349">
        <v>1</v>
      </c>
      <c r="E260" s="449">
        <v>10721.984</v>
      </c>
      <c r="F260" s="450">
        <f t="shared" si="5"/>
        <v>10721.984</v>
      </c>
    </row>
    <row r="261" spans="1:6" ht="26.4">
      <c r="A261" s="335" t="s">
        <v>510</v>
      </c>
      <c r="B261" s="336" t="s">
        <v>511</v>
      </c>
      <c r="C261" s="448" t="s">
        <v>18</v>
      </c>
      <c r="D261" s="349">
        <v>1</v>
      </c>
      <c r="E261" s="449">
        <v>22622.207999999999</v>
      </c>
      <c r="F261" s="450">
        <f t="shared" si="5"/>
        <v>22622.207999999999</v>
      </c>
    </row>
    <row r="262" spans="1:6" ht="26.4">
      <c r="A262" s="335" t="s">
        <v>512</v>
      </c>
      <c r="B262" s="451" t="s">
        <v>513</v>
      </c>
      <c r="C262" s="452" t="s">
        <v>18</v>
      </c>
      <c r="D262" s="453">
        <v>0.08</v>
      </c>
      <c r="E262" s="449">
        <v>130734.144</v>
      </c>
      <c r="F262" s="450">
        <f t="shared" si="5"/>
        <v>10458.731519999999</v>
      </c>
    </row>
    <row r="263" spans="1:6" ht="26.4">
      <c r="A263" s="335" t="s">
        <v>514</v>
      </c>
      <c r="B263" s="454" t="s">
        <v>515</v>
      </c>
      <c r="C263" s="448" t="s">
        <v>18</v>
      </c>
      <c r="D263" s="453">
        <v>0.08</v>
      </c>
      <c r="E263" s="449">
        <v>63120</v>
      </c>
      <c r="F263" s="450">
        <f t="shared" si="5"/>
        <v>5049.6000000000004</v>
      </c>
    </row>
    <row r="264" spans="1:6">
      <c r="A264" s="335" t="s">
        <v>516</v>
      </c>
      <c r="B264" s="454" t="s">
        <v>517</v>
      </c>
      <c r="C264" s="448" t="s">
        <v>17</v>
      </c>
      <c r="D264" s="455">
        <v>0.08</v>
      </c>
      <c r="E264" s="449">
        <v>19900</v>
      </c>
      <c r="F264" s="450">
        <f t="shared" si="5"/>
        <v>1592</v>
      </c>
    </row>
    <row r="265" spans="1:6">
      <c r="A265" s="331" t="s">
        <v>362</v>
      </c>
      <c r="B265" s="413"/>
      <c r="C265" s="456"/>
      <c r="D265" s="413"/>
      <c r="E265" s="457" t="s">
        <v>363</v>
      </c>
      <c r="F265" s="458">
        <f>SUM(F256:F264)</f>
        <v>235058.20296000002</v>
      </c>
    </row>
    <row r="266" spans="1:6">
      <c r="A266" s="331" t="s">
        <v>349</v>
      </c>
      <c r="B266" s="332" t="s">
        <v>364</v>
      </c>
      <c r="C266" s="333" t="s">
        <v>348</v>
      </c>
      <c r="D266" s="333" t="s">
        <v>351</v>
      </c>
      <c r="E266" s="333" t="s">
        <v>352</v>
      </c>
      <c r="F266" s="333" t="s">
        <v>353</v>
      </c>
    </row>
    <row r="267" spans="1:6" ht="26.4">
      <c r="A267" s="335" t="s">
        <v>518</v>
      </c>
      <c r="B267" s="336" t="s">
        <v>519</v>
      </c>
      <c r="C267" s="337" t="s">
        <v>367</v>
      </c>
      <c r="D267" s="453">
        <v>0.11</v>
      </c>
      <c r="E267" s="338">
        <v>269796.65945000004</v>
      </c>
      <c r="F267" s="338">
        <f>D267*E267</f>
        <v>29677.632539500006</v>
      </c>
    </row>
    <row r="268" spans="1:6" ht="26.4">
      <c r="A268" s="331" t="s">
        <v>368</v>
      </c>
      <c r="B268" s="339"/>
      <c r="C268" s="340"/>
      <c r="D268" s="339"/>
      <c r="E268" s="341" t="s">
        <v>363</v>
      </c>
      <c r="F268" s="342">
        <f>SUM(F267)</f>
        <v>29677.632539500006</v>
      </c>
    </row>
    <row r="269" spans="1:6">
      <c r="A269" s="331" t="s">
        <v>349</v>
      </c>
      <c r="B269" s="332" t="s">
        <v>369</v>
      </c>
      <c r="C269" s="333" t="s">
        <v>348</v>
      </c>
      <c r="D269" s="333" t="s">
        <v>351</v>
      </c>
      <c r="E269" s="333" t="s">
        <v>352</v>
      </c>
      <c r="F269" s="333" t="s">
        <v>353</v>
      </c>
    </row>
    <row r="270" spans="1:6" ht="26.4">
      <c r="A270" s="335" t="s">
        <v>370</v>
      </c>
      <c r="B270" s="336" t="s">
        <v>26</v>
      </c>
      <c r="C270" s="337" t="s">
        <v>371</v>
      </c>
      <c r="D270" s="349">
        <v>0.05</v>
      </c>
      <c r="E270" s="338">
        <f>F268</f>
        <v>29677.632539500006</v>
      </c>
      <c r="F270" s="338">
        <f>D270*E270</f>
        <v>1483.8816269750005</v>
      </c>
    </row>
    <row r="271" spans="1:6" ht="26.4">
      <c r="A271" s="331" t="s">
        <v>372</v>
      </c>
      <c r="B271" s="339"/>
      <c r="C271" s="340"/>
      <c r="D271" s="339"/>
      <c r="E271" s="341" t="s">
        <v>363</v>
      </c>
      <c r="F271" s="342">
        <f>SUM(F270)</f>
        <v>1483.8816269750005</v>
      </c>
    </row>
    <row r="272" spans="1:6">
      <c r="A272" s="331" t="s">
        <v>349</v>
      </c>
      <c r="B272" s="332" t="s">
        <v>375</v>
      </c>
      <c r="C272" s="333" t="s">
        <v>348</v>
      </c>
      <c r="D272" s="333" t="s">
        <v>351</v>
      </c>
      <c r="E272" s="333" t="s">
        <v>352</v>
      </c>
      <c r="F272" s="333" t="s">
        <v>353</v>
      </c>
    </row>
    <row r="273" spans="1:6" ht="26.4">
      <c r="A273" s="335" t="s">
        <v>520</v>
      </c>
      <c r="B273" s="459" t="s">
        <v>382</v>
      </c>
      <c r="C273" s="337" t="s">
        <v>348</v>
      </c>
      <c r="D273" s="453">
        <v>0.3</v>
      </c>
      <c r="E273" s="338">
        <v>2640</v>
      </c>
      <c r="F273" s="338">
        <f>D273*E273</f>
        <v>792</v>
      </c>
    </row>
    <row r="274" spans="1:6">
      <c r="A274" s="331" t="s">
        <v>374</v>
      </c>
      <c r="B274" s="459"/>
      <c r="C274" s="340"/>
      <c r="D274" s="339"/>
      <c r="E274" s="341" t="s">
        <v>363</v>
      </c>
      <c r="F274" s="342">
        <f>SUM(F273:F273)</f>
        <v>792</v>
      </c>
    </row>
    <row r="275" spans="1:6" ht="13.8">
      <c r="A275" s="533" t="s">
        <v>378</v>
      </c>
      <c r="B275" s="533"/>
      <c r="C275" s="533"/>
      <c r="D275" s="533"/>
      <c r="E275" s="534">
        <f>F265+F268+F271+F274</f>
        <v>267011.71712647507</v>
      </c>
      <c r="F275" s="535"/>
    </row>
    <row r="277" spans="1:6" ht="71.400000000000006" customHeight="1">
      <c r="A277" s="536" t="str">
        <f>PRESUPUESTO!B28</f>
        <v>Construcción de CAJA DE INSPECCIÓN Y/O EMPALME DE 40*40*40 CMS concreto de 17.5Mpa, medidas internas (L=40cm). Incluye suministro e instalación de los materiales, tapa y herraje y todos los elementos necesarios para su correcta construcción y funcionamiento. Según normas técnicas de EEPP de Medellín. La excavación, llenos, entresuelo y acero de refuerzo se pagarán en su ítem respectivo.</v>
      </c>
      <c r="B277" s="536"/>
      <c r="C277" s="536"/>
      <c r="D277" s="536"/>
      <c r="E277" s="328" t="s">
        <v>347</v>
      </c>
      <c r="F277" s="333" t="s">
        <v>348</v>
      </c>
    </row>
    <row r="278" spans="1:6" ht="13.8">
      <c r="A278" s="536"/>
      <c r="B278" s="536"/>
      <c r="C278" s="536"/>
      <c r="D278" s="536"/>
      <c r="E278" s="446" t="str">
        <f>PRESUPUESTO!A28</f>
        <v>5.2</v>
      </c>
      <c r="F278" s="447" t="str">
        <f>PRESUPUESTO!C28</f>
        <v>UND</v>
      </c>
    </row>
    <row r="279" spans="1:6">
      <c r="A279" s="389" t="s">
        <v>349</v>
      </c>
      <c r="B279" s="460" t="s">
        <v>350</v>
      </c>
      <c r="C279" s="329" t="s">
        <v>348</v>
      </c>
      <c r="D279" s="329" t="s">
        <v>351</v>
      </c>
      <c r="E279" s="329" t="s">
        <v>352</v>
      </c>
      <c r="F279" s="329" t="s">
        <v>353</v>
      </c>
    </row>
    <row r="280" spans="1:6">
      <c r="A280" s="461" t="s">
        <v>523</v>
      </c>
      <c r="B280" s="461" t="s">
        <v>524</v>
      </c>
      <c r="C280" s="462" t="s">
        <v>525</v>
      </c>
      <c r="D280" s="463">
        <v>0.17849999999999999</v>
      </c>
      <c r="E280" s="464">
        <v>490227.79200000002</v>
      </c>
      <c r="F280" s="464">
        <f>D280*E280</f>
        <v>87505.660871999993</v>
      </c>
    </row>
    <row r="281" spans="1:6" ht="26.4">
      <c r="A281" s="461" t="s">
        <v>526</v>
      </c>
      <c r="B281" s="461" t="s">
        <v>434</v>
      </c>
      <c r="C281" s="462" t="s">
        <v>216</v>
      </c>
      <c r="D281" s="463">
        <v>0.105</v>
      </c>
      <c r="E281" s="464">
        <v>5100</v>
      </c>
      <c r="F281" s="464">
        <f>D281*E281</f>
        <v>535.5</v>
      </c>
    </row>
    <row r="282" spans="1:6" ht="26.4">
      <c r="A282" s="461" t="s">
        <v>527</v>
      </c>
      <c r="B282" s="461" t="s">
        <v>440</v>
      </c>
      <c r="C282" s="462" t="s">
        <v>18</v>
      </c>
      <c r="D282" s="463">
        <v>0.8</v>
      </c>
      <c r="E282" s="464">
        <v>27500</v>
      </c>
      <c r="F282" s="464">
        <f>D282*E282</f>
        <v>22000</v>
      </c>
    </row>
    <row r="283" spans="1:6" ht="26.4">
      <c r="A283" s="461" t="s">
        <v>528</v>
      </c>
      <c r="B283" s="461" t="s">
        <v>529</v>
      </c>
      <c r="C283" s="462" t="s">
        <v>18</v>
      </c>
      <c r="D283" s="463">
        <v>1</v>
      </c>
      <c r="E283" s="464">
        <v>76240.559779999996</v>
      </c>
      <c r="F283" s="464">
        <f>D283*E283</f>
        <v>76240.559779999996</v>
      </c>
    </row>
    <row r="284" spans="1:6">
      <c r="A284" s="461" t="s">
        <v>530</v>
      </c>
      <c r="B284" s="461" t="s">
        <v>531</v>
      </c>
      <c r="C284" s="462" t="s">
        <v>43</v>
      </c>
      <c r="D284" s="463">
        <v>0.03</v>
      </c>
      <c r="E284" s="464">
        <v>186281.72065199999</v>
      </c>
      <c r="F284" s="464">
        <f>D284*E284</f>
        <v>5588.451619559999</v>
      </c>
    </row>
    <row r="285" spans="1:6">
      <c r="A285" s="331" t="s">
        <v>362</v>
      </c>
      <c r="B285" s="339"/>
      <c r="C285" s="340"/>
      <c r="D285" s="413"/>
      <c r="E285" s="341" t="s">
        <v>363</v>
      </c>
      <c r="F285" s="458">
        <f>SUM(F280:F284)</f>
        <v>191870.17227155998</v>
      </c>
    </row>
    <row r="286" spans="1:6">
      <c r="A286" s="331" t="s">
        <v>349</v>
      </c>
      <c r="B286" s="332" t="s">
        <v>364</v>
      </c>
      <c r="C286" s="333" t="s">
        <v>348</v>
      </c>
      <c r="D286" s="333" t="s">
        <v>351</v>
      </c>
      <c r="E286" s="333" t="s">
        <v>352</v>
      </c>
      <c r="F286" s="333" t="s">
        <v>353</v>
      </c>
    </row>
    <row r="287" spans="1:6" ht="26.4">
      <c r="A287" s="335" t="s">
        <v>518</v>
      </c>
      <c r="B287" s="336" t="s">
        <v>519</v>
      </c>
      <c r="C287" s="337" t="s">
        <v>367</v>
      </c>
      <c r="D287" s="349">
        <v>0.6</v>
      </c>
      <c r="E287" s="338">
        <v>269796.65945000004</v>
      </c>
      <c r="F287" s="338">
        <f>D287*E287</f>
        <v>161877.99567</v>
      </c>
    </row>
    <row r="288" spans="1:6" ht="26.4">
      <c r="A288" s="331" t="s">
        <v>368</v>
      </c>
      <c r="B288" s="339"/>
      <c r="C288" s="340"/>
      <c r="D288" s="339"/>
      <c r="E288" s="341" t="s">
        <v>363</v>
      </c>
      <c r="F288" s="342">
        <f>SUM(F287)</f>
        <v>161877.99567</v>
      </c>
    </row>
    <row r="289" spans="1:6">
      <c r="A289" s="331" t="s">
        <v>349</v>
      </c>
      <c r="B289" s="332" t="s">
        <v>369</v>
      </c>
      <c r="C289" s="333" t="s">
        <v>348</v>
      </c>
      <c r="D289" s="333" t="s">
        <v>351</v>
      </c>
      <c r="E289" s="333" t="s">
        <v>352</v>
      </c>
      <c r="F289" s="333" t="s">
        <v>353</v>
      </c>
    </row>
    <row r="290" spans="1:6" ht="26.4">
      <c r="A290" s="335" t="s">
        <v>370</v>
      </c>
      <c r="B290" s="336" t="s">
        <v>26</v>
      </c>
      <c r="C290" s="337" t="s">
        <v>371</v>
      </c>
      <c r="D290" s="349">
        <v>0.05</v>
      </c>
      <c r="E290" s="338">
        <f>F288</f>
        <v>161877.99567</v>
      </c>
      <c r="F290" s="338">
        <f>D290*E290</f>
        <v>8093.8997835000009</v>
      </c>
    </row>
    <row r="291" spans="1:6" ht="26.4">
      <c r="A291" s="331" t="s">
        <v>372</v>
      </c>
      <c r="B291" s="339"/>
      <c r="C291" s="340"/>
      <c r="D291" s="339"/>
      <c r="E291" s="341" t="s">
        <v>363</v>
      </c>
      <c r="F291" s="342">
        <f>SUM(F290)</f>
        <v>8093.8997835000009</v>
      </c>
    </row>
    <row r="292" spans="1:6">
      <c r="A292" s="465" t="s">
        <v>349</v>
      </c>
      <c r="B292" s="466" t="s">
        <v>383</v>
      </c>
      <c r="C292" s="467" t="s">
        <v>348</v>
      </c>
      <c r="D292" s="467" t="s">
        <v>351</v>
      </c>
      <c r="E292" s="467" t="s">
        <v>352</v>
      </c>
      <c r="F292" s="467" t="s">
        <v>353</v>
      </c>
    </row>
    <row r="293" spans="1:6" ht="39.6">
      <c r="A293" s="468" t="s">
        <v>532</v>
      </c>
      <c r="B293" s="459" t="s">
        <v>413</v>
      </c>
      <c r="C293" s="469" t="s">
        <v>533</v>
      </c>
      <c r="D293" s="470">
        <v>0.14000000000000001</v>
      </c>
      <c r="E293" s="471">
        <v>74175.575242100182</v>
      </c>
      <c r="F293" s="471">
        <f>D293*E293</f>
        <v>10384.580533894026</v>
      </c>
    </row>
    <row r="294" spans="1:6" ht="26.4">
      <c r="A294" s="468" t="s">
        <v>534</v>
      </c>
      <c r="B294" s="336" t="s">
        <v>535</v>
      </c>
      <c r="C294" s="469" t="s">
        <v>533</v>
      </c>
      <c r="D294" s="470">
        <v>1</v>
      </c>
      <c r="E294" s="471">
        <v>14948.92</v>
      </c>
      <c r="F294" s="471">
        <f>D294*E294</f>
        <v>14948.92</v>
      </c>
    </row>
    <row r="295" spans="1:6">
      <c r="A295" s="465" t="s">
        <v>384</v>
      </c>
      <c r="B295" s="472"/>
      <c r="C295" s="473"/>
      <c r="D295" s="472"/>
      <c r="E295" s="474" t="s">
        <v>363</v>
      </c>
      <c r="F295" s="475">
        <f>SUM(F293:F294)</f>
        <v>25333.500533894025</v>
      </c>
    </row>
    <row r="296" spans="1:6">
      <c r="A296" s="331" t="s">
        <v>349</v>
      </c>
      <c r="B296" s="332" t="s">
        <v>375</v>
      </c>
      <c r="C296" s="333" t="s">
        <v>348</v>
      </c>
      <c r="D296" s="333" t="s">
        <v>351</v>
      </c>
      <c r="E296" s="333" t="s">
        <v>352</v>
      </c>
      <c r="F296" s="333" t="s">
        <v>353</v>
      </c>
    </row>
    <row r="297" spans="1:6" ht="26.4">
      <c r="A297" s="335" t="s">
        <v>520</v>
      </c>
      <c r="B297" s="459" t="s">
        <v>382</v>
      </c>
      <c r="C297" s="337" t="s">
        <v>348</v>
      </c>
      <c r="D297" s="453">
        <v>0.1</v>
      </c>
      <c r="E297" s="338">
        <v>22326</v>
      </c>
      <c r="F297" s="338">
        <f>D297*E297</f>
        <v>2232.6</v>
      </c>
    </row>
    <row r="298" spans="1:6">
      <c r="A298" s="331" t="s">
        <v>374</v>
      </c>
      <c r="B298" s="459"/>
      <c r="C298" s="340"/>
      <c r="D298" s="339"/>
      <c r="E298" s="341" t="s">
        <v>363</v>
      </c>
      <c r="F298" s="342">
        <f>SUM(F297:F297)</f>
        <v>2232.6</v>
      </c>
    </row>
    <row r="299" spans="1:6" ht="13.8">
      <c r="A299" s="533" t="s">
        <v>378</v>
      </c>
      <c r="B299" s="533"/>
      <c r="C299" s="533"/>
      <c r="D299" s="533"/>
      <c r="E299" s="534">
        <f>SUM(F285+F288+F291+F295+F298)</f>
        <v>389408.16825895396</v>
      </c>
      <c r="F299" s="535"/>
    </row>
    <row r="301" spans="1:6" ht="23.4" customHeight="1">
      <c r="A301" s="536" t="str">
        <f>PRESUPUESTO!B29</f>
        <v>Suministro e instalación de TUBERÍA SANITARIA DE 4" para drenaje enterrada y/o empotrada. Incluye accesorios, excavación, lleno y todo lo necesario para su buen funcionamiento.</v>
      </c>
      <c r="B301" s="536"/>
      <c r="C301" s="536"/>
      <c r="D301" s="536"/>
      <c r="E301" s="328" t="s">
        <v>347</v>
      </c>
      <c r="F301" s="333" t="s">
        <v>348</v>
      </c>
    </row>
    <row r="302" spans="1:6" ht="13.8">
      <c r="A302" s="536"/>
      <c r="B302" s="536"/>
      <c r="C302" s="536"/>
      <c r="D302" s="536"/>
      <c r="E302" s="446" t="str">
        <f>PRESUPUESTO!A29</f>
        <v>5.3</v>
      </c>
      <c r="F302" s="447" t="str">
        <f>PRESUPUESTO!C29</f>
        <v>ML</v>
      </c>
    </row>
    <row r="303" spans="1:6">
      <c r="A303" s="331" t="s">
        <v>349</v>
      </c>
      <c r="B303" s="332" t="s">
        <v>350</v>
      </c>
      <c r="C303" s="333" t="s">
        <v>348</v>
      </c>
      <c r="D303" s="333" t="s">
        <v>351</v>
      </c>
      <c r="E303" s="333" t="s">
        <v>352</v>
      </c>
      <c r="F303" s="333" t="s">
        <v>353</v>
      </c>
    </row>
    <row r="304" spans="1:6" ht="26.4">
      <c r="A304" s="335" t="s">
        <v>539</v>
      </c>
      <c r="B304" s="336" t="s">
        <v>540</v>
      </c>
      <c r="C304" s="448" t="s">
        <v>100</v>
      </c>
      <c r="D304" s="453">
        <v>1.05</v>
      </c>
      <c r="E304" s="449">
        <v>33416.78</v>
      </c>
      <c r="F304" s="338">
        <f>D304*E304</f>
        <v>35087.618999999999</v>
      </c>
    </row>
    <row r="305" spans="1:6" ht="26.4">
      <c r="A305" s="335" t="s">
        <v>541</v>
      </c>
      <c r="B305" s="336" t="s">
        <v>542</v>
      </c>
      <c r="C305" s="448" t="s">
        <v>348</v>
      </c>
      <c r="D305" s="453">
        <v>0.35</v>
      </c>
      <c r="E305" s="449">
        <v>9950.8680000000004</v>
      </c>
      <c r="F305" s="338">
        <f t="shared" ref="F305:F310" si="6">D305*E305</f>
        <v>3482.8038000000001</v>
      </c>
    </row>
    <row r="306" spans="1:6" ht="26.4">
      <c r="A306" s="335" t="s">
        <v>543</v>
      </c>
      <c r="B306" s="336" t="s">
        <v>544</v>
      </c>
      <c r="C306" s="448" t="s">
        <v>348</v>
      </c>
      <c r="D306" s="453">
        <v>0.35</v>
      </c>
      <c r="E306" s="449">
        <v>17079.22</v>
      </c>
      <c r="F306" s="338">
        <f t="shared" si="6"/>
        <v>5977.7269999999999</v>
      </c>
    </row>
    <row r="307" spans="1:6">
      <c r="A307" s="335" t="s">
        <v>545</v>
      </c>
      <c r="B307" s="336" t="s">
        <v>546</v>
      </c>
      <c r="C307" s="448" t="s">
        <v>348</v>
      </c>
      <c r="D307" s="453">
        <v>0.35</v>
      </c>
      <c r="E307" s="449">
        <v>22622.207999999999</v>
      </c>
      <c r="F307" s="338">
        <f t="shared" si="6"/>
        <v>7917.7727999999988</v>
      </c>
    </row>
    <row r="308" spans="1:6">
      <c r="A308" s="335" t="s">
        <v>516</v>
      </c>
      <c r="B308" s="336" t="s">
        <v>547</v>
      </c>
      <c r="C308" s="448" t="s">
        <v>548</v>
      </c>
      <c r="D308" s="453">
        <v>0.03</v>
      </c>
      <c r="E308" s="449">
        <v>19900</v>
      </c>
      <c r="F308" s="338">
        <f t="shared" si="6"/>
        <v>597</v>
      </c>
    </row>
    <row r="309" spans="1:6" ht="26.4">
      <c r="A309" s="335" t="s">
        <v>512</v>
      </c>
      <c r="B309" s="336" t="s">
        <v>549</v>
      </c>
      <c r="C309" s="448" t="s">
        <v>550</v>
      </c>
      <c r="D309" s="453">
        <v>4.0000000000000001E-3</v>
      </c>
      <c r="E309" s="449">
        <v>130734.144</v>
      </c>
      <c r="F309" s="338">
        <f t="shared" si="6"/>
        <v>522.93657600000006</v>
      </c>
    </row>
    <row r="310" spans="1:6" ht="26.4">
      <c r="A310" s="335" t="s">
        <v>514</v>
      </c>
      <c r="B310" s="336" t="s">
        <v>551</v>
      </c>
      <c r="C310" s="448" t="s">
        <v>550</v>
      </c>
      <c r="D310" s="453">
        <v>4.0000000000000001E-3</v>
      </c>
      <c r="E310" s="449">
        <v>63120</v>
      </c>
      <c r="F310" s="338">
        <f t="shared" si="6"/>
        <v>252.48000000000002</v>
      </c>
    </row>
    <row r="311" spans="1:6">
      <c r="A311" s="331" t="s">
        <v>362</v>
      </c>
      <c r="B311" s="339"/>
      <c r="C311" s="340"/>
      <c r="D311" s="339"/>
      <c r="E311" s="341" t="s">
        <v>363</v>
      </c>
      <c r="F311" s="342">
        <f>SUM(F304:F310)</f>
        <v>53838.339176000001</v>
      </c>
    </row>
    <row r="312" spans="1:6">
      <c r="A312" s="331" t="s">
        <v>349</v>
      </c>
      <c r="B312" s="332" t="s">
        <v>364</v>
      </c>
      <c r="C312" s="333" t="s">
        <v>348</v>
      </c>
      <c r="D312" s="333" t="s">
        <v>351</v>
      </c>
      <c r="E312" s="333" t="s">
        <v>352</v>
      </c>
      <c r="F312" s="333" t="s">
        <v>353</v>
      </c>
    </row>
    <row r="313" spans="1:6" ht="26.4">
      <c r="A313" s="335" t="s">
        <v>518</v>
      </c>
      <c r="B313" s="336" t="s">
        <v>519</v>
      </c>
      <c r="C313" s="337" t="s">
        <v>367</v>
      </c>
      <c r="D313" s="453">
        <v>0.11</v>
      </c>
      <c r="E313" s="338">
        <v>269796.65945000004</v>
      </c>
      <c r="F313" s="338">
        <f>D313*E313</f>
        <v>29677.632539500006</v>
      </c>
    </row>
    <row r="314" spans="1:6" ht="26.4">
      <c r="A314" s="331" t="s">
        <v>368</v>
      </c>
      <c r="B314" s="339"/>
      <c r="C314" s="340"/>
      <c r="D314" s="339"/>
      <c r="E314" s="341" t="s">
        <v>363</v>
      </c>
      <c r="F314" s="342">
        <f>SUM(F313)</f>
        <v>29677.632539500006</v>
      </c>
    </row>
    <row r="315" spans="1:6">
      <c r="A315" s="331" t="s">
        <v>349</v>
      </c>
      <c r="B315" s="332" t="s">
        <v>369</v>
      </c>
      <c r="C315" s="333" t="s">
        <v>348</v>
      </c>
      <c r="D315" s="333" t="s">
        <v>351</v>
      </c>
      <c r="E315" s="333" t="s">
        <v>352</v>
      </c>
      <c r="F315" s="333" t="s">
        <v>353</v>
      </c>
    </row>
    <row r="316" spans="1:6" ht="26.4">
      <c r="A316" s="335" t="s">
        <v>370</v>
      </c>
      <c r="B316" s="336" t="s">
        <v>26</v>
      </c>
      <c r="C316" s="337" t="s">
        <v>371</v>
      </c>
      <c r="D316" s="349">
        <v>0.05</v>
      </c>
      <c r="E316" s="338">
        <f>F314</f>
        <v>29677.632539500006</v>
      </c>
      <c r="F316" s="338">
        <f>D316*E316</f>
        <v>1483.8816269750005</v>
      </c>
    </row>
    <row r="317" spans="1:6" ht="26.4">
      <c r="A317" s="331" t="s">
        <v>372</v>
      </c>
      <c r="B317" s="339"/>
      <c r="C317" s="340"/>
      <c r="D317" s="339"/>
      <c r="E317" s="341" t="s">
        <v>363</v>
      </c>
      <c r="F317" s="342">
        <f>SUM(F316)</f>
        <v>1483.8816269750005</v>
      </c>
    </row>
    <row r="318" spans="1:6">
      <c r="A318" s="331" t="s">
        <v>349</v>
      </c>
      <c r="B318" s="332" t="s">
        <v>375</v>
      </c>
      <c r="C318" s="333" t="s">
        <v>348</v>
      </c>
      <c r="D318" s="333" t="s">
        <v>351</v>
      </c>
      <c r="E318" s="333" t="s">
        <v>352</v>
      </c>
      <c r="F318" s="333" t="s">
        <v>353</v>
      </c>
    </row>
    <row r="319" spans="1:6" ht="26.4">
      <c r="A319" s="335" t="s">
        <v>520</v>
      </c>
      <c r="B319" s="459" t="s">
        <v>382</v>
      </c>
      <c r="C319" s="337" t="s">
        <v>348</v>
      </c>
      <c r="D319" s="453">
        <v>0.3</v>
      </c>
      <c r="E319" s="338">
        <v>2640</v>
      </c>
      <c r="F319" s="338">
        <f>D319*E319</f>
        <v>792</v>
      </c>
    </row>
    <row r="320" spans="1:6">
      <c r="A320" s="331" t="s">
        <v>374</v>
      </c>
      <c r="B320" s="459"/>
      <c r="C320" s="340"/>
      <c r="D320" s="339"/>
      <c r="E320" s="341" t="s">
        <v>363</v>
      </c>
      <c r="F320" s="342">
        <f>SUM(F319:F319)</f>
        <v>792</v>
      </c>
    </row>
    <row r="321" spans="1:6" ht="13.8">
      <c r="A321" s="533" t="s">
        <v>378</v>
      </c>
      <c r="B321" s="533"/>
      <c r="C321" s="533"/>
      <c r="D321" s="533"/>
      <c r="E321" s="534">
        <f>F311+F314+F317+F320</f>
        <v>85791.853342475006</v>
      </c>
      <c r="F321" s="535"/>
    </row>
    <row r="325" spans="1:6">
      <c r="A325" s="536" t="str">
        <f>PRESUPUESTO!B31</f>
        <v>Suministro e instalación de pintura epoxica para pisos</v>
      </c>
      <c r="B325" s="536"/>
      <c r="C325" s="536"/>
      <c r="D325" s="536"/>
      <c r="E325" s="328" t="s">
        <v>347</v>
      </c>
      <c r="F325" s="333" t="s">
        <v>348</v>
      </c>
    </row>
    <row r="326" spans="1:6" ht="13.8">
      <c r="A326" s="536"/>
      <c r="B326" s="536"/>
      <c r="C326" s="536"/>
      <c r="D326" s="536"/>
      <c r="E326" s="446">
        <f>PRESUPUESTO!A52</f>
        <v>0</v>
      </c>
      <c r="F326" s="447">
        <f>PRESUPUESTO!C52</f>
        <v>0</v>
      </c>
    </row>
    <row r="327" spans="1:6">
      <c r="A327" s="331" t="s">
        <v>349</v>
      </c>
      <c r="B327" s="332" t="s">
        <v>350</v>
      </c>
      <c r="C327" s="333" t="s">
        <v>348</v>
      </c>
      <c r="D327" s="333" t="s">
        <v>351</v>
      </c>
      <c r="E327" s="333" t="s">
        <v>352</v>
      </c>
      <c r="F327" s="333" t="s">
        <v>353</v>
      </c>
    </row>
    <row r="328" spans="1:6">
      <c r="A328" s="335" t="s">
        <v>576</v>
      </c>
      <c r="B328" s="335" t="s">
        <v>577</v>
      </c>
      <c r="C328" s="448" t="s">
        <v>578</v>
      </c>
      <c r="D328" s="453">
        <v>8</v>
      </c>
      <c r="E328" s="449">
        <v>292000</v>
      </c>
      <c r="F328" s="338">
        <f>D328*E328</f>
        <v>2336000</v>
      </c>
    </row>
    <row r="329" spans="1:6">
      <c r="A329" s="331" t="s">
        <v>362</v>
      </c>
      <c r="B329" s="339"/>
      <c r="C329" s="340"/>
      <c r="D329" s="339"/>
      <c r="E329" s="341" t="s">
        <v>363</v>
      </c>
      <c r="F329" s="342">
        <f>SUM(F328:F328)</f>
        <v>2336000</v>
      </c>
    </row>
    <row r="330" spans="1:6">
      <c r="A330" s="331" t="s">
        <v>349</v>
      </c>
      <c r="B330" s="332" t="s">
        <v>364</v>
      </c>
      <c r="C330" s="333" t="s">
        <v>348</v>
      </c>
      <c r="D330" s="333" t="s">
        <v>351</v>
      </c>
      <c r="E330" s="333" t="s">
        <v>352</v>
      </c>
      <c r="F330" s="333" t="s">
        <v>353</v>
      </c>
    </row>
    <row r="331" spans="1:6">
      <c r="A331" s="335" t="s">
        <v>579</v>
      </c>
      <c r="B331" s="336" t="s">
        <v>580</v>
      </c>
      <c r="C331" s="337" t="s">
        <v>367</v>
      </c>
      <c r="D331" s="453">
        <v>1.1000000000000001</v>
      </c>
      <c r="E331" s="338">
        <v>269796.65945000004</v>
      </c>
      <c r="F331" s="338">
        <f>D331*E331</f>
        <v>296776.32539500005</v>
      </c>
    </row>
    <row r="332" spans="1:6" ht="26.4">
      <c r="A332" s="331" t="s">
        <v>368</v>
      </c>
      <c r="B332" s="339"/>
      <c r="C332" s="340"/>
      <c r="D332" s="339"/>
      <c r="E332" s="341" t="s">
        <v>363</v>
      </c>
      <c r="F332" s="342">
        <f>SUM(F331)</f>
        <v>296776.32539500005</v>
      </c>
    </row>
    <row r="333" spans="1:6" ht="13.8">
      <c r="A333" s="533" t="s">
        <v>378</v>
      </c>
      <c r="B333" s="533"/>
      <c r="C333" s="533"/>
      <c r="D333" s="533"/>
      <c r="E333" s="534">
        <f>F328+F331</f>
        <v>2632776.3253950002</v>
      </c>
      <c r="F333" s="535"/>
    </row>
  </sheetData>
  <mergeCells count="71">
    <mergeCell ref="A325:D326"/>
    <mergeCell ref="A333:D333"/>
    <mergeCell ref="E333:F333"/>
    <mergeCell ref="A299:D299"/>
    <mergeCell ref="E299:F299"/>
    <mergeCell ref="A301:D302"/>
    <mergeCell ref="A321:D321"/>
    <mergeCell ref="E321:F321"/>
    <mergeCell ref="A234:D234"/>
    <mergeCell ref="A253:D254"/>
    <mergeCell ref="A275:D275"/>
    <mergeCell ref="E275:F275"/>
    <mergeCell ref="A277:D278"/>
    <mergeCell ref="A248:G248"/>
    <mergeCell ref="A245:G245"/>
    <mergeCell ref="A246:G246"/>
    <mergeCell ref="A247:G247"/>
    <mergeCell ref="A235:D235"/>
    <mergeCell ref="A236:D236"/>
    <mergeCell ref="A239:D239"/>
    <mergeCell ref="F239:G239"/>
    <mergeCell ref="A240:D240"/>
    <mergeCell ref="F240:G240"/>
    <mergeCell ref="A233:D233"/>
    <mergeCell ref="A224:E224"/>
    <mergeCell ref="A225:E225"/>
    <mergeCell ref="A226:E226"/>
    <mergeCell ref="A227:E227"/>
    <mergeCell ref="A229:E229"/>
    <mergeCell ref="A230:E230"/>
    <mergeCell ref="A129:D129"/>
    <mergeCell ref="E129:F129"/>
    <mergeCell ref="A32:D33"/>
    <mergeCell ref="A1:D2"/>
    <mergeCell ref="A15:D16"/>
    <mergeCell ref="A13:D13"/>
    <mergeCell ref="E13:F13"/>
    <mergeCell ref="A30:D30"/>
    <mergeCell ref="E30:F30"/>
    <mergeCell ref="A111:D112"/>
    <mergeCell ref="A50:D50"/>
    <mergeCell ref="E50:F50"/>
    <mergeCell ref="A52:D53"/>
    <mergeCell ref="A67:D67"/>
    <mergeCell ref="E67:F67"/>
    <mergeCell ref="A212:A213"/>
    <mergeCell ref="B214:I214"/>
    <mergeCell ref="A217:E217"/>
    <mergeCell ref="A183:D184"/>
    <mergeCell ref="A131:D132"/>
    <mergeCell ref="A155:D155"/>
    <mergeCell ref="E155:F155"/>
    <mergeCell ref="A157:D158"/>
    <mergeCell ref="A181:D181"/>
    <mergeCell ref="E181:F181"/>
    <mergeCell ref="A218:E218"/>
    <mergeCell ref="A219:E219"/>
    <mergeCell ref="A220:E220"/>
    <mergeCell ref="A221:E221"/>
    <mergeCell ref="A69:D70"/>
    <mergeCell ref="A91:D91"/>
    <mergeCell ref="E91:F91"/>
    <mergeCell ref="A93:D94"/>
    <mergeCell ref="A108:D108"/>
    <mergeCell ref="E108:F108"/>
    <mergeCell ref="A203:D203"/>
    <mergeCell ref="E203:F203"/>
    <mergeCell ref="A205:E207"/>
    <mergeCell ref="F205:I207"/>
    <mergeCell ref="B209:I210"/>
    <mergeCell ref="B211:I213"/>
  </mergeCells>
  <dataValidations disablePrompts="1" count="1">
    <dataValidation type="list" allowBlank="1" showInputMessage="1" showErrorMessage="1" sqref="B75" xr:uid="{C457D136-44CF-4DDD-81E9-094E0B37160E}">
      <formula1>LISTA_MA</formula1>
    </dataValidation>
  </dataValidations>
  <pageMargins left="0.7" right="0.7" top="0.75" bottom="0.75" header="0.3" footer="0.3"/>
  <pageSetup paperSize="9" scale="55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72C1F-FEFE-4059-A226-B2BBF68708D0}">
  <dimension ref="A1:I152"/>
  <sheetViews>
    <sheetView view="pageBreakPreview" topLeftCell="A51" zoomScale="60" zoomScaleNormal="100" workbookViewId="0">
      <selection activeCell="D82" sqref="D82"/>
    </sheetView>
  </sheetViews>
  <sheetFormatPr baseColWidth="10" defaultRowHeight="13.2"/>
  <cols>
    <col min="1" max="1" width="20.5546875" customWidth="1"/>
    <col min="5" max="5" width="14.33203125" bestFit="1" customWidth="1"/>
    <col min="8" max="8" width="18.88671875" customWidth="1"/>
    <col min="9" max="9" width="37.6640625" customWidth="1"/>
    <col min="10" max="10" width="14.88671875" customWidth="1"/>
    <col min="11" max="11" width="15.44140625" bestFit="1" customWidth="1"/>
  </cols>
  <sheetData>
    <row r="1" spans="1:9" ht="18.600000000000001" thickBot="1">
      <c r="A1" s="565" t="s">
        <v>328</v>
      </c>
      <c r="B1" s="566"/>
      <c r="C1" s="566"/>
      <c r="D1" s="566"/>
      <c r="E1" s="566"/>
      <c r="F1" s="566"/>
      <c r="G1" s="566"/>
      <c r="H1" s="566"/>
      <c r="I1" s="567"/>
    </row>
    <row r="2" spans="1:9" ht="13.8">
      <c r="A2" s="568" t="s">
        <v>329</v>
      </c>
      <c r="B2" s="570"/>
      <c r="C2" s="572" t="str">
        <f>PRESUPUESTO!A8</f>
        <v>AMPLIACION DE ALBERGUE TRANSITORIO DE FAUNA DOMESTICA EN EL MUNICIPIO DE CAUCASIA  DEPARTAMENTO DE ANTIOQUIA.</v>
      </c>
      <c r="D2" s="572"/>
      <c r="E2" s="572"/>
      <c r="F2" s="572"/>
      <c r="G2" s="573"/>
      <c r="H2" s="267" t="s">
        <v>330</v>
      </c>
      <c r="I2" s="268" t="s">
        <v>331</v>
      </c>
    </row>
    <row r="3" spans="1:9" ht="13.8">
      <c r="A3" s="569"/>
      <c r="B3" s="571"/>
      <c r="C3" s="574"/>
      <c r="D3" s="574"/>
      <c r="E3" s="574"/>
      <c r="F3" s="574"/>
      <c r="G3" s="575"/>
      <c r="H3" s="269"/>
      <c r="I3" s="270">
        <v>44958</v>
      </c>
    </row>
    <row r="4" spans="1:9" ht="13.8">
      <c r="A4" s="271" t="s">
        <v>8</v>
      </c>
      <c r="B4" s="615" t="str">
        <f>PRESUPUESTO!B12</f>
        <v>EXCAVACIÓN DE 0 A 2M de profundidad, manual en material heterogeneo (rocas hasta volumenes de 0.10) bajo cualquier grado de humedad, para estructuras( diferentes a pilas),para redes y obras complementarias.</v>
      </c>
      <c r="C4" s="616"/>
      <c r="D4" s="616"/>
      <c r="E4" s="616"/>
      <c r="F4" s="616"/>
      <c r="G4" s="616"/>
      <c r="H4" s="617"/>
      <c r="I4" s="272" t="s">
        <v>20</v>
      </c>
    </row>
    <row r="5" spans="1:9" ht="29.4" customHeight="1">
      <c r="A5" s="271" t="str">
        <f>PRESUPUESTO!A12</f>
        <v>1.1</v>
      </c>
      <c r="B5" s="618"/>
      <c r="C5" s="619"/>
      <c r="D5" s="619"/>
      <c r="E5" s="619"/>
      <c r="F5" s="619"/>
      <c r="G5" s="619"/>
      <c r="H5" s="620"/>
      <c r="I5" s="272" t="str">
        <f>PRESUPUESTO!C12</f>
        <v>M3</v>
      </c>
    </row>
    <row r="6" spans="1:9" ht="13.8">
      <c r="A6" s="621" t="s">
        <v>332</v>
      </c>
      <c r="B6" s="622"/>
      <c r="C6" s="273" t="s">
        <v>333</v>
      </c>
      <c r="D6" s="273" t="s">
        <v>1</v>
      </c>
      <c r="E6" s="273" t="s">
        <v>99</v>
      </c>
      <c r="F6" s="273" t="s">
        <v>31</v>
      </c>
      <c r="G6" s="274" t="s">
        <v>47</v>
      </c>
      <c r="H6" s="623" t="s">
        <v>334</v>
      </c>
      <c r="I6" s="624"/>
    </row>
    <row r="7" spans="1:9" ht="13.8">
      <c r="A7" s="563" t="s">
        <v>405</v>
      </c>
      <c r="B7" s="564"/>
      <c r="C7" s="275">
        <v>9.1</v>
      </c>
      <c r="D7" s="275">
        <v>3.1</v>
      </c>
      <c r="E7" s="276">
        <v>0.1</v>
      </c>
      <c r="F7" s="276">
        <v>1</v>
      </c>
      <c r="G7" s="277">
        <f>PRODUCT(C7:F7)</f>
        <v>2.8210000000000002</v>
      </c>
      <c r="H7" s="576"/>
      <c r="I7" s="577"/>
    </row>
    <row r="8" spans="1:9" ht="13.8">
      <c r="A8" s="563" t="s">
        <v>536</v>
      </c>
      <c r="B8" s="564"/>
      <c r="C8" s="1">
        <v>8</v>
      </c>
      <c r="D8" s="1">
        <v>5.5</v>
      </c>
      <c r="E8" s="276">
        <v>0.1</v>
      </c>
      <c r="F8" s="276">
        <v>1</v>
      </c>
      <c r="G8" s="277">
        <f>PRODUCT(C8:F8)</f>
        <v>4.4000000000000004</v>
      </c>
      <c r="H8" s="576"/>
      <c r="I8" s="577"/>
    </row>
    <row r="9" spans="1:9" ht="13.8">
      <c r="A9" s="563"/>
      <c r="B9" s="564"/>
      <c r="C9" s="278"/>
      <c r="D9" s="278"/>
      <c r="E9" s="276"/>
      <c r="F9" s="276"/>
      <c r="G9" s="277"/>
      <c r="H9" s="576"/>
      <c r="I9" s="577"/>
    </row>
    <row r="10" spans="1:9" ht="13.8">
      <c r="A10" s="563"/>
      <c r="B10" s="564"/>
      <c r="C10" s="278"/>
      <c r="D10" s="278"/>
      <c r="E10" s="276"/>
      <c r="F10" s="276"/>
      <c r="G10" s="277"/>
      <c r="H10" s="576"/>
      <c r="I10" s="577"/>
    </row>
    <row r="11" spans="1:9" ht="13.8">
      <c r="A11" s="563"/>
      <c r="B11" s="564"/>
      <c r="C11" s="278"/>
      <c r="D11" s="278"/>
      <c r="E11" s="276"/>
      <c r="F11" s="276"/>
      <c r="G11" s="277"/>
      <c r="H11" s="576"/>
      <c r="I11" s="577"/>
    </row>
    <row r="12" spans="1:9" ht="13.8">
      <c r="A12" s="563"/>
      <c r="B12" s="564"/>
      <c r="C12" s="278"/>
      <c r="D12" s="278"/>
      <c r="E12" s="276"/>
      <c r="F12" s="276"/>
      <c r="G12" s="277"/>
      <c r="H12" s="576"/>
      <c r="I12" s="577"/>
    </row>
    <row r="13" spans="1:9" ht="14.4" thickBot="1">
      <c r="A13" s="580"/>
      <c r="B13" s="581"/>
      <c r="C13" s="279"/>
      <c r="D13" s="279"/>
      <c r="E13" s="280"/>
      <c r="F13" s="281" t="s">
        <v>47</v>
      </c>
      <c r="G13" s="282">
        <f>ROUND((SUM(G7:G12)),2)</f>
        <v>7.22</v>
      </c>
      <c r="H13" s="578"/>
      <c r="I13" s="579"/>
    </row>
    <row r="14" spans="1:9" ht="14.4">
      <c r="A14" s="283"/>
      <c r="B14" s="283"/>
      <c r="C14" s="614"/>
      <c r="D14" s="614"/>
      <c r="E14" s="614"/>
      <c r="F14" s="614"/>
      <c r="G14" s="285"/>
      <c r="H14" s="283"/>
      <c r="I14" s="283"/>
    </row>
    <row r="15" spans="1:9" ht="15" thickBot="1">
      <c r="A15" s="283"/>
      <c r="B15" s="283"/>
      <c r="C15" s="284"/>
      <c r="D15" s="284"/>
      <c r="E15" s="284"/>
      <c r="F15" s="284"/>
      <c r="G15" s="285"/>
      <c r="H15" s="286"/>
      <c r="I15" s="283"/>
    </row>
    <row r="16" spans="1:9" ht="18.600000000000001" thickBot="1">
      <c r="A16" s="565" t="s">
        <v>328</v>
      </c>
      <c r="B16" s="566"/>
      <c r="C16" s="566"/>
      <c r="D16" s="566"/>
      <c r="E16" s="566"/>
      <c r="F16" s="566"/>
      <c r="G16" s="566"/>
      <c r="H16" s="566"/>
      <c r="I16" s="567"/>
    </row>
    <row r="17" spans="1:9" ht="14.4">
      <c r="A17" s="608" t="s">
        <v>329</v>
      </c>
      <c r="B17" s="584"/>
      <c r="C17" s="587" t="str">
        <f>PRESUPUESTO!A8</f>
        <v>AMPLIACION DE ALBERGUE TRANSITORIO DE FAUNA DOMESTICA EN EL MUNICIPIO DE CAUCASIA  DEPARTAMENTO DE ANTIOQUIA.</v>
      </c>
      <c r="D17" s="587"/>
      <c r="E17" s="587"/>
      <c r="F17" s="587"/>
      <c r="G17" s="588"/>
      <c r="H17" s="287" t="s">
        <v>330</v>
      </c>
      <c r="I17" s="288" t="s">
        <v>331</v>
      </c>
    </row>
    <row r="18" spans="1:9" ht="14.4">
      <c r="A18" s="609"/>
      <c r="B18" s="585"/>
      <c r="C18" s="590"/>
      <c r="D18" s="590"/>
      <c r="E18" s="590"/>
      <c r="F18" s="590"/>
      <c r="G18" s="591"/>
      <c r="H18" s="289"/>
      <c r="I18" s="290"/>
    </row>
    <row r="19" spans="1:9" ht="42.6" customHeight="1" thickBot="1">
      <c r="A19" s="291" t="s">
        <v>8</v>
      </c>
      <c r="B19" s="592" t="str">
        <f>PRESUPUESTO!B13</f>
        <v>BOTADA DE MATERIAL, incluye cargue en volqueta y disposición final en escombrera o sitio donde indique la interventoría.</v>
      </c>
      <c r="C19" s="593"/>
      <c r="D19" s="593"/>
      <c r="E19" s="593"/>
      <c r="F19" s="593"/>
      <c r="G19" s="593"/>
      <c r="H19" s="594"/>
      <c r="I19" s="292" t="s">
        <v>20</v>
      </c>
    </row>
    <row r="20" spans="1:9" ht="28.95" customHeight="1">
      <c r="A20" s="291" t="str">
        <f>PRESUPUESTO!A13</f>
        <v>1.2</v>
      </c>
      <c r="B20" s="595"/>
      <c r="C20" s="596"/>
      <c r="D20" s="596"/>
      <c r="E20" s="596"/>
      <c r="F20" s="596"/>
      <c r="G20" s="596"/>
      <c r="H20" s="597"/>
      <c r="I20" s="292" t="str">
        <f>PRESUPUESTO!C13</f>
        <v>M3</v>
      </c>
    </row>
    <row r="21" spans="1:9" ht="14.4">
      <c r="A21" s="598" t="s">
        <v>332</v>
      </c>
      <c r="B21" s="599"/>
      <c r="C21" s="293" t="s">
        <v>333</v>
      </c>
      <c r="D21" s="293" t="s">
        <v>1</v>
      </c>
      <c r="E21" s="293" t="s">
        <v>99</v>
      </c>
      <c r="F21" s="293" t="s">
        <v>31</v>
      </c>
      <c r="G21" s="294" t="s">
        <v>47</v>
      </c>
      <c r="H21" s="610" t="s">
        <v>334</v>
      </c>
      <c r="I21" s="611"/>
    </row>
    <row r="22" spans="1:9" ht="13.8">
      <c r="A22" s="563" t="str">
        <f>A7</f>
        <v xml:space="preserve">LOSA DE ENTRE PISO </v>
      </c>
      <c r="B22" s="564"/>
      <c r="C22" s="275">
        <v>9.1</v>
      </c>
      <c r="D22" s="275">
        <v>3.1</v>
      </c>
      <c r="E22" s="276">
        <v>0.1</v>
      </c>
      <c r="F22" s="276">
        <v>1</v>
      </c>
      <c r="G22" s="277">
        <f>PRODUCT(C22:F22)</f>
        <v>2.8210000000000002</v>
      </c>
      <c r="H22" s="604"/>
      <c r="I22" s="605"/>
    </row>
    <row r="23" spans="1:9" ht="13.8">
      <c r="A23" s="563" t="s">
        <v>536</v>
      </c>
      <c r="B23" s="564"/>
      <c r="C23" s="1">
        <v>8</v>
      </c>
      <c r="D23" s="1">
        <v>5.5</v>
      </c>
      <c r="E23" s="276">
        <v>0.1</v>
      </c>
      <c r="F23" s="276">
        <v>1</v>
      </c>
      <c r="G23" s="277">
        <f>PRODUCT(C23:F23)</f>
        <v>4.4000000000000004</v>
      </c>
      <c r="H23" s="604"/>
      <c r="I23" s="605"/>
    </row>
    <row r="24" spans="1:9" ht="14.4">
      <c r="A24" s="602"/>
      <c r="B24" s="603"/>
      <c r="C24" s="297"/>
      <c r="D24" s="297"/>
      <c r="E24" s="295"/>
      <c r="F24" s="295"/>
      <c r="G24" s="296"/>
      <c r="H24" s="604"/>
      <c r="I24" s="605"/>
    </row>
    <row r="25" spans="1:9" ht="14.4">
      <c r="A25" s="602"/>
      <c r="B25" s="603"/>
      <c r="C25" s="298"/>
      <c r="D25" s="298"/>
      <c r="E25" s="299"/>
      <c r="F25" s="299"/>
      <c r="G25" s="296"/>
      <c r="H25" s="604"/>
      <c r="I25" s="605"/>
    </row>
    <row r="26" spans="1:9" ht="14.4">
      <c r="A26" s="625"/>
      <c r="B26" s="626"/>
      <c r="C26" s="297"/>
      <c r="D26" s="297"/>
      <c r="E26" s="295"/>
      <c r="F26" s="295"/>
      <c r="G26" s="296"/>
      <c r="H26" s="604"/>
      <c r="I26" s="605"/>
    </row>
    <row r="27" spans="1:9" ht="14.4">
      <c r="A27" s="625"/>
      <c r="B27" s="626"/>
      <c r="C27" s="297"/>
      <c r="D27" s="297"/>
      <c r="E27" s="295"/>
      <c r="F27" s="295"/>
      <c r="G27" s="296"/>
      <c r="H27" s="604"/>
      <c r="I27" s="605"/>
    </row>
    <row r="28" spans="1:9" ht="14.4">
      <c r="A28" s="602"/>
      <c r="B28" s="603"/>
      <c r="C28" s="297"/>
      <c r="D28" s="297"/>
      <c r="E28" s="295"/>
      <c r="F28" s="295"/>
      <c r="G28" s="296"/>
      <c r="H28" s="604"/>
      <c r="I28" s="605"/>
    </row>
    <row r="29" spans="1:9" ht="15" thickBot="1">
      <c r="A29" s="612"/>
      <c r="B29" s="613"/>
      <c r="C29" s="300"/>
      <c r="D29" s="300"/>
      <c r="E29" s="301"/>
      <c r="F29" s="302" t="s">
        <v>47</v>
      </c>
      <c r="G29" s="303">
        <f>ROUND((SUM(G22:G28)),2)</f>
        <v>7.22</v>
      </c>
      <c r="H29" s="606"/>
      <c r="I29" s="607"/>
    </row>
    <row r="30" spans="1:9" ht="14.4">
      <c r="A30" s="283"/>
      <c r="B30" s="283"/>
      <c r="C30" s="614"/>
      <c r="D30" s="614"/>
      <c r="E30" s="614"/>
      <c r="F30" s="614"/>
      <c r="G30" s="285"/>
      <c r="H30" s="283"/>
      <c r="I30" s="283"/>
    </row>
    <row r="31" spans="1:9" ht="15" thickBot="1">
      <c r="A31" s="283"/>
      <c r="B31" s="283"/>
      <c r="C31" s="614"/>
      <c r="D31" s="614"/>
      <c r="E31" s="614"/>
      <c r="F31" s="614"/>
      <c r="G31" s="285"/>
      <c r="H31" s="286"/>
      <c r="I31" s="283"/>
    </row>
    <row r="32" spans="1:9" ht="18.600000000000001" thickBot="1">
      <c r="A32" s="565" t="s">
        <v>328</v>
      </c>
      <c r="B32" s="566"/>
      <c r="C32" s="566"/>
      <c r="D32" s="566"/>
      <c r="E32" s="566"/>
      <c r="F32" s="566"/>
      <c r="G32" s="566"/>
      <c r="H32" s="566"/>
      <c r="I32" s="567"/>
    </row>
    <row r="33" spans="1:9" ht="14.4">
      <c r="A33" s="608" t="s">
        <v>329</v>
      </c>
      <c r="B33" s="584"/>
      <c r="C33" s="587" t="str">
        <f>PRESUPUESTO!A8</f>
        <v>AMPLIACION DE ALBERGUE TRANSITORIO DE FAUNA DOMESTICA EN EL MUNICIPIO DE CAUCASIA  DEPARTAMENTO DE ANTIOQUIA.</v>
      </c>
      <c r="D33" s="587"/>
      <c r="E33" s="587"/>
      <c r="F33" s="587"/>
      <c r="G33" s="588"/>
      <c r="H33" s="287" t="s">
        <v>330</v>
      </c>
      <c r="I33" s="288" t="s">
        <v>331</v>
      </c>
    </row>
    <row r="34" spans="1:9" ht="24.6" customHeight="1">
      <c r="A34" s="609"/>
      <c r="B34" s="585"/>
      <c r="C34" s="590"/>
      <c r="D34" s="590"/>
      <c r="E34" s="590"/>
      <c r="F34" s="590"/>
      <c r="G34" s="591"/>
      <c r="H34" s="289"/>
      <c r="I34" s="290"/>
    </row>
    <row r="35" spans="1:9" ht="14.4">
      <c r="A35" s="291" t="s">
        <v>8</v>
      </c>
      <c r="B35" s="592" t="str">
        <f>PRESUPUESTO!B15</f>
        <v>Suministro e instalación de PLACA DE CONTRAPISO LLANEADA   en concreto resistencia f'c = 21 MPa  (3.000 psi.) No incluye refuerzo.</v>
      </c>
      <c r="C35" s="593"/>
      <c r="D35" s="593"/>
      <c r="E35" s="593"/>
      <c r="F35" s="593"/>
      <c r="G35" s="593"/>
      <c r="H35" s="594"/>
      <c r="I35" s="292" t="s">
        <v>20</v>
      </c>
    </row>
    <row r="36" spans="1:9" ht="14.4">
      <c r="A36" s="291" t="str">
        <f>PRESUPUESTO!A15</f>
        <v>2.1</v>
      </c>
      <c r="B36" s="595"/>
      <c r="C36" s="596"/>
      <c r="D36" s="596"/>
      <c r="E36" s="596"/>
      <c r="F36" s="596"/>
      <c r="G36" s="596"/>
      <c r="H36" s="597"/>
      <c r="I36" s="292" t="str">
        <f>PRESUPUESTO!C15</f>
        <v>M2</v>
      </c>
    </row>
    <row r="37" spans="1:9" ht="14.4">
      <c r="A37" s="598" t="s">
        <v>332</v>
      </c>
      <c r="B37" s="599"/>
      <c r="C37" s="293" t="s">
        <v>333</v>
      </c>
      <c r="D37" s="293" t="s">
        <v>1</v>
      </c>
      <c r="E37" s="293" t="s">
        <v>99</v>
      </c>
      <c r="F37" s="293" t="s">
        <v>31</v>
      </c>
      <c r="G37" s="294" t="s">
        <v>47</v>
      </c>
      <c r="H37" s="610" t="s">
        <v>334</v>
      </c>
      <c r="I37" s="611"/>
    </row>
    <row r="38" spans="1:9" ht="14.4">
      <c r="A38" s="602" t="s">
        <v>405</v>
      </c>
      <c r="B38" s="603"/>
      <c r="C38" s="1">
        <f>C22</f>
        <v>9.1</v>
      </c>
      <c r="D38" s="1">
        <f>D22</f>
        <v>3.1</v>
      </c>
      <c r="E38" s="1"/>
      <c r="F38" s="1">
        <v>1</v>
      </c>
      <c r="G38" s="296">
        <f>PRODUCT(C38:F38)</f>
        <v>28.21</v>
      </c>
      <c r="H38" s="604"/>
      <c r="I38" s="605"/>
    </row>
    <row r="39" spans="1:9" ht="13.8">
      <c r="A39" s="563" t="s">
        <v>536</v>
      </c>
      <c r="B39" s="564"/>
      <c r="C39" s="1">
        <v>8</v>
      </c>
      <c r="D39" s="1">
        <v>5.5</v>
      </c>
      <c r="E39" s="276"/>
      <c r="F39" s="1">
        <v>1</v>
      </c>
      <c r="G39" s="277">
        <f>PRODUCT(C39:F39)</f>
        <v>44</v>
      </c>
      <c r="H39" s="604"/>
      <c r="I39" s="605"/>
    </row>
    <row r="40" spans="1:9" ht="14.4">
      <c r="A40" s="602"/>
      <c r="B40" s="603"/>
      <c r="C40" s="297"/>
      <c r="D40" s="297"/>
      <c r="E40" s="295"/>
      <c r="F40" s="295"/>
      <c r="G40" s="296"/>
      <c r="H40" s="604"/>
      <c r="I40" s="605"/>
    </row>
    <row r="41" spans="1:9" ht="14.4">
      <c r="A41" s="602"/>
      <c r="B41" s="603"/>
      <c r="C41" s="297"/>
      <c r="D41" s="297"/>
      <c r="E41" s="295"/>
      <c r="F41" s="295"/>
      <c r="G41" s="296"/>
      <c r="H41" s="604"/>
      <c r="I41" s="605"/>
    </row>
    <row r="42" spans="1:9" ht="14.4">
      <c r="A42" s="602"/>
      <c r="B42" s="603"/>
      <c r="C42" s="297"/>
      <c r="D42" s="297"/>
      <c r="E42" s="295"/>
      <c r="F42" s="295"/>
      <c r="G42" s="296"/>
      <c r="H42" s="604"/>
      <c r="I42" s="605"/>
    </row>
    <row r="43" spans="1:9" ht="14.4">
      <c r="A43" s="602"/>
      <c r="B43" s="603"/>
      <c r="C43" s="297"/>
      <c r="D43" s="297"/>
      <c r="E43" s="295"/>
      <c r="F43" s="295"/>
      <c r="G43" s="296"/>
      <c r="H43" s="604"/>
      <c r="I43" s="605"/>
    </row>
    <row r="44" spans="1:9" ht="14.4">
      <c r="A44" s="602"/>
      <c r="B44" s="603"/>
      <c r="C44" s="297"/>
      <c r="D44" s="297"/>
      <c r="E44" s="295"/>
      <c r="F44" s="295"/>
      <c r="G44" s="296"/>
      <c r="H44" s="604"/>
      <c r="I44" s="605"/>
    </row>
    <row r="45" spans="1:9" ht="15" thickBot="1">
      <c r="A45" s="612"/>
      <c r="B45" s="613"/>
      <c r="C45" s="300"/>
      <c r="D45" s="300"/>
      <c r="E45" s="301"/>
      <c r="F45" s="302" t="s">
        <v>47</v>
      </c>
      <c r="G45" s="303">
        <f>ROUND((SUM(G38:G44)),2)</f>
        <v>72.209999999999994</v>
      </c>
      <c r="H45" s="606"/>
      <c r="I45" s="607"/>
    </row>
    <row r="46" spans="1:9" ht="15" thickBot="1">
      <c r="A46" s="283"/>
      <c r="B46" s="283"/>
      <c r="C46" s="614"/>
      <c r="D46" s="614"/>
      <c r="E46" s="614"/>
      <c r="F46" s="614"/>
      <c r="G46" s="285"/>
      <c r="H46" s="283"/>
      <c r="I46" s="283"/>
    </row>
    <row r="47" spans="1:9" ht="18.600000000000001" thickBot="1">
      <c r="A47" s="565" t="s">
        <v>328</v>
      </c>
      <c r="B47" s="566"/>
      <c r="C47" s="566"/>
      <c r="D47" s="566"/>
      <c r="E47" s="566"/>
      <c r="F47" s="566"/>
      <c r="G47" s="566"/>
      <c r="H47" s="566"/>
      <c r="I47" s="567"/>
    </row>
    <row r="48" spans="1:9" ht="14.4">
      <c r="A48" s="608" t="s">
        <v>329</v>
      </c>
      <c r="B48" s="584"/>
      <c r="C48" s="587" t="str">
        <f>PRESUPUESTO!A8</f>
        <v>AMPLIACION DE ALBERGUE TRANSITORIO DE FAUNA DOMESTICA EN EL MUNICIPIO DE CAUCASIA  DEPARTAMENTO DE ANTIOQUIA.</v>
      </c>
      <c r="D48" s="587"/>
      <c r="E48" s="587"/>
      <c r="F48" s="587"/>
      <c r="G48" s="588"/>
      <c r="H48" s="287" t="s">
        <v>330</v>
      </c>
      <c r="I48" s="288" t="s">
        <v>331</v>
      </c>
    </row>
    <row r="49" spans="1:9" ht="24.6" customHeight="1">
      <c r="A49" s="609"/>
      <c r="B49" s="585"/>
      <c r="C49" s="590"/>
      <c r="D49" s="590"/>
      <c r="E49" s="590"/>
      <c r="F49" s="590"/>
      <c r="G49" s="591"/>
      <c r="H49" s="289"/>
      <c r="I49" s="290"/>
    </row>
    <row r="50" spans="1:9" ht="14.4">
      <c r="A50" s="291" t="s">
        <v>8</v>
      </c>
      <c r="B50" s="592" t="str">
        <f>PRESUPUESTO!B16</f>
        <v>Suministro e instalación de MALLA ELECTROSOLDADA U-84</v>
      </c>
      <c r="C50" s="593"/>
      <c r="D50" s="593"/>
      <c r="E50" s="593"/>
      <c r="F50" s="593"/>
      <c r="G50" s="593"/>
      <c r="H50" s="594"/>
      <c r="I50" s="292" t="s">
        <v>20</v>
      </c>
    </row>
    <row r="51" spans="1:9" ht="14.4">
      <c r="A51" s="291" t="str">
        <f>PRESUPUESTO!A16</f>
        <v>2.2</v>
      </c>
      <c r="B51" s="595"/>
      <c r="C51" s="596"/>
      <c r="D51" s="596"/>
      <c r="E51" s="596"/>
      <c r="F51" s="596"/>
      <c r="G51" s="596"/>
      <c r="H51" s="597"/>
      <c r="I51" s="292" t="str">
        <f>PRESUPUESTO!C16</f>
        <v>M2</v>
      </c>
    </row>
    <row r="52" spans="1:9" ht="14.4">
      <c r="A52" s="598" t="s">
        <v>332</v>
      </c>
      <c r="B52" s="599"/>
      <c r="C52" s="293" t="s">
        <v>333</v>
      </c>
      <c r="D52" s="293" t="s">
        <v>1</v>
      </c>
      <c r="E52" s="293" t="s">
        <v>99</v>
      </c>
      <c r="F52" s="293" t="s">
        <v>31</v>
      </c>
      <c r="G52" s="294" t="s">
        <v>47</v>
      </c>
      <c r="H52" s="610" t="s">
        <v>334</v>
      </c>
      <c r="I52" s="611"/>
    </row>
    <row r="53" spans="1:9" ht="14.4">
      <c r="A53" s="602" t="s">
        <v>405</v>
      </c>
      <c r="B53" s="603"/>
      <c r="C53" s="1">
        <f>C38</f>
        <v>9.1</v>
      </c>
      <c r="D53" s="1">
        <f>D38</f>
        <v>3.1</v>
      </c>
      <c r="E53" s="1"/>
      <c r="F53" s="1">
        <v>1</v>
      </c>
      <c r="G53" s="296">
        <f>PRODUCT(C53:F53)</f>
        <v>28.21</v>
      </c>
      <c r="H53" s="604"/>
      <c r="I53" s="605"/>
    </row>
    <row r="54" spans="1:9" ht="13.8">
      <c r="A54" s="563" t="s">
        <v>536</v>
      </c>
      <c r="B54" s="564"/>
      <c r="C54" s="1">
        <v>8</v>
      </c>
      <c r="D54" s="1">
        <v>5.5</v>
      </c>
      <c r="E54" s="276"/>
      <c r="F54" s="1">
        <v>1</v>
      </c>
      <c r="G54" s="277">
        <f>PRODUCT(C54:F54)</f>
        <v>44</v>
      </c>
      <c r="H54" s="604"/>
      <c r="I54" s="605"/>
    </row>
    <row r="55" spans="1:9" ht="14.4">
      <c r="A55" s="355"/>
      <c r="B55" s="356"/>
      <c r="C55" s="297"/>
      <c r="D55" s="297"/>
      <c r="E55" s="295"/>
      <c r="F55" s="295"/>
      <c r="G55" s="296"/>
      <c r="H55" s="604"/>
      <c r="I55" s="605"/>
    </row>
    <row r="56" spans="1:9" ht="14.4">
      <c r="A56" s="602"/>
      <c r="B56" s="603"/>
      <c r="C56" s="297"/>
      <c r="D56" s="297"/>
      <c r="E56" s="295"/>
      <c r="F56" s="295"/>
      <c r="G56" s="296"/>
      <c r="H56" s="604"/>
      <c r="I56" s="605"/>
    </row>
    <row r="57" spans="1:9" ht="14.4">
      <c r="A57" s="602"/>
      <c r="B57" s="603"/>
      <c r="C57" s="297"/>
      <c r="D57" s="297"/>
      <c r="E57" s="295"/>
      <c r="F57" s="295"/>
      <c r="G57" s="296"/>
      <c r="H57" s="604"/>
      <c r="I57" s="605"/>
    </row>
    <row r="58" spans="1:9" ht="14.4">
      <c r="A58" s="602"/>
      <c r="B58" s="603"/>
      <c r="C58" s="297"/>
      <c r="D58" s="297"/>
      <c r="E58" s="295"/>
      <c r="F58" s="295"/>
      <c r="G58" s="296"/>
      <c r="H58" s="604"/>
      <c r="I58" s="605"/>
    </row>
    <row r="59" spans="1:9" ht="14.4">
      <c r="A59" s="602"/>
      <c r="B59" s="603"/>
      <c r="C59" s="297"/>
      <c r="D59" s="297"/>
      <c r="E59" s="295"/>
      <c r="F59" s="295"/>
      <c r="G59" s="296"/>
      <c r="H59" s="604"/>
      <c r="I59" s="605"/>
    </row>
    <row r="60" spans="1:9" ht="15" thickBot="1">
      <c r="A60" s="612"/>
      <c r="B60" s="613"/>
      <c r="C60" s="300"/>
      <c r="D60" s="300"/>
      <c r="E60" s="301"/>
      <c r="F60" s="302" t="s">
        <v>47</v>
      </c>
      <c r="G60" s="303">
        <f>ROUND((SUM(G53:G59)),2)</f>
        <v>72.209999999999994</v>
      </c>
      <c r="H60" s="606"/>
      <c r="I60" s="607"/>
    </row>
    <row r="61" spans="1:9" s="407" customFormat="1" ht="15" thickBot="1">
      <c r="A61" s="423"/>
      <c r="B61" s="423"/>
      <c r="C61" s="424"/>
      <c r="D61" s="424"/>
      <c r="E61" s="425"/>
      <c r="F61" s="426"/>
      <c r="G61" s="427"/>
      <c r="H61" s="425"/>
      <c r="I61" s="425"/>
    </row>
    <row r="62" spans="1:9" ht="18.600000000000001" thickBot="1">
      <c r="A62" s="565" t="s">
        <v>328</v>
      </c>
      <c r="B62" s="566"/>
      <c r="C62" s="566"/>
      <c r="D62" s="566"/>
      <c r="E62" s="566"/>
      <c r="F62" s="566"/>
      <c r="G62" s="566"/>
      <c r="H62" s="566"/>
      <c r="I62" s="567"/>
    </row>
    <row r="63" spans="1:9" ht="14.4">
      <c r="A63" s="608" t="s">
        <v>329</v>
      </c>
      <c r="B63" s="584"/>
      <c r="C63" s="587" t="str">
        <f>PRESUPUESTO!A8</f>
        <v>AMPLIACION DE ALBERGUE TRANSITORIO DE FAUNA DOMESTICA EN EL MUNICIPIO DE CAUCASIA  DEPARTAMENTO DE ANTIOQUIA.</v>
      </c>
      <c r="D63" s="587"/>
      <c r="E63" s="587"/>
      <c r="F63" s="587"/>
      <c r="G63" s="588"/>
      <c r="H63" s="287" t="s">
        <v>330</v>
      </c>
      <c r="I63" s="288" t="s">
        <v>331</v>
      </c>
    </row>
    <row r="64" spans="1:9" ht="70.95" customHeight="1">
      <c r="A64" s="609"/>
      <c r="B64" s="585"/>
      <c r="C64" s="590"/>
      <c r="D64" s="590"/>
      <c r="E64" s="590"/>
      <c r="F64" s="590"/>
      <c r="G64" s="591"/>
      <c r="H64" s="289"/>
      <c r="I64" s="290"/>
    </row>
    <row r="65" spans="1:9" ht="14.4">
      <c r="A65" s="291" t="s">
        <v>8</v>
      </c>
      <c r="B65" s="592" t="str">
        <f>PRESUPUESTO!B17</f>
        <v>Suministro e instalación de concreto de VIGAS AEREA resistencia f'c = 21 MPa  (3.000 psi.).  Incluye el suministro del concreto, mano de obra, vibrado, protección y curado, para estructuras de acuerdo con las diferentes dimensiones establecidas en los planos y diseños. incluye acarreo interno. No incluye refuerzo.</v>
      </c>
      <c r="C65" s="593"/>
      <c r="D65" s="593"/>
      <c r="E65" s="593"/>
      <c r="F65" s="593"/>
      <c r="G65" s="593"/>
      <c r="H65" s="594"/>
      <c r="I65" s="292" t="s">
        <v>20</v>
      </c>
    </row>
    <row r="66" spans="1:9" ht="46.95" customHeight="1">
      <c r="A66" s="291" t="str">
        <f>PRESUPUESTO!A15</f>
        <v>2.1</v>
      </c>
      <c r="B66" s="595"/>
      <c r="C66" s="596"/>
      <c r="D66" s="596"/>
      <c r="E66" s="596"/>
      <c r="F66" s="596"/>
      <c r="G66" s="596"/>
      <c r="H66" s="597"/>
      <c r="I66" s="292" t="str">
        <f>PRESUPUESTO!C17</f>
        <v>M3</v>
      </c>
    </row>
    <row r="67" spans="1:9" ht="14.4">
      <c r="A67" s="598" t="s">
        <v>332</v>
      </c>
      <c r="B67" s="599"/>
      <c r="C67" s="293" t="s">
        <v>333</v>
      </c>
      <c r="D67" s="293" t="s">
        <v>1</v>
      </c>
      <c r="E67" s="293" t="s">
        <v>99</v>
      </c>
      <c r="F67" s="293" t="s">
        <v>31</v>
      </c>
      <c r="G67" s="294" t="s">
        <v>47</v>
      </c>
      <c r="H67" s="610" t="s">
        <v>334</v>
      </c>
      <c r="I67" s="611"/>
    </row>
    <row r="68" spans="1:9" ht="14.4">
      <c r="A68" s="602" t="s">
        <v>442</v>
      </c>
      <c r="B68" s="603"/>
      <c r="C68" s="1">
        <f>C53+D53</f>
        <v>12.2</v>
      </c>
      <c r="D68" s="1">
        <v>0.15</v>
      </c>
      <c r="E68" s="1">
        <v>0.2</v>
      </c>
      <c r="F68" s="1">
        <v>1</v>
      </c>
      <c r="G68" s="296">
        <f>PRODUCT(C68:F68)</f>
        <v>0.36599999999999999</v>
      </c>
      <c r="H68" s="604"/>
      <c r="I68" s="605"/>
    </row>
    <row r="69" spans="1:9" ht="14.4">
      <c r="A69" s="602"/>
      <c r="B69" s="603"/>
      <c r="C69" s="297"/>
      <c r="D69" s="297"/>
      <c r="E69" s="295"/>
      <c r="F69" s="295"/>
      <c r="G69" s="296"/>
      <c r="H69" s="604"/>
      <c r="I69" s="605"/>
    </row>
    <row r="70" spans="1:9" ht="14.4">
      <c r="A70" s="355"/>
      <c r="B70" s="356"/>
      <c r="C70" s="297"/>
      <c r="D70" s="297"/>
      <c r="E70" s="295"/>
      <c r="F70" s="295"/>
      <c r="G70" s="296"/>
      <c r="H70" s="604"/>
      <c r="I70" s="605"/>
    </row>
    <row r="71" spans="1:9" ht="14.4">
      <c r="A71" s="602"/>
      <c r="B71" s="603"/>
      <c r="C71" s="297"/>
      <c r="D71" s="297"/>
      <c r="E71" s="295"/>
      <c r="F71" s="295"/>
      <c r="G71" s="296"/>
      <c r="H71" s="604"/>
      <c r="I71" s="605"/>
    </row>
    <row r="72" spans="1:9" ht="14.4">
      <c r="A72" s="602"/>
      <c r="B72" s="603"/>
      <c r="C72" s="297"/>
      <c r="D72" s="297"/>
      <c r="E72" s="295"/>
      <c r="F72" s="295"/>
      <c r="G72" s="296"/>
      <c r="H72" s="604"/>
      <c r="I72" s="605"/>
    </row>
    <row r="73" spans="1:9" ht="14.4">
      <c r="A73" s="602"/>
      <c r="B73" s="603"/>
      <c r="C73" s="297"/>
      <c r="D73" s="297"/>
      <c r="E73" s="295"/>
      <c r="F73" s="295"/>
      <c r="G73" s="296"/>
      <c r="H73" s="604"/>
      <c r="I73" s="605"/>
    </row>
    <row r="74" spans="1:9" ht="14.4">
      <c r="A74" s="602"/>
      <c r="B74" s="603"/>
      <c r="C74" s="297"/>
      <c r="D74" s="297"/>
      <c r="E74" s="295"/>
      <c r="F74" s="295"/>
      <c r="G74" s="296"/>
      <c r="H74" s="604"/>
      <c r="I74" s="605"/>
    </row>
    <row r="75" spans="1:9" ht="15" thickBot="1">
      <c r="A75" s="612"/>
      <c r="B75" s="613"/>
      <c r="C75" s="300"/>
      <c r="D75" s="300"/>
      <c r="E75" s="301"/>
      <c r="F75" s="302" t="s">
        <v>47</v>
      </c>
      <c r="G75" s="303">
        <f>ROUND((SUM(G68:G74)),2)</f>
        <v>0.37</v>
      </c>
      <c r="H75" s="606"/>
      <c r="I75" s="607"/>
    </row>
    <row r="76" spans="1:9" s="407" customFormat="1" ht="15" thickBot="1">
      <c r="A76" s="423"/>
      <c r="B76" s="423"/>
      <c r="C76" s="424"/>
      <c r="D76" s="424"/>
      <c r="E76" s="425"/>
      <c r="F76" s="426"/>
      <c r="G76" s="427"/>
      <c r="H76" s="425"/>
      <c r="I76" s="425"/>
    </row>
    <row r="77" spans="1:9" ht="18.600000000000001" thickBot="1">
      <c r="A77" s="565" t="s">
        <v>328</v>
      </c>
      <c r="B77" s="566"/>
      <c r="C77" s="566"/>
      <c r="D77" s="566"/>
      <c r="E77" s="566"/>
      <c r="F77" s="566"/>
      <c r="G77" s="566"/>
      <c r="H77" s="566"/>
      <c r="I77" s="567"/>
    </row>
    <row r="78" spans="1:9" ht="14.4">
      <c r="A78" s="608" t="s">
        <v>329</v>
      </c>
      <c r="B78" s="584"/>
      <c r="C78" s="587" t="str">
        <f>PRESUPUESTO!A8</f>
        <v>AMPLIACION DE ALBERGUE TRANSITORIO DE FAUNA DOMESTICA EN EL MUNICIPIO DE CAUCASIA  DEPARTAMENTO DE ANTIOQUIA.</v>
      </c>
      <c r="D78" s="587"/>
      <c r="E78" s="587"/>
      <c r="F78" s="587"/>
      <c r="G78" s="588"/>
      <c r="H78" s="287" t="s">
        <v>330</v>
      </c>
      <c r="I78" s="288" t="s">
        <v>331</v>
      </c>
    </row>
    <row r="79" spans="1:9" ht="70.95" customHeight="1">
      <c r="A79" s="609"/>
      <c r="B79" s="585"/>
      <c r="C79" s="590"/>
      <c r="D79" s="590"/>
      <c r="E79" s="590"/>
      <c r="F79" s="590"/>
      <c r="G79" s="591"/>
      <c r="H79" s="289"/>
      <c r="I79" s="290"/>
    </row>
    <row r="80" spans="1:9" ht="14.4">
      <c r="A80" s="291" t="s">
        <v>8</v>
      </c>
      <c r="B80" s="592" t="str">
        <f>PRESUPUESTO!B18</f>
        <v>Suministro y figurado ACERO DE REFUERZO de fy = 420 MPa (60000psi),(zapatas, columnas, vigas, Escaleras, dovelas de mampostería y otros elementos) incluye amarres en alambre recocido.</v>
      </c>
      <c r="C80" s="593"/>
      <c r="D80" s="593"/>
      <c r="E80" s="593"/>
      <c r="F80" s="593"/>
      <c r="G80" s="593"/>
      <c r="H80" s="594"/>
      <c r="I80" s="292" t="s">
        <v>20</v>
      </c>
    </row>
    <row r="81" spans="1:9" ht="14.4">
      <c r="A81" s="291" t="str">
        <f>PRESUPUESTO!A18</f>
        <v>2.4</v>
      </c>
      <c r="B81" s="595"/>
      <c r="C81" s="596"/>
      <c r="D81" s="596"/>
      <c r="E81" s="596"/>
      <c r="F81" s="596"/>
      <c r="G81" s="596"/>
      <c r="H81" s="597"/>
      <c r="I81" s="292" t="e">
        <f>PRESUPUESTO!#REF!</f>
        <v>#REF!</v>
      </c>
    </row>
    <row r="82" spans="1:9" ht="14.4">
      <c r="A82" s="598" t="s">
        <v>332</v>
      </c>
      <c r="B82" s="599"/>
      <c r="C82" s="293" t="s">
        <v>333</v>
      </c>
      <c r="D82" s="293" t="s">
        <v>1</v>
      </c>
      <c r="E82" s="293" t="s">
        <v>99</v>
      </c>
      <c r="F82" s="293" t="s">
        <v>31</v>
      </c>
      <c r="G82" s="294" t="s">
        <v>47</v>
      </c>
      <c r="H82" s="610" t="s">
        <v>334</v>
      </c>
      <c r="I82" s="611"/>
    </row>
    <row r="83" spans="1:9" ht="14.4">
      <c r="A83" s="602" t="s">
        <v>442</v>
      </c>
      <c r="B83" s="603"/>
      <c r="C83" s="1"/>
      <c r="D83" s="1"/>
      <c r="E83" s="1"/>
      <c r="F83" s="1">
        <v>41</v>
      </c>
      <c r="G83" s="1">
        <v>41</v>
      </c>
      <c r="H83" s="604"/>
      <c r="I83" s="605"/>
    </row>
    <row r="84" spans="1:9" ht="14.4">
      <c r="A84" s="602" t="s">
        <v>450</v>
      </c>
      <c r="B84" s="603"/>
      <c r="C84" s="297"/>
      <c r="D84" s="297"/>
      <c r="E84" s="295"/>
      <c r="F84" s="1">
        <v>27</v>
      </c>
      <c r="G84" s="1">
        <v>27</v>
      </c>
      <c r="H84" s="604"/>
      <c r="I84" s="605"/>
    </row>
    <row r="85" spans="1:9" ht="14.4">
      <c r="A85" s="602" t="s">
        <v>451</v>
      </c>
      <c r="B85" s="603"/>
      <c r="C85" s="297"/>
      <c r="D85" s="297"/>
      <c r="E85" s="295"/>
      <c r="F85" s="1">
        <f>16.33+19.12</f>
        <v>35.450000000000003</v>
      </c>
      <c r="G85" s="1">
        <f>F85</f>
        <v>35.450000000000003</v>
      </c>
      <c r="H85" s="604"/>
      <c r="I85" s="605"/>
    </row>
    <row r="86" spans="1:9" ht="14.4">
      <c r="A86" s="602"/>
      <c r="B86" s="603"/>
      <c r="C86" s="297"/>
      <c r="D86" s="297"/>
      <c r="E86" s="295"/>
      <c r="F86" s="295"/>
      <c r="G86" s="296"/>
      <c r="H86" s="604"/>
      <c r="I86" s="605"/>
    </row>
    <row r="87" spans="1:9" ht="14.4">
      <c r="A87" s="602"/>
      <c r="B87" s="603"/>
      <c r="C87" s="297"/>
      <c r="D87" s="297"/>
      <c r="E87" s="295"/>
      <c r="F87" s="295"/>
      <c r="G87" s="296"/>
      <c r="H87" s="604"/>
      <c r="I87" s="605"/>
    </row>
    <row r="88" spans="1:9" ht="14.4">
      <c r="A88" s="602"/>
      <c r="B88" s="603"/>
      <c r="C88" s="297"/>
      <c r="D88" s="297"/>
      <c r="E88" s="295"/>
      <c r="F88" s="295"/>
      <c r="G88" s="296"/>
      <c r="H88" s="604"/>
      <c r="I88" s="605"/>
    </row>
    <row r="89" spans="1:9" ht="14.4">
      <c r="A89" s="602"/>
      <c r="B89" s="603"/>
      <c r="C89" s="297"/>
      <c r="D89" s="297"/>
      <c r="E89" s="295"/>
      <c r="F89" s="295"/>
      <c r="G89" s="296"/>
      <c r="H89" s="604"/>
      <c r="I89" s="605"/>
    </row>
    <row r="90" spans="1:9" ht="15" thickBot="1">
      <c r="A90" s="612"/>
      <c r="B90" s="613"/>
      <c r="C90" s="300"/>
      <c r="D90" s="300"/>
      <c r="E90" s="301"/>
      <c r="F90" s="302" t="s">
        <v>47</v>
      </c>
      <c r="G90" s="303">
        <f>ROUND((SUM(G83:G89)),2)</f>
        <v>103.45</v>
      </c>
      <c r="H90" s="606"/>
      <c r="I90" s="607"/>
    </row>
    <row r="91" spans="1:9" ht="13.8" thickBot="1"/>
    <row r="92" spans="1:9" ht="18.600000000000001" thickBot="1">
      <c r="A92" s="565" t="s">
        <v>328</v>
      </c>
      <c r="B92" s="566"/>
      <c r="C92" s="566"/>
      <c r="D92" s="566"/>
      <c r="E92" s="566"/>
      <c r="F92" s="566"/>
      <c r="G92" s="566"/>
      <c r="H92" s="566"/>
      <c r="I92" s="567"/>
    </row>
    <row r="93" spans="1:9" ht="14.4" customHeight="1">
      <c r="A93" s="582" t="s">
        <v>329</v>
      </c>
      <c r="B93" s="584"/>
      <c r="C93" s="586" t="str">
        <f>PRESUPUESTO!A8</f>
        <v>AMPLIACION DE ALBERGUE TRANSITORIO DE FAUNA DOMESTICA EN EL MUNICIPIO DE CAUCASIA  DEPARTAMENTO DE ANTIOQUIA.</v>
      </c>
      <c r="D93" s="587"/>
      <c r="E93" s="587"/>
      <c r="F93" s="587"/>
      <c r="G93" s="588"/>
      <c r="H93" s="287" t="s">
        <v>330</v>
      </c>
      <c r="I93" s="288" t="s">
        <v>331</v>
      </c>
    </row>
    <row r="94" spans="1:9" ht="14.4">
      <c r="A94" s="583"/>
      <c r="B94" s="585"/>
      <c r="C94" s="589"/>
      <c r="D94" s="590"/>
      <c r="E94" s="590"/>
      <c r="F94" s="590"/>
      <c r="G94" s="591"/>
      <c r="H94" s="289"/>
      <c r="I94" s="290"/>
    </row>
    <row r="95" spans="1:9" ht="41.4" customHeight="1">
      <c r="A95" s="291" t="s">
        <v>8</v>
      </c>
      <c r="B95" s="592" t="str">
        <f>PRESUPUESTO!B20</f>
        <v>Construcción muros de MAMPOSTERÍA EN LADRILLO 0.15*0.20*0.40 M, para revocar. Cumpliendo con norma NTC 4205. Incluye mortero de pega 1:4, trabas, dovelas,machones, cuchillas, remates de enrases,  encorozados, aticos y chapas necesarias por detalles de construcción que se ejecuten en  el mismo material que se esta midiendo.Todos los cortes seran realizados a maquina. (Según norma Icontec 451, 296 y la Astm C-652 y C-34)</v>
      </c>
      <c r="C95" s="593"/>
      <c r="D95" s="593"/>
      <c r="E95" s="593"/>
      <c r="F95" s="593"/>
      <c r="G95" s="593"/>
      <c r="H95" s="594"/>
      <c r="I95" s="292" t="s">
        <v>20</v>
      </c>
    </row>
    <row r="96" spans="1:9" ht="49.95" customHeight="1">
      <c r="A96" s="291" t="str">
        <f>PRESUPUESTO!A20</f>
        <v>3.1</v>
      </c>
      <c r="B96" s="595"/>
      <c r="C96" s="596"/>
      <c r="D96" s="596"/>
      <c r="E96" s="596"/>
      <c r="F96" s="596"/>
      <c r="G96" s="596"/>
      <c r="H96" s="597"/>
      <c r="I96" s="292" t="str">
        <f>PRESUPUESTO!C20</f>
        <v>M2</v>
      </c>
    </row>
    <row r="97" spans="1:9" ht="14.4">
      <c r="A97" s="598" t="s">
        <v>332</v>
      </c>
      <c r="B97" s="599"/>
      <c r="C97" s="293" t="s">
        <v>333</v>
      </c>
      <c r="D97" s="293" t="s">
        <v>1</v>
      </c>
      <c r="E97" s="293" t="s">
        <v>99</v>
      </c>
      <c r="F97" s="293" t="s">
        <v>31</v>
      </c>
      <c r="G97" s="294" t="s">
        <v>47</v>
      </c>
      <c r="H97" s="600" t="s">
        <v>334</v>
      </c>
      <c r="I97" s="601"/>
    </row>
    <row r="98" spans="1:9" ht="14.4">
      <c r="A98" s="602" t="s">
        <v>428</v>
      </c>
      <c r="B98" s="603"/>
      <c r="C98" s="1">
        <v>9.1</v>
      </c>
      <c r="D98" s="1"/>
      <c r="E98" s="1">
        <v>2.4</v>
      </c>
      <c r="F98" s="1"/>
      <c r="G98" s="296">
        <f>PRODUCT(C98:F98)</f>
        <v>21.84</v>
      </c>
      <c r="H98" s="604"/>
      <c r="I98" s="605"/>
    </row>
    <row r="99" spans="1:9" ht="14.4">
      <c r="A99" s="602" t="s">
        <v>429</v>
      </c>
      <c r="B99" s="603"/>
      <c r="C99" s="1">
        <v>3.1</v>
      </c>
      <c r="D99" s="297"/>
      <c r="E99" s="1">
        <v>2.4</v>
      </c>
      <c r="F99" s="295"/>
      <c r="G99" s="296">
        <f>PRODUCT(C99:F99)</f>
        <v>7.4399999999999995</v>
      </c>
      <c r="H99" s="604"/>
      <c r="I99" s="605"/>
    </row>
    <row r="100" spans="1:9" ht="14.4">
      <c r="A100" s="602" t="s">
        <v>453</v>
      </c>
      <c r="B100" s="603"/>
      <c r="C100" s="1">
        <v>2.4</v>
      </c>
      <c r="D100" s="297"/>
      <c r="E100" s="1">
        <v>1.2</v>
      </c>
      <c r="F100" s="1">
        <v>4</v>
      </c>
      <c r="G100" s="296">
        <f>PRODUCT(C100:F100)</f>
        <v>11.52</v>
      </c>
      <c r="H100" s="604"/>
      <c r="I100" s="605"/>
    </row>
    <row r="101" spans="1:9" ht="14.4">
      <c r="A101" s="602" t="s">
        <v>453</v>
      </c>
      <c r="B101" s="603"/>
      <c r="C101" s="1">
        <v>1.2</v>
      </c>
      <c r="D101" s="298"/>
      <c r="E101" s="1">
        <v>1.2</v>
      </c>
      <c r="F101" s="1">
        <v>4</v>
      </c>
      <c r="G101" s="296">
        <f t="shared" ref="G101:G105" si="0">PRODUCT(C101:F101)</f>
        <v>5.76</v>
      </c>
      <c r="H101" s="604"/>
      <c r="I101" s="605"/>
    </row>
    <row r="102" spans="1:9" ht="14.4">
      <c r="A102" s="602"/>
      <c r="B102" s="603"/>
      <c r="C102" s="297"/>
      <c r="D102" s="297"/>
      <c r="E102" s="295"/>
      <c r="F102" s="295"/>
      <c r="G102" s="296">
        <f t="shared" si="0"/>
        <v>0</v>
      </c>
      <c r="H102" s="604"/>
      <c r="I102" s="605"/>
    </row>
    <row r="103" spans="1:9" ht="14.4">
      <c r="A103" s="602"/>
      <c r="B103" s="603"/>
      <c r="C103" s="297"/>
      <c r="D103" s="297"/>
      <c r="E103" s="295"/>
      <c r="F103" s="295"/>
      <c r="G103" s="296">
        <f t="shared" si="0"/>
        <v>0</v>
      </c>
      <c r="H103" s="604"/>
      <c r="I103" s="605"/>
    </row>
    <row r="104" spans="1:9" ht="14.4">
      <c r="A104" s="602"/>
      <c r="B104" s="603"/>
      <c r="C104" s="297"/>
      <c r="D104" s="297"/>
      <c r="E104" s="295"/>
      <c r="F104" s="295"/>
      <c r="G104" s="296">
        <f t="shared" si="0"/>
        <v>0</v>
      </c>
      <c r="H104" s="604"/>
      <c r="I104" s="605"/>
    </row>
    <row r="105" spans="1:9" ht="14.4">
      <c r="A105" s="602"/>
      <c r="B105" s="603"/>
      <c r="C105" s="297"/>
      <c r="D105" s="297"/>
      <c r="E105" s="295"/>
      <c r="F105" s="295"/>
      <c r="G105" s="296">
        <f t="shared" si="0"/>
        <v>0</v>
      </c>
      <c r="H105" s="604"/>
      <c r="I105" s="605"/>
    </row>
    <row r="106" spans="1:9" ht="15" thickBot="1">
      <c r="A106" s="612"/>
      <c r="B106" s="613"/>
      <c r="C106" s="300"/>
      <c r="D106" s="300"/>
      <c r="E106" s="301"/>
      <c r="F106" s="302" t="s">
        <v>47</v>
      </c>
      <c r="G106" s="303">
        <f>ROUND((SUM(G98:G105)),2)</f>
        <v>46.56</v>
      </c>
      <c r="H106" s="606"/>
      <c r="I106" s="607"/>
    </row>
    <row r="107" spans="1:9" ht="15" thickBot="1">
      <c r="A107" s="283"/>
      <c r="B107" s="283"/>
      <c r="C107" s="614"/>
      <c r="D107" s="614"/>
      <c r="E107" s="614"/>
      <c r="F107" s="614"/>
      <c r="G107" s="285"/>
      <c r="H107" s="283"/>
      <c r="I107" s="283"/>
    </row>
    <row r="108" spans="1:9" ht="18.600000000000001" thickBot="1">
      <c r="A108" s="565" t="s">
        <v>328</v>
      </c>
      <c r="B108" s="566"/>
      <c r="C108" s="566"/>
      <c r="D108" s="566"/>
      <c r="E108" s="566"/>
      <c r="F108" s="566"/>
      <c r="G108" s="566"/>
      <c r="H108" s="566"/>
      <c r="I108" s="567"/>
    </row>
    <row r="109" spans="1:9" ht="14.4" customHeight="1">
      <c r="A109" s="582" t="s">
        <v>329</v>
      </c>
      <c r="B109" s="584"/>
      <c r="C109" s="586" t="str">
        <f>PRESUPUESTO!A8</f>
        <v>AMPLIACION DE ALBERGUE TRANSITORIO DE FAUNA DOMESTICA EN EL MUNICIPIO DE CAUCASIA  DEPARTAMENTO DE ANTIOQUIA.</v>
      </c>
      <c r="D109" s="587"/>
      <c r="E109" s="587"/>
      <c r="F109" s="587"/>
      <c r="G109" s="588"/>
      <c r="H109" s="287" t="s">
        <v>330</v>
      </c>
      <c r="I109" s="288" t="s">
        <v>331</v>
      </c>
    </row>
    <row r="110" spans="1:9" ht="14.4">
      <c r="A110" s="583"/>
      <c r="B110" s="585"/>
      <c r="C110" s="589"/>
      <c r="D110" s="590"/>
      <c r="E110" s="590"/>
      <c r="F110" s="590"/>
      <c r="G110" s="591"/>
      <c r="H110" s="289"/>
      <c r="I110" s="290"/>
    </row>
    <row r="111" spans="1:9" ht="41.4" customHeight="1">
      <c r="A111" s="291" t="s">
        <v>8</v>
      </c>
      <c r="B111" s="592" t="str">
        <f>PRESUPUESTO!B21</f>
        <v>Suministro e instalación de MALLA ESLABONADA, calibre 10 ojo 5, Incluye tuberia galvanizada de 11/2" para postes con  gallinazo sencillo cada 1,20 m. ( H poste = 1,200m. incluido gallinazos) y para pieamigos en esquinas e intermedios ( L = 1,2 m.), tuberia superior , altura malla 1,20 m.,pintura anticorrosiva y pintura de acabado color aluminio en soldadura, tapones en lamina galvanizada y demas elementos necesarios para su correcto funcionamiento.</v>
      </c>
      <c r="C111" s="593"/>
      <c r="D111" s="593"/>
      <c r="E111" s="593"/>
      <c r="F111" s="593"/>
      <c r="G111" s="593"/>
      <c r="H111" s="594"/>
      <c r="I111" s="292" t="s">
        <v>20</v>
      </c>
    </row>
    <row r="112" spans="1:9" ht="49.95" customHeight="1">
      <c r="A112" s="291" t="str">
        <f>PRESUPUESTO!A21</f>
        <v>3.2</v>
      </c>
      <c r="B112" s="595"/>
      <c r="C112" s="596"/>
      <c r="D112" s="596"/>
      <c r="E112" s="596"/>
      <c r="F112" s="596"/>
      <c r="G112" s="596"/>
      <c r="H112" s="597"/>
      <c r="I112" s="292" t="e">
        <f>PRESUPUESTO!#REF!</f>
        <v>#REF!</v>
      </c>
    </row>
    <row r="113" spans="1:9" ht="14.4">
      <c r="A113" s="598" t="s">
        <v>332</v>
      </c>
      <c r="B113" s="599"/>
      <c r="C113" s="293" t="s">
        <v>333</v>
      </c>
      <c r="D113" s="293" t="s">
        <v>1</v>
      </c>
      <c r="E113" s="293" t="s">
        <v>99</v>
      </c>
      <c r="F113" s="293" t="s">
        <v>31</v>
      </c>
      <c r="G113" s="294" t="s">
        <v>47</v>
      </c>
      <c r="H113" s="600" t="s">
        <v>334</v>
      </c>
      <c r="I113" s="601"/>
    </row>
    <row r="114" spans="1:9" ht="14.4">
      <c r="A114" s="602" t="s">
        <v>479</v>
      </c>
      <c r="B114" s="603"/>
      <c r="C114" s="1">
        <v>4.8</v>
      </c>
      <c r="D114" s="1"/>
      <c r="E114" s="1"/>
      <c r="F114" s="1"/>
      <c r="G114" s="296">
        <f>PRODUCT(C114:F114)</f>
        <v>4.8</v>
      </c>
      <c r="H114" s="604"/>
      <c r="I114" s="605"/>
    </row>
    <row r="115" spans="1:9" ht="14.4">
      <c r="A115" s="602" t="s">
        <v>429</v>
      </c>
      <c r="B115" s="603"/>
      <c r="C115" s="1">
        <v>2.4</v>
      </c>
      <c r="D115" s="297"/>
      <c r="E115" s="1"/>
      <c r="F115" s="295"/>
      <c r="G115" s="296">
        <f>PRODUCT(C115:F115)</f>
        <v>2.4</v>
      </c>
      <c r="H115" s="604"/>
      <c r="I115" s="605"/>
    </row>
    <row r="116" spans="1:9" ht="14.4">
      <c r="A116" s="602" t="s">
        <v>453</v>
      </c>
      <c r="B116" s="603"/>
      <c r="C116" s="1">
        <v>2.4</v>
      </c>
      <c r="D116" s="297"/>
      <c r="E116" s="1"/>
      <c r="F116" s="1">
        <v>3</v>
      </c>
      <c r="G116" s="296">
        <f>PRODUCT(C116:F116)</f>
        <v>7.1999999999999993</v>
      </c>
      <c r="H116" s="604"/>
      <c r="I116" s="605"/>
    </row>
    <row r="117" spans="1:9" ht="14.4">
      <c r="A117" s="602"/>
      <c r="B117" s="603"/>
      <c r="C117" s="297"/>
      <c r="D117" s="297"/>
      <c r="E117" s="295"/>
      <c r="F117" s="295"/>
      <c r="G117" s="296">
        <f t="shared" ref="G117:G120" si="1">PRODUCT(C117:F117)</f>
        <v>0</v>
      </c>
      <c r="H117" s="604"/>
      <c r="I117" s="605"/>
    </row>
    <row r="118" spans="1:9" ht="14.4">
      <c r="A118" s="602"/>
      <c r="B118" s="603"/>
      <c r="C118" s="297"/>
      <c r="D118" s="297"/>
      <c r="E118" s="295"/>
      <c r="F118" s="295"/>
      <c r="G118" s="296">
        <f t="shared" si="1"/>
        <v>0</v>
      </c>
      <c r="H118" s="604"/>
      <c r="I118" s="605"/>
    </row>
    <row r="119" spans="1:9" ht="14.4">
      <c r="A119" s="602"/>
      <c r="B119" s="603"/>
      <c r="C119" s="297"/>
      <c r="D119" s="297"/>
      <c r="E119" s="295"/>
      <c r="F119" s="295"/>
      <c r="G119" s="296">
        <f t="shared" si="1"/>
        <v>0</v>
      </c>
      <c r="H119" s="604"/>
      <c r="I119" s="605"/>
    </row>
    <row r="120" spans="1:9" ht="14.4">
      <c r="A120" s="602"/>
      <c r="B120" s="603"/>
      <c r="C120" s="297"/>
      <c r="D120" s="297"/>
      <c r="E120" s="295"/>
      <c r="F120" s="295"/>
      <c r="G120" s="296">
        <f t="shared" si="1"/>
        <v>0</v>
      </c>
      <c r="H120" s="604"/>
      <c r="I120" s="605"/>
    </row>
    <row r="121" spans="1:9" ht="15" thickBot="1">
      <c r="A121" s="612"/>
      <c r="B121" s="613"/>
      <c r="C121" s="300"/>
      <c r="D121" s="300"/>
      <c r="E121" s="301"/>
      <c r="F121" s="302" t="s">
        <v>47</v>
      </c>
      <c r="G121" s="303">
        <f>ROUND((SUM(G114:G120)),2)</f>
        <v>14.4</v>
      </c>
      <c r="H121" s="606"/>
      <c r="I121" s="607"/>
    </row>
    <row r="122" spans="1:9" ht="15" thickBot="1">
      <c r="A122" s="429"/>
      <c r="B122" s="430"/>
      <c r="C122" s="431"/>
      <c r="D122" s="431"/>
      <c r="E122" s="432"/>
      <c r="F122" s="433"/>
      <c r="G122" s="427"/>
      <c r="H122" s="432"/>
      <c r="I122" s="434"/>
    </row>
    <row r="123" spans="1:9" ht="18.600000000000001" thickBot="1">
      <c r="A123" s="565" t="s">
        <v>328</v>
      </c>
      <c r="B123" s="566"/>
      <c r="C123" s="566"/>
      <c r="D123" s="566"/>
      <c r="E123" s="566"/>
      <c r="F123" s="566"/>
      <c r="G123" s="566"/>
      <c r="H123" s="566"/>
      <c r="I123" s="567"/>
    </row>
    <row r="124" spans="1:9" ht="18.600000000000001" thickBot="1">
      <c r="A124" s="435"/>
      <c r="B124" s="436"/>
      <c r="C124" s="436"/>
      <c r="D124" s="436"/>
      <c r="E124" s="436"/>
      <c r="F124" s="436"/>
      <c r="G124" s="436"/>
      <c r="H124" s="436"/>
      <c r="I124" s="437"/>
    </row>
    <row r="125" spans="1:9" ht="14.4" customHeight="1">
      <c r="A125" s="582" t="s">
        <v>329</v>
      </c>
      <c r="B125" s="584"/>
      <c r="C125" s="586" t="str">
        <f>PRESUPUESTO!A43</f>
        <v>REVISO Y APROBO:</v>
      </c>
      <c r="D125" s="587"/>
      <c r="E125" s="587"/>
      <c r="F125" s="587"/>
      <c r="G125" s="588"/>
      <c r="H125" s="287" t="s">
        <v>330</v>
      </c>
      <c r="I125" s="288" t="s">
        <v>331</v>
      </c>
    </row>
    <row r="126" spans="1:9" ht="14.4">
      <c r="A126" s="583"/>
      <c r="B126" s="585"/>
      <c r="C126" s="589"/>
      <c r="D126" s="590"/>
      <c r="E126" s="590"/>
      <c r="F126" s="590"/>
      <c r="G126" s="591"/>
      <c r="H126" s="289"/>
      <c r="I126" s="290"/>
    </row>
    <row r="127" spans="1:9" ht="41.4" customHeight="1">
      <c r="A127" s="291" t="s">
        <v>8</v>
      </c>
      <c r="B127" s="592" t="str">
        <f>PRESUPUESTO!B24</f>
        <v>RESANE Y REPINTE PINTURA INTERIOR  sobre muros y cielos calidad vinIltex o similar tipo 1 o quivalente para interiores (hidrorepelente) de primera calidad que cumpla con la Norma NTC 1335, 3 manos o las que sean necesarias para obtener una superficie pareja y homogénea, a satisfacción de la interventoría. Incluye suministro de los materiales, preparada y adecuación de la superficie a intervenir. Color a definir según aprobación de la interventoría.</v>
      </c>
      <c r="C127" s="593"/>
      <c r="D127" s="593"/>
      <c r="E127" s="593"/>
      <c r="F127" s="593"/>
      <c r="G127" s="593"/>
      <c r="H127" s="594"/>
      <c r="I127" s="292" t="s">
        <v>20</v>
      </c>
    </row>
    <row r="128" spans="1:9" ht="49.95" customHeight="1">
      <c r="A128" s="291" t="str">
        <f>PRESUPUESTO!A24</f>
        <v>4.1</v>
      </c>
      <c r="B128" s="595"/>
      <c r="C128" s="596"/>
      <c r="D128" s="596"/>
      <c r="E128" s="596"/>
      <c r="F128" s="596"/>
      <c r="G128" s="596"/>
      <c r="H128" s="597"/>
      <c r="I128" s="292" t="str">
        <f>PRESUPUESTO!C24</f>
        <v>M2</v>
      </c>
    </row>
    <row r="129" spans="1:9" ht="14.4">
      <c r="A129" s="598" t="s">
        <v>332</v>
      </c>
      <c r="B129" s="599"/>
      <c r="C129" s="293" t="s">
        <v>333</v>
      </c>
      <c r="D129" s="293" t="s">
        <v>1</v>
      </c>
      <c r="E129" s="293" t="s">
        <v>99</v>
      </c>
      <c r="F129" s="293" t="s">
        <v>31</v>
      </c>
      <c r="G129" s="294" t="s">
        <v>47</v>
      </c>
      <c r="H129" s="600" t="s">
        <v>334</v>
      </c>
      <c r="I129" s="601"/>
    </row>
    <row r="130" spans="1:9" ht="14.4">
      <c r="A130" s="602" t="s">
        <v>428</v>
      </c>
      <c r="B130" s="603"/>
      <c r="C130" s="1">
        <v>9.1</v>
      </c>
      <c r="D130" s="1"/>
      <c r="E130" s="1">
        <v>2.4</v>
      </c>
      <c r="F130" s="1">
        <v>2</v>
      </c>
      <c r="G130" s="296">
        <f>PRODUCT(C130:F130)</f>
        <v>43.68</v>
      </c>
      <c r="H130" s="604"/>
      <c r="I130" s="605"/>
    </row>
    <row r="131" spans="1:9" ht="14.4">
      <c r="A131" s="602" t="s">
        <v>429</v>
      </c>
      <c r="B131" s="603"/>
      <c r="C131" s="1">
        <v>3.1</v>
      </c>
      <c r="D131" s="297"/>
      <c r="E131" s="1">
        <v>2.4</v>
      </c>
      <c r="F131" s="1">
        <v>2</v>
      </c>
      <c r="G131" s="296">
        <f>PRODUCT(C131:F131)</f>
        <v>14.879999999999999</v>
      </c>
      <c r="H131" s="604"/>
      <c r="I131" s="605"/>
    </row>
    <row r="132" spans="1:9" ht="14.4">
      <c r="A132" s="602" t="s">
        <v>453</v>
      </c>
      <c r="B132" s="603"/>
      <c r="C132" s="1">
        <v>2.4</v>
      </c>
      <c r="D132" s="297"/>
      <c r="E132" s="1">
        <v>1.2</v>
      </c>
      <c r="F132" s="1">
        <f>4*2</f>
        <v>8</v>
      </c>
      <c r="G132" s="296">
        <f>PRODUCT(C132:F132)</f>
        <v>23.04</v>
      </c>
      <c r="H132" s="604"/>
      <c r="I132" s="605"/>
    </row>
    <row r="133" spans="1:9" ht="14.4">
      <c r="A133" s="602" t="s">
        <v>453</v>
      </c>
      <c r="B133" s="603"/>
      <c r="C133" s="1">
        <v>1.2</v>
      </c>
      <c r="D133" s="298"/>
      <c r="E133" s="1">
        <v>1.2</v>
      </c>
      <c r="F133" s="1">
        <f>4*2</f>
        <v>8</v>
      </c>
      <c r="G133" s="296">
        <f>PRODUCT(C133:F133)</f>
        <v>11.52</v>
      </c>
      <c r="H133" s="604"/>
      <c r="I133" s="605"/>
    </row>
    <row r="134" spans="1:9" ht="14.4">
      <c r="A134" s="602"/>
      <c r="B134" s="603"/>
      <c r="C134" s="297"/>
      <c r="D134" s="297"/>
      <c r="E134" s="295"/>
      <c r="F134" s="295"/>
      <c r="G134" s="296">
        <f t="shared" ref="G134:G137" si="2">PRODUCT(C134:F134)</f>
        <v>0</v>
      </c>
      <c r="H134" s="604"/>
      <c r="I134" s="605"/>
    </row>
    <row r="135" spans="1:9" ht="14.4">
      <c r="A135" s="602"/>
      <c r="B135" s="603"/>
      <c r="C135" s="297"/>
      <c r="D135" s="297"/>
      <c r="E135" s="295"/>
      <c r="F135" s="295"/>
      <c r="G135" s="296">
        <f t="shared" si="2"/>
        <v>0</v>
      </c>
      <c r="H135" s="604"/>
      <c r="I135" s="605"/>
    </row>
    <row r="136" spans="1:9" ht="14.4">
      <c r="A136" s="602"/>
      <c r="B136" s="603"/>
      <c r="C136" s="297"/>
      <c r="D136" s="297"/>
      <c r="E136" s="295"/>
      <c r="F136" s="295"/>
      <c r="G136" s="296">
        <f t="shared" si="2"/>
        <v>0</v>
      </c>
      <c r="H136" s="604"/>
      <c r="I136" s="605"/>
    </row>
    <row r="137" spans="1:9" ht="14.4">
      <c r="A137" s="602"/>
      <c r="B137" s="603"/>
      <c r="C137" s="297"/>
      <c r="D137" s="297"/>
      <c r="E137" s="295"/>
      <c r="F137" s="295"/>
      <c r="G137" s="296">
        <f t="shared" si="2"/>
        <v>0</v>
      </c>
      <c r="H137" s="604"/>
      <c r="I137" s="605"/>
    </row>
    <row r="138" spans="1:9" ht="15" thickBot="1">
      <c r="A138" s="612"/>
      <c r="B138" s="613"/>
      <c r="C138" s="300"/>
      <c r="D138" s="300"/>
      <c r="E138" s="301"/>
      <c r="F138" s="302" t="s">
        <v>47</v>
      </c>
      <c r="G138" s="303">
        <f>ROUND((SUM(G130:G137)),2)</f>
        <v>93.12</v>
      </c>
      <c r="H138" s="606"/>
      <c r="I138" s="607"/>
    </row>
    <row r="139" spans="1:9" ht="13.8" thickBot="1"/>
    <row r="140" spans="1:9" ht="18.600000000000001" thickBot="1">
      <c r="A140" s="565" t="s">
        <v>328</v>
      </c>
      <c r="B140" s="566"/>
      <c r="C140" s="566"/>
      <c r="D140" s="566"/>
      <c r="E140" s="566"/>
      <c r="F140" s="566"/>
      <c r="G140" s="566"/>
      <c r="H140" s="566"/>
      <c r="I140" s="567"/>
    </row>
    <row r="141" spans="1:9" ht="13.8">
      <c r="A141" s="568" t="s">
        <v>329</v>
      </c>
      <c r="B141" s="570"/>
      <c r="C141" s="572" t="str">
        <f>PRESUPUESTO!A8</f>
        <v>AMPLIACION DE ALBERGUE TRANSITORIO DE FAUNA DOMESTICA EN EL MUNICIPIO DE CAUCASIA  DEPARTAMENTO DE ANTIOQUIA.</v>
      </c>
      <c r="D141" s="572"/>
      <c r="E141" s="572"/>
      <c r="F141" s="572"/>
      <c r="G141" s="573"/>
      <c r="H141" s="267" t="s">
        <v>330</v>
      </c>
      <c r="I141" s="268" t="s">
        <v>331</v>
      </c>
    </row>
    <row r="142" spans="1:9" ht="13.8">
      <c r="A142" s="569"/>
      <c r="B142" s="571"/>
      <c r="C142" s="574"/>
      <c r="D142" s="574"/>
      <c r="E142" s="574"/>
      <c r="F142" s="574"/>
      <c r="G142" s="575"/>
      <c r="H142" s="269"/>
      <c r="I142" s="270">
        <v>44958</v>
      </c>
    </row>
    <row r="143" spans="1:9" ht="13.8">
      <c r="A143" s="271" t="s">
        <v>8</v>
      </c>
      <c r="B143" s="615" t="str">
        <f>PRESUPUESTO!B25</f>
        <v>Suministro, transporte e instalación de cubierta en TEJA DE ZINC  y largeros 4x2  para cuerda superior.</v>
      </c>
      <c r="C143" s="616"/>
      <c r="D143" s="616"/>
      <c r="E143" s="616"/>
      <c r="F143" s="616"/>
      <c r="G143" s="616"/>
      <c r="H143" s="617"/>
      <c r="I143" s="272" t="s">
        <v>20</v>
      </c>
    </row>
    <row r="144" spans="1:9" ht="13.8">
      <c r="A144" s="271" t="str">
        <f>PRESUPUESTO!A25</f>
        <v>4.2</v>
      </c>
      <c r="B144" s="618"/>
      <c r="C144" s="619"/>
      <c r="D144" s="619"/>
      <c r="E144" s="619"/>
      <c r="F144" s="619"/>
      <c r="G144" s="619"/>
      <c r="H144" s="620"/>
      <c r="I144" s="272">
        <f>PRESUPUESTO!C156</f>
        <v>0</v>
      </c>
    </row>
    <row r="145" spans="1:9" ht="13.8">
      <c r="A145" s="621" t="s">
        <v>332</v>
      </c>
      <c r="B145" s="622"/>
      <c r="C145" s="273" t="s">
        <v>333</v>
      </c>
      <c r="D145" s="273" t="s">
        <v>1</v>
      </c>
      <c r="E145" s="273" t="s">
        <v>99</v>
      </c>
      <c r="F145" s="273" t="s">
        <v>31</v>
      </c>
      <c r="G145" s="274" t="s">
        <v>47</v>
      </c>
      <c r="H145" s="623" t="s">
        <v>334</v>
      </c>
      <c r="I145" s="624"/>
    </row>
    <row r="146" spans="1:9" ht="13.8">
      <c r="A146" s="563" t="s">
        <v>405</v>
      </c>
      <c r="B146" s="564"/>
      <c r="C146" s="275">
        <v>9.1</v>
      </c>
      <c r="D146" s="275">
        <v>3.1</v>
      </c>
      <c r="E146" s="276"/>
      <c r="F146" s="276"/>
      <c r="G146" s="277">
        <f>PRODUCT(C146:F146)</f>
        <v>28.21</v>
      </c>
      <c r="H146" s="576"/>
      <c r="I146" s="577"/>
    </row>
    <row r="147" spans="1:9" ht="13.8">
      <c r="A147" s="563"/>
      <c r="B147" s="564"/>
      <c r="C147" s="278"/>
      <c r="D147" s="278"/>
      <c r="E147" s="276"/>
      <c r="F147" s="276"/>
      <c r="G147" s="277"/>
      <c r="H147" s="576"/>
      <c r="I147" s="577"/>
    </row>
    <row r="148" spans="1:9" ht="13.8">
      <c r="A148" s="563"/>
      <c r="B148" s="564"/>
      <c r="C148" s="278"/>
      <c r="D148" s="278"/>
      <c r="E148" s="276"/>
      <c r="F148" s="276"/>
      <c r="G148" s="277"/>
      <c r="H148" s="576"/>
      <c r="I148" s="577"/>
    </row>
    <row r="149" spans="1:9" ht="13.8">
      <c r="A149" s="563"/>
      <c r="B149" s="564"/>
      <c r="C149" s="278"/>
      <c r="D149" s="278"/>
      <c r="E149" s="276"/>
      <c r="F149" s="276"/>
      <c r="G149" s="277"/>
      <c r="H149" s="576"/>
      <c r="I149" s="577"/>
    </row>
    <row r="150" spans="1:9" ht="13.8">
      <c r="A150" s="563"/>
      <c r="B150" s="564"/>
      <c r="C150" s="278"/>
      <c r="D150" s="278"/>
      <c r="E150" s="276"/>
      <c r="F150" s="276"/>
      <c r="G150" s="277"/>
      <c r="H150" s="576"/>
      <c r="I150" s="577"/>
    </row>
    <row r="151" spans="1:9" ht="13.8">
      <c r="A151" s="563"/>
      <c r="B151" s="564"/>
      <c r="C151" s="278"/>
      <c r="D151" s="278"/>
      <c r="E151" s="276"/>
      <c r="F151" s="276"/>
      <c r="G151" s="277"/>
      <c r="H151" s="576"/>
      <c r="I151" s="577"/>
    </row>
    <row r="152" spans="1:9" ht="14.4" thickBot="1">
      <c r="A152" s="580"/>
      <c r="B152" s="581"/>
      <c r="C152" s="279"/>
      <c r="D152" s="279"/>
      <c r="E152" s="280"/>
      <c r="F152" s="281" t="s">
        <v>47</v>
      </c>
      <c r="G152" s="282">
        <f>ROUND((SUM(G146:G151)),2)</f>
        <v>28.21</v>
      </c>
      <c r="H152" s="578"/>
      <c r="I152" s="579"/>
    </row>
  </sheetData>
  <mergeCells count="163">
    <mergeCell ref="C14:F14"/>
    <mergeCell ref="A16:I16"/>
    <mergeCell ref="A17:A18"/>
    <mergeCell ref="B17:B18"/>
    <mergeCell ref="C17:G18"/>
    <mergeCell ref="C31:F31"/>
    <mergeCell ref="A27:B27"/>
    <mergeCell ref="A28:B28"/>
    <mergeCell ref="A29:B29"/>
    <mergeCell ref="C30:F30"/>
    <mergeCell ref="B19:H20"/>
    <mergeCell ref="A21:B21"/>
    <mergeCell ref="H21:I21"/>
    <mergeCell ref="A22:B22"/>
    <mergeCell ref="H22:I29"/>
    <mergeCell ref="A23:B23"/>
    <mergeCell ref="A24:B24"/>
    <mergeCell ref="A25:B25"/>
    <mergeCell ref="A26:B26"/>
    <mergeCell ref="A1:I1"/>
    <mergeCell ref="A2:A3"/>
    <mergeCell ref="B2:B3"/>
    <mergeCell ref="C2:G3"/>
    <mergeCell ref="B4:H5"/>
    <mergeCell ref="A10:B10"/>
    <mergeCell ref="A11:B11"/>
    <mergeCell ref="A12:B12"/>
    <mergeCell ref="A6:B6"/>
    <mergeCell ref="H6:I6"/>
    <mergeCell ref="A7:B7"/>
    <mergeCell ref="H7:I13"/>
    <mergeCell ref="A8:B8"/>
    <mergeCell ref="A9:B9"/>
    <mergeCell ref="A13:B13"/>
    <mergeCell ref="B35:H36"/>
    <mergeCell ref="A37:B37"/>
    <mergeCell ref="H37:I37"/>
    <mergeCell ref="A38:B38"/>
    <mergeCell ref="H38:I45"/>
    <mergeCell ref="A39:B39"/>
    <mergeCell ref="A41:B41"/>
    <mergeCell ref="A42:B42"/>
    <mergeCell ref="A43:B43"/>
    <mergeCell ref="A44:B44"/>
    <mergeCell ref="A45:B45"/>
    <mergeCell ref="A40:B40"/>
    <mergeCell ref="A32:I32"/>
    <mergeCell ref="A33:A34"/>
    <mergeCell ref="B33:B34"/>
    <mergeCell ref="C33:G34"/>
    <mergeCell ref="B111:H112"/>
    <mergeCell ref="A113:B113"/>
    <mergeCell ref="H113:I113"/>
    <mergeCell ref="A92:I92"/>
    <mergeCell ref="A93:A94"/>
    <mergeCell ref="B93:B94"/>
    <mergeCell ref="C93:G94"/>
    <mergeCell ref="B95:H96"/>
    <mergeCell ref="C46:F46"/>
    <mergeCell ref="A47:I47"/>
    <mergeCell ref="A48:A49"/>
    <mergeCell ref="B48:B49"/>
    <mergeCell ref="C48:G49"/>
    <mergeCell ref="B50:H51"/>
    <mergeCell ref="A52:B52"/>
    <mergeCell ref="H52:I52"/>
    <mergeCell ref="A53:B53"/>
    <mergeCell ref="H53:I60"/>
    <mergeCell ref="A54:B54"/>
    <mergeCell ref="A56:B56"/>
    <mergeCell ref="A57:B57"/>
    <mergeCell ref="A58:B58"/>
    <mergeCell ref="A59:B59"/>
    <mergeCell ref="A60:B60"/>
    <mergeCell ref="B143:H144"/>
    <mergeCell ref="A145:B145"/>
    <mergeCell ref="H145:I145"/>
    <mergeCell ref="A146:B146"/>
    <mergeCell ref="A147:B147"/>
    <mergeCell ref="A62:I62"/>
    <mergeCell ref="A63:A64"/>
    <mergeCell ref="B63:B64"/>
    <mergeCell ref="C63:G64"/>
    <mergeCell ref="B65:H66"/>
    <mergeCell ref="A67:B67"/>
    <mergeCell ref="H67:I67"/>
    <mergeCell ref="A68:B68"/>
    <mergeCell ref="H68:I75"/>
    <mergeCell ref="A69:B69"/>
    <mergeCell ref="A71:B71"/>
    <mergeCell ref="A72:B72"/>
    <mergeCell ref="A73:B73"/>
    <mergeCell ref="A74:B74"/>
    <mergeCell ref="A75:B75"/>
    <mergeCell ref="A108:I108"/>
    <mergeCell ref="A109:A110"/>
    <mergeCell ref="B109:B110"/>
    <mergeCell ref="C109:G110"/>
    <mergeCell ref="A138:B138"/>
    <mergeCell ref="A114:B114"/>
    <mergeCell ref="H114:I121"/>
    <mergeCell ref="A115:B115"/>
    <mergeCell ref="A116:B116"/>
    <mergeCell ref="A117:B117"/>
    <mergeCell ref="A118:B118"/>
    <mergeCell ref="A119:B119"/>
    <mergeCell ref="A120:B120"/>
    <mergeCell ref="A121:B121"/>
    <mergeCell ref="C107:F107"/>
    <mergeCell ref="A97:B97"/>
    <mergeCell ref="H97:I97"/>
    <mergeCell ref="A98:B98"/>
    <mergeCell ref="H98:I106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77:I77"/>
    <mergeCell ref="A78:A79"/>
    <mergeCell ref="B78:B79"/>
    <mergeCell ref="C78:G79"/>
    <mergeCell ref="B80:H81"/>
    <mergeCell ref="A82:B82"/>
    <mergeCell ref="H82:I82"/>
    <mergeCell ref="A83:B83"/>
    <mergeCell ref="H83:I90"/>
    <mergeCell ref="A84:B84"/>
    <mergeCell ref="A86:B86"/>
    <mergeCell ref="A87:B87"/>
    <mergeCell ref="A88:B88"/>
    <mergeCell ref="A89:B89"/>
    <mergeCell ref="A90:B90"/>
    <mergeCell ref="A85:B85"/>
    <mergeCell ref="A123:I123"/>
    <mergeCell ref="A125:A126"/>
    <mergeCell ref="B125:B126"/>
    <mergeCell ref="C125:G126"/>
    <mergeCell ref="B127:H128"/>
    <mergeCell ref="A129:B129"/>
    <mergeCell ref="H129:I129"/>
    <mergeCell ref="A130:B130"/>
    <mergeCell ref="H130:I138"/>
    <mergeCell ref="A131:B131"/>
    <mergeCell ref="A132:B132"/>
    <mergeCell ref="A133:B133"/>
    <mergeCell ref="A134:B134"/>
    <mergeCell ref="A135:B135"/>
    <mergeCell ref="A136:B136"/>
    <mergeCell ref="A137:B137"/>
    <mergeCell ref="A148:B148"/>
    <mergeCell ref="A149:B149"/>
    <mergeCell ref="A140:I140"/>
    <mergeCell ref="A141:A142"/>
    <mergeCell ref="B141:B142"/>
    <mergeCell ref="C141:G142"/>
    <mergeCell ref="H146:I152"/>
    <mergeCell ref="A150:B150"/>
    <mergeCell ref="A151:B151"/>
    <mergeCell ref="A152:B152"/>
  </mergeCells>
  <phoneticPr fontId="28" type="noConversion"/>
  <pageMargins left="0.7" right="0.7" top="0.75" bottom="0.75" header="0.3" footer="0.3"/>
  <pageSetup paperSize="9" scale="35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7"/>
  <sheetViews>
    <sheetView view="pageBreakPreview" topLeftCell="A22" zoomScale="80" zoomScaleNormal="80" zoomScaleSheetLayoutView="80" workbookViewId="0">
      <selection activeCell="I32" sqref="I32"/>
    </sheetView>
  </sheetViews>
  <sheetFormatPr baseColWidth="10" defaultRowHeight="13.2"/>
  <cols>
    <col min="1" max="1" width="12.88671875" style="244" customWidth="1"/>
    <col min="2" max="2" width="60.33203125" style="244" bestFit="1" customWidth="1"/>
    <col min="3" max="3" width="17.6640625" style="244" bestFit="1" customWidth="1"/>
    <col min="4" max="4" width="18.33203125" style="244" bestFit="1" customWidth="1"/>
    <col min="5" max="5" width="15.6640625" style="244" bestFit="1" customWidth="1"/>
    <col min="6" max="6" width="15.6640625" style="244" customWidth="1"/>
    <col min="7" max="7" width="17.6640625" style="244" bestFit="1" customWidth="1"/>
    <col min="8" max="8" width="15" style="244" bestFit="1" customWidth="1"/>
    <col min="9" max="249" width="10.88671875" style="244"/>
    <col min="250" max="250" width="11.5546875" style="244" bestFit="1" customWidth="1"/>
    <col min="251" max="251" width="60.33203125" style="244" bestFit="1" customWidth="1"/>
    <col min="252" max="252" width="17.5546875" style="244" bestFit="1" customWidth="1"/>
    <col min="253" max="253" width="18.33203125" style="244" bestFit="1" customWidth="1"/>
    <col min="254" max="255" width="15.33203125" style="244" bestFit="1" customWidth="1"/>
    <col min="256" max="257" width="16.5546875" style="244" bestFit="1" customWidth="1"/>
    <col min="258" max="505" width="10.88671875" style="244"/>
    <col min="506" max="506" width="11.5546875" style="244" bestFit="1" customWidth="1"/>
    <col min="507" max="507" width="60.33203125" style="244" bestFit="1" customWidth="1"/>
    <col min="508" max="508" width="17.5546875" style="244" bestFit="1" customWidth="1"/>
    <col min="509" max="509" width="18.33203125" style="244" bestFit="1" customWidth="1"/>
    <col min="510" max="511" width="15.33203125" style="244" bestFit="1" customWidth="1"/>
    <col min="512" max="513" width="16.5546875" style="244" bestFit="1" customWidth="1"/>
    <col min="514" max="761" width="10.88671875" style="244"/>
    <col min="762" max="762" width="11.5546875" style="244" bestFit="1" customWidth="1"/>
    <col min="763" max="763" width="60.33203125" style="244" bestFit="1" customWidth="1"/>
    <col min="764" max="764" width="17.5546875" style="244" bestFit="1" customWidth="1"/>
    <col min="765" max="765" width="18.33203125" style="244" bestFit="1" customWidth="1"/>
    <col min="766" max="767" width="15.33203125" style="244" bestFit="1" customWidth="1"/>
    <col min="768" max="769" width="16.5546875" style="244" bestFit="1" customWidth="1"/>
    <col min="770" max="1017" width="10.88671875" style="244"/>
    <col min="1018" max="1018" width="11.5546875" style="244" bestFit="1" customWidth="1"/>
    <col min="1019" max="1019" width="60.33203125" style="244" bestFit="1" customWidth="1"/>
    <col min="1020" max="1020" width="17.5546875" style="244" bestFit="1" customWidth="1"/>
    <col min="1021" max="1021" width="18.33203125" style="244" bestFit="1" customWidth="1"/>
    <col min="1022" max="1023" width="15.33203125" style="244" bestFit="1" customWidth="1"/>
    <col min="1024" max="1025" width="16.5546875" style="244" bestFit="1" customWidth="1"/>
    <col min="1026" max="1273" width="10.88671875" style="244"/>
    <col min="1274" max="1274" width="11.5546875" style="244" bestFit="1" customWidth="1"/>
    <col min="1275" max="1275" width="60.33203125" style="244" bestFit="1" customWidth="1"/>
    <col min="1276" max="1276" width="17.5546875" style="244" bestFit="1" customWidth="1"/>
    <col min="1277" max="1277" width="18.33203125" style="244" bestFit="1" customWidth="1"/>
    <col min="1278" max="1279" width="15.33203125" style="244" bestFit="1" customWidth="1"/>
    <col min="1280" max="1281" width="16.5546875" style="244" bestFit="1" customWidth="1"/>
    <col min="1282" max="1529" width="10.88671875" style="244"/>
    <col min="1530" max="1530" width="11.5546875" style="244" bestFit="1" customWidth="1"/>
    <col min="1531" max="1531" width="60.33203125" style="244" bestFit="1" customWidth="1"/>
    <col min="1532" max="1532" width="17.5546875" style="244" bestFit="1" customWidth="1"/>
    <col min="1533" max="1533" width="18.33203125" style="244" bestFit="1" customWidth="1"/>
    <col min="1534" max="1535" width="15.33203125" style="244" bestFit="1" customWidth="1"/>
    <col min="1536" max="1537" width="16.5546875" style="244" bestFit="1" customWidth="1"/>
    <col min="1538" max="1785" width="10.88671875" style="244"/>
    <col min="1786" max="1786" width="11.5546875" style="244" bestFit="1" customWidth="1"/>
    <col min="1787" max="1787" width="60.33203125" style="244" bestFit="1" customWidth="1"/>
    <col min="1788" max="1788" width="17.5546875" style="244" bestFit="1" customWidth="1"/>
    <col min="1789" max="1789" width="18.33203125" style="244" bestFit="1" customWidth="1"/>
    <col min="1790" max="1791" width="15.33203125" style="244" bestFit="1" customWidth="1"/>
    <col min="1792" max="1793" width="16.5546875" style="244" bestFit="1" customWidth="1"/>
    <col min="1794" max="2041" width="10.88671875" style="244"/>
    <col min="2042" max="2042" width="11.5546875" style="244" bestFit="1" customWidth="1"/>
    <col min="2043" max="2043" width="60.33203125" style="244" bestFit="1" customWidth="1"/>
    <col min="2044" max="2044" width="17.5546875" style="244" bestFit="1" customWidth="1"/>
    <col min="2045" max="2045" width="18.33203125" style="244" bestFit="1" customWidth="1"/>
    <col min="2046" max="2047" width="15.33203125" style="244" bestFit="1" customWidth="1"/>
    <col min="2048" max="2049" width="16.5546875" style="244" bestFit="1" customWidth="1"/>
    <col min="2050" max="2297" width="10.88671875" style="244"/>
    <col min="2298" max="2298" width="11.5546875" style="244" bestFit="1" customWidth="1"/>
    <col min="2299" max="2299" width="60.33203125" style="244" bestFit="1" customWidth="1"/>
    <col min="2300" max="2300" width="17.5546875" style="244" bestFit="1" customWidth="1"/>
    <col min="2301" max="2301" width="18.33203125" style="244" bestFit="1" customWidth="1"/>
    <col min="2302" max="2303" width="15.33203125" style="244" bestFit="1" customWidth="1"/>
    <col min="2304" max="2305" width="16.5546875" style="244" bestFit="1" customWidth="1"/>
    <col min="2306" max="2553" width="10.88671875" style="244"/>
    <col min="2554" max="2554" width="11.5546875" style="244" bestFit="1" customWidth="1"/>
    <col min="2555" max="2555" width="60.33203125" style="244" bestFit="1" customWidth="1"/>
    <col min="2556" max="2556" width="17.5546875" style="244" bestFit="1" customWidth="1"/>
    <col min="2557" max="2557" width="18.33203125" style="244" bestFit="1" customWidth="1"/>
    <col min="2558" max="2559" width="15.33203125" style="244" bestFit="1" customWidth="1"/>
    <col min="2560" max="2561" width="16.5546875" style="244" bestFit="1" customWidth="1"/>
    <col min="2562" max="2809" width="10.88671875" style="244"/>
    <col min="2810" max="2810" width="11.5546875" style="244" bestFit="1" customWidth="1"/>
    <col min="2811" max="2811" width="60.33203125" style="244" bestFit="1" customWidth="1"/>
    <col min="2812" max="2812" width="17.5546875" style="244" bestFit="1" customWidth="1"/>
    <col min="2813" max="2813" width="18.33203125" style="244" bestFit="1" customWidth="1"/>
    <col min="2814" max="2815" width="15.33203125" style="244" bestFit="1" customWidth="1"/>
    <col min="2816" max="2817" width="16.5546875" style="244" bestFit="1" customWidth="1"/>
    <col min="2818" max="3065" width="10.88671875" style="244"/>
    <col min="3066" max="3066" width="11.5546875" style="244" bestFit="1" customWidth="1"/>
    <col min="3067" max="3067" width="60.33203125" style="244" bestFit="1" customWidth="1"/>
    <col min="3068" max="3068" width="17.5546875" style="244" bestFit="1" customWidth="1"/>
    <col min="3069" max="3069" width="18.33203125" style="244" bestFit="1" customWidth="1"/>
    <col min="3070" max="3071" width="15.33203125" style="244" bestFit="1" customWidth="1"/>
    <col min="3072" max="3073" width="16.5546875" style="244" bestFit="1" customWidth="1"/>
    <col min="3074" max="3321" width="10.88671875" style="244"/>
    <col min="3322" max="3322" width="11.5546875" style="244" bestFit="1" customWidth="1"/>
    <col min="3323" max="3323" width="60.33203125" style="244" bestFit="1" customWidth="1"/>
    <col min="3324" max="3324" width="17.5546875" style="244" bestFit="1" customWidth="1"/>
    <col min="3325" max="3325" width="18.33203125" style="244" bestFit="1" customWidth="1"/>
    <col min="3326" max="3327" width="15.33203125" style="244" bestFit="1" customWidth="1"/>
    <col min="3328" max="3329" width="16.5546875" style="244" bestFit="1" customWidth="1"/>
    <col min="3330" max="3577" width="10.88671875" style="244"/>
    <col min="3578" max="3578" width="11.5546875" style="244" bestFit="1" customWidth="1"/>
    <col min="3579" max="3579" width="60.33203125" style="244" bestFit="1" customWidth="1"/>
    <col min="3580" max="3580" width="17.5546875" style="244" bestFit="1" customWidth="1"/>
    <col min="3581" max="3581" width="18.33203125" style="244" bestFit="1" customWidth="1"/>
    <col min="3582" max="3583" width="15.33203125" style="244" bestFit="1" customWidth="1"/>
    <col min="3584" max="3585" width="16.5546875" style="244" bestFit="1" customWidth="1"/>
    <col min="3586" max="3833" width="10.88671875" style="244"/>
    <col min="3834" max="3834" width="11.5546875" style="244" bestFit="1" customWidth="1"/>
    <col min="3835" max="3835" width="60.33203125" style="244" bestFit="1" customWidth="1"/>
    <col min="3836" max="3836" width="17.5546875" style="244" bestFit="1" customWidth="1"/>
    <col min="3837" max="3837" width="18.33203125" style="244" bestFit="1" customWidth="1"/>
    <col min="3838" max="3839" width="15.33203125" style="244" bestFit="1" customWidth="1"/>
    <col min="3840" max="3841" width="16.5546875" style="244" bestFit="1" customWidth="1"/>
    <col min="3842" max="4089" width="10.88671875" style="244"/>
    <col min="4090" max="4090" width="11.5546875" style="244" bestFit="1" customWidth="1"/>
    <col min="4091" max="4091" width="60.33203125" style="244" bestFit="1" customWidth="1"/>
    <col min="4092" max="4092" width="17.5546875" style="244" bestFit="1" customWidth="1"/>
    <col min="4093" max="4093" width="18.33203125" style="244" bestFit="1" customWidth="1"/>
    <col min="4094" max="4095" width="15.33203125" style="244" bestFit="1" customWidth="1"/>
    <col min="4096" max="4097" width="16.5546875" style="244" bestFit="1" customWidth="1"/>
    <col min="4098" max="4345" width="10.88671875" style="244"/>
    <col min="4346" max="4346" width="11.5546875" style="244" bestFit="1" customWidth="1"/>
    <col min="4347" max="4347" width="60.33203125" style="244" bestFit="1" customWidth="1"/>
    <col min="4348" max="4348" width="17.5546875" style="244" bestFit="1" customWidth="1"/>
    <col min="4349" max="4349" width="18.33203125" style="244" bestFit="1" customWidth="1"/>
    <col min="4350" max="4351" width="15.33203125" style="244" bestFit="1" customWidth="1"/>
    <col min="4352" max="4353" width="16.5546875" style="244" bestFit="1" customWidth="1"/>
    <col min="4354" max="4601" width="10.88671875" style="244"/>
    <col min="4602" max="4602" width="11.5546875" style="244" bestFit="1" customWidth="1"/>
    <col min="4603" max="4603" width="60.33203125" style="244" bestFit="1" customWidth="1"/>
    <col min="4604" max="4604" width="17.5546875" style="244" bestFit="1" customWidth="1"/>
    <col min="4605" max="4605" width="18.33203125" style="244" bestFit="1" customWidth="1"/>
    <col min="4606" max="4607" width="15.33203125" style="244" bestFit="1" customWidth="1"/>
    <col min="4608" max="4609" width="16.5546875" style="244" bestFit="1" customWidth="1"/>
    <col min="4610" max="4857" width="10.88671875" style="244"/>
    <col min="4858" max="4858" width="11.5546875" style="244" bestFit="1" customWidth="1"/>
    <col min="4859" max="4859" width="60.33203125" style="244" bestFit="1" customWidth="1"/>
    <col min="4860" max="4860" width="17.5546875" style="244" bestFit="1" customWidth="1"/>
    <col min="4861" max="4861" width="18.33203125" style="244" bestFit="1" customWidth="1"/>
    <col min="4862" max="4863" width="15.33203125" style="244" bestFit="1" customWidth="1"/>
    <col min="4864" max="4865" width="16.5546875" style="244" bestFit="1" customWidth="1"/>
    <col min="4866" max="5113" width="10.88671875" style="244"/>
    <col min="5114" max="5114" width="11.5546875" style="244" bestFit="1" customWidth="1"/>
    <col min="5115" max="5115" width="60.33203125" style="244" bestFit="1" customWidth="1"/>
    <col min="5116" max="5116" width="17.5546875" style="244" bestFit="1" customWidth="1"/>
    <col min="5117" max="5117" width="18.33203125" style="244" bestFit="1" customWidth="1"/>
    <col min="5118" max="5119" width="15.33203125" style="244" bestFit="1" customWidth="1"/>
    <col min="5120" max="5121" width="16.5546875" style="244" bestFit="1" customWidth="1"/>
    <col min="5122" max="5369" width="10.88671875" style="244"/>
    <col min="5370" max="5370" width="11.5546875" style="244" bestFit="1" customWidth="1"/>
    <col min="5371" max="5371" width="60.33203125" style="244" bestFit="1" customWidth="1"/>
    <col min="5372" max="5372" width="17.5546875" style="244" bestFit="1" customWidth="1"/>
    <col min="5373" max="5373" width="18.33203125" style="244" bestFit="1" customWidth="1"/>
    <col min="5374" max="5375" width="15.33203125" style="244" bestFit="1" customWidth="1"/>
    <col min="5376" max="5377" width="16.5546875" style="244" bestFit="1" customWidth="1"/>
    <col min="5378" max="5625" width="10.88671875" style="244"/>
    <col min="5626" max="5626" width="11.5546875" style="244" bestFit="1" customWidth="1"/>
    <col min="5627" max="5627" width="60.33203125" style="244" bestFit="1" customWidth="1"/>
    <col min="5628" max="5628" width="17.5546875" style="244" bestFit="1" customWidth="1"/>
    <col min="5629" max="5629" width="18.33203125" style="244" bestFit="1" customWidth="1"/>
    <col min="5630" max="5631" width="15.33203125" style="244" bestFit="1" customWidth="1"/>
    <col min="5632" max="5633" width="16.5546875" style="244" bestFit="1" customWidth="1"/>
    <col min="5634" max="5881" width="10.88671875" style="244"/>
    <col min="5882" max="5882" width="11.5546875" style="244" bestFit="1" customWidth="1"/>
    <col min="5883" max="5883" width="60.33203125" style="244" bestFit="1" customWidth="1"/>
    <col min="5884" max="5884" width="17.5546875" style="244" bestFit="1" customWidth="1"/>
    <col min="5885" max="5885" width="18.33203125" style="244" bestFit="1" customWidth="1"/>
    <col min="5886" max="5887" width="15.33203125" style="244" bestFit="1" customWidth="1"/>
    <col min="5888" max="5889" width="16.5546875" style="244" bestFit="1" customWidth="1"/>
    <col min="5890" max="6137" width="10.88671875" style="244"/>
    <col min="6138" max="6138" width="11.5546875" style="244" bestFit="1" customWidth="1"/>
    <col min="6139" max="6139" width="60.33203125" style="244" bestFit="1" customWidth="1"/>
    <col min="6140" max="6140" width="17.5546875" style="244" bestFit="1" customWidth="1"/>
    <col min="6141" max="6141" width="18.33203125" style="244" bestFit="1" customWidth="1"/>
    <col min="6142" max="6143" width="15.33203125" style="244" bestFit="1" customWidth="1"/>
    <col min="6144" max="6145" width="16.5546875" style="244" bestFit="1" customWidth="1"/>
    <col min="6146" max="6393" width="10.88671875" style="244"/>
    <col min="6394" max="6394" width="11.5546875" style="244" bestFit="1" customWidth="1"/>
    <col min="6395" max="6395" width="60.33203125" style="244" bestFit="1" customWidth="1"/>
    <col min="6396" max="6396" width="17.5546875" style="244" bestFit="1" customWidth="1"/>
    <col min="6397" max="6397" width="18.33203125" style="244" bestFit="1" customWidth="1"/>
    <col min="6398" max="6399" width="15.33203125" style="244" bestFit="1" customWidth="1"/>
    <col min="6400" max="6401" width="16.5546875" style="244" bestFit="1" customWidth="1"/>
    <col min="6402" max="6649" width="10.88671875" style="244"/>
    <col min="6650" max="6650" width="11.5546875" style="244" bestFit="1" customWidth="1"/>
    <col min="6651" max="6651" width="60.33203125" style="244" bestFit="1" customWidth="1"/>
    <col min="6652" max="6652" width="17.5546875" style="244" bestFit="1" customWidth="1"/>
    <col min="6653" max="6653" width="18.33203125" style="244" bestFit="1" customWidth="1"/>
    <col min="6654" max="6655" width="15.33203125" style="244" bestFit="1" customWidth="1"/>
    <col min="6656" max="6657" width="16.5546875" style="244" bestFit="1" customWidth="1"/>
    <col min="6658" max="6905" width="10.88671875" style="244"/>
    <col min="6906" max="6906" width="11.5546875" style="244" bestFit="1" customWidth="1"/>
    <col min="6907" max="6907" width="60.33203125" style="244" bestFit="1" customWidth="1"/>
    <col min="6908" max="6908" width="17.5546875" style="244" bestFit="1" customWidth="1"/>
    <col min="6909" max="6909" width="18.33203125" style="244" bestFit="1" customWidth="1"/>
    <col min="6910" max="6911" width="15.33203125" style="244" bestFit="1" customWidth="1"/>
    <col min="6912" max="6913" width="16.5546875" style="244" bestFit="1" customWidth="1"/>
    <col min="6914" max="7161" width="10.88671875" style="244"/>
    <col min="7162" max="7162" width="11.5546875" style="244" bestFit="1" customWidth="1"/>
    <col min="7163" max="7163" width="60.33203125" style="244" bestFit="1" customWidth="1"/>
    <col min="7164" max="7164" width="17.5546875" style="244" bestFit="1" customWidth="1"/>
    <col min="7165" max="7165" width="18.33203125" style="244" bestFit="1" customWidth="1"/>
    <col min="7166" max="7167" width="15.33203125" style="244" bestFit="1" customWidth="1"/>
    <col min="7168" max="7169" width="16.5546875" style="244" bestFit="1" customWidth="1"/>
    <col min="7170" max="7417" width="10.88671875" style="244"/>
    <col min="7418" max="7418" width="11.5546875" style="244" bestFit="1" customWidth="1"/>
    <col min="7419" max="7419" width="60.33203125" style="244" bestFit="1" customWidth="1"/>
    <col min="7420" max="7420" width="17.5546875" style="244" bestFit="1" customWidth="1"/>
    <col min="7421" max="7421" width="18.33203125" style="244" bestFit="1" customWidth="1"/>
    <col min="7422" max="7423" width="15.33203125" style="244" bestFit="1" customWidth="1"/>
    <col min="7424" max="7425" width="16.5546875" style="244" bestFit="1" customWidth="1"/>
    <col min="7426" max="7673" width="10.88671875" style="244"/>
    <col min="7674" max="7674" width="11.5546875" style="244" bestFit="1" customWidth="1"/>
    <col min="7675" max="7675" width="60.33203125" style="244" bestFit="1" customWidth="1"/>
    <col min="7676" max="7676" width="17.5546875" style="244" bestFit="1" customWidth="1"/>
    <col min="7677" max="7677" width="18.33203125" style="244" bestFit="1" customWidth="1"/>
    <col min="7678" max="7679" width="15.33203125" style="244" bestFit="1" customWidth="1"/>
    <col min="7680" max="7681" width="16.5546875" style="244" bestFit="1" customWidth="1"/>
    <col min="7682" max="7929" width="10.88671875" style="244"/>
    <col min="7930" max="7930" width="11.5546875" style="244" bestFit="1" customWidth="1"/>
    <col min="7931" max="7931" width="60.33203125" style="244" bestFit="1" customWidth="1"/>
    <col min="7932" max="7932" width="17.5546875" style="244" bestFit="1" customWidth="1"/>
    <col min="7933" max="7933" width="18.33203125" style="244" bestFit="1" customWidth="1"/>
    <col min="7934" max="7935" width="15.33203125" style="244" bestFit="1" customWidth="1"/>
    <col min="7936" max="7937" width="16.5546875" style="244" bestFit="1" customWidth="1"/>
    <col min="7938" max="8185" width="10.88671875" style="244"/>
    <col min="8186" max="8186" width="11.5546875" style="244" bestFit="1" customWidth="1"/>
    <col min="8187" max="8187" width="60.33203125" style="244" bestFit="1" customWidth="1"/>
    <col min="8188" max="8188" width="17.5546875" style="244" bestFit="1" customWidth="1"/>
    <col min="8189" max="8189" width="18.33203125" style="244" bestFit="1" customWidth="1"/>
    <col min="8190" max="8191" width="15.33203125" style="244" bestFit="1" customWidth="1"/>
    <col min="8192" max="8193" width="16.5546875" style="244" bestFit="1" customWidth="1"/>
    <col min="8194" max="8441" width="10.88671875" style="244"/>
    <col min="8442" max="8442" width="11.5546875" style="244" bestFit="1" customWidth="1"/>
    <col min="8443" max="8443" width="60.33203125" style="244" bestFit="1" customWidth="1"/>
    <col min="8444" max="8444" width="17.5546875" style="244" bestFit="1" customWidth="1"/>
    <col min="8445" max="8445" width="18.33203125" style="244" bestFit="1" customWidth="1"/>
    <col min="8446" max="8447" width="15.33203125" style="244" bestFit="1" customWidth="1"/>
    <col min="8448" max="8449" width="16.5546875" style="244" bestFit="1" customWidth="1"/>
    <col min="8450" max="8697" width="10.88671875" style="244"/>
    <col min="8698" max="8698" width="11.5546875" style="244" bestFit="1" customWidth="1"/>
    <col min="8699" max="8699" width="60.33203125" style="244" bestFit="1" customWidth="1"/>
    <col min="8700" max="8700" width="17.5546875" style="244" bestFit="1" customWidth="1"/>
    <col min="8701" max="8701" width="18.33203125" style="244" bestFit="1" customWidth="1"/>
    <col min="8702" max="8703" width="15.33203125" style="244" bestFit="1" customWidth="1"/>
    <col min="8704" max="8705" width="16.5546875" style="244" bestFit="1" customWidth="1"/>
    <col min="8706" max="8953" width="10.88671875" style="244"/>
    <col min="8954" max="8954" width="11.5546875" style="244" bestFit="1" customWidth="1"/>
    <col min="8955" max="8955" width="60.33203125" style="244" bestFit="1" customWidth="1"/>
    <col min="8956" max="8956" width="17.5546875" style="244" bestFit="1" customWidth="1"/>
    <col min="8957" max="8957" width="18.33203125" style="244" bestFit="1" customWidth="1"/>
    <col min="8958" max="8959" width="15.33203125" style="244" bestFit="1" customWidth="1"/>
    <col min="8960" max="8961" width="16.5546875" style="244" bestFit="1" customWidth="1"/>
    <col min="8962" max="9209" width="10.88671875" style="244"/>
    <col min="9210" max="9210" width="11.5546875" style="244" bestFit="1" customWidth="1"/>
    <col min="9211" max="9211" width="60.33203125" style="244" bestFit="1" customWidth="1"/>
    <col min="9212" max="9212" width="17.5546875" style="244" bestFit="1" customWidth="1"/>
    <col min="9213" max="9213" width="18.33203125" style="244" bestFit="1" customWidth="1"/>
    <col min="9214" max="9215" width="15.33203125" style="244" bestFit="1" customWidth="1"/>
    <col min="9216" max="9217" width="16.5546875" style="244" bestFit="1" customWidth="1"/>
    <col min="9218" max="9465" width="10.88671875" style="244"/>
    <col min="9466" max="9466" width="11.5546875" style="244" bestFit="1" customWidth="1"/>
    <col min="9467" max="9467" width="60.33203125" style="244" bestFit="1" customWidth="1"/>
    <col min="9468" max="9468" width="17.5546875" style="244" bestFit="1" customWidth="1"/>
    <col min="9469" max="9469" width="18.33203125" style="244" bestFit="1" customWidth="1"/>
    <col min="9470" max="9471" width="15.33203125" style="244" bestFit="1" customWidth="1"/>
    <col min="9472" max="9473" width="16.5546875" style="244" bestFit="1" customWidth="1"/>
    <col min="9474" max="9721" width="10.88671875" style="244"/>
    <col min="9722" max="9722" width="11.5546875" style="244" bestFit="1" customWidth="1"/>
    <col min="9723" max="9723" width="60.33203125" style="244" bestFit="1" customWidth="1"/>
    <col min="9724" max="9724" width="17.5546875" style="244" bestFit="1" customWidth="1"/>
    <col min="9725" max="9725" width="18.33203125" style="244" bestFit="1" customWidth="1"/>
    <col min="9726" max="9727" width="15.33203125" style="244" bestFit="1" customWidth="1"/>
    <col min="9728" max="9729" width="16.5546875" style="244" bestFit="1" customWidth="1"/>
    <col min="9730" max="9977" width="10.88671875" style="244"/>
    <col min="9978" max="9978" width="11.5546875" style="244" bestFit="1" customWidth="1"/>
    <col min="9979" max="9979" width="60.33203125" style="244" bestFit="1" customWidth="1"/>
    <col min="9980" max="9980" width="17.5546875" style="244" bestFit="1" customWidth="1"/>
    <col min="9981" max="9981" width="18.33203125" style="244" bestFit="1" customWidth="1"/>
    <col min="9982" max="9983" width="15.33203125" style="244" bestFit="1" customWidth="1"/>
    <col min="9984" max="9985" width="16.5546875" style="244" bestFit="1" customWidth="1"/>
    <col min="9986" max="10233" width="10.88671875" style="244"/>
    <col min="10234" max="10234" width="11.5546875" style="244" bestFit="1" customWidth="1"/>
    <col min="10235" max="10235" width="60.33203125" style="244" bestFit="1" customWidth="1"/>
    <col min="10236" max="10236" width="17.5546875" style="244" bestFit="1" customWidth="1"/>
    <col min="10237" max="10237" width="18.33203125" style="244" bestFit="1" customWidth="1"/>
    <col min="10238" max="10239" width="15.33203125" style="244" bestFit="1" customWidth="1"/>
    <col min="10240" max="10241" width="16.5546875" style="244" bestFit="1" customWidth="1"/>
    <col min="10242" max="10489" width="10.88671875" style="244"/>
    <col min="10490" max="10490" width="11.5546875" style="244" bestFit="1" customWidth="1"/>
    <col min="10491" max="10491" width="60.33203125" style="244" bestFit="1" customWidth="1"/>
    <col min="10492" max="10492" width="17.5546875" style="244" bestFit="1" customWidth="1"/>
    <col min="10493" max="10493" width="18.33203125" style="244" bestFit="1" customWidth="1"/>
    <col min="10494" max="10495" width="15.33203125" style="244" bestFit="1" customWidth="1"/>
    <col min="10496" max="10497" width="16.5546875" style="244" bestFit="1" customWidth="1"/>
    <col min="10498" max="10745" width="10.88671875" style="244"/>
    <col min="10746" max="10746" width="11.5546875" style="244" bestFit="1" customWidth="1"/>
    <col min="10747" max="10747" width="60.33203125" style="244" bestFit="1" customWidth="1"/>
    <col min="10748" max="10748" width="17.5546875" style="244" bestFit="1" customWidth="1"/>
    <col min="10749" max="10749" width="18.33203125" style="244" bestFit="1" customWidth="1"/>
    <col min="10750" max="10751" width="15.33203125" style="244" bestFit="1" customWidth="1"/>
    <col min="10752" max="10753" width="16.5546875" style="244" bestFit="1" customWidth="1"/>
    <col min="10754" max="11001" width="10.88671875" style="244"/>
    <col min="11002" max="11002" width="11.5546875" style="244" bestFit="1" customWidth="1"/>
    <col min="11003" max="11003" width="60.33203125" style="244" bestFit="1" customWidth="1"/>
    <col min="11004" max="11004" width="17.5546875" style="244" bestFit="1" customWidth="1"/>
    <col min="11005" max="11005" width="18.33203125" style="244" bestFit="1" customWidth="1"/>
    <col min="11006" max="11007" width="15.33203125" style="244" bestFit="1" customWidth="1"/>
    <col min="11008" max="11009" width="16.5546875" style="244" bestFit="1" customWidth="1"/>
    <col min="11010" max="11257" width="10.88671875" style="244"/>
    <col min="11258" max="11258" width="11.5546875" style="244" bestFit="1" customWidth="1"/>
    <col min="11259" max="11259" width="60.33203125" style="244" bestFit="1" customWidth="1"/>
    <col min="11260" max="11260" width="17.5546875" style="244" bestFit="1" customWidth="1"/>
    <col min="11261" max="11261" width="18.33203125" style="244" bestFit="1" customWidth="1"/>
    <col min="11262" max="11263" width="15.33203125" style="244" bestFit="1" customWidth="1"/>
    <col min="11264" max="11265" width="16.5546875" style="244" bestFit="1" customWidth="1"/>
    <col min="11266" max="11513" width="10.88671875" style="244"/>
    <col min="11514" max="11514" width="11.5546875" style="244" bestFit="1" customWidth="1"/>
    <col min="11515" max="11515" width="60.33203125" style="244" bestFit="1" customWidth="1"/>
    <col min="11516" max="11516" width="17.5546875" style="244" bestFit="1" customWidth="1"/>
    <col min="11517" max="11517" width="18.33203125" style="244" bestFit="1" customWidth="1"/>
    <col min="11518" max="11519" width="15.33203125" style="244" bestFit="1" customWidth="1"/>
    <col min="11520" max="11521" width="16.5546875" style="244" bestFit="1" customWidth="1"/>
    <col min="11522" max="11769" width="10.88671875" style="244"/>
    <col min="11770" max="11770" width="11.5546875" style="244" bestFit="1" customWidth="1"/>
    <col min="11771" max="11771" width="60.33203125" style="244" bestFit="1" customWidth="1"/>
    <col min="11772" max="11772" width="17.5546875" style="244" bestFit="1" customWidth="1"/>
    <col min="11773" max="11773" width="18.33203125" style="244" bestFit="1" customWidth="1"/>
    <col min="11774" max="11775" width="15.33203125" style="244" bestFit="1" customWidth="1"/>
    <col min="11776" max="11777" width="16.5546875" style="244" bestFit="1" customWidth="1"/>
    <col min="11778" max="12025" width="10.88671875" style="244"/>
    <col min="12026" max="12026" width="11.5546875" style="244" bestFit="1" customWidth="1"/>
    <col min="12027" max="12027" width="60.33203125" style="244" bestFit="1" customWidth="1"/>
    <col min="12028" max="12028" width="17.5546875" style="244" bestFit="1" customWidth="1"/>
    <col min="12029" max="12029" width="18.33203125" style="244" bestFit="1" customWidth="1"/>
    <col min="12030" max="12031" width="15.33203125" style="244" bestFit="1" customWidth="1"/>
    <col min="12032" max="12033" width="16.5546875" style="244" bestFit="1" customWidth="1"/>
    <col min="12034" max="12281" width="10.88671875" style="244"/>
    <col min="12282" max="12282" width="11.5546875" style="244" bestFit="1" customWidth="1"/>
    <col min="12283" max="12283" width="60.33203125" style="244" bestFit="1" customWidth="1"/>
    <col min="12284" max="12284" width="17.5546875" style="244" bestFit="1" customWidth="1"/>
    <col min="12285" max="12285" width="18.33203125" style="244" bestFit="1" customWidth="1"/>
    <col min="12286" max="12287" width="15.33203125" style="244" bestFit="1" customWidth="1"/>
    <col min="12288" max="12289" width="16.5546875" style="244" bestFit="1" customWidth="1"/>
    <col min="12290" max="12537" width="10.88671875" style="244"/>
    <col min="12538" max="12538" width="11.5546875" style="244" bestFit="1" customWidth="1"/>
    <col min="12539" max="12539" width="60.33203125" style="244" bestFit="1" customWidth="1"/>
    <col min="12540" max="12540" width="17.5546875" style="244" bestFit="1" customWidth="1"/>
    <col min="12541" max="12541" width="18.33203125" style="244" bestFit="1" customWidth="1"/>
    <col min="12542" max="12543" width="15.33203125" style="244" bestFit="1" customWidth="1"/>
    <col min="12544" max="12545" width="16.5546875" style="244" bestFit="1" customWidth="1"/>
    <col min="12546" max="12793" width="10.88671875" style="244"/>
    <col min="12794" max="12794" width="11.5546875" style="244" bestFit="1" customWidth="1"/>
    <col min="12795" max="12795" width="60.33203125" style="244" bestFit="1" customWidth="1"/>
    <col min="12796" max="12796" width="17.5546875" style="244" bestFit="1" customWidth="1"/>
    <col min="12797" max="12797" width="18.33203125" style="244" bestFit="1" customWidth="1"/>
    <col min="12798" max="12799" width="15.33203125" style="244" bestFit="1" customWidth="1"/>
    <col min="12800" max="12801" width="16.5546875" style="244" bestFit="1" customWidth="1"/>
    <col min="12802" max="13049" width="10.88671875" style="244"/>
    <col min="13050" max="13050" width="11.5546875" style="244" bestFit="1" customWidth="1"/>
    <col min="13051" max="13051" width="60.33203125" style="244" bestFit="1" customWidth="1"/>
    <col min="13052" max="13052" width="17.5546875" style="244" bestFit="1" customWidth="1"/>
    <col min="13053" max="13053" width="18.33203125" style="244" bestFit="1" customWidth="1"/>
    <col min="13054" max="13055" width="15.33203125" style="244" bestFit="1" customWidth="1"/>
    <col min="13056" max="13057" width="16.5546875" style="244" bestFit="1" customWidth="1"/>
    <col min="13058" max="13305" width="10.88671875" style="244"/>
    <col min="13306" max="13306" width="11.5546875" style="244" bestFit="1" customWidth="1"/>
    <col min="13307" max="13307" width="60.33203125" style="244" bestFit="1" customWidth="1"/>
    <col min="13308" max="13308" width="17.5546875" style="244" bestFit="1" customWidth="1"/>
    <col min="13309" max="13309" width="18.33203125" style="244" bestFit="1" customWidth="1"/>
    <col min="13310" max="13311" width="15.33203125" style="244" bestFit="1" customWidth="1"/>
    <col min="13312" max="13313" width="16.5546875" style="244" bestFit="1" customWidth="1"/>
    <col min="13314" max="13561" width="10.88671875" style="244"/>
    <col min="13562" max="13562" width="11.5546875" style="244" bestFit="1" customWidth="1"/>
    <col min="13563" max="13563" width="60.33203125" style="244" bestFit="1" customWidth="1"/>
    <col min="13564" max="13564" width="17.5546875" style="244" bestFit="1" customWidth="1"/>
    <col min="13565" max="13565" width="18.33203125" style="244" bestFit="1" customWidth="1"/>
    <col min="13566" max="13567" width="15.33203125" style="244" bestFit="1" customWidth="1"/>
    <col min="13568" max="13569" width="16.5546875" style="244" bestFit="1" customWidth="1"/>
    <col min="13570" max="13817" width="10.88671875" style="244"/>
    <col min="13818" max="13818" width="11.5546875" style="244" bestFit="1" customWidth="1"/>
    <col min="13819" max="13819" width="60.33203125" style="244" bestFit="1" customWidth="1"/>
    <col min="13820" max="13820" width="17.5546875" style="244" bestFit="1" customWidth="1"/>
    <col min="13821" max="13821" width="18.33203125" style="244" bestFit="1" customWidth="1"/>
    <col min="13822" max="13823" width="15.33203125" style="244" bestFit="1" customWidth="1"/>
    <col min="13824" max="13825" width="16.5546875" style="244" bestFit="1" customWidth="1"/>
    <col min="13826" max="14073" width="10.88671875" style="244"/>
    <col min="14074" max="14074" width="11.5546875" style="244" bestFit="1" customWidth="1"/>
    <col min="14075" max="14075" width="60.33203125" style="244" bestFit="1" customWidth="1"/>
    <col min="14076" max="14076" width="17.5546875" style="244" bestFit="1" customWidth="1"/>
    <col min="14077" max="14077" width="18.33203125" style="244" bestFit="1" customWidth="1"/>
    <col min="14078" max="14079" width="15.33203125" style="244" bestFit="1" customWidth="1"/>
    <col min="14080" max="14081" width="16.5546875" style="244" bestFit="1" customWidth="1"/>
    <col min="14082" max="14329" width="10.88671875" style="244"/>
    <col min="14330" max="14330" width="11.5546875" style="244" bestFit="1" customWidth="1"/>
    <col min="14331" max="14331" width="60.33203125" style="244" bestFit="1" customWidth="1"/>
    <col min="14332" max="14332" width="17.5546875" style="244" bestFit="1" customWidth="1"/>
    <col min="14333" max="14333" width="18.33203125" style="244" bestFit="1" customWidth="1"/>
    <col min="14334" max="14335" width="15.33203125" style="244" bestFit="1" customWidth="1"/>
    <col min="14336" max="14337" width="16.5546875" style="244" bestFit="1" customWidth="1"/>
    <col min="14338" max="14585" width="10.88671875" style="244"/>
    <col min="14586" max="14586" width="11.5546875" style="244" bestFit="1" customWidth="1"/>
    <col min="14587" max="14587" width="60.33203125" style="244" bestFit="1" customWidth="1"/>
    <col min="14588" max="14588" width="17.5546875" style="244" bestFit="1" customWidth="1"/>
    <col min="14589" max="14589" width="18.33203125" style="244" bestFit="1" customWidth="1"/>
    <col min="14590" max="14591" width="15.33203125" style="244" bestFit="1" customWidth="1"/>
    <col min="14592" max="14593" width="16.5546875" style="244" bestFit="1" customWidth="1"/>
    <col min="14594" max="14841" width="10.88671875" style="244"/>
    <col min="14842" max="14842" width="11.5546875" style="244" bestFit="1" customWidth="1"/>
    <col min="14843" max="14843" width="60.33203125" style="244" bestFit="1" customWidth="1"/>
    <col min="14844" max="14844" width="17.5546875" style="244" bestFit="1" customWidth="1"/>
    <col min="14845" max="14845" width="18.33203125" style="244" bestFit="1" customWidth="1"/>
    <col min="14846" max="14847" width="15.33203125" style="244" bestFit="1" customWidth="1"/>
    <col min="14848" max="14849" width="16.5546875" style="244" bestFit="1" customWidth="1"/>
    <col min="14850" max="15097" width="10.88671875" style="244"/>
    <col min="15098" max="15098" width="11.5546875" style="244" bestFit="1" customWidth="1"/>
    <col min="15099" max="15099" width="60.33203125" style="244" bestFit="1" customWidth="1"/>
    <col min="15100" max="15100" width="17.5546875" style="244" bestFit="1" customWidth="1"/>
    <col min="15101" max="15101" width="18.33203125" style="244" bestFit="1" customWidth="1"/>
    <col min="15102" max="15103" width="15.33203125" style="244" bestFit="1" customWidth="1"/>
    <col min="15104" max="15105" width="16.5546875" style="244" bestFit="1" customWidth="1"/>
    <col min="15106" max="15353" width="10.88671875" style="244"/>
    <col min="15354" max="15354" width="11.5546875" style="244" bestFit="1" customWidth="1"/>
    <col min="15355" max="15355" width="60.33203125" style="244" bestFit="1" customWidth="1"/>
    <col min="15356" max="15356" width="17.5546875" style="244" bestFit="1" customWidth="1"/>
    <col min="15357" max="15357" width="18.33203125" style="244" bestFit="1" customWidth="1"/>
    <col min="15358" max="15359" width="15.33203125" style="244" bestFit="1" customWidth="1"/>
    <col min="15360" max="15361" width="16.5546875" style="244" bestFit="1" customWidth="1"/>
    <col min="15362" max="15609" width="10.88671875" style="244"/>
    <col min="15610" max="15610" width="11.5546875" style="244" bestFit="1" customWidth="1"/>
    <col min="15611" max="15611" width="60.33203125" style="244" bestFit="1" customWidth="1"/>
    <col min="15612" max="15612" width="17.5546875" style="244" bestFit="1" customWidth="1"/>
    <col min="15613" max="15613" width="18.33203125" style="244" bestFit="1" customWidth="1"/>
    <col min="15614" max="15615" width="15.33203125" style="244" bestFit="1" customWidth="1"/>
    <col min="15616" max="15617" width="16.5546875" style="244" bestFit="1" customWidth="1"/>
    <col min="15618" max="15865" width="10.88671875" style="244"/>
    <col min="15866" max="15866" width="11.5546875" style="244" bestFit="1" customWidth="1"/>
    <col min="15867" max="15867" width="60.33203125" style="244" bestFit="1" customWidth="1"/>
    <col min="15868" max="15868" width="17.5546875" style="244" bestFit="1" customWidth="1"/>
    <col min="15869" max="15869" width="18.33203125" style="244" bestFit="1" customWidth="1"/>
    <col min="15870" max="15871" width="15.33203125" style="244" bestFit="1" customWidth="1"/>
    <col min="15872" max="15873" width="16.5546875" style="244" bestFit="1" customWidth="1"/>
    <col min="15874" max="16121" width="10.88671875" style="244"/>
    <col min="16122" max="16122" width="11.5546875" style="244" bestFit="1" customWidth="1"/>
    <col min="16123" max="16123" width="60.33203125" style="244" bestFit="1" customWidth="1"/>
    <col min="16124" max="16124" width="17.5546875" style="244" bestFit="1" customWidth="1"/>
    <col min="16125" max="16125" width="18.33203125" style="244" bestFit="1" customWidth="1"/>
    <col min="16126" max="16127" width="15.33203125" style="244" bestFit="1" customWidth="1"/>
    <col min="16128" max="16129" width="16.5546875" style="244" bestFit="1" customWidth="1"/>
    <col min="16130" max="16379" width="10.88671875" style="244"/>
    <col min="16380" max="16384" width="10.88671875" style="244" customWidth="1"/>
  </cols>
  <sheetData>
    <row r="1" spans="1:7" ht="20.399999999999999">
      <c r="A1" s="630" t="s">
        <v>6</v>
      </c>
      <c r="B1" s="630"/>
      <c r="C1" s="630"/>
      <c r="D1" s="630"/>
      <c r="E1" s="630"/>
      <c r="F1" s="630"/>
      <c r="G1" s="630"/>
    </row>
    <row r="2" spans="1:7" s="167" customFormat="1" ht="20.399999999999999">
      <c r="A2" s="259" t="s">
        <v>6</v>
      </c>
      <c r="B2" s="631" t="s">
        <v>7</v>
      </c>
      <c r="C2" s="631"/>
      <c r="D2" s="631"/>
      <c r="E2" s="631"/>
      <c r="F2" s="631"/>
      <c r="G2" s="631"/>
    </row>
    <row r="3" spans="1:7" s="167" customFormat="1" ht="20.399999999999999">
      <c r="A3" s="259"/>
      <c r="B3" s="631" t="s">
        <v>246</v>
      </c>
      <c r="C3" s="631"/>
      <c r="D3" s="631"/>
      <c r="E3" s="631"/>
      <c r="F3" s="631"/>
      <c r="G3" s="631"/>
    </row>
    <row r="4" spans="1:7" s="167" customFormat="1" ht="21">
      <c r="A4" s="632" t="s">
        <v>324</v>
      </c>
      <c r="B4" s="632"/>
      <c r="C4" s="632"/>
      <c r="D4" s="632"/>
      <c r="E4" s="632"/>
      <c r="F4" s="632"/>
      <c r="G4" s="632"/>
    </row>
    <row r="5" spans="1:7" ht="17.399999999999999">
      <c r="A5" s="260" t="s">
        <v>281</v>
      </c>
      <c r="B5" s="245"/>
      <c r="C5" s="245"/>
      <c r="D5" s="245"/>
      <c r="E5" s="245"/>
      <c r="F5" s="245"/>
      <c r="G5" s="245"/>
    </row>
    <row r="6" spans="1:7" ht="39" customHeight="1">
      <c r="A6" s="629" t="str">
        <f>PRESUPUESTO!A8</f>
        <v>AMPLIACION DE ALBERGUE TRANSITORIO DE FAUNA DOMESTICA EN EL MUNICIPIO DE CAUCASIA  DEPARTAMENTO DE ANTIOQUIA.</v>
      </c>
      <c r="B6" s="629"/>
      <c r="C6" s="629"/>
      <c r="D6" s="629"/>
      <c r="E6" s="629"/>
      <c r="F6" s="629"/>
      <c r="G6" s="629"/>
    </row>
    <row r="7" spans="1:7" ht="15.6">
      <c r="A7" s="246"/>
      <c r="B7" s="246"/>
      <c r="C7" s="246"/>
      <c r="D7" s="246"/>
      <c r="E7" s="246"/>
      <c r="F7" s="246"/>
      <c r="G7" s="246"/>
    </row>
    <row r="8" spans="1:7" s="249" customFormat="1" ht="15.6">
      <c r="A8" s="247" t="s">
        <v>8</v>
      </c>
      <c r="B8" s="247" t="s">
        <v>9</v>
      </c>
      <c r="C8" s="247" t="s">
        <v>16</v>
      </c>
      <c r="D8" s="248" t="s">
        <v>325</v>
      </c>
      <c r="E8" s="258" t="s">
        <v>338</v>
      </c>
      <c r="F8" s="394" t="s">
        <v>339</v>
      </c>
      <c r="G8" s="395" t="s">
        <v>340</v>
      </c>
    </row>
    <row r="9" spans="1:7" s="249" customFormat="1" ht="15.6">
      <c r="A9" s="627"/>
      <c r="B9" s="627"/>
      <c r="C9" s="250"/>
      <c r="D9" s="250"/>
      <c r="E9" s="250"/>
      <c r="F9" s="250"/>
      <c r="G9" s="250"/>
    </row>
    <row r="10" spans="1:7" s="253" customFormat="1" ht="15.6">
      <c r="A10" s="305">
        <v>1</v>
      </c>
      <c r="B10" s="306" t="s">
        <v>401</v>
      </c>
      <c r="C10" s="476">
        <v>719379</v>
      </c>
      <c r="D10" s="477">
        <f>C10/C32</f>
        <v>1.8209318940592585E-2</v>
      </c>
      <c r="E10" s="478"/>
      <c r="F10" s="478"/>
      <c r="G10" s="478"/>
    </row>
    <row r="11" spans="1:7" s="253" customFormat="1" ht="41.4">
      <c r="A11" s="7" t="s">
        <v>92</v>
      </c>
      <c r="B11" s="404" t="s">
        <v>402</v>
      </c>
      <c r="C11" s="251">
        <v>285976</v>
      </c>
      <c r="D11" s="252">
        <f t="shared" ref="D11:D28" si="0">C11/$C$32</f>
        <v>7.2387826074362819E-3</v>
      </c>
      <c r="E11" s="317">
        <f>C11</f>
        <v>285976</v>
      </c>
      <c r="F11" s="317"/>
      <c r="G11" s="251"/>
    </row>
    <row r="12" spans="1:7" s="253" customFormat="1" ht="27.6">
      <c r="A12" s="7" t="s">
        <v>93</v>
      </c>
      <c r="B12" s="8" t="s">
        <v>394</v>
      </c>
      <c r="C12" s="251">
        <v>433403</v>
      </c>
      <c r="D12" s="252">
        <f t="shared" si="0"/>
        <v>1.0970536333156302E-2</v>
      </c>
      <c r="E12" s="317">
        <f>C12</f>
        <v>433403</v>
      </c>
      <c r="F12" s="317"/>
      <c r="G12" s="251"/>
    </row>
    <row r="13" spans="1:7" s="253" customFormat="1" ht="15.6">
      <c r="A13" s="305">
        <v>2</v>
      </c>
      <c r="B13" s="306" t="s">
        <v>406</v>
      </c>
      <c r="C13" s="476">
        <v>15503264.485956509</v>
      </c>
      <c r="D13" s="477">
        <f t="shared" si="0"/>
        <v>0.39242720130160069</v>
      </c>
      <c r="E13" s="479"/>
      <c r="F13" s="479"/>
      <c r="G13" s="478"/>
    </row>
    <row r="14" spans="1:7" s="253" customFormat="1" ht="27.6">
      <c r="A14" s="7" t="s">
        <v>236</v>
      </c>
      <c r="B14" s="8" t="s">
        <v>415</v>
      </c>
      <c r="C14" s="251">
        <v>13539057.47790497</v>
      </c>
      <c r="D14" s="252">
        <f t="shared" si="0"/>
        <v>0.34270810764588155</v>
      </c>
      <c r="E14" s="317">
        <f>C14/2</f>
        <v>6769528.7389524849</v>
      </c>
      <c r="F14" s="251">
        <f>E14</f>
        <v>6769528.7389524849</v>
      </c>
      <c r="G14" s="481"/>
    </row>
    <row r="15" spans="1:7" s="253" customFormat="1" ht="15.6">
      <c r="A15" s="7" t="s">
        <v>237</v>
      </c>
      <c r="B15" s="8" t="s">
        <v>416</v>
      </c>
      <c r="C15" s="251">
        <v>661062.44312549999</v>
      </c>
      <c r="D15" s="252">
        <f t="shared" si="0"/>
        <v>1.6733178013980912E-2</v>
      </c>
      <c r="E15" s="317">
        <f>C15/2</f>
        <v>330531.22156275</v>
      </c>
      <c r="F15" s="251">
        <f>E15</f>
        <v>330531.22156275</v>
      </c>
      <c r="G15" s="481"/>
    </row>
    <row r="16" spans="1:7" s="253" customFormat="1" ht="69">
      <c r="A16" s="7" t="s">
        <v>238</v>
      </c>
      <c r="B16" s="8" t="s">
        <v>441</v>
      </c>
      <c r="C16" s="251">
        <v>367418.54600750876</v>
      </c>
      <c r="D16" s="252">
        <f t="shared" si="0"/>
        <v>9.3003013556685939E-3</v>
      </c>
      <c r="E16" s="317"/>
      <c r="F16" s="251">
        <f>C16</f>
        <v>367418.54600750876</v>
      </c>
      <c r="G16" s="481"/>
    </row>
    <row r="17" spans="1:8" s="253" customFormat="1" ht="41.4">
      <c r="A17" s="7" t="s">
        <v>444</v>
      </c>
      <c r="B17" s="8" t="s">
        <v>445</v>
      </c>
      <c r="C17" s="251">
        <v>935726.01891853078</v>
      </c>
      <c r="D17" s="252">
        <f t="shared" si="0"/>
        <v>2.3685614286069648E-2</v>
      </c>
      <c r="E17" s="317"/>
      <c r="F17" s="317">
        <f>C17/2</f>
        <v>467863.00945926539</v>
      </c>
      <c r="G17" s="251">
        <f>F17</f>
        <v>467863.00945926539</v>
      </c>
    </row>
    <row r="18" spans="1:8" s="253" customFormat="1" ht="15.6">
      <c r="A18" s="305">
        <v>3</v>
      </c>
      <c r="B18" s="306" t="s">
        <v>455</v>
      </c>
      <c r="C18" s="476">
        <v>11485354.306383735</v>
      </c>
      <c r="D18" s="477">
        <f t="shared" si="0"/>
        <v>0.2907236376244649</v>
      </c>
      <c r="E18" s="479"/>
      <c r="F18" s="479"/>
      <c r="G18" s="478"/>
    </row>
    <row r="19" spans="1:8" s="253" customFormat="1" ht="96.6">
      <c r="A19" s="7" t="s">
        <v>239</v>
      </c>
      <c r="B19" s="8" t="s">
        <v>452</v>
      </c>
      <c r="C19" s="251">
        <v>4377228.3399992296</v>
      </c>
      <c r="D19" s="252">
        <f t="shared" si="0"/>
        <v>0.11079882359485975</v>
      </c>
      <c r="E19" s="317"/>
      <c r="F19" s="317">
        <f>C19/2</f>
        <v>2188614.1699996148</v>
      </c>
      <c r="G19" s="251">
        <f>F19</f>
        <v>2188614.1699996148</v>
      </c>
    </row>
    <row r="20" spans="1:8" s="253" customFormat="1" ht="96.6">
      <c r="A20" s="7" t="s">
        <v>454</v>
      </c>
      <c r="B20" s="8" t="s">
        <v>481</v>
      </c>
      <c r="C20" s="251">
        <v>5040326.4418245889</v>
      </c>
      <c r="D20" s="252">
        <f t="shared" si="0"/>
        <v>0.12758352932721989</v>
      </c>
      <c r="E20" s="317"/>
      <c r="F20" s="317">
        <f>C20/2</f>
        <v>2520163.2209122945</v>
      </c>
      <c r="G20" s="251">
        <f>F20</f>
        <v>2520163.2209122945</v>
      </c>
    </row>
    <row r="21" spans="1:8" s="253" customFormat="1" ht="69">
      <c r="A21" s="7" t="s">
        <v>480</v>
      </c>
      <c r="B21" s="8" t="s">
        <v>482</v>
      </c>
      <c r="C21" s="251">
        <v>2067799.5245599172</v>
      </c>
      <c r="D21" s="252">
        <f t="shared" si="0"/>
        <v>5.2341284702385305E-2</v>
      </c>
      <c r="E21" s="316"/>
      <c r="F21" s="316">
        <f>C21/2</f>
        <v>1033899.7622799586</v>
      </c>
      <c r="G21" s="251">
        <f>F21</f>
        <v>1033899.7622799586</v>
      </c>
    </row>
    <row r="22" spans="1:8" s="249" customFormat="1" ht="15.6">
      <c r="A22" s="305">
        <v>4</v>
      </c>
      <c r="B22" s="306" t="s">
        <v>485</v>
      </c>
      <c r="C22" s="476">
        <v>5134105.9602148328</v>
      </c>
      <c r="D22" s="477">
        <f t="shared" si="0"/>
        <v>0.12995732834062326</v>
      </c>
      <c r="E22" s="479"/>
      <c r="F22" s="479"/>
      <c r="G22" s="480"/>
    </row>
    <row r="23" spans="1:8" s="249" customFormat="1" ht="96.6">
      <c r="A23" s="308" t="s">
        <v>240</v>
      </c>
      <c r="B23" s="322" t="s">
        <v>379</v>
      </c>
      <c r="C23" s="251">
        <v>2158966.5202148333</v>
      </c>
      <c r="D23" s="252">
        <f t="shared" si="0"/>
        <v>5.464895409603731E-2</v>
      </c>
      <c r="E23" s="317"/>
      <c r="F23" s="317"/>
      <c r="G23" s="251">
        <f>C23</f>
        <v>2158966.5202148333</v>
      </c>
    </row>
    <row r="24" spans="1:8" s="249" customFormat="1" ht="27.6">
      <c r="A24" s="308" t="s">
        <v>486</v>
      </c>
      <c r="B24" s="309" t="s">
        <v>495</v>
      </c>
      <c r="C24" s="251">
        <v>2975139.44</v>
      </c>
      <c r="D24" s="252">
        <f t="shared" si="0"/>
        <v>7.5308374244585974E-2</v>
      </c>
      <c r="E24" s="317"/>
      <c r="F24" s="317"/>
      <c r="G24" s="251">
        <f>C24</f>
        <v>2975139.44</v>
      </c>
    </row>
    <row r="25" spans="1:8" s="249" customFormat="1" ht="15.6">
      <c r="A25" s="305">
        <v>5</v>
      </c>
      <c r="B25" s="306" t="s">
        <v>496</v>
      </c>
      <c r="C25" s="476">
        <v>4031210.6370391045</v>
      </c>
      <c r="D25" s="477">
        <f t="shared" si="0"/>
        <v>0.10204023220938402</v>
      </c>
      <c r="E25" s="479"/>
      <c r="F25" s="479"/>
      <c r="G25" s="480"/>
    </row>
    <row r="26" spans="1:8" s="249" customFormat="1" ht="27.6">
      <c r="A26" s="445" t="s">
        <v>497</v>
      </c>
      <c r="B26" s="309" t="s">
        <v>500</v>
      </c>
      <c r="C26" s="251">
        <v>1068046.8685059003</v>
      </c>
      <c r="D26" s="252">
        <f t="shared" si="0"/>
        <v>2.703499278144773E-2</v>
      </c>
      <c r="E26" s="317">
        <f>C26</f>
        <v>1068046.8685059003</v>
      </c>
      <c r="F26" s="317"/>
      <c r="G26" s="250"/>
    </row>
    <row r="27" spans="1:8" s="249" customFormat="1" ht="82.8">
      <c r="A27" s="445" t="s">
        <v>498</v>
      </c>
      <c r="B27" s="309" t="s">
        <v>501</v>
      </c>
      <c r="C27" s="251">
        <v>389408.16825895396</v>
      </c>
      <c r="D27" s="252">
        <f t="shared" si="0"/>
        <v>9.8569148305680792E-3</v>
      </c>
      <c r="E27" s="317">
        <f>C27</f>
        <v>389408.16825895396</v>
      </c>
      <c r="F27" s="317"/>
      <c r="G27" s="250"/>
    </row>
    <row r="28" spans="1:8" s="249" customFormat="1" ht="41.4">
      <c r="A28" s="445" t="s">
        <v>499</v>
      </c>
      <c r="B28" s="309" t="s">
        <v>538</v>
      </c>
      <c r="C28" s="251">
        <v>2573755.6002742504</v>
      </c>
      <c r="D28" s="252">
        <f t="shared" si="0"/>
        <v>6.5148324597368204E-2</v>
      </c>
      <c r="E28" s="317">
        <f>C28</f>
        <v>2573755.6002742504</v>
      </c>
      <c r="F28" s="317"/>
      <c r="G28" s="250"/>
    </row>
    <row r="29" spans="1:8" s="11" customFormat="1" ht="15.6">
      <c r="A29" s="305">
        <v>6</v>
      </c>
      <c r="B29" s="306" t="s">
        <v>496</v>
      </c>
      <c r="C29" s="306"/>
      <c r="D29" s="306"/>
      <c r="E29" s="306"/>
      <c r="F29" s="307"/>
      <c r="G29" s="307"/>
    </row>
    <row r="30" spans="1:8" s="11" customFormat="1" ht="15.6">
      <c r="A30" s="445">
        <v>6.1</v>
      </c>
      <c r="B30" s="309" t="s">
        <v>575</v>
      </c>
      <c r="C30" s="251">
        <v>2632776</v>
      </c>
      <c r="D30" s="252">
        <f t="shared" ref="D30" si="1">C30/$C$32</f>
        <v>6.6642281583334489E-2</v>
      </c>
      <c r="E30" s="251">
        <v>2632776</v>
      </c>
      <c r="F30" s="324"/>
      <c r="G30" s="497">
        <f>C30</f>
        <v>2632776</v>
      </c>
    </row>
    <row r="31" spans="1:8" s="254" customFormat="1" ht="15.6">
      <c r="A31" s="261"/>
      <c r="B31" s="262"/>
      <c r="C31" s="262"/>
      <c r="D31" s="263"/>
      <c r="E31" s="262"/>
      <c r="F31" s="262"/>
      <c r="G31" s="262"/>
    </row>
    <row r="32" spans="1:8" s="254" customFormat="1" ht="15.6">
      <c r="A32" s="627" t="s">
        <v>326</v>
      </c>
      <c r="B32" s="627"/>
      <c r="C32" s="318">
        <f>C25+C22+C18+C13+C10+G30</f>
        <v>39506090.389594182</v>
      </c>
      <c r="D32" s="628" t="s">
        <v>327</v>
      </c>
      <c r="E32" s="266">
        <f>SUM(E9:E28)</f>
        <v>11850649.597554339</v>
      </c>
      <c r="F32" s="266">
        <f>SUM(F9:F28)</f>
        <v>13678018.669173878</v>
      </c>
      <c r="G32" s="266">
        <f>SUM(G9:G28)</f>
        <v>11344646.122865967</v>
      </c>
      <c r="H32" s="320"/>
    </row>
    <row r="33" spans="1:8" ht="15.6">
      <c r="A33" s="255"/>
      <c r="B33" s="256"/>
      <c r="C33" s="256"/>
      <c r="D33" s="628"/>
      <c r="E33" s="257">
        <f>E32/$C$32</f>
        <v>0.29997019397990782</v>
      </c>
      <c r="F33" s="257">
        <f>F32/$C$32</f>
        <v>0.34622557014086713</v>
      </c>
      <c r="G33" s="257">
        <f>G32/$C$32</f>
        <v>0.28716195429589059</v>
      </c>
      <c r="H33" s="319"/>
    </row>
    <row r="34" spans="1:8" ht="15.6">
      <c r="D34" s="628" t="s">
        <v>3</v>
      </c>
      <c r="E34" s="266">
        <f>E32</f>
        <v>11850649.597554339</v>
      </c>
      <c r="F34" s="266">
        <f>E34+F32</f>
        <v>25528668.266728215</v>
      </c>
      <c r="G34" s="266">
        <f t="shared" ref="G34" si="2">G32+F34</f>
        <v>36873314.389594182</v>
      </c>
    </row>
    <row r="35" spans="1:8" ht="15.6">
      <c r="D35" s="628"/>
      <c r="E35" s="257">
        <f>E33</f>
        <v>0.29997019397990782</v>
      </c>
      <c r="F35" s="257">
        <f>E35+F33</f>
        <v>0.64619576412077495</v>
      </c>
      <c r="G35" s="257">
        <f>F35+G33+6.66%</f>
        <v>0.99995771841666548</v>
      </c>
    </row>
    <row r="36" spans="1:8" ht="15.6">
      <c r="D36" s="245"/>
      <c r="E36" s="321"/>
      <c r="F36" s="321"/>
      <c r="G36" s="321"/>
    </row>
    <row r="37" spans="1:8" ht="15.6">
      <c r="D37" s="245"/>
      <c r="E37" s="321"/>
      <c r="F37" s="321"/>
      <c r="G37" s="321"/>
    </row>
  </sheetData>
  <mergeCells count="9">
    <mergeCell ref="A32:B32"/>
    <mergeCell ref="D32:D33"/>
    <mergeCell ref="D34:D35"/>
    <mergeCell ref="A6:G6"/>
    <mergeCell ref="A1:G1"/>
    <mergeCell ref="B2:G2"/>
    <mergeCell ref="B3:G3"/>
    <mergeCell ref="A4:G4"/>
    <mergeCell ref="A9:B9"/>
  </mergeCells>
  <phoneticPr fontId="28" type="noConversion"/>
  <pageMargins left="0.23622047244094491" right="0.23622047244094491" top="0.74803149606299213" bottom="0.74803149606299213" header="0.31496062992125984" footer="0.31496062992125984"/>
  <pageSetup scale="4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70"/>
  <sheetViews>
    <sheetView view="pageBreakPreview" topLeftCell="A28" zoomScale="70" zoomScaleNormal="100" zoomScaleSheetLayoutView="70" workbookViewId="0">
      <selection activeCell="L48" sqref="L48"/>
    </sheetView>
  </sheetViews>
  <sheetFormatPr baseColWidth="10" defaultColWidth="11.44140625" defaultRowHeight="15"/>
  <cols>
    <col min="1" max="1" width="11.33203125" style="167" bestFit="1" customWidth="1"/>
    <col min="2" max="2" width="5.6640625" style="167" customWidth="1"/>
    <col min="3" max="3" width="27.6640625" style="167" customWidth="1"/>
    <col min="4" max="4" width="7.6640625" style="167" customWidth="1"/>
    <col min="5" max="5" width="9.109375" style="167" customWidth="1"/>
    <col min="6" max="6" width="13.5546875" style="167" bestFit="1" customWidth="1"/>
    <col min="7" max="7" width="7" style="167" customWidth="1"/>
    <col min="8" max="8" width="14.5546875" style="167" bestFit="1" customWidth="1"/>
    <col min="9" max="9" width="17.109375" style="167" bestFit="1" customWidth="1"/>
    <col min="10" max="10" width="15.88671875" style="167" bestFit="1" customWidth="1"/>
    <col min="11" max="11" width="11.44140625" style="167"/>
    <col min="12" max="12" width="13.33203125" style="167" bestFit="1" customWidth="1"/>
    <col min="13" max="16384" width="11.44140625" style="167"/>
  </cols>
  <sheetData>
    <row r="1" spans="1:12">
      <c r="A1" s="674" t="s">
        <v>6</v>
      </c>
      <c r="B1" s="674"/>
      <c r="C1" s="674"/>
      <c r="D1" s="674"/>
      <c r="E1" s="674"/>
      <c r="F1" s="674"/>
      <c r="G1" s="674"/>
      <c r="H1" s="674"/>
      <c r="I1" s="674"/>
      <c r="J1" s="674"/>
    </row>
    <row r="2" spans="1:12">
      <c r="A2" s="674" t="s">
        <v>7</v>
      </c>
      <c r="B2" s="674"/>
      <c r="C2" s="674"/>
      <c r="D2" s="674"/>
      <c r="E2" s="674"/>
      <c r="F2" s="674"/>
      <c r="G2" s="674"/>
      <c r="H2" s="674"/>
      <c r="I2" s="674"/>
      <c r="J2" s="674"/>
    </row>
    <row r="3" spans="1:12">
      <c r="A3" s="674" t="s">
        <v>246</v>
      </c>
      <c r="B3" s="674"/>
      <c r="C3" s="674"/>
      <c r="D3" s="674"/>
      <c r="E3" s="674"/>
      <c r="F3" s="674"/>
      <c r="G3" s="674"/>
      <c r="H3" s="674"/>
      <c r="I3" s="674"/>
      <c r="J3" s="674"/>
    </row>
    <row r="4" spans="1:12">
      <c r="A4" s="674" t="s">
        <v>280</v>
      </c>
      <c r="B4" s="674"/>
      <c r="C4" s="674"/>
      <c r="D4" s="674"/>
      <c r="E4" s="674"/>
      <c r="F4" s="674"/>
      <c r="G4" s="674"/>
      <c r="H4" s="674"/>
      <c r="I4" s="674"/>
      <c r="J4" s="674"/>
    </row>
    <row r="5" spans="1:12">
      <c r="A5" s="168"/>
      <c r="B5" s="168"/>
      <c r="C5" s="168"/>
      <c r="D5" s="168"/>
      <c r="E5" s="168"/>
      <c r="F5" s="168"/>
      <c r="G5" s="168"/>
      <c r="H5" s="168"/>
      <c r="I5" s="168"/>
      <c r="J5" s="168"/>
    </row>
    <row r="6" spans="1:12" ht="15.6">
      <c r="A6" s="169" t="s">
        <v>281</v>
      </c>
      <c r="B6" s="168"/>
      <c r="C6" s="168"/>
      <c r="D6" s="168"/>
      <c r="E6" s="168"/>
      <c r="F6" s="168"/>
      <c r="G6" s="168"/>
      <c r="H6" s="168"/>
      <c r="I6" s="168"/>
      <c r="J6" s="168"/>
    </row>
    <row r="7" spans="1:12" ht="52.2" customHeight="1">
      <c r="A7" s="675" t="str">
        <f>PRESUPUESTO!A8</f>
        <v>AMPLIACION DE ALBERGUE TRANSITORIO DE FAUNA DOMESTICA EN EL MUNICIPIO DE CAUCASIA  DEPARTAMENTO DE ANTIOQUIA.</v>
      </c>
      <c r="B7" s="675"/>
      <c r="C7" s="675"/>
      <c r="D7" s="675"/>
      <c r="E7" s="675"/>
      <c r="F7" s="675"/>
      <c r="G7" s="675"/>
      <c r="H7" s="675"/>
      <c r="I7" s="675"/>
      <c r="J7" s="675"/>
    </row>
    <row r="8" spans="1:12" ht="18" customHeight="1">
      <c r="A8" s="673" t="s">
        <v>282</v>
      </c>
      <c r="B8" s="673"/>
      <c r="C8" s="673"/>
      <c r="D8" s="673"/>
      <c r="E8" s="673"/>
      <c r="F8" s="673"/>
      <c r="G8" s="673"/>
      <c r="H8" s="673"/>
      <c r="I8" s="673"/>
      <c r="J8" s="673"/>
    </row>
    <row r="9" spans="1:12" ht="4.5" customHeight="1">
      <c r="A9" s="673"/>
      <c r="B9" s="673"/>
      <c r="C9" s="673"/>
      <c r="D9" s="673"/>
      <c r="E9" s="673"/>
      <c r="F9" s="673"/>
      <c r="G9" s="673"/>
      <c r="H9" s="673"/>
      <c r="I9" s="673"/>
      <c r="J9" s="673"/>
    </row>
    <row r="10" spans="1:12" ht="15.6">
      <c r="A10" s="170"/>
      <c r="E10" s="170"/>
      <c r="F10" s="170"/>
      <c r="G10" s="171" t="s">
        <v>247</v>
      </c>
      <c r="H10" s="172"/>
      <c r="I10" s="173"/>
      <c r="J10" s="265">
        <f>+PRESUPUESTO!F32</f>
        <v>39506090.714989185</v>
      </c>
    </row>
    <row r="11" spans="1:12" ht="15.6">
      <c r="A11" s="174"/>
      <c r="B11" s="175" t="s">
        <v>9</v>
      </c>
      <c r="C11" s="176"/>
      <c r="D11" s="177" t="s">
        <v>56</v>
      </c>
      <c r="E11" s="177" t="s">
        <v>248</v>
      </c>
      <c r="F11" s="177" t="s">
        <v>249</v>
      </c>
      <c r="G11" s="177" t="s">
        <v>250</v>
      </c>
      <c r="H11" s="177" t="s">
        <v>47</v>
      </c>
      <c r="I11" s="177" t="s">
        <v>47</v>
      </c>
      <c r="J11" s="177" t="s">
        <v>43</v>
      </c>
    </row>
    <row r="12" spans="1:12" ht="15.6">
      <c r="A12" s="178"/>
      <c r="B12" s="179"/>
      <c r="C12" s="180"/>
      <c r="D12" s="178"/>
      <c r="E12" s="181" t="s">
        <v>251</v>
      </c>
      <c r="F12" s="178"/>
      <c r="G12" s="178"/>
      <c r="H12" s="181" t="s">
        <v>249</v>
      </c>
      <c r="I12" s="178"/>
      <c r="J12" s="182"/>
    </row>
    <row r="13" spans="1:12" ht="15.6">
      <c r="A13" s="646">
        <v>1</v>
      </c>
      <c r="B13" s="659" t="s">
        <v>283</v>
      </c>
      <c r="C13" s="660"/>
      <c r="D13" s="660"/>
      <c r="E13" s="660"/>
      <c r="F13" s="660"/>
      <c r="G13" s="660"/>
      <c r="H13" s="661"/>
      <c r="I13" s="183">
        <f>SUM(I14:I14)</f>
        <v>0</v>
      </c>
      <c r="J13" s="184">
        <f>I13/J10</f>
        <v>0</v>
      </c>
    </row>
    <row r="14" spans="1:12" ht="15.6">
      <c r="A14" s="648"/>
      <c r="B14" s="171" t="s">
        <v>284</v>
      </c>
      <c r="C14" s="172"/>
      <c r="D14" s="185"/>
      <c r="E14" s="185"/>
      <c r="F14" s="185"/>
      <c r="G14" s="185"/>
      <c r="H14" s="197">
        <v>0</v>
      </c>
      <c r="I14" s="192">
        <f>J10*H14</f>
        <v>0</v>
      </c>
      <c r="J14" s="184"/>
    </row>
    <row r="15" spans="1:12" ht="15.6">
      <c r="A15" s="646">
        <v>2</v>
      </c>
      <c r="B15" s="659" t="s">
        <v>252</v>
      </c>
      <c r="C15" s="660"/>
      <c r="D15" s="660"/>
      <c r="E15" s="660"/>
      <c r="F15" s="660"/>
      <c r="G15" s="660"/>
      <c r="H15" s="661"/>
      <c r="I15" s="187">
        <f>SUM(H16:H17)</f>
        <v>4846480</v>
      </c>
      <c r="J15" s="188">
        <f>+I15/J10</f>
        <v>0.12267678001764865</v>
      </c>
      <c r="K15" s="502"/>
      <c r="L15" s="500"/>
    </row>
    <row r="16" spans="1:12" ht="15.6">
      <c r="A16" s="647"/>
      <c r="B16" s="670" t="s">
        <v>586</v>
      </c>
      <c r="C16" s="671"/>
      <c r="D16" s="189">
        <v>1</v>
      </c>
      <c r="E16" s="189">
        <v>0.504</v>
      </c>
      <c r="F16" s="190">
        <v>4350000</v>
      </c>
      <c r="G16" s="185">
        <f>'SALARIOS Y PRESTACIONES '!H55</f>
        <v>1.45</v>
      </c>
      <c r="H16" s="191">
        <f>F16*G16*E16*D16</f>
        <v>3178980</v>
      </c>
      <c r="I16" s="192"/>
      <c r="J16" s="166"/>
      <c r="K16" s="500"/>
      <c r="L16" s="503"/>
    </row>
    <row r="17" spans="1:12" ht="15.6">
      <c r="A17" s="648"/>
      <c r="B17" s="672" t="str">
        <f>+'SALARIOS Y PRESTACIONES '!J38</f>
        <v>AUXILIAR SISO</v>
      </c>
      <c r="C17" s="672"/>
      <c r="D17" s="189">
        <v>1</v>
      </c>
      <c r="E17" s="189">
        <v>0.5</v>
      </c>
      <c r="F17" s="190">
        <v>2300000</v>
      </c>
      <c r="G17" s="185">
        <f>+'SALARIOS Y PRESTACIONES '!J55</f>
        <v>1.45</v>
      </c>
      <c r="H17" s="191">
        <f>F17*G17*E17*D17</f>
        <v>1667500</v>
      </c>
      <c r="I17" s="192"/>
      <c r="J17" s="166"/>
      <c r="K17" s="500"/>
      <c r="L17" s="501"/>
    </row>
    <row r="18" spans="1:12" ht="31.95" customHeight="1">
      <c r="A18" s="646">
        <v>3</v>
      </c>
      <c r="B18" s="649" t="s">
        <v>316</v>
      </c>
      <c r="C18" s="650"/>
      <c r="D18" s="650"/>
      <c r="E18" s="650"/>
      <c r="F18" s="650"/>
      <c r="G18" s="650"/>
      <c r="H18" s="651"/>
      <c r="I18" s="187">
        <f>SUM(I19:I21)</f>
        <v>0</v>
      </c>
      <c r="J18" s="188">
        <f>I18/J10</f>
        <v>0</v>
      </c>
    </row>
    <row r="19" spans="1:12" ht="52.5" customHeight="1">
      <c r="A19" s="647"/>
      <c r="B19" s="639" t="s">
        <v>285</v>
      </c>
      <c r="C19" s="640"/>
      <c r="D19" s="185"/>
      <c r="E19" s="185"/>
      <c r="F19" s="185"/>
      <c r="G19" s="190"/>
      <c r="H19" s="194">
        <v>0</v>
      </c>
      <c r="I19" s="224">
        <f>+J10*H19</f>
        <v>0</v>
      </c>
      <c r="J19" s="193"/>
    </row>
    <row r="20" spans="1:12" ht="15.6">
      <c r="A20" s="647"/>
      <c r="B20" s="639" t="s">
        <v>315</v>
      </c>
      <c r="C20" s="640"/>
      <c r="D20" s="185"/>
      <c r="E20" s="185"/>
      <c r="F20" s="185"/>
      <c r="G20" s="190"/>
      <c r="H20" s="197">
        <v>0</v>
      </c>
      <c r="I20" s="224">
        <f>J10*H20</f>
        <v>0</v>
      </c>
      <c r="J20" s="193"/>
    </row>
    <row r="21" spans="1:12" ht="35.700000000000003" customHeight="1">
      <c r="A21" s="648"/>
      <c r="B21" s="639" t="s">
        <v>286</v>
      </c>
      <c r="C21" s="640"/>
      <c r="D21" s="185"/>
      <c r="E21" s="185"/>
      <c r="F21" s="185"/>
      <c r="G21" s="190"/>
      <c r="H21" s="194">
        <v>0</v>
      </c>
      <c r="I21" s="224">
        <f>J10*H21</f>
        <v>0</v>
      </c>
      <c r="J21" s="193"/>
    </row>
    <row r="22" spans="1:12" ht="15.6">
      <c r="A22" s="646">
        <v>4</v>
      </c>
      <c r="B22" s="667" t="s">
        <v>253</v>
      </c>
      <c r="C22" s="668"/>
      <c r="D22" s="668"/>
      <c r="E22" s="668"/>
      <c r="F22" s="668"/>
      <c r="G22" s="668"/>
      <c r="H22" s="669"/>
      <c r="I22" s="187">
        <f>SUM(H23:H24)</f>
        <v>0</v>
      </c>
      <c r="J22" s="188">
        <f>I22/J10</f>
        <v>0</v>
      </c>
    </row>
    <row r="23" spans="1:12" ht="15.6">
      <c r="A23" s="647"/>
      <c r="B23" s="657" t="s">
        <v>287</v>
      </c>
      <c r="C23" s="658"/>
      <c r="D23" s="189">
        <v>0</v>
      </c>
      <c r="E23" s="189">
        <v>0</v>
      </c>
      <c r="F23" s="190">
        <v>0</v>
      </c>
      <c r="G23" s="185">
        <v>0</v>
      </c>
      <c r="H23" s="191">
        <v>0</v>
      </c>
      <c r="I23" s="192"/>
      <c r="J23" s="166"/>
    </row>
    <row r="24" spans="1:12" ht="15.6">
      <c r="A24" s="648"/>
      <c r="B24" s="657"/>
      <c r="C24" s="658"/>
      <c r="D24" s="185"/>
      <c r="E24" s="185"/>
      <c r="F24" s="191"/>
      <c r="G24" s="190"/>
      <c r="H24" s="191"/>
      <c r="I24" s="192"/>
      <c r="J24" s="166"/>
    </row>
    <row r="25" spans="1:12" ht="15.6">
      <c r="A25" s="646">
        <v>5</v>
      </c>
      <c r="B25" s="664" t="s">
        <v>288</v>
      </c>
      <c r="C25" s="665"/>
      <c r="D25" s="665"/>
      <c r="E25" s="665"/>
      <c r="F25" s="665"/>
      <c r="G25" s="665"/>
      <c r="H25" s="666"/>
      <c r="I25" s="187">
        <f>SUM(H26:H29)</f>
        <v>178500</v>
      </c>
      <c r="J25" s="188">
        <f>I25/J10</f>
        <v>4.5182906425179272E-3</v>
      </c>
    </row>
    <row r="26" spans="1:12" ht="15.6">
      <c r="A26" s="647"/>
      <c r="B26" s="657" t="s">
        <v>289</v>
      </c>
      <c r="C26" s="658"/>
      <c r="D26" s="189">
        <v>0</v>
      </c>
      <c r="E26" s="189">
        <v>0</v>
      </c>
      <c r="F26" s="190">
        <v>0</v>
      </c>
      <c r="G26" s="185">
        <v>1</v>
      </c>
      <c r="H26" s="191">
        <f t="shared" ref="H26:H28" si="0">F26*G26*E26*D26</f>
        <v>0</v>
      </c>
      <c r="I26" s="192"/>
      <c r="J26" s="166"/>
    </row>
    <row r="27" spans="1:12" ht="15.6">
      <c r="A27" s="647"/>
      <c r="B27" s="657" t="s">
        <v>290</v>
      </c>
      <c r="C27" s="658"/>
      <c r="D27" s="189">
        <v>1</v>
      </c>
      <c r="E27" s="189">
        <v>0.5</v>
      </c>
      <c r="F27" s="190">
        <v>357000</v>
      </c>
      <c r="G27" s="185">
        <v>1</v>
      </c>
      <c r="H27" s="191">
        <f t="shared" si="0"/>
        <v>178500</v>
      </c>
      <c r="I27" s="192"/>
      <c r="J27" s="166"/>
    </row>
    <row r="28" spans="1:12" ht="15.6">
      <c r="A28" s="647"/>
      <c r="B28" s="657" t="s">
        <v>291</v>
      </c>
      <c r="C28" s="658"/>
      <c r="D28" s="189">
        <v>0</v>
      </c>
      <c r="E28" s="189">
        <v>0</v>
      </c>
      <c r="F28" s="190">
        <v>0</v>
      </c>
      <c r="G28" s="185">
        <v>1</v>
      </c>
      <c r="H28" s="191">
        <f t="shared" si="0"/>
        <v>0</v>
      </c>
      <c r="I28" s="192"/>
      <c r="J28" s="166"/>
    </row>
    <row r="29" spans="1:12" ht="15.6">
      <c r="A29" s="648"/>
      <c r="B29" s="657"/>
      <c r="C29" s="658"/>
      <c r="D29" s="189"/>
      <c r="E29" s="189"/>
      <c r="F29" s="190"/>
      <c r="G29" s="185"/>
      <c r="H29" s="191"/>
      <c r="I29" s="192"/>
      <c r="J29" s="166"/>
    </row>
    <row r="30" spans="1:12" ht="15.45" customHeight="1">
      <c r="A30" s="646">
        <v>6</v>
      </c>
      <c r="B30" s="649" t="s">
        <v>292</v>
      </c>
      <c r="C30" s="650"/>
      <c r="D30" s="650"/>
      <c r="E30" s="650"/>
      <c r="F30" s="650"/>
      <c r="G30" s="650"/>
      <c r="H30" s="651"/>
      <c r="I30" s="195">
        <f>SUM(H31:H38)</f>
        <v>0</v>
      </c>
      <c r="J30" s="193">
        <f>I30/J10</f>
        <v>0</v>
      </c>
    </row>
    <row r="31" spans="1:12" ht="15.6">
      <c r="A31" s="647"/>
      <c r="B31" s="657" t="s">
        <v>317</v>
      </c>
      <c r="C31" s="658"/>
      <c r="D31" s="189">
        <v>0</v>
      </c>
      <c r="E31" s="189">
        <v>0</v>
      </c>
      <c r="F31" s="190">
        <v>0</v>
      </c>
      <c r="G31" s="185"/>
      <c r="H31" s="191">
        <f t="shared" ref="H31:H37" si="1">F31*E31*D31</f>
        <v>0</v>
      </c>
      <c r="I31" s="186"/>
      <c r="J31" s="166"/>
    </row>
    <row r="32" spans="1:12" ht="15.6">
      <c r="A32" s="647"/>
      <c r="B32" s="657" t="s">
        <v>293</v>
      </c>
      <c r="C32" s="658"/>
      <c r="D32" s="189">
        <v>0</v>
      </c>
      <c r="E32" s="189">
        <v>0</v>
      </c>
      <c r="F32" s="190">
        <v>0</v>
      </c>
      <c r="G32" s="185"/>
      <c r="H32" s="191">
        <f t="shared" si="1"/>
        <v>0</v>
      </c>
      <c r="I32" s="186"/>
      <c r="J32" s="166"/>
    </row>
    <row r="33" spans="1:12" ht="15.6">
      <c r="A33" s="647"/>
      <c r="B33" s="657" t="s">
        <v>294</v>
      </c>
      <c r="C33" s="658"/>
      <c r="D33" s="189">
        <v>0</v>
      </c>
      <c r="E33" s="189">
        <v>0</v>
      </c>
      <c r="F33" s="190">
        <v>0</v>
      </c>
      <c r="G33" s="185"/>
      <c r="H33" s="191">
        <f t="shared" si="1"/>
        <v>0</v>
      </c>
      <c r="I33" s="186"/>
      <c r="J33" s="166"/>
    </row>
    <row r="34" spans="1:12" ht="15.6">
      <c r="A34" s="647"/>
      <c r="B34" s="657" t="s">
        <v>295</v>
      </c>
      <c r="C34" s="658"/>
      <c r="D34" s="189">
        <v>0</v>
      </c>
      <c r="E34" s="189">
        <v>0</v>
      </c>
      <c r="F34" s="190">
        <v>0</v>
      </c>
      <c r="G34" s="185"/>
      <c r="H34" s="191">
        <f t="shared" si="1"/>
        <v>0</v>
      </c>
      <c r="I34" s="186"/>
      <c r="J34" s="166"/>
    </row>
    <row r="35" spans="1:12" ht="15.6">
      <c r="A35" s="647"/>
      <c r="B35" s="657" t="s">
        <v>296</v>
      </c>
      <c r="C35" s="658"/>
      <c r="D35" s="189">
        <v>0</v>
      </c>
      <c r="E35" s="189">
        <v>0</v>
      </c>
      <c r="F35" s="190">
        <v>0</v>
      </c>
      <c r="G35" s="185"/>
      <c r="H35" s="191">
        <f t="shared" si="1"/>
        <v>0</v>
      </c>
      <c r="I35" s="186"/>
      <c r="J35" s="166"/>
    </row>
    <row r="36" spans="1:12" ht="29.7" customHeight="1">
      <c r="A36" s="647"/>
      <c r="B36" s="662" t="s">
        <v>297</v>
      </c>
      <c r="C36" s="663"/>
      <c r="D36" s="189">
        <v>0</v>
      </c>
      <c r="E36" s="189">
        <v>0</v>
      </c>
      <c r="F36" s="190">
        <v>0</v>
      </c>
      <c r="G36" s="185"/>
      <c r="H36" s="191">
        <f t="shared" si="1"/>
        <v>0</v>
      </c>
      <c r="I36" s="186"/>
      <c r="J36" s="166"/>
      <c r="L36" s="264">
        <f>12000*3*3*30</f>
        <v>3240000</v>
      </c>
    </row>
    <row r="37" spans="1:12" ht="15.6">
      <c r="A37" s="647"/>
      <c r="B37" s="657" t="s">
        <v>298</v>
      </c>
      <c r="C37" s="658"/>
      <c r="D37" s="189">
        <v>0</v>
      </c>
      <c r="E37" s="189">
        <v>0</v>
      </c>
      <c r="F37" s="190">
        <v>0</v>
      </c>
      <c r="G37" s="185"/>
      <c r="H37" s="191">
        <f t="shared" si="1"/>
        <v>0</v>
      </c>
      <c r="I37" s="186"/>
      <c r="J37" s="166"/>
      <c r="L37" s="190">
        <f>12000*3*2*30</f>
        <v>2160000</v>
      </c>
    </row>
    <row r="38" spans="1:12" ht="15.6">
      <c r="A38" s="648"/>
      <c r="B38" s="657"/>
      <c r="C38" s="658"/>
      <c r="D38" s="189"/>
      <c r="E38" s="189"/>
      <c r="F38" s="190"/>
      <c r="G38" s="185"/>
      <c r="H38" s="191"/>
      <c r="I38" s="186"/>
      <c r="J38" s="166"/>
    </row>
    <row r="39" spans="1:12" ht="15.45" customHeight="1">
      <c r="A39" s="646">
        <v>7</v>
      </c>
      <c r="B39" s="654" t="s">
        <v>299</v>
      </c>
      <c r="C39" s="655"/>
      <c r="D39" s="655"/>
      <c r="E39" s="655"/>
      <c r="F39" s="655"/>
      <c r="G39" s="655"/>
      <c r="H39" s="656"/>
      <c r="I39" s="195">
        <f>SUM(I40:I41)</f>
        <v>0</v>
      </c>
      <c r="J39" s="196">
        <f>I39/J10</f>
        <v>0</v>
      </c>
    </row>
    <row r="40" spans="1:12" ht="15.6">
      <c r="A40" s="647"/>
      <c r="B40" s="657" t="s">
        <v>300</v>
      </c>
      <c r="C40" s="658"/>
      <c r="D40" s="185"/>
      <c r="E40" s="189"/>
      <c r="F40" s="185"/>
      <c r="G40" s="185"/>
      <c r="H40" s="197">
        <v>0</v>
      </c>
      <c r="I40" s="192">
        <f>J10*H40</f>
        <v>0</v>
      </c>
      <c r="J40" s="193"/>
    </row>
    <row r="41" spans="1:12" ht="15.6">
      <c r="A41" s="648"/>
      <c r="B41" s="657" t="s">
        <v>301</v>
      </c>
      <c r="C41" s="658"/>
      <c r="D41" s="185"/>
      <c r="E41" s="185"/>
      <c r="F41" s="185"/>
      <c r="G41" s="185"/>
      <c r="H41" s="197">
        <v>0</v>
      </c>
      <c r="I41" s="192">
        <f>J10*H41</f>
        <v>0</v>
      </c>
      <c r="J41" s="166"/>
    </row>
    <row r="42" spans="1:12" ht="15.6">
      <c r="A42" s="646">
        <v>8</v>
      </c>
      <c r="B42" s="659" t="s">
        <v>254</v>
      </c>
      <c r="C42" s="660"/>
      <c r="D42" s="660"/>
      <c r="E42" s="660"/>
      <c r="F42" s="660"/>
      <c r="G42" s="660"/>
      <c r="H42" s="661"/>
      <c r="I42" s="195">
        <f>SUM(I43:I43)</f>
        <v>426665.77972188318</v>
      </c>
      <c r="J42" s="193">
        <f>I42/J10</f>
        <v>1.0799999999999999E-2</v>
      </c>
    </row>
    <row r="43" spans="1:12" ht="15.6">
      <c r="A43" s="647"/>
      <c r="B43" s="652" t="s">
        <v>302</v>
      </c>
      <c r="C43" s="653"/>
      <c r="D43" s="185"/>
      <c r="E43" s="185"/>
      <c r="F43" s="185"/>
      <c r="G43" s="185"/>
      <c r="H43" s="191"/>
      <c r="I43" s="192">
        <f>PRESUPUESTO!F36*0.008</f>
        <v>426665.77972188318</v>
      </c>
      <c r="J43" s="166"/>
    </row>
    <row r="44" spans="1:12" ht="15.6">
      <c r="A44" s="648"/>
      <c r="B44" s="171"/>
      <c r="C44" s="198"/>
      <c r="D44" s="185"/>
      <c r="E44" s="185"/>
      <c r="F44" s="185"/>
      <c r="G44" s="185"/>
      <c r="H44" s="191"/>
      <c r="I44" s="192"/>
      <c r="J44" s="193"/>
    </row>
    <row r="45" spans="1:12" ht="15.45" customHeight="1">
      <c r="A45" s="646">
        <v>9</v>
      </c>
      <c r="B45" s="649" t="s">
        <v>255</v>
      </c>
      <c r="C45" s="650"/>
      <c r="D45" s="650"/>
      <c r="E45" s="650"/>
      <c r="F45" s="650"/>
      <c r="G45" s="650"/>
      <c r="H45" s="651"/>
      <c r="I45" s="195">
        <f>SUM(I46:I51)</f>
        <v>6399986.6958282487</v>
      </c>
      <c r="J45" s="193">
        <f>I45/J10</f>
        <v>0.16200000000000001</v>
      </c>
      <c r="K45" s="199">
        <f>+J45+J42+J39+J15</f>
        <v>0.29547678001764865</v>
      </c>
    </row>
    <row r="46" spans="1:12">
      <c r="A46" s="647"/>
      <c r="B46" s="652" t="s">
        <v>256</v>
      </c>
      <c r="C46" s="653"/>
      <c r="D46" s="185"/>
      <c r="E46" s="185"/>
      <c r="F46" s="185"/>
      <c r="G46" s="185"/>
      <c r="H46" s="197">
        <v>1.2E-2</v>
      </c>
      <c r="I46" s="264">
        <f>PRESUPUESTO!F32*AU!H46</f>
        <v>474073.08857987024</v>
      </c>
      <c r="J46" s="198"/>
    </row>
    <row r="47" spans="1:12">
      <c r="A47" s="647"/>
      <c r="B47" s="652" t="s">
        <v>341</v>
      </c>
      <c r="C47" s="653"/>
      <c r="D47" s="185"/>
      <c r="E47" s="185"/>
      <c r="F47" s="185"/>
      <c r="G47" s="185"/>
      <c r="H47" s="197">
        <v>1.4999999999999999E-2</v>
      </c>
      <c r="I47" s="264">
        <f>H47*PRESUPUESTO!F32</f>
        <v>592591.36072483775</v>
      </c>
      <c r="J47" s="198"/>
    </row>
    <row r="48" spans="1:12">
      <c r="A48" s="647"/>
      <c r="B48" s="652" t="s">
        <v>342</v>
      </c>
      <c r="C48" s="653"/>
      <c r="D48" s="185"/>
      <c r="E48" s="185"/>
      <c r="F48" s="185"/>
      <c r="G48" s="185"/>
      <c r="H48" s="197">
        <v>0.04</v>
      </c>
      <c r="I48" s="200">
        <f>H48*PRESUPUESTO!F32</f>
        <v>1580243.6285995673</v>
      </c>
      <c r="J48" s="198"/>
    </row>
    <row r="49" spans="1:11">
      <c r="A49" s="647"/>
      <c r="B49" s="652" t="s">
        <v>343</v>
      </c>
      <c r="C49" s="653"/>
      <c r="D49" s="185"/>
      <c r="E49" s="185"/>
      <c r="F49" s="185"/>
      <c r="G49" s="185"/>
      <c r="H49" s="197">
        <v>2.5000000000000001E-2</v>
      </c>
      <c r="I49" s="264">
        <f>H49*PRESUPUESTO!F32</f>
        <v>987652.2678747297</v>
      </c>
      <c r="J49" s="198"/>
    </row>
    <row r="50" spans="1:11">
      <c r="A50" s="647"/>
      <c r="B50" s="652" t="s">
        <v>344</v>
      </c>
      <c r="C50" s="653"/>
      <c r="D50" s="185"/>
      <c r="E50" s="185"/>
      <c r="F50" s="185"/>
      <c r="G50" s="185"/>
      <c r="H50" s="197">
        <v>0.02</v>
      </c>
      <c r="I50" s="200">
        <f>H50*PRESUPUESTO!F32</f>
        <v>790121.81429978367</v>
      </c>
      <c r="J50" s="198"/>
    </row>
    <row r="51" spans="1:11" ht="15.6">
      <c r="A51" s="648"/>
      <c r="B51" s="652" t="s">
        <v>345</v>
      </c>
      <c r="C51" s="653"/>
      <c r="D51" s="185"/>
      <c r="E51" s="185"/>
      <c r="F51" s="185"/>
      <c r="G51" s="185"/>
      <c r="H51" s="197">
        <v>0.05</v>
      </c>
      <c r="I51" s="200">
        <f>H51*PRESUPUESTO!F32</f>
        <v>1975304.5357494594</v>
      </c>
      <c r="J51" s="201"/>
    </row>
    <row r="52" spans="1:11" ht="15.6">
      <c r="A52" s="641"/>
      <c r="B52" s="202" t="s">
        <v>257</v>
      </c>
      <c r="C52" s="203"/>
      <c r="D52" s="185"/>
      <c r="E52" s="185"/>
      <c r="F52" s="185"/>
      <c r="G52" s="185"/>
      <c r="H52" s="191"/>
      <c r="I52" s="204"/>
      <c r="J52" s="205">
        <f>SUM(J13:J51)</f>
        <v>0.29999507066016662</v>
      </c>
      <c r="K52" s="206">
        <v>0.25</v>
      </c>
    </row>
    <row r="53" spans="1:11" ht="15.6">
      <c r="A53" s="641"/>
      <c r="B53" s="207" t="s">
        <v>258</v>
      </c>
      <c r="C53" s="208"/>
      <c r="D53" s="185"/>
      <c r="E53" s="185"/>
      <c r="F53" s="185"/>
      <c r="G53" s="185"/>
      <c r="H53" s="191"/>
      <c r="I53" s="195"/>
      <c r="J53" s="193">
        <v>0</v>
      </c>
    </row>
    <row r="54" spans="1:11" ht="15.6">
      <c r="A54" s="641"/>
      <c r="B54" s="209" t="s">
        <v>259</v>
      </c>
      <c r="C54" s="210"/>
      <c r="D54" s="211"/>
      <c r="E54" s="211"/>
      <c r="F54" s="211"/>
      <c r="G54" s="211"/>
      <c r="H54" s="212"/>
      <c r="I54" s="213"/>
      <c r="J54" s="214">
        <v>0.05</v>
      </c>
    </row>
    <row r="55" spans="1:11" ht="15.6">
      <c r="A55" s="642"/>
      <c r="B55" s="643" t="s">
        <v>260</v>
      </c>
      <c r="C55" s="644"/>
      <c r="D55" s="644"/>
      <c r="E55" s="644"/>
      <c r="F55" s="644"/>
      <c r="G55" s="644"/>
      <c r="H55" s="644"/>
      <c r="I55" s="645"/>
      <c r="J55" s="184">
        <f>SUM(J52:J54)</f>
        <v>0.34999507066016661</v>
      </c>
    </row>
    <row r="56" spans="1:11" ht="15.6">
      <c r="B56" s="170"/>
      <c r="E56" s="215"/>
      <c r="F56" s="216"/>
      <c r="G56" s="217"/>
      <c r="I56" s="218"/>
    </row>
    <row r="57" spans="1:11" ht="15.6">
      <c r="B57" s="219" t="s">
        <v>261</v>
      </c>
      <c r="C57" s="220"/>
      <c r="D57" s="205">
        <f>+J52</f>
        <v>0.29999507066016662</v>
      </c>
      <c r="E57" s="215"/>
      <c r="F57" s="215"/>
      <c r="I57" s="218"/>
    </row>
    <row r="58" spans="1:11" ht="15.6">
      <c r="B58" s="219" t="s">
        <v>258</v>
      </c>
      <c r="C58" s="220"/>
      <c r="D58" s="184">
        <f>J53</f>
        <v>0</v>
      </c>
      <c r="E58" s="215"/>
      <c r="F58" s="215"/>
      <c r="G58" s="217"/>
    </row>
    <row r="59" spans="1:11" ht="15.6">
      <c r="B59" s="219" t="s">
        <v>94</v>
      </c>
      <c r="C59" s="220"/>
      <c r="D59" s="184">
        <f>J54</f>
        <v>0.05</v>
      </c>
      <c r="E59" s="215"/>
      <c r="F59" s="215"/>
    </row>
    <row r="63" spans="1:11">
      <c r="B63" s="221"/>
      <c r="C63" s="221"/>
      <c r="D63" s="221"/>
    </row>
    <row r="64" spans="1:11">
      <c r="B64" s="167" t="str">
        <f>+[13]PRESUPUESTO!B24</f>
        <v xml:space="preserve">FERNEY ALONSO HOYOS OQUENDO </v>
      </c>
    </row>
    <row r="65" spans="2:10">
      <c r="B65" s="167" t="str">
        <f>+[13]PRESUPUESTO!B25</f>
        <v>Secretario de Planeacion</v>
      </c>
    </row>
    <row r="66" spans="2:10">
      <c r="C66" s="222">
        <f>+[14]PRESUPUESTO!F57</f>
        <v>44734</v>
      </c>
      <c r="D66" s="504" t="s">
        <v>303</v>
      </c>
      <c r="E66" s="504"/>
      <c r="F66" s="504" t="s">
        <v>304</v>
      </c>
      <c r="G66" s="504"/>
      <c r="H66" s="634" t="s">
        <v>305</v>
      </c>
      <c r="I66" s="635"/>
      <c r="J66" s="636"/>
    </row>
    <row r="67" spans="2:10" ht="19.2" customHeight="1">
      <c r="C67" s="223" t="s">
        <v>306</v>
      </c>
      <c r="D67" s="504" t="s">
        <v>307</v>
      </c>
      <c r="E67" s="504"/>
      <c r="F67" s="504" t="s">
        <v>308</v>
      </c>
      <c r="G67" s="504"/>
      <c r="H67" s="634"/>
      <c r="I67" s="635"/>
      <c r="J67" s="636"/>
    </row>
    <row r="68" spans="2:10" ht="17.7" customHeight="1">
      <c r="C68" s="223" t="s">
        <v>309</v>
      </c>
      <c r="D68" s="504" t="s">
        <v>310</v>
      </c>
      <c r="E68" s="504"/>
      <c r="F68" s="504" t="s">
        <v>311</v>
      </c>
      <c r="G68" s="504"/>
      <c r="H68" s="634"/>
      <c r="I68" s="635"/>
      <c r="J68" s="636"/>
    </row>
    <row r="69" spans="2:10">
      <c r="C69" s="223" t="s">
        <v>312</v>
      </c>
      <c r="D69" s="633" t="s">
        <v>313</v>
      </c>
      <c r="E69" s="633"/>
      <c r="F69" s="504" t="s">
        <v>311</v>
      </c>
      <c r="G69" s="504"/>
      <c r="H69" s="634"/>
      <c r="I69" s="635"/>
      <c r="J69" s="636"/>
    </row>
    <row r="70" spans="2:10" ht="15.45" customHeight="1">
      <c r="C70" s="637" t="s">
        <v>314</v>
      </c>
      <c r="D70" s="638"/>
      <c r="E70" s="638"/>
      <c r="F70" s="638"/>
      <c r="G70" s="638"/>
      <c r="H70" s="638"/>
      <c r="I70" s="638"/>
      <c r="J70" s="638"/>
    </row>
  </sheetData>
  <mergeCells count="67">
    <mergeCell ref="A1:J1"/>
    <mergeCell ref="A2:J2"/>
    <mergeCell ref="A3:J3"/>
    <mergeCell ref="A4:J4"/>
    <mergeCell ref="A7:J7"/>
    <mergeCell ref="B16:C16"/>
    <mergeCell ref="A15:A17"/>
    <mergeCell ref="B17:C17"/>
    <mergeCell ref="A8:J9"/>
    <mergeCell ref="A13:A14"/>
    <mergeCell ref="B13:H13"/>
    <mergeCell ref="B15:H15"/>
    <mergeCell ref="A22:A24"/>
    <mergeCell ref="B22:H22"/>
    <mergeCell ref="B21:C21"/>
    <mergeCell ref="B19:C19"/>
    <mergeCell ref="B23:C23"/>
    <mergeCell ref="B24:C24"/>
    <mergeCell ref="A18:A21"/>
    <mergeCell ref="B18:H18"/>
    <mergeCell ref="A25:A29"/>
    <mergeCell ref="B25:H25"/>
    <mergeCell ref="B26:C26"/>
    <mergeCell ref="B27:C27"/>
    <mergeCell ref="B28:C28"/>
    <mergeCell ref="B29:C29"/>
    <mergeCell ref="A30:A38"/>
    <mergeCell ref="B30:H30"/>
    <mergeCell ref="B31:C31"/>
    <mergeCell ref="B32:C32"/>
    <mergeCell ref="B33:C33"/>
    <mergeCell ref="B34:C34"/>
    <mergeCell ref="B35:C35"/>
    <mergeCell ref="B36:C36"/>
    <mergeCell ref="B37:C37"/>
    <mergeCell ref="B38:C38"/>
    <mergeCell ref="A39:A41"/>
    <mergeCell ref="B39:H39"/>
    <mergeCell ref="B40:C40"/>
    <mergeCell ref="B41:C41"/>
    <mergeCell ref="A42:A44"/>
    <mergeCell ref="B42:H42"/>
    <mergeCell ref="B43:C43"/>
    <mergeCell ref="A45:A51"/>
    <mergeCell ref="B45:H45"/>
    <mergeCell ref="B46:C46"/>
    <mergeCell ref="B47:C47"/>
    <mergeCell ref="B48:C48"/>
    <mergeCell ref="B49:C49"/>
    <mergeCell ref="B50:C50"/>
    <mergeCell ref="B51:C51"/>
    <mergeCell ref="A52:A55"/>
    <mergeCell ref="B55:I55"/>
    <mergeCell ref="D66:E66"/>
    <mergeCell ref="F66:G66"/>
    <mergeCell ref="H66:J66"/>
    <mergeCell ref="D69:E69"/>
    <mergeCell ref="F69:G69"/>
    <mergeCell ref="H69:J69"/>
    <mergeCell ref="C70:J70"/>
    <mergeCell ref="B20:C20"/>
    <mergeCell ref="D67:E67"/>
    <mergeCell ref="F67:G67"/>
    <mergeCell ref="H67:J67"/>
    <mergeCell ref="D68:E68"/>
    <mergeCell ref="F68:G68"/>
    <mergeCell ref="H68:J68"/>
  </mergeCells>
  <pageMargins left="0.7" right="0.7" top="0.75" bottom="0.75" header="0.3" footer="0.3"/>
  <pageSetup paperSize="9" scale="66" orientation="portrait" r:id="rId1"/>
  <rowBreaks count="1" manualBreakCount="1">
    <brk id="59" max="9" man="1"/>
  </rowBreaks>
  <colBreaks count="1" manualBreakCount="1">
    <brk id="10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96"/>
  <sheetViews>
    <sheetView view="pageBreakPreview" zoomScaleNormal="100" zoomScaleSheetLayoutView="100" workbookViewId="0">
      <selection sqref="A1:E1"/>
    </sheetView>
  </sheetViews>
  <sheetFormatPr baseColWidth="10" defaultRowHeight="13.8"/>
  <cols>
    <col min="1" max="1" width="17" style="13" customWidth="1"/>
    <col min="2" max="2" width="16.6640625" style="13" customWidth="1"/>
    <col min="3" max="3" width="14.88671875" style="13" customWidth="1"/>
    <col min="4" max="4" width="11.6640625" style="13" customWidth="1"/>
    <col min="5" max="6" width="17" style="13" customWidth="1"/>
    <col min="7" max="7" width="3.33203125" style="44" bestFit="1" customWidth="1"/>
    <col min="8" max="8" width="1.88671875" style="13" bestFit="1" customWidth="1"/>
    <col min="9" max="9" width="4.109375" style="13" bestFit="1" customWidth="1"/>
    <col min="10" max="10" width="1.88671875" style="13" bestFit="1" customWidth="1"/>
    <col min="11" max="11" width="11.44140625" style="13" bestFit="1" customWidth="1"/>
    <col min="12" max="12" width="2.44140625" style="13" customWidth="1"/>
    <col min="13" max="13" width="5" style="13" bestFit="1" customWidth="1"/>
    <col min="14" max="14" width="5.44140625" style="13" bestFit="1" customWidth="1"/>
    <col min="15" max="15" width="11.44140625" style="13"/>
    <col min="16" max="16" width="2.109375" style="13" customWidth="1"/>
    <col min="17" max="18" width="5.44140625" style="13" bestFit="1" customWidth="1"/>
    <col min="19" max="256" width="11.44140625" style="13"/>
    <col min="257" max="257" width="17" style="13" customWidth="1"/>
    <col min="258" max="258" width="16.6640625" style="13" customWidth="1"/>
    <col min="259" max="259" width="14.88671875" style="13" customWidth="1"/>
    <col min="260" max="260" width="11.6640625" style="13" customWidth="1"/>
    <col min="261" max="262" width="17" style="13" customWidth="1"/>
    <col min="263" max="263" width="3.33203125" style="13" bestFit="1" customWidth="1"/>
    <col min="264" max="264" width="1.88671875" style="13" bestFit="1" customWidth="1"/>
    <col min="265" max="265" width="4.109375" style="13" bestFit="1" customWidth="1"/>
    <col min="266" max="266" width="1.88671875" style="13" bestFit="1" customWidth="1"/>
    <col min="267" max="267" width="5.109375" style="13" bestFit="1" customWidth="1"/>
    <col min="268" max="268" width="2.44140625" style="13" customWidth="1"/>
    <col min="269" max="269" width="5" style="13" bestFit="1" customWidth="1"/>
    <col min="270" max="270" width="5.44140625" style="13" bestFit="1" customWidth="1"/>
    <col min="271" max="271" width="11.44140625" style="13"/>
    <col min="272" max="272" width="2.109375" style="13" customWidth="1"/>
    <col min="273" max="274" width="5.44140625" style="13" bestFit="1" customWidth="1"/>
    <col min="275" max="512" width="11.44140625" style="13"/>
    <col min="513" max="513" width="17" style="13" customWidth="1"/>
    <col min="514" max="514" width="16.6640625" style="13" customWidth="1"/>
    <col min="515" max="515" width="14.88671875" style="13" customWidth="1"/>
    <col min="516" max="516" width="11.6640625" style="13" customWidth="1"/>
    <col min="517" max="518" width="17" style="13" customWidth="1"/>
    <col min="519" max="519" width="3.33203125" style="13" bestFit="1" customWidth="1"/>
    <col min="520" max="520" width="1.88671875" style="13" bestFit="1" customWidth="1"/>
    <col min="521" max="521" width="4.109375" style="13" bestFit="1" customWidth="1"/>
    <col min="522" max="522" width="1.88671875" style="13" bestFit="1" customWidth="1"/>
    <col min="523" max="523" width="5.109375" style="13" bestFit="1" customWidth="1"/>
    <col min="524" max="524" width="2.44140625" style="13" customWidth="1"/>
    <col min="525" max="525" width="5" style="13" bestFit="1" customWidth="1"/>
    <col min="526" max="526" width="5.44140625" style="13" bestFit="1" customWidth="1"/>
    <col min="527" max="527" width="11.44140625" style="13"/>
    <col min="528" max="528" width="2.109375" style="13" customWidth="1"/>
    <col min="529" max="530" width="5.44140625" style="13" bestFit="1" customWidth="1"/>
    <col min="531" max="768" width="11.44140625" style="13"/>
    <col min="769" max="769" width="17" style="13" customWidth="1"/>
    <col min="770" max="770" width="16.6640625" style="13" customWidth="1"/>
    <col min="771" max="771" width="14.88671875" style="13" customWidth="1"/>
    <col min="772" max="772" width="11.6640625" style="13" customWidth="1"/>
    <col min="773" max="774" width="17" style="13" customWidth="1"/>
    <col min="775" max="775" width="3.33203125" style="13" bestFit="1" customWidth="1"/>
    <col min="776" max="776" width="1.88671875" style="13" bestFit="1" customWidth="1"/>
    <col min="777" max="777" width="4.109375" style="13" bestFit="1" customWidth="1"/>
    <col min="778" max="778" width="1.88671875" style="13" bestFit="1" customWidth="1"/>
    <col min="779" max="779" width="5.109375" style="13" bestFit="1" customWidth="1"/>
    <col min="780" max="780" width="2.44140625" style="13" customWidth="1"/>
    <col min="781" max="781" width="5" style="13" bestFit="1" customWidth="1"/>
    <col min="782" max="782" width="5.44140625" style="13" bestFit="1" customWidth="1"/>
    <col min="783" max="783" width="11.44140625" style="13"/>
    <col min="784" max="784" width="2.109375" style="13" customWidth="1"/>
    <col min="785" max="786" width="5.44140625" style="13" bestFit="1" customWidth="1"/>
    <col min="787" max="1024" width="11.44140625" style="13"/>
    <col min="1025" max="1025" width="17" style="13" customWidth="1"/>
    <col min="1026" max="1026" width="16.6640625" style="13" customWidth="1"/>
    <col min="1027" max="1027" width="14.88671875" style="13" customWidth="1"/>
    <col min="1028" max="1028" width="11.6640625" style="13" customWidth="1"/>
    <col min="1029" max="1030" width="17" style="13" customWidth="1"/>
    <col min="1031" max="1031" width="3.33203125" style="13" bestFit="1" customWidth="1"/>
    <col min="1032" max="1032" width="1.88671875" style="13" bestFit="1" customWidth="1"/>
    <col min="1033" max="1033" width="4.109375" style="13" bestFit="1" customWidth="1"/>
    <col min="1034" max="1034" width="1.88671875" style="13" bestFit="1" customWidth="1"/>
    <col min="1035" max="1035" width="5.109375" style="13" bestFit="1" customWidth="1"/>
    <col min="1036" max="1036" width="2.44140625" style="13" customWidth="1"/>
    <col min="1037" max="1037" width="5" style="13" bestFit="1" customWidth="1"/>
    <col min="1038" max="1038" width="5.44140625" style="13" bestFit="1" customWidth="1"/>
    <col min="1039" max="1039" width="11.44140625" style="13"/>
    <col min="1040" max="1040" width="2.109375" style="13" customWidth="1"/>
    <col min="1041" max="1042" width="5.44140625" style="13" bestFit="1" customWidth="1"/>
    <col min="1043" max="1280" width="11.44140625" style="13"/>
    <col min="1281" max="1281" width="17" style="13" customWidth="1"/>
    <col min="1282" max="1282" width="16.6640625" style="13" customWidth="1"/>
    <col min="1283" max="1283" width="14.88671875" style="13" customWidth="1"/>
    <col min="1284" max="1284" width="11.6640625" style="13" customWidth="1"/>
    <col min="1285" max="1286" width="17" style="13" customWidth="1"/>
    <col min="1287" max="1287" width="3.33203125" style="13" bestFit="1" customWidth="1"/>
    <col min="1288" max="1288" width="1.88671875" style="13" bestFit="1" customWidth="1"/>
    <col min="1289" max="1289" width="4.109375" style="13" bestFit="1" customWidth="1"/>
    <col min="1290" max="1290" width="1.88671875" style="13" bestFit="1" customWidth="1"/>
    <col min="1291" max="1291" width="5.109375" style="13" bestFit="1" customWidth="1"/>
    <col min="1292" max="1292" width="2.44140625" style="13" customWidth="1"/>
    <col min="1293" max="1293" width="5" style="13" bestFit="1" customWidth="1"/>
    <col min="1294" max="1294" width="5.44140625" style="13" bestFit="1" customWidth="1"/>
    <col min="1295" max="1295" width="11.44140625" style="13"/>
    <col min="1296" max="1296" width="2.109375" style="13" customWidth="1"/>
    <col min="1297" max="1298" width="5.44140625" style="13" bestFit="1" customWidth="1"/>
    <col min="1299" max="1536" width="11.44140625" style="13"/>
    <col min="1537" max="1537" width="17" style="13" customWidth="1"/>
    <col min="1538" max="1538" width="16.6640625" style="13" customWidth="1"/>
    <col min="1539" max="1539" width="14.88671875" style="13" customWidth="1"/>
    <col min="1540" max="1540" width="11.6640625" style="13" customWidth="1"/>
    <col min="1541" max="1542" width="17" style="13" customWidth="1"/>
    <col min="1543" max="1543" width="3.33203125" style="13" bestFit="1" customWidth="1"/>
    <col min="1544" max="1544" width="1.88671875" style="13" bestFit="1" customWidth="1"/>
    <col min="1545" max="1545" width="4.109375" style="13" bestFit="1" customWidth="1"/>
    <col min="1546" max="1546" width="1.88671875" style="13" bestFit="1" customWidth="1"/>
    <col min="1547" max="1547" width="5.109375" style="13" bestFit="1" customWidth="1"/>
    <col min="1548" max="1548" width="2.44140625" style="13" customWidth="1"/>
    <col min="1549" max="1549" width="5" style="13" bestFit="1" customWidth="1"/>
    <col min="1550" max="1550" width="5.44140625" style="13" bestFit="1" customWidth="1"/>
    <col min="1551" max="1551" width="11.44140625" style="13"/>
    <col min="1552" max="1552" width="2.109375" style="13" customWidth="1"/>
    <col min="1553" max="1554" width="5.44140625" style="13" bestFit="1" customWidth="1"/>
    <col min="1555" max="1792" width="11.44140625" style="13"/>
    <col min="1793" max="1793" width="17" style="13" customWidth="1"/>
    <col min="1794" max="1794" width="16.6640625" style="13" customWidth="1"/>
    <col min="1795" max="1795" width="14.88671875" style="13" customWidth="1"/>
    <col min="1796" max="1796" width="11.6640625" style="13" customWidth="1"/>
    <col min="1797" max="1798" width="17" style="13" customWidth="1"/>
    <col min="1799" max="1799" width="3.33203125" style="13" bestFit="1" customWidth="1"/>
    <col min="1800" max="1800" width="1.88671875" style="13" bestFit="1" customWidth="1"/>
    <col min="1801" max="1801" width="4.109375" style="13" bestFit="1" customWidth="1"/>
    <col min="1802" max="1802" width="1.88671875" style="13" bestFit="1" customWidth="1"/>
    <col min="1803" max="1803" width="5.109375" style="13" bestFit="1" customWidth="1"/>
    <col min="1804" max="1804" width="2.44140625" style="13" customWidth="1"/>
    <col min="1805" max="1805" width="5" style="13" bestFit="1" customWidth="1"/>
    <col min="1806" max="1806" width="5.44140625" style="13" bestFit="1" customWidth="1"/>
    <col min="1807" max="1807" width="11.44140625" style="13"/>
    <col min="1808" max="1808" width="2.109375" style="13" customWidth="1"/>
    <col min="1809" max="1810" width="5.44140625" style="13" bestFit="1" customWidth="1"/>
    <col min="1811" max="2048" width="11.44140625" style="13"/>
    <col min="2049" max="2049" width="17" style="13" customWidth="1"/>
    <col min="2050" max="2050" width="16.6640625" style="13" customWidth="1"/>
    <col min="2051" max="2051" width="14.88671875" style="13" customWidth="1"/>
    <col min="2052" max="2052" width="11.6640625" style="13" customWidth="1"/>
    <col min="2053" max="2054" width="17" style="13" customWidth="1"/>
    <col min="2055" max="2055" width="3.33203125" style="13" bestFit="1" customWidth="1"/>
    <col min="2056" max="2056" width="1.88671875" style="13" bestFit="1" customWidth="1"/>
    <col min="2057" max="2057" width="4.109375" style="13" bestFit="1" customWidth="1"/>
    <col min="2058" max="2058" width="1.88671875" style="13" bestFit="1" customWidth="1"/>
    <col min="2059" max="2059" width="5.109375" style="13" bestFit="1" customWidth="1"/>
    <col min="2060" max="2060" width="2.44140625" style="13" customWidth="1"/>
    <col min="2061" max="2061" width="5" style="13" bestFit="1" customWidth="1"/>
    <col min="2062" max="2062" width="5.44140625" style="13" bestFit="1" customWidth="1"/>
    <col min="2063" max="2063" width="11.44140625" style="13"/>
    <col min="2064" max="2064" width="2.109375" style="13" customWidth="1"/>
    <col min="2065" max="2066" width="5.44140625" style="13" bestFit="1" customWidth="1"/>
    <col min="2067" max="2304" width="11.44140625" style="13"/>
    <col min="2305" max="2305" width="17" style="13" customWidth="1"/>
    <col min="2306" max="2306" width="16.6640625" style="13" customWidth="1"/>
    <col min="2307" max="2307" width="14.88671875" style="13" customWidth="1"/>
    <col min="2308" max="2308" width="11.6640625" style="13" customWidth="1"/>
    <col min="2309" max="2310" width="17" style="13" customWidth="1"/>
    <col min="2311" max="2311" width="3.33203125" style="13" bestFit="1" customWidth="1"/>
    <col min="2312" max="2312" width="1.88671875" style="13" bestFit="1" customWidth="1"/>
    <col min="2313" max="2313" width="4.109375" style="13" bestFit="1" customWidth="1"/>
    <col min="2314" max="2314" width="1.88671875" style="13" bestFit="1" customWidth="1"/>
    <col min="2315" max="2315" width="5.109375" style="13" bestFit="1" customWidth="1"/>
    <col min="2316" max="2316" width="2.44140625" style="13" customWidth="1"/>
    <col min="2317" max="2317" width="5" style="13" bestFit="1" customWidth="1"/>
    <col min="2318" max="2318" width="5.44140625" style="13" bestFit="1" customWidth="1"/>
    <col min="2319" max="2319" width="11.44140625" style="13"/>
    <col min="2320" max="2320" width="2.109375" style="13" customWidth="1"/>
    <col min="2321" max="2322" width="5.44140625" style="13" bestFit="1" customWidth="1"/>
    <col min="2323" max="2560" width="11.44140625" style="13"/>
    <col min="2561" max="2561" width="17" style="13" customWidth="1"/>
    <col min="2562" max="2562" width="16.6640625" style="13" customWidth="1"/>
    <col min="2563" max="2563" width="14.88671875" style="13" customWidth="1"/>
    <col min="2564" max="2564" width="11.6640625" style="13" customWidth="1"/>
    <col min="2565" max="2566" width="17" style="13" customWidth="1"/>
    <col min="2567" max="2567" width="3.33203125" style="13" bestFit="1" customWidth="1"/>
    <col min="2568" max="2568" width="1.88671875" style="13" bestFit="1" customWidth="1"/>
    <col min="2569" max="2569" width="4.109375" style="13" bestFit="1" customWidth="1"/>
    <col min="2570" max="2570" width="1.88671875" style="13" bestFit="1" customWidth="1"/>
    <col min="2571" max="2571" width="5.109375" style="13" bestFit="1" customWidth="1"/>
    <col min="2572" max="2572" width="2.44140625" style="13" customWidth="1"/>
    <col min="2573" max="2573" width="5" style="13" bestFit="1" customWidth="1"/>
    <col min="2574" max="2574" width="5.44140625" style="13" bestFit="1" customWidth="1"/>
    <col min="2575" max="2575" width="11.44140625" style="13"/>
    <col min="2576" max="2576" width="2.109375" style="13" customWidth="1"/>
    <col min="2577" max="2578" width="5.44140625" style="13" bestFit="1" customWidth="1"/>
    <col min="2579" max="2816" width="11.44140625" style="13"/>
    <col min="2817" max="2817" width="17" style="13" customWidth="1"/>
    <col min="2818" max="2818" width="16.6640625" style="13" customWidth="1"/>
    <col min="2819" max="2819" width="14.88671875" style="13" customWidth="1"/>
    <col min="2820" max="2820" width="11.6640625" style="13" customWidth="1"/>
    <col min="2821" max="2822" width="17" style="13" customWidth="1"/>
    <col min="2823" max="2823" width="3.33203125" style="13" bestFit="1" customWidth="1"/>
    <col min="2824" max="2824" width="1.88671875" style="13" bestFit="1" customWidth="1"/>
    <col min="2825" max="2825" width="4.109375" style="13" bestFit="1" customWidth="1"/>
    <col min="2826" max="2826" width="1.88671875" style="13" bestFit="1" customWidth="1"/>
    <col min="2827" max="2827" width="5.109375" style="13" bestFit="1" customWidth="1"/>
    <col min="2828" max="2828" width="2.44140625" style="13" customWidth="1"/>
    <col min="2829" max="2829" width="5" style="13" bestFit="1" customWidth="1"/>
    <col min="2830" max="2830" width="5.44140625" style="13" bestFit="1" customWidth="1"/>
    <col min="2831" max="2831" width="11.44140625" style="13"/>
    <col min="2832" max="2832" width="2.109375" style="13" customWidth="1"/>
    <col min="2833" max="2834" width="5.44140625" style="13" bestFit="1" customWidth="1"/>
    <col min="2835" max="3072" width="11.44140625" style="13"/>
    <col min="3073" max="3073" width="17" style="13" customWidth="1"/>
    <col min="3074" max="3074" width="16.6640625" style="13" customWidth="1"/>
    <col min="3075" max="3075" width="14.88671875" style="13" customWidth="1"/>
    <col min="3076" max="3076" width="11.6640625" style="13" customWidth="1"/>
    <col min="3077" max="3078" width="17" style="13" customWidth="1"/>
    <col min="3079" max="3079" width="3.33203125" style="13" bestFit="1" customWidth="1"/>
    <col min="3080" max="3080" width="1.88671875" style="13" bestFit="1" customWidth="1"/>
    <col min="3081" max="3081" width="4.109375" style="13" bestFit="1" customWidth="1"/>
    <col min="3082" max="3082" width="1.88671875" style="13" bestFit="1" customWidth="1"/>
    <col min="3083" max="3083" width="5.109375" style="13" bestFit="1" customWidth="1"/>
    <col min="3084" max="3084" width="2.44140625" style="13" customWidth="1"/>
    <col min="3085" max="3085" width="5" style="13" bestFit="1" customWidth="1"/>
    <col min="3086" max="3086" width="5.44140625" style="13" bestFit="1" customWidth="1"/>
    <col min="3087" max="3087" width="11.44140625" style="13"/>
    <col min="3088" max="3088" width="2.109375" style="13" customWidth="1"/>
    <col min="3089" max="3090" width="5.44140625" style="13" bestFit="1" customWidth="1"/>
    <col min="3091" max="3328" width="11.44140625" style="13"/>
    <col min="3329" max="3329" width="17" style="13" customWidth="1"/>
    <col min="3330" max="3330" width="16.6640625" style="13" customWidth="1"/>
    <col min="3331" max="3331" width="14.88671875" style="13" customWidth="1"/>
    <col min="3332" max="3332" width="11.6640625" style="13" customWidth="1"/>
    <col min="3333" max="3334" width="17" style="13" customWidth="1"/>
    <col min="3335" max="3335" width="3.33203125" style="13" bestFit="1" customWidth="1"/>
    <col min="3336" max="3336" width="1.88671875" style="13" bestFit="1" customWidth="1"/>
    <col min="3337" max="3337" width="4.109375" style="13" bestFit="1" customWidth="1"/>
    <col min="3338" max="3338" width="1.88671875" style="13" bestFit="1" customWidth="1"/>
    <col min="3339" max="3339" width="5.109375" style="13" bestFit="1" customWidth="1"/>
    <col min="3340" max="3340" width="2.44140625" style="13" customWidth="1"/>
    <col min="3341" max="3341" width="5" style="13" bestFit="1" customWidth="1"/>
    <col min="3342" max="3342" width="5.44140625" style="13" bestFit="1" customWidth="1"/>
    <col min="3343" max="3343" width="11.44140625" style="13"/>
    <col min="3344" max="3344" width="2.109375" style="13" customWidth="1"/>
    <col min="3345" max="3346" width="5.44140625" style="13" bestFit="1" customWidth="1"/>
    <col min="3347" max="3584" width="11.44140625" style="13"/>
    <col min="3585" max="3585" width="17" style="13" customWidth="1"/>
    <col min="3586" max="3586" width="16.6640625" style="13" customWidth="1"/>
    <col min="3587" max="3587" width="14.88671875" style="13" customWidth="1"/>
    <col min="3588" max="3588" width="11.6640625" style="13" customWidth="1"/>
    <col min="3589" max="3590" width="17" style="13" customWidth="1"/>
    <col min="3591" max="3591" width="3.33203125" style="13" bestFit="1" customWidth="1"/>
    <col min="3592" max="3592" width="1.88671875" style="13" bestFit="1" customWidth="1"/>
    <col min="3593" max="3593" width="4.109375" style="13" bestFit="1" customWidth="1"/>
    <col min="3594" max="3594" width="1.88671875" style="13" bestFit="1" customWidth="1"/>
    <col min="3595" max="3595" width="5.109375" style="13" bestFit="1" customWidth="1"/>
    <col min="3596" max="3596" width="2.44140625" style="13" customWidth="1"/>
    <col min="3597" max="3597" width="5" style="13" bestFit="1" customWidth="1"/>
    <col min="3598" max="3598" width="5.44140625" style="13" bestFit="1" customWidth="1"/>
    <col min="3599" max="3599" width="11.44140625" style="13"/>
    <col min="3600" max="3600" width="2.109375" style="13" customWidth="1"/>
    <col min="3601" max="3602" width="5.44140625" style="13" bestFit="1" customWidth="1"/>
    <col min="3603" max="3840" width="11.44140625" style="13"/>
    <col min="3841" max="3841" width="17" style="13" customWidth="1"/>
    <col min="3842" max="3842" width="16.6640625" style="13" customWidth="1"/>
    <col min="3843" max="3843" width="14.88671875" style="13" customWidth="1"/>
    <col min="3844" max="3844" width="11.6640625" style="13" customWidth="1"/>
    <col min="3845" max="3846" width="17" style="13" customWidth="1"/>
    <col min="3847" max="3847" width="3.33203125" style="13" bestFit="1" customWidth="1"/>
    <col min="3848" max="3848" width="1.88671875" style="13" bestFit="1" customWidth="1"/>
    <col min="3849" max="3849" width="4.109375" style="13" bestFit="1" customWidth="1"/>
    <col min="3850" max="3850" width="1.88671875" style="13" bestFit="1" customWidth="1"/>
    <col min="3851" max="3851" width="5.109375" style="13" bestFit="1" customWidth="1"/>
    <col min="3852" max="3852" width="2.44140625" style="13" customWidth="1"/>
    <col min="3853" max="3853" width="5" style="13" bestFit="1" customWidth="1"/>
    <col min="3854" max="3854" width="5.44140625" style="13" bestFit="1" customWidth="1"/>
    <col min="3855" max="3855" width="11.44140625" style="13"/>
    <col min="3856" max="3856" width="2.109375" style="13" customWidth="1"/>
    <col min="3857" max="3858" width="5.44140625" style="13" bestFit="1" customWidth="1"/>
    <col min="3859" max="4096" width="11.44140625" style="13"/>
    <col min="4097" max="4097" width="17" style="13" customWidth="1"/>
    <col min="4098" max="4098" width="16.6640625" style="13" customWidth="1"/>
    <col min="4099" max="4099" width="14.88671875" style="13" customWidth="1"/>
    <col min="4100" max="4100" width="11.6640625" style="13" customWidth="1"/>
    <col min="4101" max="4102" width="17" style="13" customWidth="1"/>
    <col min="4103" max="4103" width="3.33203125" style="13" bestFit="1" customWidth="1"/>
    <col min="4104" max="4104" width="1.88671875" style="13" bestFit="1" customWidth="1"/>
    <col min="4105" max="4105" width="4.109375" style="13" bestFit="1" customWidth="1"/>
    <col min="4106" max="4106" width="1.88671875" style="13" bestFit="1" customWidth="1"/>
    <col min="4107" max="4107" width="5.109375" style="13" bestFit="1" customWidth="1"/>
    <col min="4108" max="4108" width="2.44140625" style="13" customWidth="1"/>
    <col min="4109" max="4109" width="5" style="13" bestFit="1" customWidth="1"/>
    <col min="4110" max="4110" width="5.44140625" style="13" bestFit="1" customWidth="1"/>
    <col min="4111" max="4111" width="11.44140625" style="13"/>
    <col min="4112" max="4112" width="2.109375" style="13" customWidth="1"/>
    <col min="4113" max="4114" width="5.44140625" style="13" bestFit="1" customWidth="1"/>
    <col min="4115" max="4352" width="11.44140625" style="13"/>
    <col min="4353" max="4353" width="17" style="13" customWidth="1"/>
    <col min="4354" max="4354" width="16.6640625" style="13" customWidth="1"/>
    <col min="4355" max="4355" width="14.88671875" style="13" customWidth="1"/>
    <col min="4356" max="4356" width="11.6640625" style="13" customWidth="1"/>
    <col min="4357" max="4358" width="17" style="13" customWidth="1"/>
    <col min="4359" max="4359" width="3.33203125" style="13" bestFit="1" customWidth="1"/>
    <col min="4360" max="4360" width="1.88671875" style="13" bestFit="1" customWidth="1"/>
    <col min="4361" max="4361" width="4.109375" style="13" bestFit="1" customWidth="1"/>
    <col min="4362" max="4362" width="1.88671875" style="13" bestFit="1" customWidth="1"/>
    <col min="4363" max="4363" width="5.109375" style="13" bestFit="1" customWidth="1"/>
    <col min="4364" max="4364" width="2.44140625" style="13" customWidth="1"/>
    <col min="4365" max="4365" width="5" style="13" bestFit="1" customWidth="1"/>
    <col min="4366" max="4366" width="5.44140625" style="13" bestFit="1" customWidth="1"/>
    <col min="4367" max="4367" width="11.44140625" style="13"/>
    <col min="4368" max="4368" width="2.109375" style="13" customWidth="1"/>
    <col min="4369" max="4370" width="5.44140625" style="13" bestFit="1" customWidth="1"/>
    <col min="4371" max="4608" width="11.44140625" style="13"/>
    <col min="4609" max="4609" width="17" style="13" customWidth="1"/>
    <col min="4610" max="4610" width="16.6640625" style="13" customWidth="1"/>
    <col min="4611" max="4611" width="14.88671875" style="13" customWidth="1"/>
    <col min="4612" max="4612" width="11.6640625" style="13" customWidth="1"/>
    <col min="4613" max="4614" width="17" style="13" customWidth="1"/>
    <col min="4615" max="4615" width="3.33203125" style="13" bestFit="1" customWidth="1"/>
    <col min="4616" max="4616" width="1.88671875" style="13" bestFit="1" customWidth="1"/>
    <col min="4617" max="4617" width="4.109375" style="13" bestFit="1" customWidth="1"/>
    <col min="4618" max="4618" width="1.88671875" style="13" bestFit="1" customWidth="1"/>
    <col min="4619" max="4619" width="5.109375" style="13" bestFit="1" customWidth="1"/>
    <col min="4620" max="4620" width="2.44140625" style="13" customWidth="1"/>
    <col min="4621" max="4621" width="5" style="13" bestFit="1" customWidth="1"/>
    <col min="4622" max="4622" width="5.44140625" style="13" bestFit="1" customWidth="1"/>
    <col min="4623" max="4623" width="11.44140625" style="13"/>
    <col min="4624" max="4624" width="2.109375" style="13" customWidth="1"/>
    <col min="4625" max="4626" width="5.44140625" style="13" bestFit="1" customWidth="1"/>
    <col min="4627" max="4864" width="11.44140625" style="13"/>
    <col min="4865" max="4865" width="17" style="13" customWidth="1"/>
    <col min="4866" max="4866" width="16.6640625" style="13" customWidth="1"/>
    <col min="4867" max="4867" width="14.88671875" style="13" customWidth="1"/>
    <col min="4868" max="4868" width="11.6640625" style="13" customWidth="1"/>
    <col min="4869" max="4870" width="17" style="13" customWidth="1"/>
    <col min="4871" max="4871" width="3.33203125" style="13" bestFit="1" customWidth="1"/>
    <col min="4872" max="4872" width="1.88671875" style="13" bestFit="1" customWidth="1"/>
    <col min="4873" max="4873" width="4.109375" style="13" bestFit="1" customWidth="1"/>
    <col min="4874" max="4874" width="1.88671875" style="13" bestFit="1" customWidth="1"/>
    <col min="4875" max="4875" width="5.109375" style="13" bestFit="1" customWidth="1"/>
    <col min="4876" max="4876" width="2.44140625" style="13" customWidth="1"/>
    <col min="4877" max="4877" width="5" style="13" bestFit="1" customWidth="1"/>
    <col min="4878" max="4878" width="5.44140625" style="13" bestFit="1" customWidth="1"/>
    <col min="4879" max="4879" width="11.44140625" style="13"/>
    <col min="4880" max="4880" width="2.109375" style="13" customWidth="1"/>
    <col min="4881" max="4882" width="5.44140625" style="13" bestFit="1" customWidth="1"/>
    <col min="4883" max="5120" width="11.44140625" style="13"/>
    <col min="5121" max="5121" width="17" style="13" customWidth="1"/>
    <col min="5122" max="5122" width="16.6640625" style="13" customWidth="1"/>
    <col min="5123" max="5123" width="14.88671875" style="13" customWidth="1"/>
    <col min="5124" max="5124" width="11.6640625" style="13" customWidth="1"/>
    <col min="5125" max="5126" width="17" style="13" customWidth="1"/>
    <col min="5127" max="5127" width="3.33203125" style="13" bestFit="1" customWidth="1"/>
    <col min="5128" max="5128" width="1.88671875" style="13" bestFit="1" customWidth="1"/>
    <col min="5129" max="5129" width="4.109375" style="13" bestFit="1" customWidth="1"/>
    <col min="5130" max="5130" width="1.88671875" style="13" bestFit="1" customWidth="1"/>
    <col min="5131" max="5131" width="5.109375" style="13" bestFit="1" customWidth="1"/>
    <col min="5132" max="5132" width="2.44140625" style="13" customWidth="1"/>
    <col min="5133" max="5133" width="5" style="13" bestFit="1" customWidth="1"/>
    <col min="5134" max="5134" width="5.44140625" style="13" bestFit="1" customWidth="1"/>
    <col min="5135" max="5135" width="11.44140625" style="13"/>
    <col min="5136" max="5136" width="2.109375" style="13" customWidth="1"/>
    <col min="5137" max="5138" width="5.44140625" style="13" bestFit="1" customWidth="1"/>
    <col min="5139" max="5376" width="11.44140625" style="13"/>
    <col min="5377" max="5377" width="17" style="13" customWidth="1"/>
    <col min="5378" max="5378" width="16.6640625" style="13" customWidth="1"/>
    <col min="5379" max="5379" width="14.88671875" style="13" customWidth="1"/>
    <col min="5380" max="5380" width="11.6640625" style="13" customWidth="1"/>
    <col min="5381" max="5382" width="17" style="13" customWidth="1"/>
    <col min="5383" max="5383" width="3.33203125" style="13" bestFit="1" customWidth="1"/>
    <col min="5384" max="5384" width="1.88671875" style="13" bestFit="1" customWidth="1"/>
    <col min="5385" max="5385" width="4.109375" style="13" bestFit="1" customWidth="1"/>
    <col min="5386" max="5386" width="1.88671875" style="13" bestFit="1" customWidth="1"/>
    <col min="5387" max="5387" width="5.109375" style="13" bestFit="1" customWidth="1"/>
    <col min="5388" max="5388" width="2.44140625" style="13" customWidth="1"/>
    <col min="5389" max="5389" width="5" style="13" bestFit="1" customWidth="1"/>
    <col min="5390" max="5390" width="5.44140625" style="13" bestFit="1" customWidth="1"/>
    <col min="5391" max="5391" width="11.44140625" style="13"/>
    <col min="5392" max="5392" width="2.109375" style="13" customWidth="1"/>
    <col min="5393" max="5394" width="5.44140625" style="13" bestFit="1" customWidth="1"/>
    <col min="5395" max="5632" width="11.44140625" style="13"/>
    <col min="5633" max="5633" width="17" style="13" customWidth="1"/>
    <col min="5634" max="5634" width="16.6640625" style="13" customWidth="1"/>
    <col min="5635" max="5635" width="14.88671875" style="13" customWidth="1"/>
    <col min="5636" max="5636" width="11.6640625" style="13" customWidth="1"/>
    <col min="5637" max="5638" width="17" style="13" customWidth="1"/>
    <col min="5639" max="5639" width="3.33203125" style="13" bestFit="1" customWidth="1"/>
    <col min="5640" max="5640" width="1.88671875" style="13" bestFit="1" customWidth="1"/>
    <col min="5641" max="5641" width="4.109375" style="13" bestFit="1" customWidth="1"/>
    <col min="5642" max="5642" width="1.88671875" style="13" bestFit="1" customWidth="1"/>
    <col min="5643" max="5643" width="5.109375" style="13" bestFit="1" customWidth="1"/>
    <col min="5644" max="5644" width="2.44140625" style="13" customWidth="1"/>
    <col min="5645" max="5645" width="5" style="13" bestFit="1" customWidth="1"/>
    <col min="5646" max="5646" width="5.44140625" style="13" bestFit="1" customWidth="1"/>
    <col min="5647" max="5647" width="11.44140625" style="13"/>
    <col min="5648" max="5648" width="2.109375" style="13" customWidth="1"/>
    <col min="5649" max="5650" width="5.44140625" style="13" bestFit="1" customWidth="1"/>
    <col min="5651" max="5888" width="11.44140625" style="13"/>
    <col min="5889" max="5889" width="17" style="13" customWidth="1"/>
    <col min="5890" max="5890" width="16.6640625" style="13" customWidth="1"/>
    <col min="5891" max="5891" width="14.88671875" style="13" customWidth="1"/>
    <col min="5892" max="5892" width="11.6640625" style="13" customWidth="1"/>
    <col min="5893" max="5894" width="17" style="13" customWidth="1"/>
    <col min="5895" max="5895" width="3.33203125" style="13" bestFit="1" customWidth="1"/>
    <col min="5896" max="5896" width="1.88671875" style="13" bestFit="1" customWidth="1"/>
    <col min="5897" max="5897" width="4.109375" style="13" bestFit="1" customWidth="1"/>
    <col min="5898" max="5898" width="1.88671875" style="13" bestFit="1" customWidth="1"/>
    <col min="5899" max="5899" width="5.109375" style="13" bestFit="1" customWidth="1"/>
    <col min="5900" max="5900" width="2.44140625" style="13" customWidth="1"/>
    <col min="5901" max="5901" width="5" style="13" bestFit="1" customWidth="1"/>
    <col min="5902" max="5902" width="5.44140625" style="13" bestFit="1" customWidth="1"/>
    <col min="5903" max="5903" width="11.44140625" style="13"/>
    <col min="5904" max="5904" width="2.109375" style="13" customWidth="1"/>
    <col min="5905" max="5906" width="5.44140625" style="13" bestFit="1" customWidth="1"/>
    <col min="5907" max="6144" width="11.44140625" style="13"/>
    <col min="6145" max="6145" width="17" style="13" customWidth="1"/>
    <col min="6146" max="6146" width="16.6640625" style="13" customWidth="1"/>
    <col min="6147" max="6147" width="14.88671875" style="13" customWidth="1"/>
    <col min="6148" max="6148" width="11.6640625" style="13" customWidth="1"/>
    <col min="6149" max="6150" width="17" style="13" customWidth="1"/>
    <col min="6151" max="6151" width="3.33203125" style="13" bestFit="1" customWidth="1"/>
    <col min="6152" max="6152" width="1.88671875" style="13" bestFit="1" customWidth="1"/>
    <col min="6153" max="6153" width="4.109375" style="13" bestFit="1" customWidth="1"/>
    <col min="6154" max="6154" width="1.88671875" style="13" bestFit="1" customWidth="1"/>
    <col min="6155" max="6155" width="5.109375" style="13" bestFit="1" customWidth="1"/>
    <col min="6156" max="6156" width="2.44140625" style="13" customWidth="1"/>
    <col min="6157" max="6157" width="5" style="13" bestFit="1" customWidth="1"/>
    <col min="6158" max="6158" width="5.44140625" style="13" bestFit="1" customWidth="1"/>
    <col min="6159" max="6159" width="11.44140625" style="13"/>
    <col min="6160" max="6160" width="2.109375" style="13" customWidth="1"/>
    <col min="6161" max="6162" width="5.44140625" style="13" bestFit="1" customWidth="1"/>
    <col min="6163" max="6400" width="11.44140625" style="13"/>
    <col min="6401" max="6401" width="17" style="13" customWidth="1"/>
    <col min="6402" max="6402" width="16.6640625" style="13" customWidth="1"/>
    <col min="6403" max="6403" width="14.88671875" style="13" customWidth="1"/>
    <col min="6404" max="6404" width="11.6640625" style="13" customWidth="1"/>
    <col min="6405" max="6406" width="17" style="13" customWidth="1"/>
    <col min="6407" max="6407" width="3.33203125" style="13" bestFit="1" customWidth="1"/>
    <col min="6408" max="6408" width="1.88671875" style="13" bestFit="1" customWidth="1"/>
    <col min="6409" max="6409" width="4.109375" style="13" bestFit="1" customWidth="1"/>
    <col min="6410" max="6410" width="1.88671875" style="13" bestFit="1" customWidth="1"/>
    <col min="6411" max="6411" width="5.109375" style="13" bestFit="1" customWidth="1"/>
    <col min="6412" max="6412" width="2.44140625" style="13" customWidth="1"/>
    <col min="6413" max="6413" width="5" style="13" bestFit="1" customWidth="1"/>
    <col min="6414" max="6414" width="5.44140625" style="13" bestFit="1" customWidth="1"/>
    <col min="6415" max="6415" width="11.44140625" style="13"/>
    <col min="6416" max="6416" width="2.109375" style="13" customWidth="1"/>
    <col min="6417" max="6418" width="5.44140625" style="13" bestFit="1" customWidth="1"/>
    <col min="6419" max="6656" width="11.44140625" style="13"/>
    <col min="6657" max="6657" width="17" style="13" customWidth="1"/>
    <col min="6658" max="6658" width="16.6640625" style="13" customWidth="1"/>
    <col min="6659" max="6659" width="14.88671875" style="13" customWidth="1"/>
    <col min="6660" max="6660" width="11.6640625" style="13" customWidth="1"/>
    <col min="6661" max="6662" width="17" style="13" customWidth="1"/>
    <col min="6663" max="6663" width="3.33203125" style="13" bestFit="1" customWidth="1"/>
    <col min="6664" max="6664" width="1.88671875" style="13" bestFit="1" customWidth="1"/>
    <col min="6665" max="6665" width="4.109375" style="13" bestFit="1" customWidth="1"/>
    <col min="6666" max="6666" width="1.88671875" style="13" bestFit="1" customWidth="1"/>
    <col min="6667" max="6667" width="5.109375" style="13" bestFit="1" customWidth="1"/>
    <col min="6668" max="6668" width="2.44140625" style="13" customWidth="1"/>
    <col min="6669" max="6669" width="5" style="13" bestFit="1" customWidth="1"/>
    <col min="6670" max="6670" width="5.44140625" style="13" bestFit="1" customWidth="1"/>
    <col min="6671" max="6671" width="11.44140625" style="13"/>
    <col min="6672" max="6672" width="2.109375" style="13" customWidth="1"/>
    <col min="6673" max="6674" width="5.44140625" style="13" bestFit="1" customWidth="1"/>
    <col min="6675" max="6912" width="11.44140625" style="13"/>
    <col min="6913" max="6913" width="17" style="13" customWidth="1"/>
    <col min="6914" max="6914" width="16.6640625" style="13" customWidth="1"/>
    <col min="6915" max="6915" width="14.88671875" style="13" customWidth="1"/>
    <col min="6916" max="6916" width="11.6640625" style="13" customWidth="1"/>
    <col min="6917" max="6918" width="17" style="13" customWidth="1"/>
    <col min="6919" max="6919" width="3.33203125" style="13" bestFit="1" customWidth="1"/>
    <col min="6920" max="6920" width="1.88671875" style="13" bestFit="1" customWidth="1"/>
    <col min="6921" max="6921" width="4.109375" style="13" bestFit="1" customWidth="1"/>
    <col min="6922" max="6922" width="1.88671875" style="13" bestFit="1" customWidth="1"/>
    <col min="6923" max="6923" width="5.109375" style="13" bestFit="1" customWidth="1"/>
    <col min="6924" max="6924" width="2.44140625" style="13" customWidth="1"/>
    <col min="6925" max="6925" width="5" style="13" bestFit="1" customWidth="1"/>
    <col min="6926" max="6926" width="5.44140625" style="13" bestFit="1" customWidth="1"/>
    <col min="6927" max="6927" width="11.44140625" style="13"/>
    <col min="6928" max="6928" width="2.109375" style="13" customWidth="1"/>
    <col min="6929" max="6930" width="5.44140625" style="13" bestFit="1" customWidth="1"/>
    <col min="6931" max="7168" width="11.44140625" style="13"/>
    <col min="7169" max="7169" width="17" style="13" customWidth="1"/>
    <col min="7170" max="7170" width="16.6640625" style="13" customWidth="1"/>
    <col min="7171" max="7171" width="14.88671875" style="13" customWidth="1"/>
    <col min="7172" max="7172" width="11.6640625" style="13" customWidth="1"/>
    <col min="7173" max="7174" width="17" style="13" customWidth="1"/>
    <col min="7175" max="7175" width="3.33203125" style="13" bestFit="1" customWidth="1"/>
    <col min="7176" max="7176" width="1.88671875" style="13" bestFit="1" customWidth="1"/>
    <col min="7177" max="7177" width="4.109375" style="13" bestFit="1" customWidth="1"/>
    <col min="7178" max="7178" width="1.88671875" style="13" bestFit="1" customWidth="1"/>
    <col min="7179" max="7179" width="5.109375" style="13" bestFit="1" customWidth="1"/>
    <col min="7180" max="7180" width="2.44140625" style="13" customWidth="1"/>
    <col min="7181" max="7181" width="5" style="13" bestFit="1" customWidth="1"/>
    <col min="7182" max="7182" width="5.44140625" style="13" bestFit="1" customWidth="1"/>
    <col min="7183" max="7183" width="11.44140625" style="13"/>
    <col min="7184" max="7184" width="2.109375" style="13" customWidth="1"/>
    <col min="7185" max="7186" width="5.44140625" style="13" bestFit="1" customWidth="1"/>
    <col min="7187" max="7424" width="11.44140625" style="13"/>
    <col min="7425" max="7425" width="17" style="13" customWidth="1"/>
    <col min="7426" max="7426" width="16.6640625" style="13" customWidth="1"/>
    <col min="7427" max="7427" width="14.88671875" style="13" customWidth="1"/>
    <col min="7428" max="7428" width="11.6640625" style="13" customWidth="1"/>
    <col min="7429" max="7430" width="17" style="13" customWidth="1"/>
    <col min="7431" max="7431" width="3.33203125" style="13" bestFit="1" customWidth="1"/>
    <col min="7432" max="7432" width="1.88671875" style="13" bestFit="1" customWidth="1"/>
    <col min="7433" max="7433" width="4.109375" style="13" bestFit="1" customWidth="1"/>
    <col min="7434" max="7434" width="1.88671875" style="13" bestFit="1" customWidth="1"/>
    <col min="7435" max="7435" width="5.109375" style="13" bestFit="1" customWidth="1"/>
    <col min="7436" max="7436" width="2.44140625" style="13" customWidth="1"/>
    <col min="7437" max="7437" width="5" style="13" bestFit="1" customWidth="1"/>
    <col min="7438" max="7438" width="5.44140625" style="13" bestFit="1" customWidth="1"/>
    <col min="7439" max="7439" width="11.44140625" style="13"/>
    <col min="7440" max="7440" width="2.109375" style="13" customWidth="1"/>
    <col min="7441" max="7442" width="5.44140625" style="13" bestFit="1" customWidth="1"/>
    <col min="7443" max="7680" width="11.44140625" style="13"/>
    <col min="7681" max="7681" width="17" style="13" customWidth="1"/>
    <col min="7682" max="7682" width="16.6640625" style="13" customWidth="1"/>
    <col min="7683" max="7683" width="14.88671875" style="13" customWidth="1"/>
    <col min="7684" max="7684" width="11.6640625" style="13" customWidth="1"/>
    <col min="7685" max="7686" width="17" style="13" customWidth="1"/>
    <col min="7687" max="7687" width="3.33203125" style="13" bestFit="1" customWidth="1"/>
    <col min="7688" max="7688" width="1.88671875" style="13" bestFit="1" customWidth="1"/>
    <col min="7689" max="7689" width="4.109375" style="13" bestFit="1" customWidth="1"/>
    <col min="7690" max="7690" width="1.88671875" style="13" bestFit="1" customWidth="1"/>
    <col min="7691" max="7691" width="5.109375" style="13" bestFit="1" customWidth="1"/>
    <col min="7692" max="7692" width="2.44140625" style="13" customWidth="1"/>
    <col min="7693" max="7693" width="5" style="13" bestFit="1" customWidth="1"/>
    <col min="7694" max="7694" width="5.44140625" style="13" bestFit="1" customWidth="1"/>
    <col min="7695" max="7695" width="11.44140625" style="13"/>
    <col min="7696" max="7696" width="2.109375" style="13" customWidth="1"/>
    <col min="7697" max="7698" width="5.44140625" style="13" bestFit="1" customWidth="1"/>
    <col min="7699" max="7936" width="11.44140625" style="13"/>
    <col min="7937" max="7937" width="17" style="13" customWidth="1"/>
    <col min="7938" max="7938" width="16.6640625" style="13" customWidth="1"/>
    <col min="7939" max="7939" width="14.88671875" style="13" customWidth="1"/>
    <col min="7940" max="7940" width="11.6640625" style="13" customWidth="1"/>
    <col min="7941" max="7942" width="17" style="13" customWidth="1"/>
    <col min="7943" max="7943" width="3.33203125" style="13" bestFit="1" customWidth="1"/>
    <col min="7944" max="7944" width="1.88671875" style="13" bestFit="1" customWidth="1"/>
    <col min="7945" max="7945" width="4.109375" style="13" bestFit="1" customWidth="1"/>
    <col min="7946" max="7946" width="1.88671875" style="13" bestFit="1" customWidth="1"/>
    <col min="7947" max="7947" width="5.109375" style="13" bestFit="1" customWidth="1"/>
    <col min="7948" max="7948" width="2.44140625" style="13" customWidth="1"/>
    <col min="7949" max="7949" width="5" style="13" bestFit="1" customWidth="1"/>
    <col min="7950" max="7950" width="5.44140625" style="13" bestFit="1" customWidth="1"/>
    <col min="7951" max="7951" width="11.44140625" style="13"/>
    <col min="7952" max="7952" width="2.109375" style="13" customWidth="1"/>
    <col min="7953" max="7954" width="5.44140625" style="13" bestFit="1" customWidth="1"/>
    <col min="7955" max="8192" width="11.44140625" style="13"/>
    <col min="8193" max="8193" width="17" style="13" customWidth="1"/>
    <col min="8194" max="8194" width="16.6640625" style="13" customWidth="1"/>
    <col min="8195" max="8195" width="14.88671875" style="13" customWidth="1"/>
    <col min="8196" max="8196" width="11.6640625" style="13" customWidth="1"/>
    <col min="8197" max="8198" width="17" style="13" customWidth="1"/>
    <col min="8199" max="8199" width="3.33203125" style="13" bestFit="1" customWidth="1"/>
    <col min="8200" max="8200" width="1.88671875" style="13" bestFit="1" customWidth="1"/>
    <col min="8201" max="8201" width="4.109375" style="13" bestFit="1" customWidth="1"/>
    <col min="8202" max="8202" width="1.88671875" style="13" bestFit="1" customWidth="1"/>
    <col min="8203" max="8203" width="5.109375" style="13" bestFit="1" customWidth="1"/>
    <col min="8204" max="8204" width="2.44140625" style="13" customWidth="1"/>
    <col min="8205" max="8205" width="5" style="13" bestFit="1" customWidth="1"/>
    <col min="8206" max="8206" width="5.44140625" style="13" bestFit="1" customWidth="1"/>
    <col min="8207" max="8207" width="11.44140625" style="13"/>
    <col min="8208" max="8208" width="2.109375" style="13" customWidth="1"/>
    <col min="8209" max="8210" width="5.44140625" style="13" bestFit="1" customWidth="1"/>
    <col min="8211" max="8448" width="11.44140625" style="13"/>
    <col min="8449" max="8449" width="17" style="13" customWidth="1"/>
    <col min="8450" max="8450" width="16.6640625" style="13" customWidth="1"/>
    <col min="8451" max="8451" width="14.88671875" style="13" customWidth="1"/>
    <col min="8452" max="8452" width="11.6640625" style="13" customWidth="1"/>
    <col min="8453" max="8454" width="17" style="13" customWidth="1"/>
    <col min="8455" max="8455" width="3.33203125" style="13" bestFit="1" customWidth="1"/>
    <col min="8456" max="8456" width="1.88671875" style="13" bestFit="1" customWidth="1"/>
    <col min="8457" max="8457" width="4.109375" style="13" bestFit="1" customWidth="1"/>
    <col min="8458" max="8458" width="1.88671875" style="13" bestFit="1" customWidth="1"/>
    <col min="8459" max="8459" width="5.109375" style="13" bestFit="1" customWidth="1"/>
    <col min="8460" max="8460" width="2.44140625" style="13" customWidth="1"/>
    <col min="8461" max="8461" width="5" style="13" bestFit="1" customWidth="1"/>
    <col min="8462" max="8462" width="5.44140625" style="13" bestFit="1" customWidth="1"/>
    <col min="8463" max="8463" width="11.44140625" style="13"/>
    <col min="8464" max="8464" width="2.109375" style="13" customWidth="1"/>
    <col min="8465" max="8466" width="5.44140625" style="13" bestFit="1" customWidth="1"/>
    <col min="8467" max="8704" width="11.44140625" style="13"/>
    <col min="8705" max="8705" width="17" style="13" customWidth="1"/>
    <col min="8706" max="8706" width="16.6640625" style="13" customWidth="1"/>
    <col min="8707" max="8707" width="14.88671875" style="13" customWidth="1"/>
    <col min="8708" max="8708" width="11.6640625" style="13" customWidth="1"/>
    <col min="8709" max="8710" width="17" style="13" customWidth="1"/>
    <col min="8711" max="8711" width="3.33203125" style="13" bestFit="1" customWidth="1"/>
    <col min="8712" max="8712" width="1.88671875" style="13" bestFit="1" customWidth="1"/>
    <col min="8713" max="8713" width="4.109375" style="13" bestFit="1" customWidth="1"/>
    <col min="8714" max="8714" width="1.88671875" style="13" bestFit="1" customWidth="1"/>
    <col min="8715" max="8715" width="5.109375" style="13" bestFit="1" customWidth="1"/>
    <col min="8716" max="8716" width="2.44140625" style="13" customWidth="1"/>
    <col min="8717" max="8717" width="5" style="13" bestFit="1" customWidth="1"/>
    <col min="8718" max="8718" width="5.44140625" style="13" bestFit="1" customWidth="1"/>
    <col min="8719" max="8719" width="11.44140625" style="13"/>
    <col min="8720" max="8720" width="2.109375" style="13" customWidth="1"/>
    <col min="8721" max="8722" width="5.44140625" style="13" bestFit="1" customWidth="1"/>
    <col min="8723" max="8960" width="11.44140625" style="13"/>
    <col min="8961" max="8961" width="17" style="13" customWidth="1"/>
    <col min="8962" max="8962" width="16.6640625" style="13" customWidth="1"/>
    <col min="8963" max="8963" width="14.88671875" style="13" customWidth="1"/>
    <col min="8964" max="8964" width="11.6640625" style="13" customWidth="1"/>
    <col min="8965" max="8966" width="17" style="13" customWidth="1"/>
    <col min="8967" max="8967" width="3.33203125" style="13" bestFit="1" customWidth="1"/>
    <col min="8968" max="8968" width="1.88671875" style="13" bestFit="1" customWidth="1"/>
    <col min="8969" max="8969" width="4.109375" style="13" bestFit="1" customWidth="1"/>
    <col min="8970" max="8970" width="1.88671875" style="13" bestFit="1" customWidth="1"/>
    <col min="8971" max="8971" width="5.109375" style="13" bestFit="1" customWidth="1"/>
    <col min="8972" max="8972" width="2.44140625" style="13" customWidth="1"/>
    <col min="8973" max="8973" width="5" style="13" bestFit="1" customWidth="1"/>
    <col min="8974" max="8974" width="5.44140625" style="13" bestFit="1" customWidth="1"/>
    <col min="8975" max="8975" width="11.44140625" style="13"/>
    <col min="8976" max="8976" width="2.109375" style="13" customWidth="1"/>
    <col min="8977" max="8978" width="5.44140625" style="13" bestFit="1" customWidth="1"/>
    <col min="8979" max="9216" width="11.44140625" style="13"/>
    <col min="9217" max="9217" width="17" style="13" customWidth="1"/>
    <col min="9218" max="9218" width="16.6640625" style="13" customWidth="1"/>
    <col min="9219" max="9219" width="14.88671875" style="13" customWidth="1"/>
    <col min="9220" max="9220" width="11.6640625" style="13" customWidth="1"/>
    <col min="9221" max="9222" width="17" style="13" customWidth="1"/>
    <col min="9223" max="9223" width="3.33203125" style="13" bestFit="1" customWidth="1"/>
    <col min="9224" max="9224" width="1.88671875" style="13" bestFit="1" customWidth="1"/>
    <col min="9225" max="9225" width="4.109375" style="13" bestFit="1" customWidth="1"/>
    <col min="9226" max="9226" width="1.88671875" style="13" bestFit="1" customWidth="1"/>
    <col min="9227" max="9227" width="5.109375" style="13" bestFit="1" customWidth="1"/>
    <col min="9228" max="9228" width="2.44140625" style="13" customWidth="1"/>
    <col min="9229" max="9229" width="5" style="13" bestFit="1" customWidth="1"/>
    <col min="9230" max="9230" width="5.44140625" style="13" bestFit="1" customWidth="1"/>
    <col min="9231" max="9231" width="11.44140625" style="13"/>
    <col min="9232" max="9232" width="2.109375" style="13" customWidth="1"/>
    <col min="9233" max="9234" width="5.44140625" style="13" bestFit="1" customWidth="1"/>
    <col min="9235" max="9472" width="11.44140625" style="13"/>
    <col min="9473" max="9473" width="17" style="13" customWidth="1"/>
    <col min="9474" max="9474" width="16.6640625" style="13" customWidth="1"/>
    <col min="9475" max="9475" width="14.88671875" style="13" customWidth="1"/>
    <col min="9476" max="9476" width="11.6640625" style="13" customWidth="1"/>
    <col min="9477" max="9478" width="17" style="13" customWidth="1"/>
    <col min="9479" max="9479" width="3.33203125" style="13" bestFit="1" customWidth="1"/>
    <col min="9480" max="9480" width="1.88671875" style="13" bestFit="1" customWidth="1"/>
    <col min="9481" max="9481" width="4.109375" style="13" bestFit="1" customWidth="1"/>
    <col min="9482" max="9482" width="1.88671875" style="13" bestFit="1" customWidth="1"/>
    <col min="9483" max="9483" width="5.109375" style="13" bestFit="1" customWidth="1"/>
    <col min="9484" max="9484" width="2.44140625" style="13" customWidth="1"/>
    <col min="9485" max="9485" width="5" style="13" bestFit="1" customWidth="1"/>
    <col min="9486" max="9486" width="5.44140625" style="13" bestFit="1" customWidth="1"/>
    <col min="9487" max="9487" width="11.44140625" style="13"/>
    <col min="9488" max="9488" width="2.109375" style="13" customWidth="1"/>
    <col min="9489" max="9490" width="5.44140625" style="13" bestFit="1" customWidth="1"/>
    <col min="9491" max="9728" width="11.44140625" style="13"/>
    <col min="9729" max="9729" width="17" style="13" customWidth="1"/>
    <col min="9730" max="9730" width="16.6640625" style="13" customWidth="1"/>
    <col min="9731" max="9731" width="14.88671875" style="13" customWidth="1"/>
    <col min="9732" max="9732" width="11.6640625" style="13" customWidth="1"/>
    <col min="9733" max="9734" width="17" style="13" customWidth="1"/>
    <col min="9735" max="9735" width="3.33203125" style="13" bestFit="1" customWidth="1"/>
    <col min="9736" max="9736" width="1.88671875" style="13" bestFit="1" customWidth="1"/>
    <col min="9737" max="9737" width="4.109375" style="13" bestFit="1" customWidth="1"/>
    <col min="9738" max="9738" width="1.88671875" style="13" bestFit="1" customWidth="1"/>
    <col min="9739" max="9739" width="5.109375" style="13" bestFit="1" customWidth="1"/>
    <col min="9740" max="9740" width="2.44140625" style="13" customWidth="1"/>
    <col min="9741" max="9741" width="5" style="13" bestFit="1" customWidth="1"/>
    <col min="9742" max="9742" width="5.44140625" style="13" bestFit="1" customWidth="1"/>
    <col min="9743" max="9743" width="11.44140625" style="13"/>
    <col min="9744" max="9744" width="2.109375" style="13" customWidth="1"/>
    <col min="9745" max="9746" width="5.44140625" style="13" bestFit="1" customWidth="1"/>
    <col min="9747" max="9984" width="11.44140625" style="13"/>
    <col min="9985" max="9985" width="17" style="13" customWidth="1"/>
    <col min="9986" max="9986" width="16.6640625" style="13" customWidth="1"/>
    <col min="9987" max="9987" width="14.88671875" style="13" customWidth="1"/>
    <col min="9988" max="9988" width="11.6640625" style="13" customWidth="1"/>
    <col min="9989" max="9990" width="17" style="13" customWidth="1"/>
    <col min="9991" max="9991" width="3.33203125" style="13" bestFit="1" customWidth="1"/>
    <col min="9992" max="9992" width="1.88671875" style="13" bestFit="1" customWidth="1"/>
    <col min="9993" max="9993" width="4.109375" style="13" bestFit="1" customWidth="1"/>
    <col min="9994" max="9994" width="1.88671875" style="13" bestFit="1" customWidth="1"/>
    <col min="9995" max="9995" width="5.109375" style="13" bestFit="1" customWidth="1"/>
    <col min="9996" max="9996" width="2.44140625" style="13" customWidth="1"/>
    <col min="9997" max="9997" width="5" style="13" bestFit="1" customWidth="1"/>
    <col min="9998" max="9998" width="5.44140625" style="13" bestFit="1" customWidth="1"/>
    <col min="9999" max="9999" width="11.44140625" style="13"/>
    <col min="10000" max="10000" width="2.109375" style="13" customWidth="1"/>
    <col min="10001" max="10002" width="5.44140625" style="13" bestFit="1" customWidth="1"/>
    <col min="10003" max="10240" width="11.44140625" style="13"/>
    <col min="10241" max="10241" width="17" style="13" customWidth="1"/>
    <col min="10242" max="10242" width="16.6640625" style="13" customWidth="1"/>
    <col min="10243" max="10243" width="14.88671875" style="13" customWidth="1"/>
    <col min="10244" max="10244" width="11.6640625" style="13" customWidth="1"/>
    <col min="10245" max="10246" width="17" style="13" customWidth="1"/>
    <col min="10247" max="10247" width="3.33203125" style="13" bestFit="1" customWidth="1"/>
    <col min="10248" max="10248" width="1.88671875" style="13" bestFit="1" customWidth="1"/>
    <col min="10249" max="10249" width="4.109375" style="13" bestFit="1" customWidth="1"/>
    <col min="10250" max="10250" width="1.88671875" style="13" bestFit="1" customWidth="1"/>
    <col min="10251" max="10251" width="5.109375" style="13" bestFit="1" customWidth="1"/>
    <col min="10252" max="10252" width="2.44140625" style="13" customWidth="1"/>
    <col min="10253" max="10253" width="5" style="13" bestFit="1" customWidth="1"/>
    <col min="10254" max="10254" width="5.44140625" style="13" bestFit="1" customWidth="1"/>
    <col min="10255" max="10255" width="11.44140625" style="13"/>
    <col min="10256" max="10256" width="2.109375" style="13" customWidth="1"/>
    <col min="10257" max="10258" width="5.44140625" style="13" bestFit="1" customWidth="1"/>
    <col min="10259" max="10496" width="11.44140625" style="13"/>
    <col min="10497" max="10497" width="17" style="13" customWidth="1"/>
    <col min="10498" max="10498" width="16.6640625" style="13" customWidth="1"/>
    <col min="10499" max="10499" width="14.88671875" style="13" customWidth="1"/>
    <col min="10500" max="10500" width="11.6640625" style="13" customWidth="1"/>
    <col min="10501" max="10502" width="17" style="13" customWidth="1"/>
    <col min="10503" max="10503" width="3.33203125" style="13" bestFit="1" customWidth="1"/>
    <col min="10504" max="10504" width="1.88671875" style="13" bestFit="1" customWidth="1"/>
    <col min="10505" max="10505" width="4.109375" style="13" bestFit="1" customWidth="1"/>
    <col min="10506" max="10506" width="1.88671875" style="13" bestFit="1" customWidth="1"/>
    <col min="10507" max="10507" width="5.109375" style="13" bestFit="1" customWidth="1"/>
    <col min="10508" max="10508" width="2.44140625" style="13" customWidth="1"/>
    <col min="10509" max="10509" width="5" style="13" bestFit="1" customWidth="1"/>
    <col min="10510" max="10510" width="5.44140625" style="13" bestFit="1" customWidth="1"/>
    <col min="10511" max="10511" width="11.44140625" style="13"/>
    <col min="10512" max="10512" width="2.109375" style="13" customWidth="1"/>
    <col min="10513" max="10514" width="5.44140625" style="13" bestFit="1" customWidth="1"/>
    <col min="10515" max="10752" width="11.44140625" style="13"/>
    <col min="10753" max="10753" width="17" style="13" customWidth="1"/>
    <col min="10754" max="10754" width="16.6640625" style="13" customWidth="1"/>
    <col min="10755" max="10755" width="14.88671875" style="13" customWidth="1"/>
    <col min="10756" max="10756" width="11.6640625" style="13" customWidth="1"/>
    <col min="10757" max="10758" width="17" style="13" customWidth="1"/>
    <col min="10759" max="10759" width="3.33203125" style="13" bestFit="1" customWidth="1"/>
    <col min="10760" max="10760" width="1.88671875" style="13" bestFit="1" customWidth="1"/>
    <col min="10761" max="10761" width="4.109375" style="13" bestFit="1" customWidth="1"/>
    <col min="10762" max="10762" width="1.88671875" style="13" bestFit="1" customWidth="1"/>
    <col min="10763" max="10763" width="5.109375" style="13" bestFit="1" customWidth="1"/>
    <col min="10764" max="10764" width="2.44140625" style="13" customWidth="1"/>
    <col min="10765" max="10765" width="5" style="13" bestFit="1" customWidth="1"/>
    <col min="10766" max="10766" width="5.44140625" style="13" bestFit="1" customWidth="1"/>
    <col min="10767" max="10767" width="11.44140625" style="13"/>
    <col min="10768" max="10768" width="2.109375" style="13" customWidth="1"/>
    <col min="10769" max="10770" width="5.44140625" style="13" bestFit="1" customWidth="1"/>
    <col min="10771" max="11008" width="11.44140625" style="13"/>
    <col min="11009" max="11009" width="17" style="13" customWidth="1"/>
    <col min="11010" max="11010" width="16.6640625" style="13" customWidth="1"/>
    <col min="11011" max="11011" width="14.88671875" style="13" customWidth="1"/>
    <col min="11012" max="11012" width="11.6640625" style="13" customWidth="1"/>
    <col min="11013" max="11014" width="17" style="13" customWidth="1"/>
    <col min="11015" max="11015" width="3.33203125" style="13" bestFit="1" customWidth="1"/>
    <col min="11016" max="11016" width="1.88671875" style="13" bestFit="1" customWidth="1"/>
    <col min="11017" max="11017" width="4.109375" style="13" bestFit="1" customWidth="1"/>
    <col min="11018" max="11018" width="1.88671875" style="13" bestFit="1" customWidth="1"/>
    <col min="11019" max="11019" width="5.109375" style="13" bestFit="1" customWidth="1"/>
    <col min="11020" max="11020" width="2.44140625" style="13" customWidth="1"/>
    <col min="11021" max="11021" width="5" style="13" bestFit="1" customWidth="1"/>
    <col min="11022" max="11022" width="5.44140625" style="13" bestFit="1" customWidth="1"/>
    <col min="11023" max="11023" width="11.44140625" style="13"/>
    <col min="11024" max="11024" width="2.109375" style="13" customWidth="1"/>
    <col min="11025" max="11026" width="5.44140625" style="13" bestFit="1" customWidth="1"/>
    <col min="11027" max="11264" width="11.44140625" style="13"/>
    <col min="11265" max="11265" width="17" style="13" customWidth="1"/>
    <col min="11266" max="11266" width="16.6640625" style="13" customWidth="1"/>
    <col min="11267" max="11267" width="14.88671875" style="13" customWidth="1"/>
    <col min="11268" max="11268" width="11.6640625" style="13" customWidth="1"/>
    <col min="11269" max="11270" width="17" style="13" customWidth="1"/>
    <col min="11271" max="11271" width="3.33203125" style="13" bestFit="1" customWidth="1"/>
    <col min="11272" max="11272" width="1.88671875" style="13" bestFit="1" customWidth="1"/>
    <col min="11273" max="11273" width="4.109375" style="13" bestFit="1" customWidth="1"/>
    <col min="11274" max="11274" width="1.88671875" style="13" bestFit="1" customWidth="1"/>
    <col min="11275" max="11275" width="5.109375" style="13" bestFit="1" customWidth="1"/>
    <col min="11276" max="11276" width="2.44140625" style="13" customWidth="1"/>
    <col min="11277" max="11277" width="5" style="13" bestFit="1" customWidth="1"/>
    <col min="11278" max="11278" width="5.44140625" style="13" bestFit="1" customWidth="1"/>
    <col min="11279" max="11279" width="11.44140625" style="13"/>
    <col min="11280" max="11280" width="2.109375" style="13" customWidth="1"/>
    <col min="11281" max="11282" width="5.44140625" style="13" bestFit="1" customWidth="1"/>
    <col min="11283" max="11520" width="11.44140625" style="13"/>
    <col min="11521" max="11521" width="17" style="13" customWidth="1"/>
    <col min="11522" max="11522" width="16.6640625" style="13" customWidth="1"/>
    <col min="11523" max="11523" width="14.88671875" style="13" customWidth="1"/>
    <col min="11524" max="11524" width="11.6640625" style="13" customWidth="1"/>
    <col min="11525" max="11526" width="17" style="13" customWidth="1"/>
    <col min="11527" max="11527" width="3.33203125" style="13" bestFit="1" customWidth="1"/>
    <col min="11528" max="11528" width="1.88671875" style="13" bestFit="1" customWidth="1"/>
    <col min="11529" max="11529" width="4.109375" style="13" bestFit="1" customWidth="1"/>
    <col min="11530" max="11530" width="1.88671875" style="13" bestFit="1" customWidth="1"/>
    <col min="11531" max="11531" width="5.109375" style="13" bestFit="1" customWidth="1"/>
    <col min="11532" max="11532" width="2.44140625" style="13" customWidth="1"/>
    <col min="11533" max="11533" width="5" style="13" bestFit="1" customWidth="1"/>
    <col min="11534" max="11534" width="5.44140625" style="13" bestFit="1" customWidth="1"/>
    <col min="11535" max="11535" width="11.44140625" style="13"/>
    <col min="11536" max="11536" width="2.109375" style="13" customWidth="1"/>
    <col min="11537" max="11538" width="5.44140625" style="13" bestFit="1" customWidth="1"/>
    <col min="11539" max="11776" width="11.44140625" style="13"/>
    <col min="11777" max="11777" width="17" style="13" customWidth="1"/>
    <col min="11778" max="11778" width="16.6640625" style="13" customWidth="1"/>
    <col min="11779" max="11779" width="14.88671875" style="13" customWidth="1"/>
    <col min="11780" max="11780" width="11.6640625" style="13" customWidth="1"/>
    <col min="11781" max="11782" width="17" style="13" customWidth="1"/>
    <col min="11783" max="11783" width="3.33203125" style="13" bestFit="1" customWidth="1"/>
    <col min="11784" max="11784" width="1.88671875" style="13" bestFit="1" customWidth="1"/>
    <col min="11785" max="11785" width="4.109375" style="13" bestFit="1" customWidth="1"/>
    <col min="11786" max="11786" width="1.88671875" style="13" bestFit="1" customWidth="1"/>
    <col min="11787" max="11787" width="5.109375" style="13" bestFit="1" customWidth="1"/>
    <col min="11788" max="11788" width="2.44140625" style="13" customWidth="1"/>
    <col min="11789" max="11789" width="5" style="13" bestFit="1" customWidth="1"/>
    <col min="11790" max="11790" width="5.44140625" style="13" bestFit="1" customWidth="1"/>
    <col min="11791" max="11791" width="11.44140625" style="13"/>
    <col min="11792" max="11792" width="2.109375" style="13" customWidth="1"/>
    <col min="11793" max="11794" width="5.44140625" style="13" bestFit="1" customWidth="1"/>
    <col min="11795" max="12032" width="11.44140625" style="13"/>
    <col min="12033" max="12033" width="17" style="13" customWidth="1"/>
    <col min="12034" max="12034" width="16.6640625" style="13" customWidth="1"/>
    <col min="12035" max="12035" width="14.88671875" style="13" customWidth="1"/>
    <col min="12036" max="12036" width="11.6640625" style="13" customWidth="1"/>
    <col min="12037" max="12038" width="17" style="13" customWidth="1"/>
    <col min="12039" max="12039" width="3.33203125" style="13" bestFit="1" customWidth="1"/>
    <col min="12040" max="12040" width="1.88671875" style="13" bestFit="1" customWidth="1"/>
    <col min="12041" max="12041" width="4.109375" style="13" bestFit="1" customWidth="1"/>
    <col min="12042" max="12042" width="1.88671875" style="13" bestFit="1" customWidth="1"/>
    <col min="12043" max="12043" width="5.109375" style="13" bestFit="1" customWidth="1"/>
    <col min="12044" max="12044" width="2.44140625" style="13" customWidth="1"/>
    <col min="12045" max="12045" width="5" style="13" bestFit="1" customWidth="1"/>
    <col min="12046" max="12046" width="5.44140625" style="13" bestFit="1" customWidth="1"/>
    <col min="12047" max="12047" width="11.44140625" style="13"/>
    <col min="12048" max="12048" width="2.109375" style="13" customWidth="1"/>
    <col min="12049" max="12050" width="5.44140625" style="13" bestFit="1" customWidth="1"/>
    <col min="12051" max="12288" width="11.44140625" style="13"/>
    <col min="12289" max="12289" width="17" style="13" customWidth="1"/>
    <col min="12290" max="12290" width="16.6640625" style="13" customWidth="1"/>
    <col min="12291" max="12291" width="14.88671875" style="13" customWidth="1"/>
    <col min="12292" max="12292" width="11.6640625" style="13" customWidth="1"/>
    <col min="12293" max="12294" width="17" style="13" customWidth="1"/>
    <col min="12295" max="12295" width="3.33203125" style="13" bestFit="1" customWidth="1"/>
    <col min="12296" max="12296" width="1.88671875" style="13" bestFit="1" customWidth="1"/>
    <col min="12297" max="12297" width="4.109375" style="13" bestFit="1" customWidth="1"/>
    <col min="12298" max="12298" width="1.88671875" style="13" bestFit="1" customWidth="1"/>
    <col min="12299" max="12299" width="5.109375" style="13" bestFit="1" customWidth="1"/>
    <col min="12300" max="12300" width="2.44140625" style="13" customWidth="1"/>
    <col min="12301" max="12301" width="5" style="13" bestFit="1" customWidth="1"/>
    <col min="12302" max="12302" width="5.44140625" style="13" bestFit="1" customWidth="1"/>
    <col min="12303" max="12303" width="11.44140625" style="13"/>
    <col min="12304" max="12304" width="2.109375" style="13" customWidth="1"/>
    <col min="12305" max="12306" width="5.44140625" style="13" bestFit="1" customWidth="1"/>
    <col min="12307" max="12544" width="11.44140625" style="13"/>
    <col min="12545" max="12545" width="17" style="13" customWidth="1"/>
    <col min="12546" max="12546" width="16.6640625" style="13" customWidth="1"/>
    <col min="12547" max="12547" width="14.88671875" style="13" customWidth="1"/>
    <col min="12548" max="12548" width="11.6640625" style="13" customWidth="1"/>
    <col min="12549" max="12550" width="17" style="13" customWidth="1"/>
    <col min="12551" max="12551" width="3.33203125" style="13" bestFit="1" customWidth="1"/>
    <col min="12552" max="12552" width="1.88671875" style="13" bestFit="1" customWidth="1"/>
    <col min="12553" max="12553" width="4.109375" style="13" bestFit="1" customWidth="1"/>
    <col min="12554" max="12554" width="1.88671875" style="13" bestFit="1" customWidth="1"/>
    <col min="12555" max="12555" width="5.109375" style="13" bestFit="1" customWidth="1"/>
    <col min="12556" max="12556" width="2.44140625" style="13" customWidth="1"/>
    <col min="12557" max="12557" width="5" style="13" bestFit="1" customWidth="1"/>
    <col min="12558" max="12558" width="5.44140625" style="13" bestFit="1" customWidth="1"/>
    <col min="12559" max="12559" width="11.44140625" style="13"/>
    <col min="12560" max="12560" width="2.109375" style="13" customWidth="1"/>
    <col min="12561" max="12562" width="5.44140625" style="13" bestFit="1" customWidth="1"/>
    <col min="12563" max="12800" width="11.44140625" style="13"/>
    <col min="12801" max="12801" width="17" style="13" customWidth="1"/>
    <col min="12802" max="12802" width="16.6640625" style="13" customWidth="1"/>
    <col min="12803" max="12803" width="14.88671875" style="13" customWidth="1"/>
    <col min="12804" max="12804" width="11.6640625" style="13" customWidth="1"/>
    <col min="12805" max="12806" width="17" style="13" customWidth="1"/>
    <col min="12807" max="12807" width="3.33203125" style="13" bestFit="1" customWidth="1"/>
    <col min="12808" max="12808" width="1.88671875" style="13" bestFit="1" customWidth="1"/>
    <col min="12809" max="12809" width="4.109375" style="13" bestFit="1" customWidth="1"/>
    <col min="12810" max="12810" width="1.88671875" style="13" bestFit="1" customWidth="1"/>
    <col min="12811" max="12811" width="5.109375" style="13" bestFit="1" customWidth="1"/>
    <col min="12812" max="12812" width="2.44140625" style="13" customWidth="1"/>
    <col min="12813" max="12813" width="5" style="13" bestFit="1" customWidth="1"/>
    <col min="12814" max="12814" width="5.44140625" style="13" bestFit="1" customWidth="1"/>
    <col min="12815" max="12815" width="11.44140625" style="13"/>
    <col min="12816" max="12816" width="2.109375" style="13" customWidth="1"/>
    <col min="12817" max="12818" width="5.44140625" style="13" bestFit="1" customWidth="1"/>
    <col min="12819" max="13056" width="11.44140625" style="13"/>
    <col min="13057" max="13057" width="17" style="13" customWidth="1"/>
    <col min="13058" max="13058" width="16.6640625" style="13" customWidth="1"/>
    <col min="13059" max="13059" width="14.88671875" style="13" customWidth="1"/>
    <col min="13060" max="13060" width="11.6640625" style="13" customWidth="1"/>
    <col min="13061" max="13062" width="17" style="13" customWidth="1"/>
    <col min="13063" max="13063" width="3.33203125" style="13" bestFit="1" customWidth="1"/>
    <col min="13064" max="13064" width="1.88671875" style="13" bestFit="1" customWidth="1"/>
    <col min="13065" max="13065" width="4.109375" style="13" bestFit="1" customWidth="1"/>
    <col min="13066" max="13066" width="1.88671875" style="13" bestFit="1" customWidth="1"/>
    <col min="13067" max="13067" width="5.109375" style="13" bestFit="1" customWidth="1"/>
    <col min="13068" max="13068" width="2.44140625" style="13" customWidth="1"/>
    <col min="13069" max="13069" width="5" style="13" bestFit="1" customWidth="1"/>
    <col min="13070" max="13070" width="5.44140625" style="13" bestFit="1" customWidth="1"/>
    <col min="13071" max="13071" width="11.44140625" style="13"/>
    <col min="13072" max="13072" width="2.109375" style="13" customWidth="1"/>
    <col min="13073" max="13074" width="5.44140625" style="13" bestFit="1" customWidth="1"/>
    <col min="13075" max="13312" width="11.44140625" style="13"/>
    <col min="13313" max="13313" width="17" style="13" customWidth="1"/>
    <col min="13314" max="13314" width="16.6640625" style="13" customWidth="1"/>
    <col min="13315" max="13315" width="14.88671875" style="13" customWidth="1"/>
    <col min="13316" max="13316" width="11.6640625" style="13" customWidth="1"/>
    <col min="13317" max="13318" width="17" style="13" customWidth="1"/>
    <col min="13319" max="13319" width="3.33203125" style="13" bestFit="1" customWidth="1"/>
    <col min="13320" max="13320" width="1.88671875" style="13" bestFit="1" customWidth="1"/>
    <col min="13321" max="13321" width="4.109375" style="13" bestFit="1" customWidth="1"/>
    <col min="13322" max="13322" width="1.88671875" style="13" bestFit="1" customWidth="1"/>
    <col min="13323" max="13323" width="5.109375" style="13" bestFit="1" customWidth="1"/>
    <col min="13324" max="13324" width="2.44140625" style="13" customWidth="1"/>
    <col min="13325" max="13325" width="5" style="13" bestFit="1" customWidth="1"/>
    <col min="13326" max="13326" width="5.44140625" style="13" bestFit="1" customWidth="1"/>
    <col min="13327" max="13327" width="11.44140625" style="13"/>
    <col min="13328" max="13328" width="2.109375" style="13" customWidth="1"/>
    <col min="13329" max="13330" width="5.44140625" style="13" bestFit="1" customWidth="1"/>
    <col min="13331" max="13568" width="11.44140625" style="13"/>
    <col min="13569" max="13569" width="17" style="13" customWidth="1"/>
    <col min="13570" max="13570" width="16.6640625" style="13" customWidth="1"/>
    <col min="13571" max="13571" width="14.88671875" style="13" customWidth="1"/>
    <col min="13572" max="13572" width="11.6640625" style="13" customWidth="1"/>
    <col min="13573" max="13574" width="17" style="13" customWidth="1"/>
    <col min="13575" max="13575" width="3.33203125" style="13" bestFit="1" customWidth="1"/>
    <col min="13576" max="13576" width="1.88671875" style="13" bestFit="1" customWidth="1"/>
    <col min="13577" max="13577" width="4.109375" style="13" bestFit="1" customWidth="1"/>
    <col min="13578" max="13578" width="1.88671875" style="13" bestFit="1" customWidth="1"/>
    <col min="13579" max="13579" width="5.109375" style="13" bestFit="1" customWidth="1"/>
    <col min="13580" max="13580" width="2.44140625" style="13" customWidth="1"/>
    <col min="13581" max="13581" width="5" style="13" bestFit="1" customWidth="1"/>
    <col min="13582" max="13582" width="5.44140625" style="13" bestFit="1" customWidth="1"/>
    <col min="13583" max="13583" width="11.44140625" style="13"/>
    <col min="13584" max="13584" width="2.109375" style="13" customWidth="1"/>
    <col min="13585" max="13586" width="5.44140625" style="13" bestFit="1" customWidth="1"/>
    <col min="13587" max="13824" width="11.44140625" style="13"/>
    <col min="13825" max="13825" width="17" style="13" customWidth="1"/>
    <col min="13826" max="13826" width="16.6640625" style="13" customWidth="1"/>
    <col min="13827" max="13827" width="14.88671875" style="13" customWidth="1"/>
    <col min="13828" max="13828" width="11.6640625" style="13" customWidth="1"/>
    <col min="13829" max="13830" width="17" style="13" customWidth="1"/>
    <col min="13831" max="13831" width="3.33203125" style="13" bestFit="1" customWidth="1"/>
    <col min="13832" max="13832" width="1.88671875" style="13" bestFit="1" customWidth="1"/>
    <col min="13833" max="13833" width="4.109375" style="13" bestFit="1" customWidth="1"/>
    <col min="13834" max="13834" width="1.88671875" style="13" bestFit="1" customWidth="1"/>
    <col min="13835" max="13835" width="5.109375" style="13" bestFit="1" customWidth="1"/>
    <col min="13836" max="13836" width="2.44140625" style="13" customWidth="1"/>
    <col min="13837" max="13837" width="5" style="13" bestFit="1" customWidth="1"/>
    <col min="13838" max="13838" width="5.44140625" style="13" bestFit="1" customWidth="1"/>
    <col min="13839" max="13839" width="11.44140625" style="13"/>
    <col min="13840" max="13840" width="2.109375" style="13" customWidth="1"/>
    <col min="13841" max="13842" width="5.44140625" style="13" bestFit="1" customWidth="1"/>
    <col min="13843" max="14080" width="11.44140625" style="13"/>
    <col min="14081" max="14081" width="17" style="13" customWidth="1"/>
    <col min="14082" max="14082" width="16.6640625" style="13" customWidth="1"/>
    <col min="14083" max="14083" width="14.88671875" style="13" customWidth="1"/>
    <col min="14084" max="14084" width="11.6640625" style="13" customWidth="1"/>
    <col min="14085" max="14086" width="17" style="13" customWidth="1"/>
    <col min="14087" max="14087" width="3.33203125" style="13" bestFit="1" customWidth="1"/>
    <col min="14088" max="14088" width="1.88671875" style="13" bestFit="1" customWidth="1"/>
    <col min="14089" max="14089" width="4.109375" style="13" bestFit="1" customWidth="1"/>
    <col min="14090" max="14090" width="1.88671875" style="13" bestFit="1" customWidth="1"/>
    <col min="14091" max="14091" width="5.109375" style="13" bestFit="1" customWidth="1"/>
    <col min="14092" max="14092" width="2.44140625" style="13" customWidth="1"/>
    <col min="14093" max="14093" width="5" style="13" bestFit="1" customWidth="1"/>
    <col min="14094" max="14094" width="5.44140625" style="13" bestFit="1" customWidth="1"/>
    <col min="14095" max="14095" width="11.44140625" style="13"/>
    <col min="14096" max="14096" width="2.109375" style="13" customWidth="1"/>
    <col min="14097" max="14098" width="5.44140625" style="13" bestFit="1" customWidth="1"/>
    <col min="14099" max="14336" width="11.44140625" style="13"/>
    <col min="14337" max="14337" width="17" style="13" customWidth="1"/>
    <col min="14338" max="14338" width="16.6640625" style="13" customWidth="1"/>
    <col min="14339" max="14339" width="14.88671875" style="13" customWidth="1"/>
    <col min="14340" max="14340" width="11.6640625" style="13" customWidth="1"/>
    <col min="14341" max="14342" width="17" style="13" customWidth="1"/>
    <col min="14343" max="14343" width="3.33203125" style="13" bestFit="1" customWidth="1"/>
    <col min="14344" max="14344" width="1.88671875" style="13" bestFit="1" customWidth="1"/>
    <col min="14345" max="14345" width="4.109375" style="13" bestFit="1" customWidth="1"/>
    <col min="14346" max="14346" width="1.88671875" style="13" bestFit="1" customWidth="1"/>
    <col min="14347" max="14347" width="5.109375" style="13" bestFit="1" customWidth="1"/>
    <col min="14348" max="14348" width="2.44140625" style="13" customWidth="1"/>
    <col min="14349" max="14349" width="5" style="13" bestFit="1" customWidth="1"/>
    <col min="14350" max="14350" width="5.44140625" style="13" bestFit="1" customWidth="1"/>
    <col min="14351" max="14351" width="11.44140625" style="13"/>
    <col min="14352" max="14352" width="2.109375" style="13" customWidth="1"/>
    <col min="14353" max="14354" width="5.44140625" style="13" bestFit="1" customWidth="1"/>
    <col min="14355" max="14592" width="11.44140625" style="13"/>
    <col min="14593" max="14593" width="17" style="13" customWidth="1"/>
    <col min="14594" max="14594" width="16.6640625" style="13" customWidth="1"/>
    <col min="14595" max="14595" width="14.88671875" style="13" customWidth="1"/>
    <col min="14596" max="14596" width="11.6640625" style="13" customWidth="1"/>
    <col min="14597" max="14598" width="17" style="13" customWidth="1"/>
    <col min="14599" max="14599" width="3.33203125" style="13" bestFit="1" customWidth="1"/>
    <col min="14600" max="14600" width="1.88671875" style="13" bestFit="1" customWidth="1"/>
    <col min="14601" max="14601" width="4.109375" style="13" bestFit="1" customWidth="1"/>
    <col min="14602" max="14602" width="1.88671875" style="13" bestFit="1" customWidth="1"/>
    <col min="14603" max="14603" width="5.109375" style="13" bestFit="1" customWidth="1"/>
    <col min="14604" max="14604" width="2.44140625" style="13" customWidth="1"/>
    <col min="14605" max="14605" width="5" style="13" bestFit="1" customWidth="1"/>
    <col min="14606" max="14606" width="5.44140625" style="13" bestFit="1" customWidth="1"/>
    <col min="14607" max="14607" width="11.44140625" style="13"/>
    <col min="14608" max="14608" width="2.109375" style="13" customWidth="1"/>
    <col min="14609" max="14610" width="5.44140625" style="13" bestFit="1" customWidth="1"/>
    <col min="14611" max="14848" width="11.44140625" style="13"/>
    <col min="14849" max="14849" width="17" style="13" customWidth="1"/>
    <col min="14850" max="14850" width="16.6640625" style="13" customWidth="1"/>
    <col min="14851" max="14851" width="14.88671875" style="13" customWidth="1"/>
    <col min="14852" max="14852" width="11.6640625" style="13" customWidth="1"/>
    <col min="14853" max="14854" width="17" style="13" customWidth="1"/>
    <col min="14855" max="14855" width="3.33203125" style="13" bestFit="1" customWidth="1"/>
    <col min="14856" max="14856" width="1.88671875" style="13" bestFit="1" customWidth="1"/>
    <col min="14857" max="14857" width="4.109375" style="13" bestFit="1" customWidth="1"/>
    <col min="14858" max="14858" width="1.88671875" style="13" bestFit="1" customWidth="1"/>
    <col min="14859" max="14859" width="5.109375" style="13" bestFit="1" customWidth="1"/>
    <col min="14860" max="14860" width="2.44140625" style="13" customWidth="1"/>
    <col min="14861" max="14861" width="5" style="13" bestFit="1" customWidth="1"/>
    <col min="14862" max="14862" width="5.44140625" style="13" bestFit="1" customWidth="1"/>
    <col min="14863" max="14863" width="11.44140625" style="13"/>
    <col min="14864" max="14864" width="2.109375" style="13" customWidth="1"/>
    <col min="14865" max="14866" width="5.44140625" style="13" bestFit="1" customWidth="1"/>
    <col min="14867" max="15104" width="11.44140625" style="13"/>
    <col min="15105" max="15105" width="17" style="13" customWidth="1"/>
    <col min="15106" max="15106" width="16.6640625" style="13" customWidth="1"/>
    <col min="15107" max="15107" width="14.88671875" style="13" customWidth="1"/>
    <col min="15108" max="15108" width="11.6640625" style="13" customWidth="1"/>
    <col min="15109" max="15110" width="17" style="13" customWidth="1"/>
    <col min="15111" max="15111" width="3.33203125" style="13" bestFit="1" customWidth="1"/>
    <col min="15112" max="15112" width="1.88671875" style="13" bestFit="1" customWidth="1"/>
    <col min="15113" max="15113" width="4.109375" style="13" bestFit="1" customWidth="1"/>
    <col min="15114" max="15114" width="1.88671875" style="13" bestFit="1" customWidth="1"/>
    <col min="15115" max="15115" width="5.109375" style="13" bestFit="1" customWidth="1"/>
    <col min="15116" max="15116" width="2.44140625" style="13" customWidth="1"/>
    <col min="15117" max="15117" width="5" style="13" bestFit="1" customWidth="1"/>
    <col min="15118" max="15118" width="5.44140625" style="13" bestFit="1" customWidth="1"/>
    <col min="15119" max="15119" width="11.44140625" style="13"/>
    <col min="15120" max="15120" width="2.109375" style="13" customWidth="1"/>
    <col min="15121" max="15122" width="5.44140625" style="13" bestFit="1" customWidth="1"/>
    <col min="15123" max="15360" width="11.44140625" style="13"/>
    <col min="15361" max="15361" width="17" style="13" customWidth="1"/>
    <col min="15362" max="15362" width="16.6640625" style="13" customWidth="1"/>
    <col min="15363" max="15363" width="14.88671875" style="13" customWidth="1"/>
    <col min="15364" max="15364" width="11.6640625" style="13" customWidth="1"/>
    <col min="15365" max="15366" width="17" style="13" customWidth="1"/>
    <col min="15367" max="15367" width="3.33203125" style="13" bestFit="1" customWidth="1"/>
    <col min="15368" max="15368" width="1.88671875" style="13" bestFit="1" customWidth="1"/>
    <col min="15369" max="15369" width="4.109375" style="13" bestFit="1" customWidth="1"/>
    <col min="15370" max="15370" width="1.88671875" style="13" bestFit="1" customWidth="1"/>
    <col min="15371" max="15371" width="5.109375" style="13" bestFit="1" customWidth="1"/>
    <col min="15372" max="15372" width="2.44140625" style="13" customWidth="1"/>
    <col min="15373" max="15373" width="5" style="13" bestFit="1" customWidth="1"/>
    <col min="15374" max="15374" width="5.44140625" style="13" bestFit="1" customWidth="1"/>
    <col min="15375" max="15375" width="11.44140625" style="13"/>
    <col min="15376" max="15376" width="2.109375" style="13" customWidth="1"/>
    <col min="15377" max="15378" width="5.44140625" style="13" bestFit="1" customWidth="1"/>
    <col min="15379" max="15616" width="11.44140625" style="13"/>
    <col min="15617" max="15617" width="17" style="13" customWidth="1"/>
    <col min="15618" max="15618" width="16.6640625" style="13" customWidth="1"/>
    <col min="15619" max="15619" width="14.88671875" style="13" customWidth="1"/>
    <col min="15620" max="15620" width="11.6640625" style="13" customWidth="1"/>
    <col min="15621" max="15622" width="17" style="13" customWidth="1"/>
    <col min="15623" max="15623" width="3.33203125" style="13" bestFit="1" customWidth="1"/>
    <col min="15624" max="15624" width="1.88671875" style="13" bestFit="1" customWidth="1"/>
    <col min="15625" max="15625" width="4.109375" style="13" bestFit="1" customWidth="1"/>
    <col min="15626" max="15626" width="1.88671875" style="13" bestFit="1" customWidth="1"/>
    <col min="15627" max="15627" width="5.109375" style="13" bestFit="1" customWidth="1"/>
    <col min="15628" max="15628" width="2.44140625" style="13" customWidth="1"/>
    <col min="15629" max="15629" width="5" style="13" bestFit="1" customWidth="1"/>
    <col min="15630" max="15630" width="5.44140625" style="13" bestFit="1" customWidth="1"/>
    <col min="15631" max="15631" width="11.44140625" style="13"/>
    <col min="15632" max="15632" width="2.109375" style="13" customWidth="1"/>
    <col min="15633" max="15634" width="5.44140625" style="13" bestFit="1" customWidth="1"/>
    <col min="15635" max="15872" width="11.44140625" style="13"/>
    <col min="15873" max="15873" width="17" style="13" customWidth="1"/>
    <col min="15874" max="15874" width="16.6640625" style="13" customWidth="1"/>
    <col min="15875" max="15875" width="14.88671875" style="13" customWidth="1"/>
    <col min="15876" max="15876" width="11.6640625" style="13" customWidth="1"/>
    <col min="15877" max="15878" width="17" style="13" customWidth="1"/>
    <col min="15879" max="15879" width="3.33203125" style="13" bestFit="1" customWidth="1"/>
    <col min="15880" max="15880" width="1.88671875" style="13" bestFit="1" customWidth="1"/>
    <col min="15881" max="15881" width="4.109375" style="13" bestFit="1" customWidth="1"/>
    <col min="15882" max="15882" width="1.88671875" style="13" bestFit="1" customWidth="1"/>
    <col min="15883" max="15883" width="5.109375" style="13" bestFit="1" customWidth="1"/>
    <col min="15884" max="15884" width="2.44140625" style="13" customWidth="1"/>
    <col min="15885" max="15885" width="5" style="13" bestFit="1" customWidth="1"/>
    <col min="15886" max="15886" width="5.44140625" style="13" bestFit="1" customWidth="1"/>
    <col min="15887" max="15887" width="11.44140625" style="13"/>
    <col min="15888" max="15888" width="2.109375" style="13" customWidth="1"/>
    <col min="15889" max="15890" width="5.44140625" style="13" bestFit="1" customWidth="1"/>
    <col min="15891" max="16128" width="11.44140625" style="13"/>
    <col min="16129" max="16129" width="17" style="13" customWidth="1"/>
    <col min="16130" max="16130" width="16.6640625" style="13" customWidth="1"/>
    <col min="16131" max="16131" width="14.88671875" style="13" customWidth="1"/>
    <col min="16132" max="16132" width="11.6640625" style="13" customWidth="1"/>
    <col min="16133" max="16134" width="17" style="13" customWidth="1"/>
    <col min="16135" max="16135" width="3.33203125" style="13" bestFit="1" customWidth="1"/>
    <col min="16136" max="16136" width="1.88671875" style="13" bestFit="1" customWidth="1"/>
    <col min="16137" max="16137" width="4.109375" style="13" bestFit="1" customWidth="1"/>
    <col min="16138" max="16138" width="1.88671875" style="13" bestFit="1" customWidth="1"/>
    <col min="16139" max="16139" width="5.109375" style="13" bestFit="1" customWidth="1"/>
    <col min="16140" max="16140" width="2.44140625" style="13" customWidth="1"/>
    <col min="16141" max="16141" width="5" style="13" bestFit="1" customWidth="1"/>
    <col min="16142" max="16142" width="5.44140625" style="13" bestFit="1" customWidth="1"/>
    <col min="16143" max="16143" width="11.44140625" style="13"/>
    <col min="16144" max="16144" width="2.109375" style="13" customWidth="1"/>
    <col min="16145" max="16146" width="5.44140625" style="13" bestFit="1" customWidth="1"/>
    <col min="16147" max="16384" width="11.44140625" style="13"/>
  </cols>
  <sheetData>
    <row r="1" spans="1:21">
      <c r="A1" s="707"/>
      <c r="B1" s="708"/>
      <c r="C1" s="708"/>
      <c r="D1" s="708"/>
      <c r="E1" s="709"/>
      <c r="G1" s="710">
        <f>+A1</f>
        <v>0</v>
      </c>
      <c r="H1" s="711"/>
      <c r="I1" s="711"/>
      <c r="J1" s="711"/>
      <c r="K1" s="711"/>
      <c r="L1" s="711"/>
      <c r="M1" s="711"/>
      <c r="N1" s="711"/>
      <c r="O1" s="711"/>
      <c r="P1" s="711"/>
      <c r="Q1" s="711"/>
      <c r="R1" s="711"/>
      <c r="S1" s="711"/>
    </row>
    <row r="2" spans="1:21" ht="36.75" customHeight="1">
      <c r="A2" s="712" t="str">
        <f>PRESUPUESTO!A8</f>
        <v>AMPLIACION DE ALBERGUE TRANSITORIO DE FAUNA DOMESTICA EN EL MUNICIPIO DE CAUCASIA  DEPARTAMENTO DE ANTIOQUIA.</v>
      </c>
      <c r="B2" s="712"/>
      <c r="C2" s="712"/>
      <c r="D2" s="712"/>
      <c r="E2" s="712"/>
      <c r="F2" s="14"/>
      <c r="G2" s="713" t="str">
        <f>+A2</f>
        <v>AMPLIACION DE ALBERGUE TRANSITORIO DE FAUNA DOMESTICA EN EL MUNICIPIO DE CAUCASIA  DEPARTAMENTO DE ANTIOQUIA.</v>
      </c>
      <c r="H2" s="714"/>
      <c r="I2" s="714"/>
      <c r="J2" s="714"/>
      <c r="K2" s="714"/>
      <c r="L2" s="714"/>
      <c r="M2" s="714"/>
      <c r="N2" s="714"/>
      <c r="O2" s="714"/>
      <c r="P2" s="714"/>
      <c r="Q2" s="714"/>
      <c r="R2" s="714"/>
      <c r="S2" s="715"/>
    </row>
    <row r="3" spans="1:21" ht="15.75" customHeight="1">
      <c r="A3" s="716" t="s">
        <v>51</v>
      </c>
      <c r="B3" s="716"/>
      <c r="C3" s="716"/>
      <c r="D3" s="716"/>
      <c r="E3" s="716"/>
      <c r="F3" s="15"/>
      <c r="G3" s="717" t="s">
        <v>52</v>
      </c>
      <c r="H3" s="718"/>
      <c r="I3" s="718"/>
      <c r="J3" s="718"/>
      <c r="K3" s="718"/>
      <c r="L3" s="718"/>
      <c r="M3" s="718"/>
      <c r="N3" s="718"/>
      <c r="O3" s="718"/>
      <c r="P3" s="718"/>
      <c r="Q3" s="718"/>
      <c r="R3" s="718"/>
      <c r="S3" s="719"/>
    </row>
    <row r="4" spans="1:21">
      <c r="A4" s="16"/>
      <c r="B4" s="16"/>
      <c r="C4" s="16"/>
      <c r="D4" s="16"/>
      <c r="E4" s="16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8"/>
    </row>
    <row r="5" spans="1:21" s="22" customFormat="1" ht="21.75" customHeight="1">
      <c r="A5" s="695" t="s">
        <v>53</v>
      </c>
      <c r="B5" s="695"/>
      <c r="C5" s="695"/>
      <c r="D5" s="19" t="s">
        <v>54</v>
      </c>
      <c r="E5" s="19" t="s">
        <v>55</v>
      </c>
      <c r="F5" s="20"/>
      <c r="G5" s="696" t="s">
        <v>56</v>
      </c>
      <c r="H5" s="698" t="s">
        <v>57</v>
      </c>
      <c r="I5" s="699"/>
      <c r="J5" s="699"/>
      <c r="K5" s="700"/>
      <c r="L5" s="21"/>
      <c r="M5" s="692" t="s">
        <v>58</v>
      </c>
      <c r="N5" s="693"/>
      <c r="O5" s="694"/>
      <c r="P5" s="691"/>
      <c r="Q5" s="692" t="s">
        <v>59</v>
      </c>
      <c r="R5" s="693"/>
      <c r="S5" s="694"/>
    </row>
    <row r="6" spans="1:21" s="22" customFormat="1">
      <c r="A6" s="676" t="s">
        <v>60</v>
      </c>
      <c r="B6" s="677"/>
      <c r="C6" s="678"/>
      <c r="D6" s="47" t="s">
        <v>87</v>
      </c>
      <c r="E6" s="48">
        <v>30000</v>
      </c>
      <c r="F6" s="25"/>
      <c r="G6" s="697"/>
      <c r="H6" s="701"/>
      <c r="I6" s="702"/>
      <c r="J6" s="702"/>
      <c r="K6" s="703"/>
      <c r="L6" s="21"/>
      <c r="M6" s="26" t="s">
        <v>61</v>
      </c>
      <c r="N6" s="26"/>
      <c r="O6" s="27" t="s">
        <v>16</v>
      </c>
      <c r="P6" s="691"/>
      <c r="Q6" s="26" t="s">
        <v>61</v>
      </c>
      <c r="R6" s="26"/>
      <c r="S6" s="27" t="s">
        <v>16</v>
      </c>
    </row>
    <row r="7" spans="1:21" s="22" customFormat="1">
      <c r="A7" s="679" t="s">
        <v>62</v>
      </c>
      <c r="B7" s="680"/>
      <c r="C7" s="681"/>
      <c r="D7" s="23" t="s">
        <v>63</v>
      </c>
      <c r="E7" s="24">
        <v>45000</v>
      </c>
      <c r="F7" s="25"/>
      <c r="G7" s="28">
        <v>2</v>
      </c>
      <c r="H7" s="29" t="s">
        <v>64</v>
      </c>
      <c r="I7" s="30">
        <v>0.25</v>
      </c>
      <c r="J7" s="31" t="s">
        <v>64</v>
      </c>
      <c r="K7" s="32">
        <v>0.25</v>
      </c>
      <c r="L7" s="33"/>
      <c r="M7" s="34">
        <f>+G7*G7/16</f>
        <v>0.25</v>
      </c>
      <c r="N7" s="35" t="s">
        <v>65</v>
      </c>
      <c r="O7" s="36">
        <f>+M7*S7/Q7</f>
        <v>496.66666666666669</v>
      </c>
      <c r="P7" s="37"/>
      <c r="Q7" s="38">
        <f>+M7*6</f>
        <v>1.5</v>
      </c>
      <c r="R7" s="35" t="s">
        <v>65</v>
      </c>
      <c r="S7" s="39">
        <v>2980</v>
      </c>
    </row>
    <row r="8" spans="1:21" s="22" customFormat="1">
      <c r="A8" s="676" t="s">
        <v>66</v>
      </c>
      <c r="B8" s="677"/>
      <c r="C8" s="678"/>
      <c r="D8" s="47" t="s">
        <v>67</v>
      </c>
      <c r="E8" s="48">
        <v>60</v>
      </c>
      <c r="F8" s="25"/>
      <c r="G8" s="28">
        <v>3</v>
      </c>
      <c r="H8" s="29" t="s">
        <v>64</v>
      </c>
      <c r="I8" s="30">
        <v>0.375</v>
      </c>
      <c r="J8" s="31" t="s">
        <v>64</v>
      </c>
      <c r="K8" s="40">
        <v>0.375</v>
      </c>
      <c r="L8" s="33"/>
      <c r="M8" s="34">
        <f>+G8*G8/16</f>
        <v>0.5625</v>
      </c>
      <c r="N8" s="28" t="s">
        <v>65</v>
      </c>
      <c r="O8" s="36">
        <f>+M8*S8/Q8</f>
        <v>1750</v>
      </c>
      <c r="P8" s="37"/>
      <c r="Q8" s="38">
        <f>+M8*6</f>
        <v>3.375</v>
      </c>
      <c r="R8" s="28" t="s">
        <v>65</v>
      </c>
      <c r="S8" s="41">
        <v>10500</v>
      </c>
    </row>
    <row r="9" spans="1:21" s="22" customFormat="1">
      <c r="A9" s="679" t="s">
        <v>218</v>
      </c>
      <c r="B9" s="680"/>
      <c r="C9" s="681"/>
      <c r="D9" s="23" t="s">
        <v>15</v>
      </c>
      <c r="E9" s="24">
        <v>6500</v>
      </c>
      <c r="F9" s="25"/>
      <c r="G9" s="28">
        <v>6</v>
      </c>
      <c r="H9" s="29" t="s">
        <v>64</v>
      </c>
      <c r="I9" s="30">
        <v>0.75</v>
      </c>
      <c r="J9" s="31" t="s">
        <v>64</v>
      </c>
      <c r="K9" s="32">
        <v>0.75</v>
      </c>
      <c r="L9" s="33"/>
      <c r="M9" s="34">
        <f>+G9*G9/16</f>
        <v>2.25</v>
      </c>
      <c r="N9" s="28" t="s">
        <v>65</v>
      </c>
      <c r="O9" s="36">
        <f>+M9*S9/Q9</f>
        <v>7168</v>
      </c>
      <c r="P9" s="37"/>
      <c r="Q9" s="38">
        <f>+M9*6</f>
        <v>13.5</v>
      </c>
      <c r="R9" s="28" t="s">
        <v>65</v>
      </c>
      <c r="S9" s="41">
        <v>43008</v>
      </c>
    </row>
    <row r="10" spans="1:21" s="22" customFormat="1" ht="29.4" customHeight="1">
      <c r="A10" s="704" t="s">
        <v>219</v>
      </c>
      <c r="B10" s="705"/>
      <c r="C10" s="706"/>
      <c r="D10" s="23" t="s">
        <v>230</v>
      </c>
      <c r="E10" s="24">
        <v>45000</v>
      </c>
      <c r="F10" s="25"/>
      <c r="G10" s="29"/>
      <c r="H10" s="29"/>
      <c r="I10" s="31"/>
      <c r="J10" s="31"/>
      <c r="K10" s="152"/>
      <c r="L10" s="33"/>
      <c r="M10" s="153"/>
      <c r="N10" s="29"/>
      <c r="O10" s="154"/>
      <c r="P10" s="37"/>
      <c r="Q10" s="153"/>
      <c r="R10" s="29"/>
      <c r="S10" s="155"/>
      <c r="U10" s="22">
        <v>40000</v>
      </c>
    </row>
    <row r="11" spans="1:21" s="22" customFormat="1">
      <c r="A11" s="676" t="s">
        <v>88</v>
      </c>
      <c r="B11" s="677"/>
      <c r="C11" s="678"/>
      <c r="D11" s="47" t="s">
        <v>63</v>
      </c>
      <c r="E11" s="48">
        <v>40000</v>
      </c>
      <c r="F11" s="25"/>
      <c r="G11" s="42"/>
      <c r="U11" s="22">
        <f>+U10/25</f>
        <v>1600</v>
      </c>
    </row>
    <row r="12" spans="1:21" s="22" customFormat="1">
      <c r="A12" s="676" t="s">
        <v>269</v>
      </c>
      <c r="B12" s="677"/>
      <c r="C12" s="678"/>
      <c r="D12" s="47" t="s">
        <v>63</v>
      </c>
      <c r="E12" s="48">
        <v>65400</v>
      </c>
      <c r="F12" s="25"/>
      <c r="G12" s="42"/>
    </row>
    <row r="13" spans="1:21" s="22" customFormat="1">
      <c r="A13" s="676" t="s">
        <v>77</v>
      </c>
      <c r="B13" s="677"/>
      <c r="C13" s="678"/>
      <c r="D13" s="47" t="s">
        <v>63</v>
      </c>
      <c r="E13" s="48">
        <v>40000</v>
      </c>
      <c r="F13" s="25"/>
      <c r="G13" s="42"/>
    </row>
    <row r="14" spans="1:21" s="22" customFormat="1">
      <c r="A14" s="676" t="s">
        <v>91</v>
      </c>
      <c r="B14" s="677"/>
      <c r="C14" s="678"/>
      <c r="D14" s="47" t="s">
        <v>4</v>
      </c>
      <c r="E14" s="48">
        <v>1000</v>
      </c>
      <c r="F14" s="25"/>
      <c r="G14" s="42"/>
    </row>
    <row r="15" spans="1:21" s="22" customFormat="1">
      <c r="A15" s="676" t="s">
        <v>89</v>
      </c>
      <c r="B15" s="677"/>
      <c r="C15" s="678"/>
      <c r="D15" s="47" t="s">
        <v>4</v>
      </c>
      <c r="E15" s="48">
        <v>3600</v>
      </c>
      <c r="F15" s="25"/>
      <c r="G15" s="42"/>
      <c r="U15" s="22">
        <v>150000</v>
      </c>
    </row>
    <row r="16" spans="1:21" s="22" customFormat="1">
      <c r="A16" s="679" t="s">
        <v>69</v>
      </c>
      <c r="B16" s="680"/>
      <c r="C16" s="681"/>
      <c r="D16" s="23" t="s">
        <v>68</v>
      </c>
      <c r="E16" s="24">
        <v>130000</v>
      </c>
      <c r="F16" s="25"/>
      <c r="G16" s="42"/>
      <c r="U16" s="22">
        <f>+U15/6</f>
        <v>25000</v>
      </c>
    </row>
    <row r="17" spans="1:21" s="22" customFormat="1">
      <c r="A17" s="679" t="s">
        <v>220</v>
      </c>
      <c r="B17" s="680"/>
      <c r="C17" s="681"/>
      <c r="D17" s="23" t="s">
        <v>5</v>
      </c>
      <c r="E17" s="24">
        <v>65000</v>
      </c>
      <c r="F17" s="25"/>
      <c r="G17" s="42"/>
    </row>
    <row r="18" spans="1:21" s="22" customFormat="1">
      <c r="A18" s="679" t="s">
        <v>222</v>
      </c>
      <c r="B18" s="680"/>
      <c r="C18" s="681"/>
      <c r="D18" s="23" t="s">
        <v>5</v>
      </c>
      <c r="E18" s="24">
        <v>30000</v>
      </c>
      <c r="F18" s="25"/>
      <c r="G18" s="42"/>
    </row>
    <row r="19" spans="1:21" s="22" customFormat="1">
      <c r="A19" s="679" t="s">
        <v>221</v>
      </c>
      <c r="B19" s="680"/>
      <c r="C19" s="681"/>
      <c r="D19" s="23" t="s">
        <v>15</v>
      </c>
      <c r="E19" s="24">
        <v>1700</v>
      </c>
      <c r="F19" s="25"/>
      <c r="G19" s="42"/>
    </row>
    <row r="20" spans="1:21" s="22" customFormat="1">
      <c r="A20" s="679" t="s">
        <v>279</v>
      </c>
      <c r="B20" s="680"/>
      <c r="C20" s="681"/>
      <c r="D20" s="23" t="s">
        <v>4</v>
      </c>
      <c r="E20" s="24">
        <v>1200000</v>
      </c>
      <c r="F20" s="25"/>
      <c r="G20" s="42"/>
    </row>
    <row r="21" spans="1:21" s="22" customFormat="1">
      <c r="A21" s="679" t="s">
        <v>278</v>
      </c>
      <c r="B21" s="680"/>
      <c r="C21" s="681"/>
      <c r="D21" s="23" t="s">
        <v>18</v>
      </c>
      <c r="E21" s="24">
        <v>1300000</v>
      </c>
      <c r="F21" s="25"/>
      <c r="G21" s="42"/>
    </row>
    <row r="22" spans="1:21" s="22" customFormat="1" ht="20.399999999999999">
      <c r="A22" s="679" t="s">
        <v>223</v>
      </c>
      <c r="B22" s="680"/>
      <c r="C22" s="681"/>
      <c r="D22" s="23" t="s">
        <v>4</v>
      </c>
      <c r="E22" s="24">
        <v>200</v>
      </c>
      <c r="F22" s="25"/>
      <c r="G22" s="42"/>
      <c r="R22" s="156"/>
    </row>
    <row r="23" spans="1:21" s="22" customFormat="1">
      <c r="A23" s="679" t="s">
        <v>224</v>
      </c>
      <c r="B23" s="680"/>
      <c r="C23" s="681"/>
      <c r="D23" s="23" t="s">
        <v>18</v>
      </c>
      <c r="E23" s="24">
        <v>480000</v>
      </c>
      <c r="F23" s="25"/>
      <c r="G23" s="42"/>
    </row>
    <row r="24" spans="1:21" s="22" customFormat="1">
      <c r="A24" s="679" t="s">
        <v>225</v>
      </c>
      <c r="B24" s="680"/>
      <c r="C24" s="681"/>
      <c r="D24" s="23" t="s">
        <v>4</v>
      </c>
      <c r="E24" s="24">
        <v>800000</v>
      </c>
      <c r="F24" s="25"/>
      <c r="G24" s="42"/>
    </row>
    <row r="25" spans="1:21" s="22" customFormat="1">
      <c r="A25" s="679" t="s">
        <v>226</v>
      </c>
      <c r="B25" s="680"/>
      <c r="C25" s="681"/>
      <c r="D25" s="23" t="s">
        <v>4</v>
      </c>
      <c r="E25" s="24">
        <v>870000</v>
      </c>
      <c r="F25" s="25"/>
      <c r="G25" s="42"/>
    </row>
    <row r="26" spans="1:21" s="22" customFormat="1">
      <c r="A26" s="679" t="s">
        <v>227</v>
      </c>
      <c r="B26" s="680"/>
      <c r="C26" s="681"/>
      <c r="D26" s="23" t="s">
        <v>4</v>
      </c>
      <c r="E26" s="24">
        <v>800000</v>
      </c>
      <c r="F26" s="25"/>
      <c r="G26" s="42"/>
    </row>
    <row r="27" spans="1:21" s="22" customFormat="1">
      <c r="A27" s="679" t="s">
        <v>228</v>
      </c>
      <c r="B27" s="680"/>
      <c r="C27" s="681"/>
      <c r="D27" s="23" t="s">
        <v>4</v>
      </c>
      <c r="E27" s="24">
        <v>1500000</v>
      </c>
      <c r="F27" s="25"/>
      <c r="G27" s="42"/>
    </row>
    <row r="28" spans="1:21" s="22" customFormat="1">
      <c r="A28" s="679" t="s">
        <v>70</v>
      </c>
      <c r="B28" s="680"/>
      <c r="C28" s="681"/>
      <c r="D28" s="23" t="s">
        <v>63</v>
      </c>
      <c r="E28" s="24">
        <v>65000</v>
      </c>
      <c r="F28" s="25"/>
      <c r="G28" s="42"/>
      <c r="U28" s="22">
        <f>+U16/4.77</f>
        <v>5241.0901467505246</v>
      </c>
    </row>
    <row r="29" spans="1:21" s="22" customFormat="1">
      <c r="A29" s="679" t="s">
        <v>242</v>
      </c>
      <c r="B29" s="680"/>
      <c r="C29" s="681"/>
      <c r="D29" s="23" t="s">
        <v>4</v>
      </c>
      <c r="E29" s="24">
        <v>400000</v>
      </c>
      <c r="F29" s="25"/>
      <c r="G29" s="42"/>
    </row>
    <row r="30" spans="1:21" s="22" customFormat="1">
      <c r="A30" s="679" t="s">
        <v>71</v>
      </c>
      <c r="B30" s="680"/>
      <c r="C30" s="681"/>
      <c r="D30" s="23" t="s">
        <v>72</v>
      </c>
      <c r="E30" s="24">
        <v>25000</v>
      </c>
      <c r="G30" s="42"/>
    </row>
    <row r="31" spans="1:21" s="22" customFormat="1">
      <c r="A31" s="679" t="s">
        <v>73</v>
      </c>
      <c r="B31" s="680"/>
      <c r="C31" s="681"/>
      <c r="D31" s="23" t="s">
        <v>63</v>
      </c>
      <c r="E31" s="24">
        <v>48000</v>
      </c>
      <c r="G31" s="42"/>
    </row>
    <row r="32" spans="1:21" s="22" customFormat="1">
      <c r="A32" s="679" t="s">
        <v>243</v>
      </c>
      <c r="B32" s="680"/>
      <c r="C32" s="681"/>
      <c r="D32" s="23" t="s">
        <v>50</v>
      </c>
      <c r="E32" s="24">
        <v>70000</v>
      </c>
      <c r="G32" s="42"/>
    </row>
    <row r="33" spans="1:19" s="22" customFormat="1">
      <c r="A33" s="679" t="s">
        <v>244</v>
      </c>
      <c r="B33" s="680"/>
      <c r="C33" s="681"/>
      <c r="D33" s="23" t="s">
        <v>4</v>
      </c>
      <c r="E33" s="24">
        <v>70000</v>
      </c>
      <c r="G33" s="42"/>
    </row>
    <row r="34" spans="1:19" s="22" customFormat="1">
      <c r="A34" s="679" t="s">
        <v>245</v>
      </c>
      <c r="B34" s="680"/>
      <c r="C34" s="681"/>
      <c r="D34" s="23" t="s">
        <v>4</v>
      </c>
      <c r="E34" s="24">
        <v>700</v>
      </c>
      <c r="G34" s="42"/>
    </row>
    <row r="35" spans="1:19" s="22" customFormat="1">
      <c r="A35" s="679" t="s">
        <v>74</v>
      </c>
      <c r="B35" s="680"/>
      <c r="C35" s="681"/>
      <c r="D35" s="23" t="s">
        <v>54</v>
      </c>
      <c r="E35" s="24">
        <v>250000</v>
      </c>
      <c r="G35" s="42"/>
    </row>
    <row r="36" spans="1:19" s="22" customFormat="1">
      <c r="A36" s="720" t="s">
        <v>75</v>
      </c>
      <c r="B36" s="720"/>
      <c r="C36" s="720"/>
      <c r="D36" s="23" t="s">
        <v>68</v>
      </c>
      <c r="E36" s="43">
        <v>1000</v>
      </c>
      <c r="G36" s="42"/>
    </row>
    <row r="37" spans="1:19" s="22" customFormat="1">
      <c r="A37" s="679" t="s">
        <v>76</v>
      </c>
      <c r="B37" s="680"/>
      <c r="C37" s="681"/>
      <c r="D37" s="23" t="s">
        <v>63</v>
      </c>
      <c r="E37" s="24">
        <v>65000</v>
      </c>
      <c r="F37" s="25"/>
      <c r="G37" s="28">
        <v>2</v>
      </c>
      <c r="H37" s="29" t="s">
        <v>64</v>
      </c>
      <c r="I37" s="30">
        <v>0.25</v>
      </c>
      <c r="J37" s="31" t="s">
        <v>64</v>
      </c>
      <c r="K37" s="32">
        <v>0.25</v>
      </c>
      <c r="L37" s="33"/>
      <c r="M37" s="34">
        <f>+G37*G37/16</f>
        <v>0.25</v>
      </c>
      <c r="N37" s="35" t="s">
        <v>65</v>
      </c>
      <c r="O37" s="36">
        <f>+M37*S37/Q37</f>
        <v>496.66666666666669</v>
      </c>
      <c r="P37" s="37"/>
      <c r="Q37" s="38">
        <f>+M37*6</f>
        <v>1.5</v>
      </c>
      <c r="R37" s="35" t="s">
        <v>65</v>
      </c>
      <c r="S37" s="39">
        <v>2980</v>
      </c>
    </row>
    <row r="38" spans="1:19" s="22" customFormat="1">
      <c r="A38" s="679" t="s">
        <v>77</v>
      </c>
      <c r="B38" s="680"/>
      <c r="C38" s="681"/>
      <c r="D38" s="23" t="s">
        <v>63</v>
      </c>
      <c r="E38" s="24">
        <v>65000</v>
      </c>
      <c r="F38" s="25"/>
      <c r="G38" s="28">
        <v>2</v>
      </c>
      <c r="H38" s="29" t="s">
        <v>64</v>
      </c>
      <c r="I38" s="30">
        <v>0.25</v>
      </c>
      <c r="J38" s="31" t="s">
        <v>64</v>
      </c>
      <c r="K38" s="32">
        <v>0.25</v>
      </c>
      <c r="L38" s="33"/>
      <c r="M38" s="34">
        <f>+G38*G38/16</f>
        <v>0.25</v>
      </c>
      <c r="N38" s="35" t="s">
        <v>65</v>
      </c>
      <c r="O38" s="36">
        <f>+M38*S38/Q38</f>
        <v>496.66666666666669</v>
      </c>
      <c r="P38" s="37"/>
      <c r="Q38" s="38">
        <f>+M38*6</f>
        <v>1.5</v>
      </c>
      <c r="R38" s="35" t="s">
        <v>65</v>
      </c>
      <c r="S38" s="39">
        <v>2980</v>
      </c>
    </row>
    <row r="39" spans="1:19" ht="15" customHeight="1">
      <c r="A39" s="679" t="s">
        <v>78</v>
      </c>
      <c r="B39" s="680"/>
      <c r="C39" s="681"/>
      <c r="D39" s="23" t="s">
        <v>63</v>
      </c>
      <c r="E39" s="24">
        <v>200000</v>
      </c>
    </row>
    <row r="40" spans="1:19">
      <c r="A40" s="679" t="s">
        <v>79</v>
      </c>
      <c r="B40" s="680"/>
      <c r="C40" s="681"/>
      <c r="D40" s="23" t="s">
        <v>4</v>
      </c>
      <c r="E40" s="24">
        <v>350000</v>
      </c>
    </row>
    <row r="41" spans="1:19">
      <c r="A41" s="676" t="s">
        <v>90</v>
      </c>
      <c r="B41" s="677"/>
      <c r="C41" s="678"/>
      <c r="D41" s="47" t="s">
        <v>15</v>
      </c>
      <c r="E41" s="48">
        <v>3450</v>
      </c>
    </row>
    <row r="42" spans="1:19">
      <c r="A42" s="679" t="s">
        <v>80</v>
      </c>
      <c r="B42" s="680"/>
      <c r="C42" s="681"/>
      <c r="D42" s="23" t="s">
        <v>15</v>
      </c>
      <c r="E42" s="24">
        <v>6500</v>
      </c>
    </row>
    <row r="43" spans="1:19">
      <c r="A43" s="679" t="s">
        <v>81</v>
      </c>
      <c r="B43" s="680"/>
      <c r="C43" s="681"/>
      <c r="D43" s="23" t="s">
        <v>82</v>
      </c>
      <c r="E43" s="24">
        <v>130000</v>
      </c>
    </row>
    <row r="44" spans="1:19">
      <c r="A44" s="679" t="s">
        <v>83</v>
      </c>
      <c r="B44" s="680"/>
      <c r="C44" s="681"/>
      <c r="D44" s="23" t="s">
        <v>82</v>
      </c>
      <c r="E44" s="24">
        <v>80000</v>
      </c>
    </row>
    <row r="45" spans="1:19" ht="13.5" customHeight="1">
      <c r="A45" s="679" t="s">
        <v>84</v>
      </c>
      <c r="B45" s="680"/>
      <c r="C45" s="681"/>
      <c r="D45" s="23" t="s">
        <v>4</v>
      </c>
      <c r="E45" s="24">
        <v>80300</v>
      </c>
      <c r="G45" s="45" t="s">
        <v>85</v>
      </c>
    </row>
    <row r="46" spans="1:19">
      <c r="A46" s="721" t="s">
        <v>335</v>
      </c>
      <c r="B46" s="722"/>
      <c r="C46" s="723"/>
      <c r="D46" s="47" t="s">
        <v>82</v>
      </c>
      <c r="E46" s="48">
        <v>107200</v>
      </c>
      <c r="G46" s="46"/>
    </row>
    <row r="47" spans="1:19" ht="37.200000000000003" customHeight="1">
      <c r="A47" s="689" t="s">
        <v>271</v>
      </c>
      <c r="B47" s="689"/>
      <c r="C47" s="689"/>
      <c r="D47" s="147" t="s">
        <v>50</v>
      </c>
      <c r="E47" s="148">
        <f>232850</f>
        <v>232850</v>
      </c>
      <c r="G47" s="46" t="s">
        <v>86</v>
      </c>
    </row>
    <row r="48" spans="1:19">
      <c r="A48" s="690" t="s">
        <v>200</v>
      </c>
      <c r="B48" s="690"/>
      <c r="C48" s="690"/>
      <c r="D48" s="13" t="s">
        <v>100</v>
      </c>
      <c r="E48" s="149">
        <v>2500</v>
      </c>
    </row>
    <row r="49" spans="1:5">
      <c r="A49" s="687" t="s">
        <v>101</v>
      </c>
      <c r="B49" s="687"/>
      <c r="C49" s="687"/>
      <c r="D49" s="13" t="s">
        <v>100</v>
      </c>
      <c r="E49" s="149">
        <v>10000</v>
      </c>
    </row>
    <row r="50" spans="1:5">
      <c r="A50" s="687" t="s">
        <v>207</v>
      </c>
      <c r="B50" s="687"/>
      <c r="C50" s="687"/>
      <c r="D50" s="13" t="s">
        <v>100</v>
      </c>
      <c r="E50" s="149">
        <v>5000</v>
      </c>
    </row>
    <row r="51" spans="1:5">
      <c r="A51" s="687" t="s">
        <v>209</v>
      </c>
      <c r="B51" s="687"/>
      <c r="C51" s="687"/>
      <c r="D51" s="13" t="s">
        <v>18</v>
      </c>
      <c r="E51" s="149">
        <v>2000</v>
      </c>
    </row>
    <row r="52" spans="1:5">
      <c r="A52" s="688" t="s">
        <v>208</v>
      </c>
      <c r="B52" s="688"/>
      <c r="C52" s="688"/>
      <c r="D52" s="13" t="s">
        <v>18</v>
      </c>
      <c r="E52" s="149">
        <v>2000</v>
      </c>
    </row>
    <row r="53" spans="1:5" ht="15.6">
      <c r="A53" s="685" t="s">
        <v>205</v>
      </c>
      <c r="B53" s="686"/>
      <c r="C53" s="686"/>
      <c r="D53" s="50" t="s">
        <v>18</v>
      </c>
      <c r="E53" s="150">
        <v>600</v>
      </c>
    </row>
    <row r="54" spans="1:5" ht="15.6">
      <c r="A54" s="685" t="s">
        <v>264</v>
      </c>
      <c r="B54" s="686"/>
      <c r="C54" s="686"/>
      <c r="D54" s="50" t="s">
        <v>18</v>
      </c>
      <c r="E54" s="150">
        <v>4500</v>
      </c>
    </row>
    <row r="55" spans="1:5" ht="15.6">
      <c r="A55" s="685" t="s">
        <v>265</v>
      </c>
      <c r="B55" s="686"/>
      <c r="C55" s="686"/>
      <c r="D55" s="50" t="s">
        <v>18</v>
      </c>
      <c r="E55" s="150">
        <v>4500</v>
      </c>
    </row>
    <row r="56" spans="1:5" ht="15.6">
      <c r="A56" s="685" t="s">
        <v>201</v>
      </c>
      <c r="B56" s="686"/>
      <c r="C56" s="686"/>
      <c r="D56" s="50" t="s">
        <v>18</v>
      </c>
      <c r="E56" s="150">
        <v>1200</v>
      </c>
    </row>
    <row r="57" spans="1:5" ht="15.6">
      <c r="A57" s="685" t="s">
        <v>202</v>
      </c>
      <c r="B57" s="686"/>
      <c r="C57" s="686"/>
      <c r="D57" s="50" t="s">
        <v>18</v>
      </c>
      <c r="E57" s="150">
        <v>600</v>
      </c>
    </row>
    <row r="58" spans="1:5" ht="15.6">
      <c r="A58" s="685" t="s">
        <v>206</v>
      </c>
      <c r="B58" s="686"/>
      <c r="C58" s="686"/>
      <c r="D58" s="50" t="s">
        <v>18</v>
      </c>
      <c r="E58" s="150">
        <v>3200</v>
      </c>
    </row>
    <row r="59" spans="1:5" ht="15.6">
      <c r="A59" s="685" t="s">
        <v>203</v>
      </c>
      <c r="B59" s="686"/>
      <c r="C59" s="686"/>
      <c r="D59" s="50" t="s">
        <v>18</v>
      </c>
      <c r="E59" s="150">
        <v>600</v>
      </c>
    </row>
    <row r="60" spans="1:5" ht="15.6">
      <c r="A60" s="685" t="s">
        <v>204</v>
      </c>
      <c r="B60" s="686"/>
      <c r="C60" s="686"/>
      <c r="D60" s="50" t="s">
        <v>18</v>
      </c>
      <c r="E60" s="150">
        <v>600</v>
      </c>
    </row>
    <row r="61" spans="1:5" ht="15.6">
      <c r="A61" s="683" t="s">
        <v>213</v>
      </c>
      <c r="B61" s="683"/>
      <c r="C61" s="683"/>
      <c r="D61" s="12" t="s">
        <v>18</v>
      </c>
      <c r="E61" s="151">
        <v>400000</v>
      </c>
    </row>
    <row r="62" spans="1:5" ht="15.6">
      <c r="A62" s="684" t="s">
        <v>210</v>
      </c>
      <c r="B62" s="684"/>
      <c r="C62" s="684"/>
      <c r="D62" s="12" t="s">
        <v>18</v>
      </c>
      <c r="E62" s="151">
        <v>390000</v>
      </c>
    </row>
    <row r="63" spans="1:5" ht="15.6">
      <c r="A63" s="684" t="s">
        <v>211</v>
      </c>
      <c r="B63" s="684"/>
      <c r="C63" s="684"/>
      <c r="D63" s="12" t="s">
        <v>18</v>
      </c>
      <c r="E63" s="151">
        <v>1200000</v>
      </c>
    </row>
    <row r="64" spans="1:5" ht="29.4" customHeight="1">
      <c r="A64" s="682" t="s">
        <v>212</v>
      </c>
      <c r="B64" s="682"/>
      <c r="C64" s="682"/>
      <c r="D64" s="12" t="s">
        <v>18</v>
      </c>
      <c r="E64" s="151">
        <v>500000</v>
      </c>
    </row>
    <row r="65" spans="1:13" ht="29.4" customHeight="1">
      <c r="A65" s="682" t="s">
        <v>214</v>
      </c>
      <c r="B65" s="682"/>
      <c r="C65" s="682"/>
      <c r="D65" s="12" t="s">
        <v>18</v>
      </c>
      <c r="E65" s="151">
        <v>15000</v>
      </c>
    </row>
    <row r="66" spans="1:13" ht="29.4" customHeight="1">
      <c r="A66" s="682" t="s">
        <v>215</v>
      </c>
      <c r="B66" s="682"/>
      <c r="C66" s="682"/>
      <c r="D66" s="12" t="s">
        <v>216</v>
      </c>
      <c r="E66" s="151">
        <v>3500</v>
      </c>
    </row>
    <row r="67" spans="1:13" ht="29.4" customHeight="1">
      <c r="A67" s="682" t="s">
        <v>217</v>
      </c>
      <c r="B67" s="682"/>
      <c r="C67" s="682"/>
      <c r="D67" s="12" t="s">
        <v>17</v>
      </c>
      <c r="E67" s="151">
        <v>8000</v>
      </c>
    </row>
    <row r="68" spans="1:13" ht="29.4" customHeight="1">
      <c r="A68" s="682" t="s">
        <v>229</v>
      </c>
      <c r="B68" s="682"/>
      <c r="C68" s="682"/>
      <c r="D68" s="12" t="s">
        <v>230</v>
      </c>
      <c r="E68" s="151">
        <v>2800</v>
      </c>
      <c r="K68" s="149">
        <v>1039000</v>
      </c>
    </row>
    <row r="69" spans="1:13" ht="29.4" customHeight="1">
      <c r="A69" s="682" t="s">
        <v>266</v>
      </c>
      <c r="B69" s="682"/>
      <c r="C69" s="682"/>
      <c r="D69" s="12" t="s">
        <v>18</v>
      </c>
      <c r="E69" s="151">
        <f>28000*1.2</f>
        <v>33600</v>
      </c>
      <c r="K69" s="149"/>
    </row>
    <row r="70" spans="1:13" ht="29.4" customHeight="1">
      <c r="A70" s="682" t="s">
        <v>267</v>
      </c>
      <c r="B70" s="682"/>
      <c r="C70" s="682"/>
      <c r="D70" s="12" t="s">
        <v>18</v>
      </c>
      <c r="E70" s="151">
        <f>9000*1.25</f>
        <v>11250</v>
      </c>
      <c r="K70" s="149"/>
    </row>
    <row r="71" spans="1:13" ht="29.4" customHeight="1">
      <c r="A71" s="682" t="s">
        <v>268</v>
      </c>
      <c r="B71" s="682"/>
      <c r="C71" s="682"/>
      <c r="D71" s="12" t="s">
        <v>18</v>
      </c>
      <c r="E71" s="151">
        <v>3000</v>
      </c>
      <c r="K71" s="149"/>
    </row>
    <row r="72" spans="1:13" ht="29.4" customHeight="1">
      <c r="A72" s="682" t="s">
        <v>275</v>
      </c>
      <c r="B72" s="682"/>
      <c r="C72" s="682"/>
      <c r="D72" s="12" t="s">
        <v>18</v>
      </c>
      <c r="E72" s="151">
        <f>4400*1.25</f>
        <v>5500</v>
      </c>
      <c r="K72" s="725" t="s">
        <v>97</v>
      </c>
      <c r="L72" s="726"/>
      <c r="M72" s="727"/>
    </row>
    <row r="73" spans="1:13" ht="29.4" customHeight="1">
      <c r="A73" s="682" t="s">
        <v>276</v>
      </c>
      <c r="B73" s="682"/>
      <c r="C73" s="682"/>
      <c r="D73" s="12" t="s">
        <v>4</v>
      </c>
      <c r="E73" s="151">
        <v>18000</v>
      </c>
      <c r="K73" s="149" t="s">
        <v>98</v>
      </c>
    </row>
    <row r="74" spans="1:13" ht="29.4" customHeight="1">
      <c r="A74" s="724" t="e">
        <f>+#REF!</f>
        <v>#REF!</v>
      </c>
      <c r="B74" s="682"/>
      <c r="C74" s="682"/>
      <c r="D74" s="12" t="s">
        <v>18</v>
      </c>
      <c r="E74" s="151">
        <v>15000</v>
      </c>
      <c r="K74" s="149"/>
    </row>
    <row r="75" spans="1:13" ht="29.4" customHeight="1">
      <c r="A75" s="724" t="e">
        <f>+#REF!</f>
        <v>#REF!</v>
      </c>
      <c r="B75" s="724"/>
      <c r="C75" s="724"/>
      <c r="D75" s="12" t="s">
        <v>18</v>
      </c>
      <c r="E75" s="151">
        <v>105000</v>
      </c>
      <c r="K75" s="149"/>
    </row>
    <row r="76" spans="1:13" ht="29.4" customHeight="1">
      <c r="A76" s="724" t="s">
        <v>97</v>
      </c>
      <c r="B76" s="682"/>
      <c r="C76" s="682"/>
      <c r="D76" s="12" t="s">
        <v>4</v>
      </c>
      <c r="E76" s="151">
        <v>34000</v>
      </c>
      <c r="K76" s="149"/>
    </row>
    <row r="77" spans="1:13" ht="29.4" customHeight="1">
      <c r="A77" s="724" t="s">
        <v>277</v>
      </c>
      <c r="B77" s="724"/>
      <c r="C77" s="724"/>
      <c r="D77" s="12" t="s">
        <v>4</v>
      </c>
      <c r="E77" s="151">
        <v>2500</v>
      </c>
      <c r="K77" s="149"/>
    </row>
    <row r="78" spans="1:13" ht="15.6">
      <c r="A78" s="682" t="s">
        <v>231</v>
      </c>
      <c r="B78" s="682"/>
      <c r="C78" s="682"/>
      <c r="D78" s="12" t="s">
        <v>50</v>
      </c>
      <c r="E78" s="151">
        <f>89700*1.25/3</f>
        <v>37375</v>
      </c>
      <c r="K78" s="157">
        <f>+K68/50</f>
        <v>20780</v>
      </c>
    </row>
    <row r="79" spans="1:13" ht="15.6">
      <c r="A79" s="682" t="s">
        <v>232</v>
      </c>
      <c r="B79" s="682"/>
      <c r="C79" s="682"/>
      <c r="D79" s="12" t="s">
        <v>18</v>
      </c>
      <c r="E79" s="151">
        <v>7000</v>
      </c>
      <c r="K79" s="13">
        <f>+K78/6</f>
        <v>3463.3333333333335</v>
      </c>
    </row>
    <row r="80" spans="1:13" ht="15.6">
      <c r="A80" s="682" t="s">
        <v>233</v>
      </c>
      <c r="B80" s="682"/>
      <c r="C80" s="682"/>
      <c r="D80" s="12" t="s">
        <v>18</v>
      </c>
      <c r="E80" s="151">
        <v>6000</v>
      </c>
    </row>
    <row r="81" spans="1:7" ht="15.6">
      <c r="A81" s="682" t="s">
        <v>234</v>
      </c>
      <c r="B81" s="682"/>
      <c r="C81" s="682"/>
      <c r="D81" s="12" t="s">
        <v>18</v>
      </c>
      <c r="E81" s="151">
        <v>30000</v>
      </c>
    </row>
    <row r="82" spans="1:7" ht="15.6">
      <c r="A82" s="682" t="s">
        <v>235</v>
      </c>
      <c r="B82" s="682"/>
      <c r="C82" s="682"/>
      <c r="D82" s="12" t="s">
        <v>18</v>
      </c>
      <c r="E82" s="151">
        <v>150</v>
      </c>
    </row>
    <row r="83" spans="1:7" ht="15.6">
      <c r="A83" s="682" t="s">
        <v>241</v>
      </c>
      <c r="B83" s="682"/>
      <c r="C83" s="682"/>
      <c r="D83" s="12" t="s">
        <v>100</v>
      </c>
      <c r="E83" s="151">
        <f>94000*1.2/3+20000</f>
        <v>57600</v>
      </c>
    </row>
    <row r="84" spans="1:7" ht="15.6">
      <c r="A84" s="682" t="s">
        <v>270</v>
      </c>
      <c r="B84" s="682"/>
      <c r="C84" s="682"/>
      <c r="D84" s="158"/>
      <c r="E84" s="159">
        <v>8000000</v>
      </c>
    </row>
    <row r="85" spans="1:7">
      <c r="A85" s="687" t="s">
        <v>272</v>
      </c>
      <c r="B85" s="687"/>
      <c r="C85" s="687"/>
      <c r="D85" s="13" t="s">
        <v>273</v>
      </c>
      <c r="E85" s="13">
        <v>64</v>
      </c>
    </row>
    <row r="88" spans="1:7">
      <c r="E88" s="13" t="s">
        <v>263</v>
      </c>
    </row>
    <row r="93" spans="1:7">
      <c r="G93" s="44" t="s">
        <v>272</v>
      </c>
    </row>
    <row r="96" spans="1:7">
      <c r="E96" s="13">
        <v>32</v>
      </c>
    </row>
  </sheetData>
  <mergeCells count="93">
    <mergeCell ref="K72:M72"/>
    <mergeCell ref="A76:C76"/>
    <mergeCell ref="A77:C77"/>
    <mergeCell ref="A85:C85"/>
    <mergeCell ref="A75:C75"/>
    <mergeCell ref="A84:C84"/>
    <mergeCell ref="A78:C78"/>
    <mergeCell ref="A79:C79"/>
    <mergeCell ref="A80:C80"/>
    <mergeCell ref="A81:C81"/>
    <mergeCell ref="A82:C82"/>
    <mergeCell ref="A83:C83"/>
    <mergeCell ref="A69:C69"/>
    <mergeCell ref="A70:C70"/>
    <mergeCell ref="A71:C71"/>
    <mergeCell ref="A72:C72"/>
    <mergeCell ref="A74:C74"/>
    <mergeCell ref="A73:C73"/>
    <mergeCell ref="A46:C46"/>
    <mergeCell ref="A39:C39"/>
    <mergeCell ref="A40:C40"/>
    <mergeCell ref="A41:C41"/>
    <mergeCell ref="A42:C42"/>
    <mergeCell ref="A43:C43"/>
    <mergeCell ref="A44:C44"/>
    <mergeCell ref="A35:C35"/>
    <mergeCell ref="A36:C36"/>
    <mergeCell ref="A37:C37"/>
    <mergeCell ref="A33:C33"/>
    <mergeCell ref="A45:C45"/>
    <mergeCell ref="A34:C34"/>
    <mergeCell ref="A15:C15"/>
    <mergeCell ref="A16:C16"/>
    <mergeCell ref="A28:C28"/>
    <mergeCell ref="A30:C30"/>
    <mergeCell ref="A31:C31"/>
    <mergeCell ref="A1:E1"/>
    <mergeCell ref="G1:S1"/>
    <mergeCell ref="A2:E2"/>
    <mergeCell ref="G2:S2"/>
    <mergeCell ref="A3:E3"/>
    <mergeCell ref="G3:S3"/>
    <mergeCell ref="A47:C47"/>
    <mergeCell ref="A48:C48"/>
    <mergeCell ref="A49:C49"/>
    <mergeCell ref="P5:P6"/>
    <mergeCell ref="Q5:S5"/>
    <mergeCell ref="A6:C6"/>
    <mergeCell ref="A5:C5"/>
    <mergeCell ref="G5:G6"/>
    <mergeCell ref="H5:K6"/>
    <mergeCell ref="M5:O5"/>
    <mergeCell ref="A7:C7"/>
    <mergeCell ref="A8:C8"/>
    <mergeCell ref="A10:C10"/>
    <mergeCell ref="A9:C9"/>
    <mergeCell ref="A38:C38"/>
    <mergeCell ref="A11:C11"/>
    <mergeCell ref="A60:C60"/>
    <mergeCell ref="A54:C54"/>
    <mergeCell ref="A55:C55"/>
    <mergeCell ref="A50:C50"/>
    <mergeCell ref="A52:C52"/>
    <mergeCell ref="A51:C51"/>
    <mergeCell ref="A53:C53"/>
    <mergeCell ref="A56:C56"/>
    <mergeCell ref="A57:C57"/>
    <mergeCell ref="A58:C58"/>
    <mergeCell ref="A59:C59"/>
    <mergeCell ref="A68:C68"/>
    <mergeCell ref="A66:C66"/>
    <mergeCell ref="A67:C67"/>
    <mergeCell ref="A61:C61"/>
    <mergeCell ref="A62:C62"/>
    <mergeCell ref="A63:C63"/>
    <mergeCell ref="A64:C64"/>
    <mergeCell ref="A65:C65"/>
    <mergeCell ref="A12:C12"/>
    <mergeCell ref="A13:C13"/>
    <mergeCell ref="A21:C21"/>
    <mergeCell ref="A29:C29"/>
    <mergeCell ref="A32:C32"/>
    <mergeCell ref="A17:C17"/>
    <mergeCell ref="A19:C19"/>
    <mergeCell ref="A18:C18"/>
    <mergeCell ref="A20:C20"/>
    <mergeCell ref="A22:C22"/>
    <mergeCell ref="A23:C23"/>
    <mergeCell ref="A24:C24"/>
    <mergeCell ref="A26:C26"/>
    <mergeCell ref="A25:C25"/>
    <mergeCell ref="A27:C27"/>
    <mergeCell ref="A14:C14"/>
  </mergeCells>
  <pageMargins left="0.7" right="0.7" top="0.75" bottom="0.75" header="0.3" footer="0.3"/>
  <pageSetup scale="5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00"/>
  <sheetViews>
    <sheetView view="pageBreakPreview" topLeftCell="B31" zoomScale="60" zoomScaleNormal="100" workbookViewId="0">
      <selection activeCell="H42" sqref="H42"/>
    </sheetView>
  </sheetViews>
  <sheetFormatPr baseColWidth="10" defaultColWidth="11.5546875" defaultRowHeight="13.8"/>
  <cols>
    <col min="1" max="1" width="10.6640625" style="51" hidden="1" customWidth="1"/>
    <col min="2" max="2" width="42.6640625" style="51" customWidth="1"/>
    <col min="3" max="3" width="21.33203125" style="51" customWidth="1"/>
    <col min="4" max="4" width="25.33203125" style="51" customWidth="1"/>
    <col min="5" max="5" width="18.6640625" style="51" customWidth="1"/>
    <col min="6" max="6" width="18.88671875" style="51" customWidth="1"/>
    <col min="7" max="7" width="19" style="51" customWidth="1"/>
    <col min="8" max="8" width="18.33203125" style="51" customWidth="1"/>
    <col min="9" max="9" width="24.44140625" style="51" customWidth="1"/>
    <col min="10" max="10" width="24" style="51" customWidth="1"/>
    <col min="11" max="11" width="21.6640625" style="51" customWidth="1"/>
    <col min="12" max="12" width="11.5546875" style="51"/>
    <col min="13" max="13" width="14.33203125" style="51" bestFit="1" customWidth="1"/>
    <col min="14" max="16384" width="11.5546875" style="51"/>
  </cols>
  <sheetData>
    <row r="1" spans="1:11" ht="11.4" customHeight="1" thickBot="1">
      <c r="I1" s="52" t="s">
        <v>102</v>
      </c>
      <c r="J1" s="53" t="s">
        <v>103</v>
      </c>
    </row>
    <row r="2" spans="1:11" ht="58.95" customHeight="1" thickTop="1" thickBot="1">
      <c r="B2" s="745" t="s">
        <v>104</v>
      </c>
      <c r="C2" s="746"/>
      <c r="D2" s="746"/>
      <c r="E2" s="746"/>
      <c r="F2" s="746"/>
      <c r="G2" s="746"/>
      <c r="H2" s="746"/>
      <c r="I2" s="746"/>
      <c r="J2" s="746"/>
      <c r="K2" s="747"/>
    </row>
    <row r="3" spans="1:11" ht="15" thickTop="1" thickBot="1">
      <c r="A3" s="54"/>
      <c r="B3" s="55"/>
      <c r="C3" s="54"/>
      <c r="D3" s="54"/>
      <c r="E3" s="54"/>
      <c r="F3" s="54"/>
      <c r="G3" s="54"/>
      <c r="H3" s="54"/>
      <c r="I3" s="54"/>
      <c r="J3" s="54"/>
      <c r="K3" s="54"/>
    </row>
    <row r="4" spans="1:11" ht="21" customHeight="1" thickTop="1" thickBot="1">
      <c r="A4" s="54"/>
      <c r="B4" s="748" t="str">
        <f>PRESUPUESTO!A8</f>
        <v>AMPLIACION DE ALBERGUE TRANSITORIO DE FAUNA DOMESTICA EN EL MUNICIPIO DE CAUCASIA  DEPARTAMENTO DE ANTIOQUIA.</v>
      </c>
      <c r="C4" s="749"/>
      <c r="D4" s="749"/>
      <c r="E4" s="749"/>
      <c r="F4" s="749"/>
      <c r="G4" s="749"/>
      <c r="H4" s="749"/>
      <c r="I4" s="54"/>
      <c r="J4" s="56" t="s">
        <v>105</v>
      </c>
      <c r="K4" s="56" t="s">
        <v>106</v>
      </c>
    </row>
    <row r="5" spans="1:11" ht="19.2" customHeight="1" thickTop="1" thickBot="1">
      <c r="A5" s="54"/>
      <c r="B5" s="750"/>
      <c r="C5" s="751"/>
      <c r="D5" s="751"/>
      <c r="E5" s="751"/>
      <c r="F5" s="751"/>
      <c r="G5" s="751"/>
      <c r="H5" s="751"/>
      <c r="I5" s="54"/>
      <c r="J5" s="56" t="s">
        <v>107</v>
      </c>
      <c r="K5" s="56" t="s">
        <v>108</v>
      </c>
    </row>
    <row r="6" spans="1:11" ht="20.399999999999999" customHeight="1" thickTop="1" thickBot="1">
      <c r="A6" s="54"/>
      <c r="B6" s="750"/>
      <c r="C6" s="751"/>
      <c r="D6" s="751"/>
      <c r="E6" s="751"/>
      <c r="F6" s="751"/>
      <c r="G6" s="751"/>
      <c r="H6" s="751"/>
      <c r="I6" s="54"/>
      <c r="J6" s="56" t="s">
        <v>0</v>
      </c>
      <c r="K6" s="56" t="s">
        <v>584</v>
      </c>
    </row>
    <row r="7" spans="1:11" ht="23.4" customHeight="1" thickTop="1">
      <c r="A7" s="54"/>
      <c r="B7" s="750"/>
      <c r="C7" s="751"/>
      <c r="D7" s="751"/>
      <c r="E7" s="751"/>
      <c r="F7" s="751"/>
      <c r="G7" s="751"/>
      <c r="H7" s="751"/>
      <c r="I7" s="54"/>
      <c r="J7" s="752" t="s">
        <v>109</v>
      </c>
      <c r="K7" s="753"/>
    </row>
    <row r="8" spans="1:11" ht="14.4" thickBot="1">
      <c r="A8" s="54"/>
      <c r="B8" s="55"/>
      <c r="C8" s="54"/>
      <c r="D8" s="54"/>
      <c r="E8" s="54"/>
      <c r="F8" s="54"/>
      <c r="G8" s="54"/>
      <c r="H8" s="54"/>
      <c r="I8" s="54"/>
      <c r="J8" s="54"/>
      <c r="K8" s="54"/>
    </row>
    <row r="9" spans="1:11" ht="66.599999999999994" customHeight="1" thickTop="1">
      <c r="A9" s="54"/>
      <c r="B9" s="754" t="s">
        <v>585</v>
      </c>
      <c r="C9" s="57" t="s">
        <v>110</v>
      </c>
      <c r="D9" s="58">
        <v>1423500</v>
      </c>
      <c r="E9" s="59"/>
      <c r="F9" s="60"/>
      <c r="G9" s="61"/>
      <c r="H9" s="61"/>
      <c r="I9" s="61"/>
      <c r="J9" s="61"/>
      <c r="K9" s="61"/>
    </row>
    <row r="10" spans="1:11" ht="54.6" customHeight="1" thickBot="1">
      <c r="A10" s="54"/>
      <c r="B10" s="755"/>
      <c r="C10" s="62" t="s">
        <v>111</v>
      </c>
      <c r="D10" s="63">
        <v>200000</v>
      </c>
      <c r="E10" s="64"/>
      <c r="F10" s="64"/>
      <c r="G10" s="61"/>
      <c r="H10" s="61"/>
      <c r="I10" s="61"/>
      <c r="J10" s="61"/>
      <c r="K10" s="61"/>
    </row>
    <row r="11" spans="1:11" ht="15" thickTop="1" thickBot="1">
      <c r="A11" s="54"/>
      <c r="B11" s="65"/>
      <c r="C11" s="66"/>
      <c r="D11" s="66"/>
      <c r="E11" s="66"/>
      <c r="F11" s="66"/>
      <c r="G11" s="66"/>
      <c r="H11" s="66"/>
      <c r="I11" s="52"/>
      <c r="J11" s="66"/>
      <c r="K11" s="66"/>
    </row>
    <row r="12" spans="1:11" ht="15" thickTop="1" thickBot="1">
      <c r="A12" s="54"/>
      <c r="B12" s="67" t="s">
        <v>19</v>
      </c>
      <c r="C12" s="68" t="s">
        <v>112</v>
      </c>
      <c r="D12" s="68" t="s">
        <v>113</v>
      </c>
      <c r="E12" s="68" t="s">
        <v>114</v>
      </c>
      <c r="F12" s="68" t="s">
        <v>115</v>
      </c>
      <c r="G12" s="68" t="s">
        <v>116</v>
      </c>
      <c r="H12" s="68" t="s">
        <v>117</v>
      </c>
      <c r="I12" s="69" t="s">
        <v>118</v>
      </c>
      <c r="J12" s="69" t="s">
        <v>119</v>
      </c>
      <c r="K12" s="69" t="s">
        <v>120</v>
      </c>
    </row>
    <row r="13" spans="1:11" ht="28.2" customHeight="1" thickTop="1" thickBot="1">
      <c r="A13" s="54"/>
      <c r="B13" s="67" t="s">
        <v>121</v>
      </c>
      <c r="C13" s="69">
        <v>6</v>
      </c>
      <c r="D13" s="69">
        <v>4</v>
      </c>
      <c r="E13" s="69">
        <v>3</v>
      </c>
      <c r="F13" s="69">
        <v>1.5</v>
      </c>
      <c r="G13" s="69">
        <v>1</v>
      </c>
      <c r="H13" s="69">
        <v>1.5</v>
      </c>
      <c r="I13" s="69">
        <v>2</v>
      </c>
      <c r="J13" s="69">
        <v>1</v>
      </c>
      <c r="K13" s="69">
        <v>1</v>
      </c>
    </row>
    <row r="14" spans="1:11" ht="41.4" customHeight="1" thickTop="1" thickBot="1">
      <c r="A14" s="54"/>
      <c r="B14" s="70" t="s">
        <v>122</v>
      </c>
      <c r="C14" s="71">
        <f>+C15*12</f>
        <v>0</v>
      </c>
      <c r="D14" s="71">
        <f t="shared" ref="D14:K14" si="0">+D15*12</f>
        <v>0</v>
      </c>
      <c r="E14" s="71">
        <f t="shared" si="0"/>
        <v>0</v>
      </c>
      <c r="F14" s="71">
        <f t="shared" si="0"/>
        <v>2400000</v>
      </c>
      <c r="G14" s="71">
        <f t="shared" si="0"/>
        <v>2400000</v>
      </c>
      <c r="H14" s="71">
        <f t="shared" si="0"/>
        <v>2400000</v>
      </c>
      <c r="I14" s="71">
        <f t="shared" si="0"/>
        <v>2400000</v>
      </c>
      <c r="J14" s="71">
        <f t="shared" si="0"/>
        <v>2400000</v>
      </c>
      <c r="K14" s="71">
        <f t="shared" si="0"/>
        <v>2400000</v>
      </c>
    </row>
    <row r="15" spans="1:11" ht="15" thickTop="1" thickBot="1">
      <c r="A15" s="54"/>
      <c r="B15" s="72" t="s">
        <v>123</v>
      </c>
      <c r="C15" s="71">
        <f>+IF(C13&lt;=2,$D$10,0)</f>
        <v>0</v>
      </c>
      <c r="D15" s="71">
        <f t="shared" ref="D15:K15" si="1">+IF(D13&lt;=2,$D$10,0)</f>
        <v>0</v>
      </c>
      <c r="E15" s="71">
        <f t="shared" si="1"/>
        <v>0</v>
      </c>
      <c r="F15" s="71">
        <f t="shared" si="1"/>
        <v>200000</v>
      </c>
      <c r="G15" s="71">
        <f t="shared" si="1"/>
        <v>200000</v>
      </c>
      <c r="H15" s="71">
        <f t="shared" si="1"/>
        <v>200000</v>
      </c>
      <c r="I15" s="71">
        <f t="shared" si="1"/>
        <v>200000</v>
      </c>
      <c r="J15" s="71">
        <f t="shared" si="1"/>
        <v>200000</v>
      </c>
      <c r="K15" s="71">
        <f t="shared" si="1"/>
        <v>200000</v>
      </c>
    </row>
    <row r="16" spans="1:11" ht="15" thickTop="1" thickBot="1">
      <c r="A16" s="54"/>
      <c r="B16" s="72" t="s">
        <v>124</v>
      </c>
      <c r="C16" s="71">
        <f>ROUND($D$9*C13,0)</f>
        <v>8541000</v>
      </c>
      <c r="D16" s="71">
        <f>ROUND($D$9*D13,0)</f>
        <v>5694000</v>
      </c>
      <c r="E16" s="71">
        <f>ROUND($D$9*E13,0)</f>
        <v>4270500</v>
      </c>
      <c r="F16" s="71">
        <f t="shared" ref="F16:K16" si="2">ROUND($D$9*F13,0)</f>
        <v>2135250</v>
      </c>
      <c r="G16" s="71">
        <f t="shared" si="2"/>
        <v>1423500</v>
      </c>
      <c r="H16" s="71">
        <f t="shared" si="2"/>
        <v>2135250</v>
      </c>
      <c r="I16" s="71">
        <f t="shared" si="2"/>
        <v>2847000</v>
      </c>
      <c r="J16" s="71">
        <f t="shared" si="2"/>
        <v>1423500</v>
      </c>
      <c r="K16" s="71">
        <f t="shared" si="2"/>
        <v>1423500</v>
      </c>
    </row>
    <row r="17" spans="1:16" ht="15" thickTop="1" thickBot="1">
      <c r="A17" s="54"/>
      <c r="B17" s="73" t="s">
        <v>125</v>
      </c>
      <c r="C17" s="71">
        <f>+ROUND(C16*12,0)</f>
        <v>102492000</v>
      </c>
      <c r="D17" s="71">
        <f t="shared" ref="D17:I17" si="3">+ROUND(D16*12,0)</f>
        <v>68328000</v>
      </c>
      <c r="E17" s="71">
        <f t="shared" si="3"/>
        <v>51246000</v>
      </c>
      <c r="F17" s="71">
        <f t="shared" si="3"/>
        <v>25623000</v>
      </c>
      <c r="G17" s="71">
        <f t="shared" si="3"/>
        <v>17082000</v>
      </c>
      <c r="H17" s="71">
        <f>+ROUND(H16*12,0)</f>
        <v>25623000</v>
      </c>
      <c r="I17" s="71">
        <f t="shared" si="3"/>
        <v>34164000</v>
      </c>
      <c r="J17" s="71">
        <f>+ROUND(J16*12,0)</f>
        <v>17082000</v>
      </c>
      <c r="K17" s="71">
        <f>+ROUND(K16*12,0)</f>
        <v>17082000</v>
      </c>
    </row>
    <row r="18" spans="1:16" s="77" customFormat="1" ht="14.4" thickTop="1">
      <c r="A18" s="74"/>
      <c r="B18" s="75" t="s">
        <v>126</v>
      </c>
      <c r="C18" s="76">
        <f>+ROUND((C16+C15)*360/360,0)</f>
        <v>8541000</v>
      </c>
      <c r="D18" s="76">
        <f t="shared" ref="D18:K18" si="4">+ROUND((+D16+D15)*360/360,0)</f>
        <v>5694000</v>
      </c>
      <c r="E18" s="76">
        <f t="shared" si="4"/>
        <v>4270500</v>
      </c>
      <c r="F18" s="76">
        <f t="shared" si="4"/>
        <v>2335250</v>
      </c>
      <c r="G18" s="76">
        <f t="shared" si="4"/>
        <v>1623500</v>
      </c>
      <c r="H18" s="76">
        <f t="shared" si="4"/>
        <v>2335250</v>
      </c>
      <c r="I18" s="76">
        <f t="shared" si="4"/>
        <v>3047000</v>
      </c>
      <c r="J18" s="76">
        <f t="shared" si="4"/>
        <v>1623500</v>
      </c>
      <c r="K18" s="76">
        <f t="shared" si="4"/>
        <v>1623500</v>
      </c>
    </row>
    <row r="19" spans="1:16" ht="26.4" customHeight="1">
      <c r="A19" s="54"/>
      <c r="B19" s="78" t="s">
        <v>127</v>
      </c>
      <c r="C19" s="76">
        <f>+ROUND((C16)*360/720,0)</f>
        <v>4270500</v>
      </c>
      <c r="D19" s="76">
        <f t="shared" ref="D19:K19" si="5">+ROUND((D16)*360/720,0)</f>
        <v>2847000</v>
      </c>
      <c r="E19" s="76">
        <f t="shared" si="5"/>
        <v>2135250</v>
      </c>
      <c r="F19" s="76">
        <f t="shared" si="5"/>
        <v>1067625</v>
      </c>
      <c r="G19" s="76">
        <f t="shared" si="5"/>
        <v>711750</v>
      </c>
      <c r="H19" s="76">
        <f t="shared" si="5"/>
        <v>1067625</v>
      </c>
      <c r="I19" s="76">
        <f t="shared" si="5"/>
        <v>1423500</v>
      </c>
      <c r="J19" s="76">
        <f t="shared" si="5"/>
        <v>711750</v>
      </c>
      <c r="K19" s="76">
        <f t="shared" si="5"/>
        <v>711750</v>
      </c>
      <c r="P19" s="79"/>
    </row>
    <row r="20" spans="1:16" s="77" customFormat="1">
      <c r="A20" s="74"/>
      <c r="B20" s="78" t="s">
        <v>128</v>
      </c>
      <c r="C20" s="76">
        <f>+ROUND((C16+C15)*360/360,0)</f>
        <v>8541000</v>
      </c>
      <c r="D20" s="76">
        <f t="shared" ref="D20:K20" si="6">+ROUND((D16+D15)*360/360,0)</f>
        <v>5694000</v>
      </c>
      <c r="E20" s="76">
        <f t="shared" si="6"/>
        <v>4270500</v>
      </c>
      <c r="F20" s="76">
        <f t="shared" si="6"/>
        <v>2335250</v>
      </c>
      <c r="G20" s="76">
        <f t="shared" si="6"/>
        <v>1623500</v>
      </c>
      <c r="H20" s="76">
        <f t="shared" si="6"/>
        <v>2335250</v>
      </c>
      <c r="I20" s="76">
        <f t="shared" si="6"/>
        <v>3047000</v>
      </c>
      <c r="J20" s="76">
        <f t="shared" si="6"/>
        <v>1623500</v>
      </c>
      <c r="K20" s="76">
        <f t="shared" si="6"/>
        <v>1623500</v>
      </c>
    </row>
    <row r="21" spans="1:16">
      <c r="A21" s="54"/>
      <c r="B21" s="78" t="s">
        <v>129</v>
      </c>
      <c r="C21" s="76">
        <f>+ROUND(C18*(1%*12),0)</f>
        <v>1024920</v>
      </c>
      <c r="D21" s="76">
        <f t="shared" ref="D21:K21" si="7">+ROUND(D18*(1%*12),0)</f>
        <v>683280</v>
      </c>
      <c r="E21" s="76">
        <f t="shared" si="7"/>
        <v>512460</v>
      </c>
      <c r="F21" s="76">
        <f t="shared" si="7"/>
        <v>280230</v>
      </c>
      <c r="G21" s="76">
        <f t="shared" si="7"/>
        <v>194820</v>
      </c>
      <c r="H21" s="76">
        <f t="shared" si="7"/>
        <v>280230</v>
      </c>
      <c r="I21" s="76">
        <f t="shared" si="7"/>
        <v>365640</v>
      </c>
      <c r="J21" s="76">
        <f t="shared" si="7"/>
        <v>194820</v>
      </c>
      <c r="K21" s="76">
        <f t="shared" si="7"/>
        <v>194820</v>
      </c>
    </row>
    <row r="22" spans="1:16">
      <c r="A22" s="54"/>
      <c r="B22" s="80" t="s">
        <v>130</v>
      </c>
      <c r="C22" s="76">
        <f t="shared" ref="C22:K22" si="8">(C15/30)*(360-18)</f>
        <v>0</v>
      </c>
      <c r="D22" s="76">
        <f t="shared" si="8"/>
        <v>0</v>
      </c>
      <c r="E22" s="76">
        <f t="shared" si="8"/>
        <v>0</v>
      </c>
      <c r="F22" s="76">
        <f t="shared" si="8"/>
        <v>2280000</v>
      </c>
      <c r="G22" s="76">
        <f t="shared" si="8"/>
        <v>2280000</v>
      </c>
      <c r="H22" s="76">
        <f t="shared" si="8"/>
        <v>2280000</v>
      </c>
      <c r="I22" s="76">
        <f t="shared" si="8"/>
        <v>2280000</v>
      </c>
      <c r="J22" s="76">
        <f t="shared" si="8"/>
        <v>2280000</v>
      </c>
      <c r="K22" s="76">
        <f t="shared" si="8"/>
        <v>2280000</v>
      </c>
    </row>
    <row r="23" spans="1:16">
      <c r="A23" s="54"/>
      <c r="B23" s="80" t="s">
        <v>131</v>
      </c>
      <c r="C23" s="76">
        <f t="shared" ref="C23:K23" si="9">+ROUND(C17*12%,0)</f>
        <v>12299040</v>
      </c>
      <c r="D23" s="76">
        <f t="shared" si="9"/>
        <v>8199360</v>
      </c>
      <c r="E23" s="76">
        <f t="shared" si="9"/>
        <v>6149520</v>
      </c>
      <c r="F23" s="76">
        <f t="shared" si="9"/>
        <v>3074760</v>
      </c>
      <c r="G23" s="76">
        <f t="shared" si="9"/>
        <v>2049840</v>
      </c>
      <c r="H23" s="76">
        <f t="shared" si="9"/>
        <v>3074760</v>
      </c>
      <c r="I23" s="76">
        <f t="shared" si="9"/>
        <v>4099680</v>
      </c>
      <c r="J23" s="76">
        <f t="shared" si="9"/>
        <v>2049840</v>
      </c>
      <c r="K23" s="76">
        <f t="shared" si="9"/>
        <v>2049840</v>
      </c>
    </row>
    <row r="24" spans="1:16">
      <c r="A24" s="54"/>
      <c r="B24" s="80" t="s">
        <v>132</v>
      </c>
      <c r="C24" s="76">
        <f t="shared" ref="C24:K24" si="10">+ROUND((C16*12)*6.96%,0)</f>
        <v>7133443</v>
      </c>
      <c r="D24" s="76">
        <f t="shared" si="10"/>
        <v>4755629</v>
      </c>
      <c r="E24" s="76">
        <f t="shared" si="10"/>
        <v>3566722</v>
      </c>
      <c r="F24" s="76">
        <f t="shared" si="10"/>
        <v>1783361</v>
      </c>
      <c r="G24" s="76">
        <f t="shared" si="10"/>
        <v>1188907</v>
      </c>
      <c r="H24" s="76">
        <f t="shared" si="10"/>
        <v>1783361</v>
      </c>
      <c r="I24" s="76">
        <f t="shared" si="10"/>
        <v>2377814</v>
      </c>
      <c r="J24" s="76">
        <f t="shared" si="10"/>
        <v>1188907</v>
      </c>
      <c r="K24" s="76">
        <f t="shared" si="10"/>
        <v>1188907</v>
      </c>
    </row>
    <row r="25" spans="1:16">
      <c r="A25" s="54"/>
      <c r="B25" s="80" t="s">
        <v>133</v>
      </c>
      <c r="C25" s="76">
        <f>+ROUND(($C$16*12)*4%,0)</f>
        <v>4099680</v>
      </c>
      <c r="D25" s="76">
        <f t="shared" ref="D25:K25" si="11">+ROUND((D16*12)*4%,0)</f>
        <v>2733120</v>
      </c>
      <c r="E25" s="76">
        <f t="shared" si="11"/>
        <v>2049840</v>
      </c>
      <c r="F25" s="76">
        <f t="shared" si="11"/>
        <v>1024920</v>
      </c>
      <c r="G25" s="76">
        <f t="shared" si="11"/>
        <v>683280</v>
      </c>
      <c r="H25" s="76">
        <f t="shared" si="11"/>
        <v>1024920</v>
      </c>
      <c r="I25" s="76">
        <f t="shared" si="11"/>
        <v>1366560</v>
      </c>
      <c r="J25" s="76">
        <f t="shared" si="11"/>
        <v>683280</v>
      </c>
      <c r="K25" s="76">
        <f t="shared" si="11"/>
        <v>683280</v>
      </c>
    </row>
    <row r="26" spans="1:16" ht="14.4" thickBot="1">
      <c r="A26" s="54"/>
      <c r="B26" s="80" t="s">
        <v>134</v>
      </c>
      <c r="C26" s="76">
        <f t="shared" ref="C26:K26" si="12">+IF(C13&lt;=2,ROUND((0.04)*C17,0),0)</f>
        <v>0</v>
      </c>
      <c r="D26" s="76">
        <f t="shared" si="12"/>
        <v>0</v>
      </c>
      <c r="E26" s="76">
        <f t="shared" si="12"/>
        <v>0</v>
      </c>
      <c r="F26" s="76">
        <f t="shared" si="12"/>
        <v>1024920</v>
      </c>
      <c r="G26" s="76">
        <f t="shared" si="12"/>
        <v>683280</v>
      </c>
      <c r="H26" s="76">
        <f t="shared" si="12"/>
        <v>1024920</v>
      </c>
      <c r="I26" s="76">
        <f t="shared" si="12"/>
        <v>1366560</v>
      </c>
      <c r="J26" s="76">
        <f t="shared" si="12"/>
        <v>683280</v>
      </c>
      <c r="K26" s="76">
        <f t="shared" si="12"/>
        <v>683280</v>
      </c>
    </row>
    <row r="27" spans="1:16" ht="14.4" thickTop="1">
      <c r="A27" s="54"/>
      <c r="B27" s="81" t="s">
        <v>135</v>
      </c>
      <c r="C27" s="82">
        <f>SUM(C18:C26)</f>
        <v>45909583</v>
      </c>
      <c r="D27" s="82">
        <f t="shared" ref="D27:K27" si="13">SUM(D18:D26)</f>
        <v>30606389</v>
      </c>
      <c r="E27" s="82">
        <f t="shared" si="13"/>
        <v>22954792</v>
      </c>
      <c r="F27" s="82">
        <f t="shared" si="13"/>
        <v>15206316</v>
      </c>
      <c r="G27" s="82">
        <f t="shared" si="13"/>
        <v>11038877</v>
      </c>
      <c r="H27" s="82">
        <f t="shared" si="13"/>
        <v>15206316</v>
      </c>
      <c r="I27" s="82">
        <f t="shared" si="13"/>
        <v>19373754</v>
      </c>
      <c r="J27" s="82">
        <f t="shared" si="13"/>
        <v>11038877</v>
      </c>
      <c r="K27" s="83">
        <f t="shared" si="13"/>
        <v>11038877</v>
      </c>
    </row>
    <row r="28" spans="1:16">
      <c r="A28" s="54"/>
      <c r="B28" s="84" t="s">
        <v>136</v>
      </c>
      <c r="C28" s="85">
        <f>+C27+C17</f>
        <v>148401583</v>
      </c>
      <c r="D28" s="85">
        <f>+D27+D17</f>
        <v>98934389</v>
      </c>
      <c r="E28" s="85">
        <f t="shared" ref="E28:K28" si="14">SUM(E17:E26)</f>
        <v>74200792</v>
      </c>
      <c r="F28" s="85">
        <f t="shared" si="14"/>
        <v>40829316</v>
      </c>
      <c r="G28" s="85">
        <f t="shared" si="14"/>
        <v>28120877</v>
      </c>
      <c r="H28" s="85">
        <f t="shared" si="14"/>
        <v>40829316</v>
      </c>
      <c r="I28" s="85">
        <f t="shared" si="14"/>
        <v>53537754</v>
      </c>
      <c r="J28" s="85">
        <f t="shared" si="14"/>
        <v>28120877</v>
      </c>
      <c r="K28" s="86">
        <f t="shared" si="14"/>
        <v>28120877</v>
      </c>
    </row>
    <row r="29" spans="1:16" ht="40.950000000000003" customHeight="1" thickBot="1">
      <c r="A29" s="54"/>
      <c r="B29" s="87" t="s">
        <v>137</v>
      </c>
      <c r="C29" s="88">
        <f t="shared" ref="C29:K29" si="15">1+C27/C17</f>
        <v>1.4479333313819616</v>
      </c>
      <c r="D29" s="88">
        <f t="shared" si="15"/>
        <v>1.447933336260391</v>
      </c>
      <c r="E29" s="88">
        <f t="shared" si="15"/>
        <v>1.4479333411388207</v>
      </c>
      <c r="F29" s="88">
        <f t="shared" si="15"/>
        <v>1.5934635288607892</v>
      </c>
      <c r="G29" s="88">
        <f t="shared" si="15"/>
        <v>1.6462286032080553</v>
      </c>
      <c r="H29" s="88">
        <f t="shared" si="15"/>
        <v>1.5934635288607892</v>
      </c>
      <c r="I29" s="89">
        <f t="shared" si="15"/>
        <v>1.5670809624165789</v>
      </c>
      <c r="J29" s="88">
        <f t="shared" si="15"/>
        <v>1.6462286032080553</v>
      </c>
      <c r="K29" s="90">
        <f t="shared" si="15"/>
        <v>1.6462286032080553</v>
      </c>
    </row>
    <row r="30" spans="1:16" ht="15" thickTop="1" thickBot="1">
      <c r="A30" s="54"/>
      <c r="B30" s="742"/>
      <c r="C30" s="743"/>
      <c r="D30" s="743"/>
      <c r="E30" s="743"/>
      <c r="F30" s="743"/>
      <c r="G30" s="743"/>
      <c r="H30" s="743"/>
      <c r="I30" s="743"/>
      <c r="J30" s="743"/>
      <c r="K30" s="744"/>
    </row>
    <row r="31" spans="1:16" ht="14.4" thickTop="1">
      <c r="A31" s="54"/>
      <c r="B31" s="91" t="s">
        <v>121</v>
      </c>
      <c r="C31" s="92">
        <f t="shared" ref="C31:K31" si="16">+C13</f>
        <v>6</v>
      </c>
      <c r="D31" s="92">
        <f t="shared" si="16"/>
        <v>4</v>
      </c>
      <c r="E31" s="92">
        <f t="shared" si="16"/>
        <v>3</v>
      </c>
      <c r="F31" s="92">
        <f t="shared" si="16"/>
        <v>1.5</v>
      </c>
      <c r="G31" s="92">
        <f t="shared" si="16"/>
        <v>1</v>
      </c>
      <c r="H31" s="92">
        <f t="shared" si="16"/>
        <v>1.5</v>
      </c>
      <c r="I31" s="92">
        <f t="shared" si="16"/>
        <v>2</v>
      </c>
      <c r="J31" s="92">
        <f t="shared" si="16"/>
        <v>1</v>
      </c>
      <c r="K31" s="93">
        <f t="shared" si="16"/>
        <v>1</v>
      </c>
    </row>
    <row r="32" spans="1:16">
      <c r="A32" s="54"/>
      <c r="B32" s="94" t="s">
        <v>138</v>
      </c>
      <c r="C32" s="95">
        <f t="shared" ref="C32:K32" si="17">+C14+C17</f>
        <v>102492000</v>
      </c>
      <c r="D32" s="95">
        <f t="shared" si="17"/>
        <v>68328000</v>
      </c>
      <c r="E32" s="95">
        <f t="shared" si="17"/>
        <v>51246000</v>
      </c>
      <c r="F32" s="95">
        <f t="shared" si="17"/>
        <v>28023000</v>
      </c>
      <c r="G32" s="95">
        <f t="shared" si="17"/>
        <v>19482000</v>
      </c>
      <c r="H32" s="95">
        <f t="shared" si="17"/>
        <v>28023000</v>
      </c>
      <c r="I32" s="95">
        <f t="shared" si="17"/>
        <v>36564000</v>
      </c>
      <c r="J32" s="95">
        <f t="shared" si="17"/>
        <v>19482000</v>
      </c>
      <c r="K32" s="96">
        <f t="shared" si="17"/>
        <v>19482000</v>
      </c>
    </row>
    <row r="33" spans="1:11">
      <c r="A33" s="54"/>
      <c r="B33" s="94" t="s">
        <v>139</v>
      </c>
      <c r="C33" s="95">
        <f t="shared" ref="C33:K33" si="18">+C15+C16</f>
        <v>8541000</v>
      </c>
      <c r="D33" s="95">
        <f t="shared" si="18"/>
        <v>5694000</v>
      </c>
      <c r="E33" s="95">
        <f t="shared" si="18"/>
        <v>4270500</v>
      </c>
      <c r="F33" s="95">
        <f t="shared" si="18"/>
        <v>2335250</v>
      </c>
      <c r="G33" s="95">
        <f t="shared" si="18"/>
        <v>1623500</v>
      </c>
      <c r="H33" s="95">
        <f t="shared" si="18"/>
        <v>2335250</v>
      </c>
      <c r="I33" s="95">
        <f t="shared" si="18"/>
        <v>3047000</v>
      </c>
      <c r="J33" s="95">
        <f t="shared" si="18"/>
        <v>1623500</v>
      </c>
      <c r="K33" s="96">
        <f t="shared" si="18"/>
        <v>1623500</v>
      </c>
    </row>
    <row r="34" spans="1:11">
      <c r="A34" s="52" t="s">
        <v>140</v>
      </c>
      <c r="B34" s="94" t="s">
        <v>141</v>
      </c>
      <c r="C34" s="95">
        <f t="shared" ref="C34:K34" si="19">+C33/30</f>
        <v>284700</v>
      </c>
      <c r="D34" s="95">
        <f t="shared" si="19"/>
        <v>189800</v>
      </c>
      <c r="E34" s="396">
        <f t="shared" si="19"/>
        <v>142350</v>
      </c>
      <c r="F34" s="95">
        <f t="shared" si="19"/>
        <v>77841.666666666672</v>
      </c>
      <c r="G34" s="95">
        <f t="shared" si="19"/>
        <v>54116.666666666664</v>
      </c>
      <c r="H34" s="95">
        <f t="shared" si="19"/>
        <v>77841.666666666672</v>
      </c>
      <c r="I34" s="95">
        <f t="shared" si="19"/>
        <v>101566.66666666667</v>
      </c>
      <c r="J34" s="95">
        <f t="shared" si="19"/>
        <v>54116.666666666664</v>
      </c>
      <c r="K34" s="96">
        <f t="shared" si="19"/>
        <v>54116.666666666664</v>
      </c>
    </row>
    <row r="35" spans="1:11" ht="14.4" thickBot="1">
      <c r="A35" s="54"/>
      <c r="B35" s="97" t="s">
        <v>142</v>
      </c>
      <c r="C35" s="98">
        <f>+ROUND(C34/8,0)</f>
        <v>35588</v>
      </c>
      <c r="D35" s="98">
        <f t="shared" ref="D35:I35" si="20">+ROUND(D34/8,0)</f>
        <v>23725</v>
      </c>
      <c r="E35" s="98">
        <f t="shared" si="20"/>
        <v>17794</v>
      </c>
      <c r="F35" s="98">
        <f t="shared" si="20"/>
        <v>9730</v>
      </c>
      <c r="G35" s="98">
        <f t="shared" si="20"/>
        <v>6765</v>
      </c>
      <c r="H35" s="98">
        <f t="shared" si="20"/>
        <v>9730</v>
      </c>
      <c r="I35" s="98">
        <f t="shared" si="20"/>
        <v>12696</v>
      </c>
      <c r="J35" s="98">
        <f>+ROUND(J34/8,0)</f>
        <v>6765</v>
      </c>
      <c r="K35" s="99">
        <f>+ROUND(K34/8,0)</f>
        <v>6765</v>
      </c>
    </row>
    <row r="36" spans="1:11" ht="14.4" thickTop="1">
      <c r="A36" s="54"/>
      <c r="B36" s="100"/>
      <c r="C36" s="100"/>
      <c r="D36" s="100"/>
      <c r="E36" s="101"/>
      <c r="F36" s="101"/>
      <c r="G36" s="101"/>
      <c r="H36" s="101"/>
      <c r="I36" s="101"/>
      <c r="J36" s="66"/>
      <c r="K36" s="66"/>
    </row>
    <row r="37" spans="1:11" ht="14.4" thickBot="1">
      <c r="A37" s="54"/>
      <c r="B37" s="100"/>
      <c r="C37" s="100"/>
      <c r="D37" s="100"/>
      <c r="E37" s="101"/>
      <c r="F37" s="101"/>
      <c r="G37" s="101"/>
      <c r="H37" s="101"/>
      <c r="I37" s="101"/>
      <c r="J37" s="66"/>
      <c r="K37" s="66"/>
    </row>
    <row r="38" spans="1:11" ht="27.6" thickTop="1" thickBot="1">
      <c r="A38" s="54"/>
      <c r="B38" s="67" t="s">
        <v>19</v>
      </c>
      <c r="C38" s="68" t="s">
        <v>143</v>
      </c>
      <c r="D38" s="68" t="s">
        <v>144</v>
      </c>
      <c r="E38" s="68" t="s">
        <v>145</v>
      </c>
      <c r="F38" s="68" t="s">
        <v>146</v>
      </c>
      <c r="G38" s="69" t="s">
        <v>147</v>
      </c>
      <c r="H38" s="68" t="s">
        <v>346</v>
      </c>
      <c r="I38" s="69" t="s">
        <v>148</v>
      </c>
      <c r="J38" s="69" t="s">
        <v>149</v>
      </c>
      <c r="K38" s="69"/>
    </row>
    <row r="39" spans="1:11" ht="24" customHeight="1" thickTop="1" thickBot="1">
      <c r="A39" s="54"/>
      <c r="B39" s="67" t="s">
        <v>121</v>
      </c>
      <c r="C39" s="69">
        <v>4</v>
      </c>
      <c r="D39" s="69">
        <v>4</v>
      </c>
      <c r="E39" s="69">
        <v>1</v>
      </c>
      <c r="F39" s="69">
        <v>1</v>
      </c>
      <c r="G39" s="69">
        <v>2</v>
      </c>
      <c r="H39" s="69">
        <v>2.5</v>
      </c>
      <c r="I39" s="69">
        <v>1.5</v>
      </c>
      <c r="J39" s="69">
        <v>2.1171719138146226</v>
      </c>
      <c r="K39" s="69">
        <v>4</v>
      </c>
    </row>
    <row r="40" spans="1:11" ht="41.4" customHeight="1" thickTop="1" thickBot="1">
      <c r="A40" s="54"/>
      <c r="B40" s="70" t="s">
        <v>122</v>
      </c>
      <c r="C40" s="71">
        <f>+C41*12</f>
        <v>0</v>
      </c>
      <c r="D40" s="71">
        <f t="shared" ref="D40:K40" si="21">+D41*12</f>
        <v>0</v>
      </c>
      <c r="E40" s="71">
        <f t="shared" si="21"/>
        <v>2400000</v>
      </c>
      <c r="F40" s="71">
        <f t="shared" si="21"/>
        <v>2400000</v>
      </c>
      <c r="G40" s="69">
        <f t="shared" si="21"/>
        <v>2400000</v>
      </c>
      <c r="H40" s="71">
        <f t="shared" si="21"/>
        <v>0</v>
      </c>
      <c r="I40" s="71">
        <f t="shared" si="21"/>
        <v>2400000</v>
      </c>
      <c r="J40" s="71">
        <f t="shared" si="21"/>
        <v>0</v>
      </c>
      <c r="K40" s="71">
        <f t="shared" si="21"/>
        <v>0</v>
      </c>
    </row>
    <row r="41" spans="1:11" ht="15" thickTop="1" thickBot="1">
      <c r="A41" s="54"/>
      <c r="B41" s="72" t="s">
        <v>123</v>
      </c>
      <c r="C41" s="71">
        <f>+IF(C39&lt;=2,$D$10,0)</f>
        <v>0</v>
      </c>
      <c r="D41" s="71">
        <f t="shared" ref="D41:K41" si="22">+IF(D39&lt;=2,$D$10,0)</f>
        <v>0</v>
      </c>
      <c r="E41" s="71">
        <f t="shared" si="22"/>
        <v>200000</v>
      </c>
      <c r="F41" s="71">
        <f t="shared" si="22"/>
        <v>200000</v>
      </c>
      <c r="G41" s="69">
        <f t="shared" si="22"/>
        <v>200000</v>
      </c>
      <c r="H41" s="71">
        <f t="shared" si="22"/>
        <v>0</v>
      </c>
      <c r="I41" s="71">
        <f t="shared" si="22"/>
        <v>200000</v>
      </c>
      <c r="J41" s="71">
        <f t="shared" si="22"/>
        <v>0</v>
      </c>
      <c r="K41" s="71">
        <f t="shared" si="22"/>
        <v>0</v>
      </c>
    </row>
    <row r="42" spans="1:11" ht="15" thickTop="1" thickBot="1">
      <c r="A42" s="54"/>
      <c r="B42" s="72" t="s">
        <v>124</v>
      </c>
      <c r="C42" s="71">
        <f>ROUND($D$9*C39,0)</f>
        <v>5694000</v>
      </c>
      <c r="D42" s="71">
        <f t="shared" ref="D42:K42" si="23">ROUND($D$9*D39,0)</f>
        <v>5694000</v>
      </c>
      <c r="E42" s="71">
        <f t="shared" si="23"/>
        <v>1423500</v>
      </c>
      <c r="F42" s="71">
        <f t="shared" si="23"/>
        <v>1423500</v>
      </c>
      <c r="G42" s="69">
        <f t="shared" si="23"/>
        <v>2847000</v>
      </c>
      <c r="H42" s="71">
        <f t="shared" si="23"/>
        <v>3558750</v>
      </c>
      <c r="I42" s="71">
        <f t="shared" si="23"/>
        <v>2135250</v>
      </c>
      <c r="J42" s="71">
        <f t="shared" si="23"/>
        <v>3013794</v>
      </c>
      <c r="K42" s="71">
        <f t="shared" si="23"/>
        <v>5694000</v>
      </c>
    </row>
    <row r="43" spans="1:11" ht="51.6" customHeight="1" thickTop="1" thickBot="1">
      <c r="A43" s="54"/>
      <c r="B43" s="73" t="s">
        <v>125</v>
      </c>
      <c r="C43" s="71">
        <f>+ROUND(C42*12,0)</f>
        <v>68328000</v>
      </c>
      <c r="D43" s="71">
        <f t="shared" ref="D43:I43" si="24">+ROUND(D42*12,0)</f>
        <v>68328000</v>
      </c>
      <c r="E43" s="71">
        <f t="shared" si="24"/>
        <v>17082000</v>
      </c>
      <c r="F43" s="71">
        <f t="shared" si="24"/>
        <v>17082000</v>
      </c>
      <c r="G43" s="69">
        <f t="shared" si="24"/>
        <v>34164000</v>
      </c>
      <c r="H43" s="71">
        <f t="shared" si="24"/>
        <v>42705000</v>
      </c>
      <c r="I43" s="71">
        <f t="shared" si="24"/>
        <v>25623000</v>
      </c>
      <c r="J43" s="71">
        <f>+ROUND(J42*12,0)</f>
        <v>36165528</v>
      </c>
      <c r="K43" s="71">
        <f>+ROUND(K42*12,0)</f>
        <v>68328000</v>
      </c>
    </row>
    <row r="44" spans="1:11" ht="28.2" customHeight="1" thickTop="1">
      <c r="A44" s="54"/>
      <c r="B44" s="102" t="s">
        <v>150</v>
      </c>
      <c r="C44" s="76">
        <f>+ROUND((C42+C41)*360/360,0)</f>
        <v>5694000</v>
      </c>
      <c r="D44" s="76">
        <f t="shared" ref="D44:K44" si="25">+ROUND((D42+D41)*360/360,0)</f>
        <v>5694000</v>
      </c>
      <c r="E44" s="76">
        <f t="shared" si="25"/>
        <v>1623500</v>
      </c>
      <c r="F44" s="76">
        <f t="shared" si="25"/>
        <v>1623500</v>
      </c>
      <c r="G44" s="76">
        <f t="shared" si="25"/>
        <v>3047000</v>
      </c>
      <c r="H44" s="76">
        <f t="shared" si="25"/>
        <v>3558750</v>
      </c>
      <c r="I44" s="76">
        <f t="shared" si="25"/>
        <v>2335250</v>
      </c>
      <c r="J44" s="76">
        <f t="shared" si="25"/>
        <v>3013794</v>
      </c>
      <c r="K44" s="76">
        <f t="shared" si="25"/>
        <v>5694000</v>
      </c>
    </row>
    <row r="45" spans="1:11" ht="18" customHeight="1">
      <c r="A45" s="54"/>
      <c r="B45" s="103" t="s">
        <v>151</v>
      </c>
      <c r="C45" s="76">
        <f>+ROUND(C42*360/720,0)</f>
        <v>2847000</v>
      </c>
      <c r="D45" s="76">
        <f t="shared" ref="D45:K45" si="26">+ROUND(D42*360/720,0)</f>
        <v>2847000</v>
      </c>
      <c r="E45" s="76">
        <f t="shared" si="26"/>
        <v>711750</v>
      </c>
      <c r="F45" s="76">
        <f t="shared" si="26"/>
        <v>711750</v>
      </c>
      <c r="G45" s="76">
        <f t="shared" si="26"/>
        <v>1423500</v>
      </c>
      <c r="H45" s="76">
        <f t="shared" si="26"/>
        <v>1779375</v>
      </c>
      <c r="I45" s="76">
        <f t="shared" si="26"/>
        <v>1067625</v>
      </c>
      <c r="J45" s="76">
        <f t="shared" si="26"/>
        <v>1506897</v>
      </c>
      <c r="K45" s="76">
        <f t="shared" si="26"/>
        <v>2847000</v>
      </c>
    </row>
    <row r="46" spans="1:11">
      <c r="A46" s="54"/>
      <c r="B46" s="103" t="s">
        <v>152</v>
      </c>
      <c r="C46" s="76">
        <f>+ROUND((C41+C42)*360/360,0)</f>
        <v>5694000</v>
      </c>
      <c r="D46" s="76">
        <f t="shared" ref="D46:K46" si="27">+ROUND((D41+D42)*360/360,0)</f>
        <v>5694000</v>
      </c>
      <c r="E46" s="76">
        <f t="shared" si="27"/>
        <v>1623500</v>
      </c>
      <c r="F46" s="76">
        <f t="shared" si="27"/>
        <v>1623500</v>
      </c>
      <c r="G46" s="76">
        <f t="shared" si="27"/>
        <v>3047000</v>
      </c>
      <c r="H46" s="76">
        <f t="shared" si="27"/>
        <v>3558750</v>
      </c>
      <c r="I46" s="76">
        <f t="shared" si="27"/>
        <v>2335250</v>
      </c>
      <c r="J46" s="76">
        <f t="shared" si="27"/>
        <v>3013794</v>
      </c>
      <c r="K46" s="76">
        <f t="shared" si="27"/>
        <v>5694000</v>
      </c>
    </row>
    <row r="47" spans="1:11">
      <c r="A47" s="54"/>
      <c r="B47" s="103" t="s">
        <v>153</v>
      </c>
      <c r="C47" s="76">
        <f t="shared" ref="C47:K47" si="28">+ROUND(C44*(1%*12),0)</f>
        <v>683280</v>
      </c>
      <c r="D47" s="76">
        <f t="shared" si="28"/>
        <v>683280</v>
      </c>
      <c r="E47" s="76">
        <f t="shared" si="28"/>
        <v>194820</v>
      </c>
      <c r="F47" s="76">
        <f t="shared" si="28"/>
        <v>194820</v>
      </c>
      <c r="G47" s="76">
        <f t="shared" si="28"/>
        <v>365640</v>
      </c>
      <c r="H47" s="76">
        <f t="shared" si="28"/>
        <v>427050</v>
      </c>
      <c r="I47" s="76">
        <f t="shared" si="28"/>
        <v>280230</v>
      </c>
      <c r="J47" s="76">
        <f t="shared" si="28"/>
        <v>361655</v>
      </c>
      <c r="K47" s="76">
        <f t="shared" si="28"/>
        <v>683280</v>
      </c>
    </row>
    <row r="48" spans="1:11" ht="30.6" customHeight="1">
      <c r="A48" s="54"/>
      <c r="B48" s="103" t="s">
        <v>130</v>
      </c>
      <c r="C48" s="76">
        <f t="shared" ref="C48:K48" si="29">(C41/30)*(360-18)</f>
        <v>0</v>
      </c>
      <c r="D48" s="76">
        <f t="shared" si="29"/>
        <v>0</v>
      </c>
      <c r="E48" s="76">
        <f t="shared" si="29"/>
        <v>2280000</v>
      </c>
      <c r="F48" s="76">
        <f t="shared" si="29"/>
        <v>2280000</v>
      </c>
      <c r="G48" s="76">
        <f t="shared" si="29"/>
        <v>2280000</v>
      </c>
      <c r="H48" s="76">
        <f t="shared" si="29"/>
        <v>0</v>
      </c>
      <c r="I48" s="76">
        <f t="shared" si="29"/>
        <v>2280000</v>
      </c>
      <c r="J48" s="76">
        <f t="shared" si="29"/>
        <v>0</v>
      </c>
      <c r="K48" s="76">
        <f t="shared" si="29"/>
        <v>0</v>
      </c>
    </row>
    <row r="49" spans="1:11" ht="16.95" customHeight="1">
      <c r="A49" s="54"/>
      <c r="B49" s="103" t="s">
        <v>131</v>
      </c>
      <c r="C49" s="76">
        <f t="shared" ref="C49:K49" si="30">+ROUND(C43*12%,0)</f>
        <v>8199360</v>
      </c>
      <c r="D49" s="76">
        <f t="shared" si="30"/>
        <v>8199360</v>
      </c>
      <c r="E49" s="76">
        <f t="shared" si="30"/>
        <v>2049840</v>
      </c>
      <c r="F49" s="76">
        <f t="shared" si="30"/>
        <v>2049840</v>
      </c>
      <c r="G49" s="76">
        <f t="shared" si="30"/>
        <v>4099680</v>
      </c>
      <c r="H49" s="76">
        <f t="shared" si="30"/>
        <v>5124600</v>
      </c>
      <c r="I49" s="76">
        <f t="shared" si="30"/>
        <v>3074760</v>
      </c>
      <c r="J49" s="76">
        <f t="shared" si="30"/>
        <v>4339863</v>
      </c>
      <c r="K49" s="76">
        <f t="shared" si="30"/>
        <v>8199360</v>
      </c>
    </row>
    <row r="50" spans="1:11">
      <c r="A50" s="54"/>
      <c r="B50" s="103" t="s">
        <v>132</v>
      </c>
      <c r="C50" s="76">
        <f t="shared" ref="C50:K50" si="31">+ROUND((C42*12)*6.96%,0)</f>
        <v>4755629</v>
      </c>
      <c r="D50" s="76">
        <f t="shared" si="31"/>
        <v>4755629</v>
      </c>
      <c r="E50" s="76">
        <f t="shared" si="31"/>
        <v>1188907</v>
      </c>
      <c r="F50" s="76">
        <f t="shared" si="31"/>
        <v>1188907</v>
      </c>
      <c r="G50" s="76">
        <f t="shared" si="31"/>
        <v>2377814</v>
      </c>
      <c r="H50" s="76">
        <f t="shared" si="31"/>
        <v>2972268</v>
      </c>
      <c r="I50" s="76">
        <f t="shared" si="31"/>
        <v>1783361</v>
      </c>
      <c r="J50" s="76">
        <f t="shared" si="31"/>
        <v>2517121</v>
      </c>
      <c r="K50" s="76">
        <f t="shared" si="31"/>
        <v>4755629</v>
      </c>
    </row>
    <row r="51" spans="1:11">
      <c r="A51" s="54"/>
      <c r="B51" s="103" t="s">
        <v>133</v>
      </c>
      <c r="C51" s="76">
        <f>+ROUND(($C$42*12)*4%,0)</f>
        <v>2733120</v>
      </c>
      <c r="D51" s="76">
        <f t="shared" ref="D51:K51" si="32">+ROUND((D42*12)*4%,0)</f>
        <v>2733120</v>
      </c>
      <c r="E51" s="76">
        <f t="shared" si="32"/>
        <v>683280</v>
      </c>
      <c r="F51" s="76">
        <f t="shared" si="32"/>
        <v>683280</v>
      </c>
      <c r="G51" s="76">
        <f t="shared" si="32"/>
        <v>1366560</v>
      </c>
      <c r="H51" s="76">
        <f t="shared" si="32"/>
        <v>1708200</v>
      </c>
      <c r="I51" s="76">
        <f t="shared" si="32"/>
        <v>1024920</v>
      </c>
      <c r="J51" s="76">
        <f t="shared" si="32"/>
        <v>1446621</v>
      </c>
      <c r="K51" s="76">
        <f t="shared" si="32"/>
        <v>2733120</v>
      </c>
    </row>
    <row r="52" spans="1:11" ht="23.4" customHeight="1" thickBot="1">
      <c r="A52" s="54"/>
      <c r="B52" s="103" t="s">
        <v>134</v>
      </c>
      <c r="C52" s="76">
        <f t="shared" ref="C52:K52" si="33">+IF(C39&lt;=2,ROUND((0.04)*C43,0),0)</f>
        <v>0</v>
      </c>
      <c r="D52" s="76">
        <f t="shared" si="33"/>
        <v>0</v>
      </c>
      <c r="E52" s="76">
        <f t="shared" si="33"/>
        <v>683280</v>
      </c>
      <c r="F52" s="76">
        <f t="shared" si="33"/>
        <v>683280</v>
      </c>
      <c r="G52" s="76">
        <f t="shared" si="33"/>
        <v>1366560</v>
      </c>
      <c r="H52" s="76">
        <f t="shared" si="33"/>
        <v>0</v>
      </c>
      <c r="I52" s="76">
        <f t="shared" si="33"/>
        <v>1024920</v>
      </c>
      <c r="J52" s="76">
        <f t="shared" si="33"/>
        <v>0</v>
      </c>
      <c r="K52" s="76">
        <f t="shared" si="33"/>
        <v>0</v>
      </c>
    </row>
    <row r="53" spans="1:11" ht="19.2" customHeight="1" thickTop="1">
      <c r="A53" s="54"/>
      <c r="B53" s="81" t="s">
        <v>135</v>
      </c>
      <c r="C53" s="82">
        <f t="shared" ref="C53:K53" si="34">SUM(C44:C52)</f>
        <v>30606389</v>
      </c>
      <c r="D53" s="82">
        <f t="shared" si="34"/>
        <v>30606389</v>
      </c>
      <c r="E53" s="82">
        <f t="shared" si="34"/>
        <v>11038877</v>
      </c>
      <c r="F53" s="82">
        <f t="shared" si="34"/>
        <v>11038877</v>
      </c>
      <c r="G53" s="85">
        <f t="shared" si="34"/>
        <v>19373754</v>
      </c>
      <c r="H53" s="82">
        <f t="shared" si="34"/>
        <v>19128993</v>
      </c>
      <c r="I53" s="82">
        <f t="shared" si="34"/>
        <v>15206316</v>
      </c>
      <c r="J53" s="82">
        <f t="shared" si="34"/>
        <v>16199745</v>
      </c>
      <c r="K53" s="83">
        <f t="shared" si="34"/>
        <v>30606389</v>
      </c>
    </row>
    <row r="54" spans="1:11">
      <c r="A54" s="54"/>
      <c r="B54" s="84" t="s">
        <v>136</v>
      </c>
      <c r="C54" s="85">
        <f>+C53+C43</f>
        <v>98934389</v>
      </c>
      <c r="D54" s="85">
        <f>+D53+D43</f>
        <v>98934389</v>
      </c>
      <c r="E54" s="85">
        <f t="shared" ref="E54:K54" si="35">SUM(E43:E52)</f>
        <v>28120877</v>
      </c>
      <c r="F54" s="85">
        <f t="shared" si="35"/>
        <v>28120877</v>
      </c>
      <c r="G54" s="85">
        <f t="shared" si="35"/>
        <v>53537754</v>
      </c>
      <c r="H54" s="85">
        <f t="shared" si="35"/>
        <v>61833993</v>
      </c>
      <c r="I54" s="85">
        <f t="shared" si="35"/>
        <v>40829316</v>
      </c>
      <c r="J54" s="85">
        <f t="shared" si="35"/>
        <v>52365273</v>
      </c>
      <c r="K54" s="86">
        <f t="shared" si="35"/>
        <v>98934389</v>
      </c>
    </row>
    <row r="55" spans="1:11" ht="27" customHeight="1" thickBot="1">
      <c r="A55" s="54"/>
      <c r="B55" s="87" t="s">
        <v>137</v>
      </c>
      <c r="C55" s="104">
        <f t="shared" ref="C55:K55" si="36">+ROUND((1+C53/C43),2)</f>
        <v>1.45</v>
      </c>
      <c r="D55" s="104">
        <f t="shared" si="36"/>
        <v>1.45</v>
      </c>
      <c r="E55" s="89">
        <f t="shared" si="36"/>
        <v>1.65</v>
      </c>
      <c r="F55" s="105">
        <f t="shared" si="36"/>
        <v>1.65</v>
      </c>
      <c r="G55" s="106">
        <f t="shared" si="36"/>
        <v>1.57</v>
      </c>
      <c r="H55" s="104">
        <f t="shared" si="36"/>
        <v>1.45</v>
      </c>
      <c r="I55" s="104">
        <f t="shared" si="36"/>
        <v>1.59</v>
      </c>
      <c r="J55" s="104">
        <f t="shared" si="36"/>
        <v>1.45</v>
      </c>
      <c r="K55" s="104">
        <f t="shared" si="36"/>
        <v>1.45</v>
      </c>
    </row>
    <row r="56" spans="1:11" ht="15" thickTop="1" thickBot="1">
      <c r="A56" s="54"/>
      <c r="B56" s="742" t="s">
        <v>154</v>
      </c>
      <c r="C56" s="743"/>
      <c r="D56" s="743"/>
      <c r="E56" s="743"/>
      <c r="F56" s="743"/>
      <c r="G56" s="743"/>
      <c r="H56" s="743"/>
      <c r="I56" s="743"/>
      <c r="J56" s="743"/>
      <c r="K56" s="744"/>
    </row>
    <row r="57" spans="1:11" ht="24.6" customHeight="1" thickTop="1">
      <c r="A57" s="54"/>
      <c r="B57" s="91" t="s">
        <v>121</v>
      </c>
      <c r="C57" s="92">
        <f t="shared" ref="C57:K57" si="37">+C39</f>
        <v>4</v>
      </c>
      <c r="D57" s="92">
        <f t="shared" si="37"/>
        <v>4</v>
      </c>
      <c r="E57" s="92">
        <f t="shared" si="37"/>
        <v>1</v>
      </c>
      <c r="F57" s="92">
        <f t="shared" si="37"/>
        <v>1</v>
      </c>
      <c r="G57" s="92">
        <f t="shared" si="37"/>
        <v>2</v>
      </c>
      <c r="H57" s="92">
        <f t="shared" si="37"/>
        <v>2.5</v>
      </c>
      <c r="I57" s="92">
        <f t="shared" si="37"/>
        <v>1.5</v>
      </c>
      <c r="J57" s="92">
        <f t="shared" si="37"/>
        <v>2.1171719138146226</v>
      </c>
      <c r="K57" s="93">
        <f t="shared" si="37"/>
        <v>4</v>
      </c>
    </row>
    <row r="58" spans="1:11">
      <c r="A58" s="54"/>
      <c r="B58" s="94" t="s">
        <v>138</v>
      </c>
      <c r="C58" s="95">
        <f t="shared" ref="C58:K58" si="38">+C40+C43</f>
        <v>68328000</v>
      </c>
      <c r="D58" s="95">
        <f t="shared" si="38"/>
        <v>68328000</v>
      </c>
      <c r="E58" s="95">
        <f t="shared" si="38"/>
        <v>19482000</v>
      </c>
      <c r="F58" s="95">
        <f t="shared" si="38"/>
        <v>19482000</v>
      </c>
      <c r="G58" s="95">
        <f t="shared" si="38"/>
        <v>36564000</v>
      </c>
      <c r="H58" s="95">
        <f t="shared" si="38"/>
        <v>42705000</v>
      </c>
      <c r="I58" s="95">
        <f t="shared" si="38"/>
        <v>28023000</v>
      </c>
      <c r="J58" s="95">
        <f t="shared" si="38"/>
        <v>36165528</v>
      </c>
      <c r="K58" s="96">
        <f t="shared" si="38"/>
        <v>68328000</v>
      </c>
    </row>
    <row r="59" spans="1:11">
      <c r="A59" s="54"/>
      <c r="B59" s="94" t="s">
        <v>139</v>
      </c>
      <c r="C59" s="95">
        <f t="shared" ref="C59:K59" si="39">+C41+C42</f>
        <v>5694000</v>
      </c>
      <c r="D59" s="95">
        <f t="shared" si="39"/>
        <v>5694000</v>
      </c>
      <c r="E59" s="95">
        <f t="shared" si="39"/>
        <v>1623500</v>
      </c>
      <c r="F59" s="95">
        <f t="shared" si="39"/>
        <v>1623500</v>
      </c>
      <c r="G59" s="95">
        <f t="shared" si="39"/>
        <v>3047000</v>
      </c>
      <c r="H59" s="95">
        <f t="shared" si="39"/>
        <v>3558750</v>
      </c>
      <c r="I59" s="95">
        <f t="shared" si="39"/>
        <v>2335250</v>
      </c>
      <c r="J59" s="95">
        <f t="shared" si="39"/>
        <v>3013794</v>
      </c>
      <c r="K59" s="96">
        <f t="shared" si="39"/>
        <v>5694000</v>
      </c>
    </row>
    <row r="60" spans="1:11">
      <c r="A60" s="54"/>
      <c r="B60" s="94" t="s">
        <v>141</v>
      </c>
      <c r="C60" s="95">
        <f>+C59/30</f>
        <v>189800</v>
      </c>
      <c r="D60" s="95">
        <f t="shared" ref="D60:I60" si="40">+D59/30</f>
        <v>189800</v>
      </c>
      <c r="E60" s="95">
        <f t="shared" si="40"/>
        <v>54116.666666666664</v>
      </c>
      <c r="F60" s="95">
        <f>+F59/30</f>
        <v>54116.666666666664</v>
      </c>
      <c r="G60" s="95">
        <f t="shared" si="40"/>
        <v>101566.66666666667</v>
      </c>
      <c r="H60" s="95">
        <f t="shared" si="40"/>
        <v>118625</v>
      </c>
      <c r="I60" s="95">
        <f t="shared" si="40"/>
        <v>77841.666666666672</v>
      </c>
      <c r="J60" s="95">
        <f>+J59/30</f>
        <v>100459.8</v>
      </c>
      <c r="K60" s="96">
        <f>+K59/30</f>
        <v>189800</v>
      </c>
    </row>
    <row r="61" spans="1:11" ht="14.4" thickBot="1">
      <c r="A61" s="54"/>
      <c r="B61" s="97" t="s">
        <v>142</v>
      </c>
      <c r="C61" s="98">
        <f>+ROUND(C60/8,0)</f>
        <v>23725</v>
      </c>
      <c r="D61" s="98">
        <f t="shared" ref="D61:I61" si="41">+ROUND(D60/8,0)</f>
        <v>23725</v>
      </c>
      <c r="E61" s="98">
        <f t="shared" si="41"/>
        <v>6765</v>
      </c>
      <c r="F61" s="98">
        <f t="shared" si="41"/>
        <v>6765</v>
      </c>
      <c r="G61" s="98">
        <f t="shared" si="41"/>
        <v>12696</v>
      </c>
      <c r="H61" s="98">
        <f t="shared" si="41"/>
        <v>14828</v>
      </c>
      <c r="I61" s="98">
        <f t="shared" si="41"/>
        <v>9730</v>
      </c>
      <c r="J61" s="98">
        <f>+ROUND(J60/8,0)</f>
        <v>12557</v>
      </c>
      <c r="K61" s="99">
        <f>+ROUND(K60/8,0)</f>
        <v>23725</v>
      </c>
    </row>
    <row r="62" spans="1:11" ht="14.4" thickTop="1">
      <c r="A62" s="54"/>
      <c r="B62" s="107"/>
      <c r="C62" s="108"/>
      <c r="D62" s="108"/>
      <c r="E62" s="108"/>
      <c r="F62" s="108"/>
      <c r="G62" s="108">
        <f>+G60*G55</f>
        <v>159459.66666666669</v>
      </c>
      <c r="H62" s="108"/>
      <c r="I62" s="108"/>
      <c r="J62" s="108"/>
      <c r="K62" s="108"/>
    </row>
    <row r="63" spans="1:11">
      <c r="A63" s="54"/>
      <c r="B63" s="107"/>
      <c r="C63" s="108"/>
      <c r="D63" s="108"/>
      <c r="E63" s="108"/>
      <c r="F63" s="108"/>
      <c r="G63" s="108"/>
      <c r="H63" s="108"/>
      <c r="I63" s="108"/>
      <c r="J63" s="108"/>
      <c r="K63" s="108"/>
    </row>
    <row r="64" spans="1:11">
      <c r="A64" s="54"/>
      <c r="B64" s="107"/>
      <c r="C64" s="108"/>
      <c r="D64" s="108"/>
      <c r="E64" s="108"/>
      <c r="F64" s="108"/>
      <c r="G64" s="108"/>
      <c r="H64" s="108"/>
      <c r="I64" s="108"/>
      <c r="J64" s="108"/>
      <c r="K64" s="108"/>
    </row>
    <row r="65" spans="1:11">
      <c r="A65" s="54"/>
      <c r="B65" s="107"/>
      <c r="C65" s="108"/>
      <c r="D65" s="108"/>
      <c r="E65" s="108"/>
      <c r="F65" s="109"/>
      <c r="G65" s="108"/>
      <c r="H65" s="108"/>
      <c r="I65" s="108"/>
      <c r="J65" s="108"/>
      <c r="K65" s="108"/>
    </row>
    <row r="66" spans="1:11" ht="14.4">
      <c r="A66" s="54"/>
      <c r="B66" s="110"/>
      <c r="C66" s="108"/>
      <c r="D66" s="108"/>
      <c r="E66" s="108"/>
      <c r="F66" s="108"/>
      <c r="G66" s="108"/>
      <c r="H66" s="108"/>
      <c r="I66" s="108"/>
      <c r="J66" s="108"/>
      <c r="K66" s="108"/>
    </row>
    <row r="67" spans="1:11" ht="14.4">
      <c r="A67" s="54"/>
      <c r="B67" s="110"/>
      <c r="C67" s="108"/>
      <c r="D67" s="108"/>
      <c r="E67" s="108"/>
      <c r="F67" s="108"/>
      <c r="G67" s="108"/>
      <c r="H67" s="108"/>
      <c r="I67" s="108"/>
      <c r="J67" s="108"/>
      <c r="K67" s="108"/>
    </row>
    <row r="68" spans="1:11" ht="14.4">
      <c r="A68" s="54"/>
      <c r="B68" s="110"/>
      <c r="C68" s="108"/>
      <c r="D68" s="108"/>
      <c r="E68" s="108"/>
      <c r="F68" s="108"/>
      <c r="G68" s="108"/>
      <c r="H68" s="108"/>
      <c r="I68" s="108"/>
      <c r="J68" s="108"/>
      <c r="K68" s="108"/>
    </row>
    <row r="69" spans="1:11">
      <c r="A69" s="54"/>
      <c r="B69" s="107"/>
      <c r="C69" s="108"/>
      <c r="D69" s="108"/>
      <c r="E69" s="108"/>
      <c r="F69" s="108"/>
      <c r="G69" s="108"/>
      <c r="H69" s="108"/>
      <c r="I69" s="108"/>
      <c r="J69" s="108"/>
      <c r="K69" s="108"/>
    </row>
    <row r="70" spans="1:11">
      <c r="A70" s="54"/>
      <c r="B70" s="107"/>
      <c r="C70" s="108"/>
      <c r="D70" s="108"/>
      <c r="E70" s="108"/>
      <c r="F70" s="108"/>
      <c r="G70" s="108"/>
      <c r="H70" s="108"/>
      <c r="I70" s="108"/>
      <c r="J70" s="108"/>
      <c r="K70" s="108"/>
    </row>
    <row r="71" spans="1:11">
      <c r="A71" s="54"/>
      <c r="B71" s="107"/>
      <c r="C71" s="108"/>
      <c r="D71" s="108"/>
      <c r="E71" s="108"/>
      <c r="F71" s="108"/>
      <c r="G71" s="108"/>
      <c r="H71" s="108"/>
      <c r="I71" s="108"/>
      <c r="J71" s="108"/>
      <c r="K71" s="108"/>
    </row>
    <row r="72" spans="1:11">
      <c r="A72" s="54"/>
      <c r="B72" s="111"/>
      <c r="C72" s="111"/>
      <c r="D72" s="111"/>
      <c r="E72" s="108"/>
      <c r="F72" s="108"/>
      <c r="G72" s="108"/>
      <c r="H72" s="108"/>
      <c r="I72" s="108"/>
      <c r="J72" s="108"/>
      <c r="K72" s="108"/>
    </row>
    <row r="73" spans="1:11">
      <c r="A73" s="54"/>
      <c r="B73" s="107"/>
      <c r="C73" s="108"/>
      <c r="D73" s="108"/>
      <c r="E73" s="108"/>
      <c r="F73" s="108"/>
      <c r="G73" s="108"/>
      <c r="H73" s="108"/>
      <c r="I73" s="108"/>
      <c r="J73" s="108"/>
      <c r="K73" s="108"/>
    </row>
    <row r="74" spans="1:11">
      <c r="A74" s="54"/>
      <c r="B74" s="107"/>
      <c r="C74" s="108"/>
      <c r="D74" s="108"/>
      <c r="E74" s="108"/>
      <c r="F74" s="108"/>
      <c r="G74" s="108"/>
      <c r="H74" s="108"/>
      <c r="I74" s="108"/>
      <c r="J74" s="108"/>
      <c r="K74" s="108"/>
    </row>
    <row r="75" spans="1:11">
      <c r="A75" s="54"/>
      <c r="B75" s="107"/>
      <c r="C75" s="108"/>
      <c r="D75" s="108"/>
      <c r="E75" s="108"/>
      <c r="F75" s="108"/>
      <c r="G75" s="108"/>
      <c r="H75" s="108"/>
      <c r="I75" s="108"/>
      <c r="J75" s="108"/>
      <c r="K75" s="108"/>
    </row>
    <row r="76" spans="1:11">
      <c r="A76" s="54"/>
      <c r="B76" s="107"/>
      <c r="C76" s="108"/>
      <c r="D76" s="108"/>
      <c r="E76" s="108"/>
      <c r="F76" s="108"/>
      <c r="G76" s="108"/>
      <c r="H76" s="108"/>
      <c r="I76" s="108"/>
      <c r="J76" s="108"/>
      <c r="K76" s="108"/>
    </row>
    <row r="77" spans="1:11">
      <c r="A77" s="54"/>
      <c r="B77" s="107"/>
      <c r="C77" s="108"/>
      <c r="D77" s="108"/>
      <c r="E77" s="108"/>
      <c r="F77" s="108"/>
      <c r="G77" s="108"/>
      <c r="H77" s="108"/>
      <c r="I77" s="108"/>
      <c r="J77" s="108"/>
      <c r="K77" s="108"/>
    </row>
    <row r="78" spans="1:11">
      <c r="A78" s="54"/>
      <c r="B78" s="107"/>
      <c r="C78" s="108"/>
      <c r="D78" s="108"/>
      <c r="E78" s="108"/>
      <c r="F78" s="108"/>
      <c r="G78" s="108"/>
      <c r="H78" s="108"/>
      <c r="I78" s="108"/>
      <c r="J78" s="108"/>
      <c r="K78" s="108"/>
    </row>
    <row r="79" spans="1:11">
      <c r="A79" s="54"/>
      <c r="B79" s="107"/>
      <c r="C79" s="108"/>
      <c r="D79" s="108"/>
      <c r="E79" s="108"/>
      <c r="F79" s="108"/>
      <c r="G79" s="108"/>
      <c r="H79" s="108"/>
      <c r="I79" s="108"/>
      <c r="J79" s="108"/>
      <c r="K79" s="108"/>
    </row>
    <row r="80" spans="1:11">
      <c r="A80" s="54"/>
      <c r="B80" s="107"/>
      <c r="C80" s="108"/>
      <c r="D80" s="108"/>
      <c r="E80" s="108"/>
      <c r="F80" s="108"/>
      <c r="G80" s="108"/>
      <c r="H80" s="108"/>
      <c r="I80" s="108"/>
      <c r="J80" s="108"/>
      <c r="K80" s="108"/>
    </row>
    <row r="81" spans="1:11">
      <c r="A81" s="54"/>
      <c r="B81" s="107"/>
      <c r="C81" s="108"/>
      <c r="D81" s="108"/>
      <c r="E81" s="108"/>
      <c r="F81" s="108"/>
      <c r="G81" s="108"/>
      <c r="H81" s="108"/>
      <c r="I81" s="108"/>
      <c r="J81" s="108"/>
      <c r="K81" s="108"/>
    </row>
    <row r="82" spans="1:11">
      <c r="A82" s="54"/>
      <c r="B82" s="107"/>
      <c r="C82" s="108"/>
      <c r="D82" s="108"/>
      <c r="E82" s="108"/>
      <c r="F82" s="108"/>
      <c r="G82" s="108"/>
      <c r="H82" s="108"/>
      <c r="I82" s="108"/>
      <c r="J82" s="108"/>
      <c r="K82" s="108"/>
    </row>
    <row r="83" spans="1:11">
      <c r="A83" s="54"/>
      <c r="B83" s="107"/>
      <c r="C83" s="108"/>
      <c r="D83" s="108"/>
      <c r="E83" s="108"/>
      <c r="F83" s="108"/>
      <c r="G83" s="108"/>
      <c r="H83" s="108"/>
      <c r="I83" s="108"/>
      <c r="J83" s="108"/>
      <c r="K83" s="108"/>
    </row>
    <row r="84" spans="1:11">
      <c r="A84" s="54"/>
      <c r="B84" s="107"/>
      <c r="C84" s="108"/>
      <c r="D84" s="108"/>
      <c r="E84" s="108"/>
      <c r="F84" s="108"/>
      <c r="G84" s="108"/>
      <c r="H84" s="108"/>
      <c r="I84" s="108"/>
      <c r="J84" s="108"/>
      <c r="K84" s="108"/>
    </row>
    <row r="85" spans="1:11">
      <c r="A85" s="54"/>
      <c r="B85" s="107"/>
      <c r="C85" s="108"/>
      <c r="D85" s="108"/>
      <c r="E85" s="108"/>
      <c r="F85" s="108"/>
      <c r="G85" s="108"/>
      <c r="H85" s="108"/>
      <c r="I85" s="108"/>
      <c r="J85" s="108"/>
      <c r="K85" s="108"/>
    </row>
    <row r="86" spans="1:11">
      <c r="A86" s="54"/>
      <c r="B86" s="107"/>
      <c r="C86" s="108"/>
      <c r="D86" s="108"/>
      <c r="E86" s="108"/>
      <c r="F86" s="108"/>
      <c r="G86" s="108"/>
      <c r="H86" s="108"/>
      <c r="I86" s="108"/>
      <c r="J86" s="108"/>
      <c r="K86" s="108"/>
    </row>
    <row r="87" spans="1:11">
      <c r="A87" s="54"/>
      <c r="B87" s="107"/>
      <c r="C87" s="108"/>
      <c r="D87" s="108"/>
      <c r="E87" s="108"/>
      <c r="F87" s="108"/>
      <c r="G87" s="108"/>
      <c r="H87" s="108"/>
      <c r="I87" s="108"/>
      <c r="J87" s="108"/>
      <c r="K87" s="108"/>
    </row>
    <row r="88" spans="1:11">
      <c r="A88" s="54"/>
      <c r="B88" s="107"/>
      <c r="C88" s="108"/>
      <c r="D88" s="108"/>
      <c r="E88" s="108"/>
      <c r="F88" s="108"/>
      <c r="G88" s="108"/>
      <c r="H88" s="108"/>
      <c r="I88" s="108"/>
      <c r="J88" s="108"/>
      <c r="K88" s="108"/>
    </row>
    <row r="89" spans="1:11">
      <c r="A89" s="54"/>
      <c r="B89" s="107"/>
      <c r="C89" s="108"/>
      <c r="D89" s="108"/>
      <c r="E89" s="108"/>
      <c r="F89" s="108"/>
      <c r="G89" s="108"/>
      <c r="H89" s="108"/>
      <c r="I89" s="108"/>
      <c r="J89" s="108"/>
      <c r="K89" s="108"/>
    </row>
    <row r="90" spans="1:11">
      <c r="A90" s="54"/>
      <c r="B90" s="107"/>
      <c r="C90" s="108"/>
      <c r="D90" s="108"/>
      <c r="E90" s="108"/>
      <c r="F90" s="108"/>
      <c r="G90" s="108"/>
      <c r="H90" s="108"/>
      <c r="I90" s="108"/>
      <c r="J90" s="108"/>
      <c r="K90" s="108"/>
    </row>
    <row r="91" spans="1:11">
      <c r="A91" s="54"/>
      <c r="B91" s="107"/>
      <c r="C91" s="108"/>
      <c r="D91" s="108"/>
      <c r="E91" s="108"/>
      <c r="F91" s="108"/>
      <c r="G91" s="108"/>
      <c r="H91" s="108"/>
      <c r="I91" s="108"/>
      <c r="J91" s="108"/>
      <c r="K91" s="108"/>
    </row>
    <row r="92" spans="1:11">
      <c r="A92" s="54"/>
      <c r="B92" s="107"/>
      <c r="C92" s="108"/>
      <c r="D92" s="108"/>
      <c r="E92" s="108"/>
      <c r="F92" s="108"/>
      <c r="G92" s="108"/>
      <c r="H92" s="108"/>
      <c r="I92" s="108"/>
      <c r="J92" s="108"/>
      <c r="K92" s="108"/>
    </row>
    <row r="93" spans="1:11">
      <c r="A93" s="54"/>
      <c r="B93" s="107"/>
      <c r="C93" s="108"/>
      <c r="D93" s="108"/>
      <c r="E93" s="108"/>
      <c r="F93" s="108"/>
      <c r="G93" s="108"/>
      <c r="H93" s="108"/>
      <c r="I93" s="108"/>
      <c r="J93" s="108"/>
      <c r="K93" s="108"/>
    </row>
    <row r="94" spans="1:11">
      <c r="A94" s="54"/>
      <c r="B94" s="107"/>
      <c r="C94" s="108"/>
      <c r="D94" s="108"/>
      <c r="E94" s="108"/>
      <c r="F94" s="108"/>
      <c r="G94" s="108"/>
      <c r="H94" s="108"/>
      <c r="I94" s="108"/>
      <c r="J94" s="108"/>
      <c r="K94" s="108"/>
    </row>
    <row r="95" spans="1:11">
      <c r="A95" s="54"/>
      <c r="B95" s="107"/>
      <c r="C95" s="108"/>
      <c r="D95" s="108"/>
      <c r="E95" s="108"/>
      <c r="F95" s="108"/>
      <c r="G95" s="108"/>
      <c r="H95" s="108"/>
      <c r="I95" s="108"/>
      <c r="J95" s="108"/>
      <c r="K95" s="108"/>
    </row>
    <row r="96" spans="1:11">
      <c r="A96" s="54"/>
      <c r="B96" s="107"/>
      <c r="C96" s="108"/>
      <c r="D96" s="108"/>
      <c r="E96" s="108"/>
      <c r="F96" s="108"/>
      <c r="G96" s="108"/>
      <c r="H96" s="108"/>
      <c r="I96" s="108"/>
      <c r="J96" s="108"/>
      <c r="K96" s="108"/>
    </row>
    <row r="97" spans="1:11">
      <c r="A97" s="54"/>
      <c r="B97" s="107"/>
      <c r="C97" s="108"/>
      <c r="D97" s="108"/>
      <c r="E97" s="108"/>
      <c r="F97" s="108"/>
      <c r="G97" s="108"/>
      <c r="H97" s="108"/>
      <c r="I97" s="108"/>
      <c r="J97" s="108"/>
      <c r="K97" s="108"/>
    </row>
    <row r="98" spans="1:11">
      <c r="A98" s="54"/>
      <c r="B98" s="107"/>
      <c r="C98" s="108"/>
      <c r="D98" s="108"/>
      <c r="E98" s="108"/>
      <c r="F98" s="108"/>
      <c r="G98" s="108"/>
      <c r="H98" s="108"/>
      <c r="I98" s="108"/>
      <c r="J98" s="108"/>
      <c r="K98" s="108"/>
    </row>
    <row r="99" spans="1:11">
      <c r="A99" s="54"/>
      <c r="B99" s="107"/>
      <c r="C99" s="108"/>
      <c r="D99" s="108"/>
      <c r="E99" s="108"/>
      <c r="F99" s="108"/>
      <c r="G99" s="108"/>
      <c r="H99" s="108"/>
      <c r="I99" s="108"/>
      <c r="J99" s="108"/>
      <c r="K99" s="108"/>
    </row>
    <row r="100" spans="1:11">
      <c r="A100" s="54"/>
      <c r="B100" s="107"/>
      <c r="C100" s="108"/>
      <c r="D100" s="108"/>
      <c r="E100" s="108"/>
      <c r="F100" s="108"/>
      <c r="G100" s="108"/>
      <c r="H100" s="108"/>
      <c r="I100" s="108"/>
      <c r="J100" s="108"/>
      <c r="K100" s="108"/>
    </row>
    <row r="101" spans="1:11">
      <c r="A101" s="54"/>
      <c r="B101" s="107"/>
      <c r="C101" s="108"/>
      <c r="D101" s="108"/>
      <c r="E101" s="108"/>
      <c r="F101" s="108"/>
      <c r="G101" s="108"/>
      <c r="H101" s="108"/>
      <c r="I101" s="108"/>
      <c r="J101" s="108"/>
      <c r="K101" s="108"/>
    </row>
    <row r="102" spans="1:11">
      <c r="A102" s="54"/>
      <c r="B102" s="107"/>
      <c r="C102" s="108"/>
      <c r="D102" s="108"/>
      <c r="E102" s="108"/>
      <c r="F102" s="108"/>
      <c r="G102" s="108"/>
      <c r="H102" s="108"/>
      <c r="I102" s="108"/>
      <c r="J102" s="108"/>
      <c r="K102" s="108"/>
    </row>
    <row r="103" spans="1:11">
      <c r="A103" s="54"/>
      <c r="B103" s="107"/>
      <c r="C103" s="108"/>
      <c r="D103" s="108"/>
      <c r="E103" s="108"/>
      <c r="F103" s="108"/>
      <c r="G103" s="108"/>
      <c r="H103" s="108"/>
      <c r="I103" s="108"/>
      <c r="J103" s="108"/>
      <c r="K103" s="108"/>
    </row>
    <row r="104" spans="1:11">
      <c r="A104" s="54"/>
      <c r="B104" s="107"/>
      <c r="C104" s="108"/>
      <c r="D104" s="108"/>
      <c r="E104" s="108"/>
      <c r="F104" s="108"/>
      <c r="G104" s="108"/>
      <c r="H104" s="108"/>
      <c r="I104" s="108"/>
      <c r="J104" s="108"/>
      <c r="K104" s="108"/>
    </row>
    <row r="105" spans="1:11">
      <c r="A105" s="54"/>
      <c r="B105" s="107"/>
      <c r="C105" s="108"/>
      <c r="D105" s="108"/>
      <c r="E105" s="108"/>
      <c r="F105" s="108"/>
      <c r="G105" s="108"/>
      <c r="H105" s="108"/>
      <c r="I105" s="108"/>
      <c r="J105" s="108"/>
      <c r="K105" s="108"/>
    </row>
    <row r="106" spans="1:11">
      <c r="A106" s="54"/>
      <c r="B106" s="107"/>
      <c r="C106" s="108"/>
      <c r="D106" s="108"/>
      <c r="E106" s="108"/>
      <c r="F106" s="108"/>
      <c r="G106" s="108"/>
      <c r="H106" s="108"/>
      <c r="I106" s="108"/>
      <c r="J106" s="108"/>
      <c r="K106" s="108"/>
    </row>
    <row r="107" spans="1:11">
      <c r="A107" s="54"/>
      <c r="B107" s="107"/>
      <c r="C107" s="108"/>
      <c r="D107" s="108"/>
      <c r="E107" s="108"/>
      <c r="F107" s="108"/>
      <c r="G107" s="108"/>
      <c r="H107" s="108"/>
      <c r="I107" s="108"/>
      <c r="J107" s="108"/>
      <c r="K107" s="108"/>
    </row>
    <row r="108" spans="1:11">
      <c r="A108" s="54"/>
      <c r="B108" s="107"/>
      <c r="C108" s="108"/>
      <c r="D108" s="108"/>
      <c r="E108" s="108"/>
      <c r="F108" s="108"/>
      <c r="G108" s="108"/>
      <c r="H108" s="108"/>
      <c r="I108" s="108"/>
      <c r="J108" s="108"/>
      <c r="K108" s="108"/>
    </row>
    <row r="109" spans="1:11" hidden="1">
      <c r="A109" s="54"/>
      <c r="B109" s="107"/>
      <c r="C109" s="108"/>
      <c r="D109" s="108"/>
      <c r="E109" s="108"/>
      <c r="F109" s="108"/>
      <c r="G109" s="108"/>
      <c r="H109" s="108"/>
      <c r="I109" s="108"/>
      <c r="J109" s="108"/>
      <c r="K109" s="108"/>
    </row>
    <row r="110" spans="1:11" hidden="1">
      <c r="A110" s="54"/>
      <c r="B110" s="740" t="s">
        <v>155</v>
      </c>
      <c r="C110" s="740"/>
      <c r="D110" s="740"/>
      <c r="E110" s="740"/>
      <c r="F110" s="64"/>
      <c r="G110" s="64"/>
      <c r="H110" s="64"/>
      <c r="I110" s="64"/>
      <c r="J110" s="54"/>
      <c r="K110" s="54"/>
    </row>
    <row r="111" spans="1:11" hidden="1">
      <c r="A111" s="54"/>
      <c r="B111" s="112" t="s">
        <v>156</v>
      </c>
      <c r="C111" s="113"/>
      <c r="D111" s="114">
        <f>+C28</f>
        <v>148401583</v>
      </c>
      <c r="E111" s="115"/>
      <c r="F111" s="66"/>
      <c r="G111" s="54"/>
      <c r="H111" s="54"/>
      <c r="I111" s="54"/>
      <c r="J111" s="54"/>
      <c r="K111" s="54"/>
    </row>
    <row r="112" spans="1:11" hidden="1">
      <c r="A112" s="54"/>
      <c r="B112" s="112" t="s">
        <v>157</v>
      </c>
      <c r="C112" s="116" t="s">
        <v>158</v>
      </c>
      <c r="D112" s="114">
        <f>360*8</f>
        <v>2880</v>
      </c>
      <c r="E112" s="115"/>
      <c r="F112" s="66"/>
      <c r="G112" s="54"/>
      <c r="H112" s="54"/>
      <c r="I112" s="54"/>
      <c r="J112" s="54"/>
      <c r="K112" s="54"/>
    </row>
    <row r="113" spans="1:11" hidden="1">
      <c r="A113" s="54"/>
      <c r="B113" s="112" t="s">
        <v>159</v>
      </c>
      <c r="C113" s="116" t="s">
        <v>160</v>
      </c>
      <c r="D113" s="114">
        <f>48*52</f>
        <v>2496</v>
      </c>
      <c r="E113" s="115"/>
      <c r="F113" s="66"/>
      <c r="G113" s="54"/>
      <c r="H113" s="54"/>
      <c r="I113" s="54"/>
      <c r="J113" s="54"/>
      <c r="K113" s="54"/>
    </row>
    <row r="114" spans="1:11" ht="30.6" hidden="1">
      <c r="A114" s="54"/>
      <c r="B114" s="112" t="s">
        <v>161</v>
      </c>
      <c r="C114" s="116" t="s">
        <v>162</v>
      </c>
      <c r="D114" s="117">
        <f>+(365-53-17-3-15)*8</f>
        <v>2216</v>
      </c>
      <c r="E114" s="115"/>
      <c r="F114" s="66"/>
      <c r="G114" s="118"/>
      <c r="H114" s="54"/>
      <c r="I114" s="54"/>
      <c r="J114" s="54"/>
      <c r="K114" s="54"/>
    </row>
    <row r="115" spans="1:11" hidden="1">
      <c r="A115" s="54"/>
      <c r="B115" s="112" t="s">
        <v>163</v>
      </c>
      <c r="C115" s="113"/>
      <c r="D115" s="114">
        <f>+D111/D112</f>
        <v>51528.327430555553</v>
      </c>
      <c r="E115" s="115">
        <v>1</v>
      </c>
      <c r="F115" s="119"/>
      <c r="G115" s="54"/>
      <c r="H115" s="54"/>
      <c r="I115" s="54"/>
      <c r="J115" s="120"/>
      <c r="K115" s="54"/>
    </row>
    <row r="116" spans="1:11" hidden="1">
      <c r="A116" s="54"/>
      <c r="B116" s="112" t="s">
        <v>164</v>
      </c>
      <c r="C116" s="113"/>
      <c r="D116" s="114">
        <f>+D111/D113</f>
        <v>59455.762419871797</v>
      </c>
      <c r="E116" s="115">
        <f>+(D116*E115)/D115</f>
        <v>1.153846153846154</v>
      </c>
      <c r="F116" s="66"/>
      <c r="G116" s="54"/>
      <c r="H116" s="54"/>
      <c r="I116" s="54"/>
      <c r="J116" s="120"/>
      <c r="K116" s="54"/>
    </row>
    <row r="117" spans="1:11" hidden="1">
      <c r="A117" s="54"/>
      <c r="B117" s="112" t="s">
        <v>165</v>
      </c>
      <c r="C117" s="113"/>
      <c r="D117" s="114">
        <f>+D111/D114</f>
        <v>66968.223375451256</v>
      </c>
      <c r="E117" s="121">
        <f>+(D117*E116)/D116</f>
        <v>1.2996389891696751</v>
      </c>
      <c r="F117" s="122"/>
      <c r="G117" s="54"/>
      <c r="H117" s="54"/>
      <c r="I117" s="54"/>
      <c r="J117" s="54"/>
      <c r="K117" s="54"/>
    </row>
    <row r="118" spans="1:11" hidden="1">
      <c r="A118" s="54"/>
      <c r="B118" s="100"/>
      <c r="C118" s="100"/>
      <c r="D118" s="100"/>
      <c r="E118" s="123"/>
      <c r="F118" s="123"/>
      <c r="G118" s="123"/>
      <c r="H118" s="123"/>
      <c r="I118" s="123"/>
      <c r="J118" s="54"/>
      <c r="K118" s="54"/>
    </row>
    <row r="119" spans="1:11" hidden="1">
      <c r="A119" s="54"/>
      <c r="B119" s="112" t="s">
        <v>121</v>
      </c>
      <c r="C119" s="113">
        <v>1</v>
      </c>
      <c r="D119" s="113">
        <v>1.2</v>
      </c>
      <c r="E119" s="113">
        <v>1.5</v>
      </c>
      <c r="F119" s="113">
        <v>1.8</v>
      </c>
      <c r="G119" s="113">
        <v>2</v>
      </c>
      <c r="H119" s="113">
        <v>2.5</v>
      </c>
      <c r="I119" s="113">
        <v>3</v>
      </c>
      <c r="J119" s="113">
        <v>3.5</v>
      </c>
      <c r="K119" s="113">
        <v>4</v>
      </c>
    </row>
    <row r="120" spans="1:11" ht="30.6" hidden="1">
      <c r="A120" s="54"/>
      <c r="B120" s="124" t="s">
        <v>166</v>
      </c>
      <c r="C120" s="114">
        <f t="shared" ref="C120:K120" si="42">+(C28*100%)/(C14+C17)</f>
        <v>1.4479333313819616</v>
      </c>
      <c r="D120" s="125">
        <f t="shared" si="42"/>
        <v>1.447933336260391</v>
      </c>
      <c r="E120" s="125">
        <f t="shared" si="42"/>
        <v>1.4479333411388207</v>
      </c>
      <c r="F120" s="125">
        <f t="shared" si="42"/>
        <v>1.4569930414302537</v>
      </c>
      <c r="G120" s="125">
        <f t="shared" si="42"/>
        <v>1.443428652089108</v>
      </c>
      <c r="H120" s="125">
        <f t="shared" si="42"/>
        <v>1.4569930414302537</v>
      </c>
      <c r="I120" s="125">
        <f t="shared" si="42"/>
        <v>1.4642203807023302</v>
      </c>
      <c r="J120" s="125">
        <f t="shared" si="42"/>
        <v>1.443428652089108</v>
      </c>
      <c r="K120" s="125">
        <f t="shared" si="42"/>
        <v>1.443428652089108</v>
      </c>
    </row>
    <row r="121" spans="1:11" hidden="1">
      <c r="A121" s="54"/>
      <c r="B121" s="124" t="s">
        <v>167</v>
      </c>
      <c r="C121" s="114">
        <f t="shared" ref="C121:K121" si="43">+C120*$E$118</f>
        <v>0</v>
      </c>
      <c r="D121" s="114">
        <f t="shared" si="43"/>
        <v>0</v>
      </c>
      <c r="E121" s="114">
        <f t="shared" si="43"/>
        <v>0</v>
      </c>
      <c r="F121" s="114">
        <f t="shared" si="43"/>
        <v>0</v>
      </c>
      <c r="G121" s="114">
        <f t="shared" si="43"/>
        <v>0</v>
      </c>
      <c r="H121" s="114">
        <f t="shared" si="43"/>
        <v>0</v>
      </c>
      <c r="I121" s="114">
        <f t="shared" si="43"/>
        <v>0</v>
      </c>
      <c r="J121" s="114">
        <f t="shared" si="43"/>
        <v>0</v>
      </c>
      <c r="K121" s="114">
        <f t="shared" si="43"/>
        <v>0</v>
      </c>
    </row>
    <row r="122" spans="1:11" hidden="1">
      <c r="A122" s="54"/>
      <c r="B122" s="55"/>
      <c r="C122" s="54"/>
      <c r="D122" s="54"/>
      <c r="E122" s="54"/>
      <c r="F122" s="54"/>
      <c r="G122" s="54"/>
      <c r="H122" s="54"/>
      <c r="I122" s="54"/>
      <c r="J122" s="54"/>
      <c r="K122" s="54"/>
    </row>
    <row r="123" spans="1:11" hidden="1">
      <c r="A123" s="54"/>
      <c r="B123" s="741" t="s">
        <v>168</v>
      </c>
      <c r="C123" s="741"/>
      <c r="D123" s="741"/>
      <c r="E123" s="741"/>
      <c r="F123" s="741"/>
      <c r="G123" s="741"/>
      <c r="H123" s="741"/>
      <c r="I123" s="741"/>
      <c r="J123" s="741"/>
      <c r="K123" s="741"/>
    </row>
    <row r="124" spans="1:11" hidden="1">
      <c r="A124" s="54"/>
      <c r="B124" s="55"/>
      <c r="C124" s="54"/>
      <c r="D124" s="54"/>
      <c r="E124" s="54"/>
      <c r="F124" s="54"/>
      <c r="G124" s="54"/>
      <c r="H124" s="54"/>
      <c r="I124" s="54"/>
      <c r="J124" s="54"/>
      <c r="K124" s="54"/>
    </row>
    <row r="125" spans="1:11" hidden="1">
      <c r="A125" s="126"/>
      <c r="B125" s="737" t="s">
        <v>9</v>
      </c>
      <c r="C125" s="737" t="s">
        <v>169</v>
      </c>
      <c r="D125" s="737" t="s">
        <v>170</v>
      </c>
      <c r="E125" s="737" t="s">
        <v>116</v>
      </c>
      <c r="F125" s="737" t="s">
        <v>145</v>
      </c>
      <c r="G125" s="737" t="s">
        <v>171</v>
      </c>
      <c r="H125" s="737"/>
      <c r="I125" s="737"/>
      <c r="J125" s="126"/>
      <c r="K125" s="126"/>
    </row>
    <row r="126" spans="1:11" hidden="1">
      <c r="A126" s="126"/>
      <c r="B126" s="737"/>
      <c r="C126" s="737"/>
      <c r="D126" s="737"/>
      <c r="E126" s="737"/>
      <c r="F126" s="737"/>
      <c r="G126" s="127" t="s">
        <v>172</v>
      </c>
      <c r="H126" s="127" t="s">
        <v>173</v>
      </c>
      <c r="I126" s="127" t="s">
        <v>174</v>
      </c>
      <c r="J126" s="126"/>
      <c r="K126" s="126"/>
    </row>
    <row r="127" spans="1:11" hidden="1">
      <c r="A127" s="54"/>
      <c r="B127" s="128" t="s">
        <v>121</v>
      </c>
      <c r="C127" s="113">
        <v>5</v>
      </c>
      <c r="D127" s="113">
        <v>2.5</v>
      </c>
      <c r="E127" s="113">
        <v>1.5</v>
      </c>
      <c r="F127" s="129">
        <v>1.2</v>
      </c>
      <c r="G127" s="129">
        <v>3</v>
      </c>
      <c r="H127" s="129">
        <v>1.5</v>
      </c>
      <c r="I127" s="736">
        <v>250000</v>
      </c>
      <c r="J127" s="54"/>
      <c r="K127" s="54"/>
    </row>
    <row r="128" spans="1:11" hidden="1">
      <c r="A128" s="54"/>
      <c r="B128" s="130" t="s">
        <v>175</v>
      </c>
      <c r="C128" s="121">
        <f t="shared" ref="C128:H128" si="44">+C129*12</f>
        <v>0</v>
      </c>
      <c r="D128" s="121">
        <f t="shared" si="44"/>
        <v>0</v>
      </c>
      <c r="E128" s="121">
        <f t="shared" si="44"/>
        <v>0</v>
      </c>
      <c r="F128" s="121">
        <f t="shared" si="44"/>
        <v>0</v>
      </c>
      <c r="G128" s="121">
        <f t="shared" si="44"/>
        <v>0</v>
      </c>
      <c r="H128" s="121">
        <f t="shared" si="44"/>
        <v>0</v>
      </c>
      <c r="I128" s="736"/>
      <c r="J128" s="54"/>
      <c r="K128" s="54"/>
    </row>
    <row r="129" spans="1:11" hidden="1">
      <c r="A129" s="54"/>
      <c r="B129" s="131" t="s">
        <v>123</v>
      </c>
      <c r="C129" s="121">
        <f t="shared" ref="C129:H129" si="45">+IF(C127&lt;=2,$D$11,0)</f>
        <v>0</v>
      </c>
      <c r="D129" s="121">
        <f t="shared" si="45"/>
        <v>0</v>
      </c>
      <c r="E129" s="121">
        <f t="shared" si="45"/>
        <v>0</v>
      </c>
      <c r="F129" s="121">
        <f t="shared" si="45"/>
        <v>0</v>
      </c>
      <c r="G129" s="121">
        <f t="shared" si="45"/>
        <v>0</v>
      </c>
      <c r="H129" s="121">
        <f t="shared" si="45"/>
        <v>0</v>
      </c>
      <c r="I129" s="736"/>
      <c r="J129" s="54"/>
      <c r="K129" s="54"/>
    </row>
    <row r="130" spans="1:11" hidden="1">
      <c r="A130" s="54"/>
      <c r="B130" s="131" t="s">
        <v>124</v>
      </c>
      <c r="C130" s="121">
        <f t="shared" ref="C130:H130" si="46">ROUND($D$10*C127,0)</f>
        <v>1000000</v>
      </c>
      <c r="D130" s="121">
        <f t="shared" si="46"/>
        <v>500000</v>
      </c>
      <c r="E130" s="121">
        <f t="shared" si="46"/>
        <v>300000</v>
      </c>
      <c r="F130" s="121">
        <f t="shared" si="46"/>
        <v>240000</v>
      </c>
      <c r="G130" s="121">
        <f t="shared" si="46"/>
        <v>600000</v>
      </c>
      <c r="H130" s="121">
        <f t="shared" si="46"/>
        <v>300000</v>
      </c>
      <c r="I130" s="736"/>
      <c r="J130" s="54"/>
      <c r="K130" s="54"/>
    </row>
    <row r="131" spans="1:11" hidden="1">
      <c r="A131" s="54"/>
      <c r="B131" s="132" t="s">
        <v>176</v>
      </c>
      <c r="C131" s="121">
        <f t="shared" ref="C131:H131" si="47">+ROUND(C130*12,0)</f>
        <v>12000000</v>
      </c>
      <c r="D131" s="121">
        <f t="shared" si="47"/>
        <v>6000000</v>
      </c>
      <c r="E131" s="121">
        <f t="shared" si="47"/>
        <v>3600000</v>
      </c>
      <c r="F131" s="121">
        <f t="shared" si="47"/>
        <v>2880000</v>
      </c>
      <c r="G131" s="121">
        <f t="shared" si="47"/>
        <v>7200000</v>
      </c>
      <c r="H131" s="121">
        <f t="shared" si="47"/>
        <v>3600000</v>
      </c>
      <c r="I131" s="736"/>
      <c r="J131" s="54"/>
      <c r="K131" s="54"/>
    </row>
    <row r="132" spans="1:11" hidden="1">
      <c r="A132" s="54"/>
      <c r="B132" s="133" t="s">
        <v>177</v>
      </c>
      <c r="C132" s="115" t="e">
        <f ca="1">+ROUND(($C$132)*#REF!,0)</f>
        <v>#REF!</v>
      </c>
      <c r="D132" s="115" t="e">
        <f ca="1">+ROUND(($D$132)*#REF!,0)</f>
        <v>#REF!</v>
      </c>
      <c r="E132" s="115" t="e">
        <f ca="1">+ROUND(($E$132)*#REF!,0)</f>
        <v>#REF!</v>
      </c>
      <c r="F132" s="115" t="e">
        <f ca="1">+ROUND(($F$132)*#REF!,0)</f>
        <v>#REF!</v>
      </c>
      <c r="G132" s="115" t="e">
        <f ca="1">+ROUND(($G$132)*#REF!,0)</f>
        <v>#REF!</v>
      </c>
      <c r="H132" s="115" t="e">
        <f ca="1">+ROUND(($H$132)*#REF!,0)</f>
        <v>#REF!</v>
      </c>
      <c r="I132" s="736"/>
      <c r="J132" s="54"/>
      <c r="K132" s="54"/>
    </row>
    <row r="133" spans="1:11" hidden="1">
      <c r="A133" s="54"/>
      <c r="B133" s="133" t="s">
        <v>178</v>
      </c>
      <c r="C133" s="115" t="e">
        <f ca="1">+ROUND(($C$132)*#REF!,0)</f>
        <v>#REF!</v>
      </c>
      <c r="D133" s="115" t="e">
        <f ca="1">+ROUND(($D$132)*#REF!,0)</f>
        <v>#REF!</v>
      </c>
      <c r="E133" s="115" t="e">
        <f ca="1">+ROUND(($E$132)*#REF!,0)</f>
        <v>#REF!</v>
      </c>
      <c r="F133" s="115" t="e">
        <f ca="1">+ROUND(($F$132)*#REF!,0)</f>
        <v>#REF!</v>
      </c>
      <c r="G133" s="115" t="e">
        <f ca="1">+ROUND(($G$132)*#REF!,0)</f>
        <v>#REF!</v>
      </c>
      <c r="H133" s="115" t="e">
        <f ca="1">+ROUND(($H$132)*#REF!,0)</f>
        <v>#REF!</v>
      </c>
      <c r="I133" s="736"/>
      <c r="J133" s="54"/>
      <c r="K133" s="54"/>
    </row>
    <row r="134" spans="1:11" hidden="1">
      <c r="A134" s="54"/>
      <c r="B134" s="133" t="s">
        <v>179</v>
      </c>
      <c r="C134" s="115" t="e">
        <f ca="1">+ROUND(($C$132)*#REF!,0)</f>
        <v>#REF!</v>
      </c>
      <c r="D134" s="115" t="e">
        <f ca="1">+ROUND(($D$132)*#REF!,0)</f>
        <v>#REF!</v>
      </c>
      <c r="E134" s="115" t="e">
        <f ca="1">+ROUND(($E$132)*#REF!,0)</f>
        <v>#REF!</v>
      </c>
      <c r="F134" s="115" t="e">
        <f ca="1">+ROUND(($F$132)*#REF!,0)</f>
        <v>#REF!</v>
      </c>
      <c r="G134" s="115" t="e">
        <f ca="1">+ROUND(($G$132)*#REF!,0)</f>
        <v>#REF!</v>
      </c>
      <c r="H134" s="115" t="e">
        <f ca="1">+ROUND(($H$132)*#REF!,0)</f>
        <v>#REF!</v>
      </c>
      <c r="I134" s="736"/>
      <c r="J134" s="54"/>
      <c r="K134" s="54"/>
    </row>
    <row r="135" spans="1:11" hidden="1">
      <c r="A135" s="54"/>
      <c r="B135" s="133" t="s">
        <v>180</v>
      </c>
      <c r="C135" s="115" t="e">
        <f ca="1">+ROUND(($C$132)*#REF!,0)</f>
        <v>#REF!</v>
      </c>
      <c r="D135" s="115" t="e">
        <f ca="1">+ROUND(($D$132)*#REF!,0)</f>
        <v>#REF!</v>
      </c>
      <c r="E135" s="115" t="e">
        <f ca="1">+ROUND(($E$132)*#REF!,0)</f>
        <v>#REF!</v>
      </c>
      <c r="F135" s="115" t="e">
        <f ca="1">+ROUND(($F$132)*#REF!,0)</f>
        <v>#REF!</v>
      </c>
      <c r="G135" s="115" t="e">
        <f ca="1">+ROUND(($G$132)*#REF!,0)</f>
        <v>#REF!</v>
      </c>
      <c r="H135" s="115" t="e">
        <f ca="1">+ROUND(($H$132)*#REF!,0)</f>
        <v>#REF!</v>
      </c>
      <c r="I135" s="736"/>
      <c r="J135" s="54"/>
      <c r="K135" s="54"/>
    </row>
    <row r="136" spans="1:11" hidden="1">
      <c r="A136" s="54"/>
      <c r="B136" s="133" t="s">
        <v>181</v>
      </c>
      <c r="C136" s="115" t="e">
        <f ca="1">+ROUND(($C$132)*#REF!,0)</f>
        <v>#REF!</v>
      </c>
      <c r="D136" s="115" t="e">
        <f ca="1">+ROUND(($D$132)*#REF!,0)</f>
        <v>#REF!</v>
      </c>
      <c r="E136" s="115" t="e">
        <f ca="1">+ROUND(($E$132)*#REF!,0)</f>
        <v>#REF!</v>
      </c>
      <c r="F136" s="115" t="e">
        <f ca="1">+ROUND(($F$132)*#REF!,0)</f>
        <v>#REF!</v>
      </c>
      <c r="G136" s="115" t="e">
        <f ca="1">+ROUND(($G$132)*#REF!,0)</f>
        <v>#REF!</v>
      </c>
      <c r="H136" s="115" t="e">
        <f ca="1">+ROUND(($H$132)*#REF!,0)</f>
        <v>#REF!</v>
      </c>
      <c r="I136" s="736"/>
      <c r="J136" s="54"/>
      <c r="K136" s="54"/>
    </row>
    <row r="137" spans="1:11" hidden="1">
      <c r="A137" s="54"/>
      <c r="B137" s="133" t="s">
        <v>130</v>
      </c>
      <c r="C137" s="115" t="e">
        <f ca="1">+ROUND(($C$132)*#REF!,0)</f>
        <v>#REF!</v>
      </c>
      <c r="D137" s="115" t="e">
        <f ca="1">+ROUND(($D$132)*#REF!,0)</f>
        <v>#REF!</v>
      </c>
      <c r="E137" s="115" t="e">
        <f ca="1">+ROUND(($E$132)*#REF!,0)</f>
        <v>#REF!</v>
      </c>
      <c r="F137" s="115" t="e">
        <f ca="1">+ROUND(($F$132)*#REF!,0)</f>
        <v>#REF!</v>
      </c>
      <c r="G137" s="115" t="e">
        <f ca="1">+ROUND(($G$132)*#REF!,0)</f>
        <v>#REF!</v>
      </c>
      <c r="H137" s="115" t="e">
        <f ca="1">+ROUND(($H$132)*#REF!,0)</f>
        <v>#REF!</v>
      </c>
      <c r="I137" s="736"/>
      <c r="J137" s="54"/>
      <c r="K137" s="54"/>
    </row>
    <row r="138" spans="1:11" hidden="1">
      <c r="A138" s="54"/>
      <c r="B138" s="133" t="s">
        <v>182</v>
      </c>
      <c r="C138" s="115" t="e">
        <f ca="1">+ROUND(($C$132)*#REF!,0)</f>
        <v>#REF!</v>
      </c>
      <c r="D138" s="115" t="e">
        <f ca="1">+ROUND(($D$132)*#REF!,0)</f>
        <v>#REF!</v>
      </c>
      <c r="E138" s="115" t="e">
        <f ca="1">+ROUND(($E$132)*#REF!,0)</f>
        <v>#REF!</v>
      </c>
      <c r="F138" s="115" t="e">
        <f ca="1">+ROUND(($F$132)*#REF!,0)</f>
        <v>#REF!</v>
      </c>
      <c r="G138" s="115" t="e">
        <f ca="1">+ROUND(($G$132)*#REF!,0)</f>
        <v>#REF!</v>
      </c>
      <c r="H138" s="115" t="e">
        <f ca="1">+ROUND(($H$132)*#REF!,0)</f>
        <v>#REF!</v>
      </c>
      <c r="I138" s="736"/>
      <c r="J138" s="54"/>
      <c r="K138" s="54"/>
    </row>
    <row r="139" spans="1:11" hidden="1">
      <c r="A139" s="54"/>
      <c r="B139" s="133" t="s">
        <v>131</v>
      </c>
      <c r="C139" s="115" t="e">
        <f ca="1">+ROUND(($C$132)*#REF!,0)</f>
        <v>#REF!</v>
      </c>
      <c r="D139" s="115" t="e">
        <f ca="1">+ROUND(($D$132)*#REF!,0)</f>
        <v>#REF!</v>
      </c>
      <c r="E139" s="115" t="e">
        <f ca="1">+ROUND(($E$132)*#REF!,0)</f>
        <v>#REF!</v>
      </c>
      <c r="F139" s="115" t="e">
        <f ca="1">+ROUND(($F$132)*#REF!,0)</f>
        <v>#REF!</v>
      </c>
      <c r="G139" s="115" t="e">
        <f ca="1">+ROUND(($G$132)*#REF!,0)</f>
        <v>#REF!</v>
      </c>
      <c r="H139" s="115" t="e">
        <f ca="1">+ROUND(($H$132)*#REF!,0)</f>
        <v>#REF!</v>
      </c>
      <c r="I139" s="736"/>
      <c r="J139" s="54"/>
      <c r="K139" s="54"/>
    </row>
    <row r="140" spans="1:11" hidden="1">
      <c r="A140" s="54"/>
      <c r="B140" s="133" t="s">
        <v>132</v>
      </c>
      <c r="C140" s="115" t="e">
        <f ca="1">+ROUND(($C$132)*#REF!,0)</f>
        <v>#REF!</v>
      </c>
      <c r="D140" s="115" t="e">
        <f ca="1">+ROUND(($D$132)*#REF!,0)</f>
        <v>#REF!</v>
      </c>
      <c r="E140" s="115" t="e">
        <f ca="1">+ROUND(($E$132)*#REF!,0)</f>
        <v>#REF!</v>
      </c>
      <c r="F140" s="115" t="e">
        <f ca="1">+ROUND(($F$132)*#REF!,0)</f>
        <v>#REF!</v>
      </c>
      <c r="G140" s="115" t="e">
        <f ca="1">+ROUND(($G$132)*#REF!,0)</f>
        <v>#REF!</v>
      </c>
      <c r="H140" s="115" t="e">
        <f ca="1">+ROUND(($H$132)*#REF!,0)</f>
        <v>#REF!</v>
      </c>
      <c r="I140" s="736"/>
      <c r="J140" s="54"/>
      <c r="K140" s="54"/>
    </row>
    <row r="141" spans="1:11" hidden="1">
      <c r="A141" s="54"/>
      <c r="B141" s="133" t="s">
        <v>133</v>
      </c>
      <c r="C141" s="115" t="e">
        <f ca="1">+ROUND(($C$132)*#REF!,0)</f>
        <v>#REF!</v>
      </c>
      <c r="D141" s="115" t="e">
        <f ca="1">+ROUND(($D$132)*#REF!,0)</f>
        <v>#REF!</v>
      </c>
      <c r="E141" s="115" t="e">
        <f ca="1">+ROUND(($E$132)*#REF!,0)</f>
        <v>#REF!</v>
      </c>
      <c r="F141" s="115" t="e">
        <f ca="1">+ROUND(($F$132)*#REF!,0)</f>
        <v>#REF!</v>
      </c>
      <c r="G141" s="115" t="e">
        <f ca="1">+ROUND(($G$132)*#REF!,0)</f>
        <v>#REF!</v>
      </c>
      <c r="H141" s="115" t="e">
        <f ca="1">+ROUND(($H$132)*#REF!,0)</f>
        <v>#REF!</v>
      </c>
      <c r="I141" s="736"/>
      <c r="J141" s="54"/>
      <c r="K141" s="54"/>
    </row>
    <row r="142" spans="1:11" hidden="1">
      <c r="A142" s="54"/>
      <c r="B142" s="133" t="s">
        <v>183</v>
      </c>
      <c r="C142" s="115" t="e">
        <f ca="1">+ROUND(($C$132)*#REF!,0)</f>
        <v>#REF!</v>
      </c>
      <c r="D142" s="115" t="e">
        <f ca="1">+ROUND(($D$132)*#REF!,0)</f>
        <v>#REF!</v>
      </c>
      <c r="E142" s="115" t="e">
        <f ca="1">+ROUND(($E$132)*#REF!,0)</f>
        <v>#REF!</v>
      </c>
      <c r="F142" s="115" t="e">
        <f ca="1">+ROUND(($F$132)*#REF!,0)</f>
        <v>#REF!</v>
      </c>
      <c r="G142" s="115" t="e">
        <f ca="1">+ROUND(($G$132)*#REF!,0)</f>
        <v>#REF!</v>
      </c>
      <c r="H142" s="115" t="e">
        <f ca="1">+ROUND(($H$132)*#REF!,0)</f>
        <v>#REF!</v>
      </c>
      <c r="I142" s="736"/>
      <c r="J142" s="54"/>
      <c r="K142" s="54"/>
    </row>
    <row r="143" spans="1:11" hidden="1">
      <c r="A143" s="54"/>
      <c r="B143" s="133" t="s">
        <v>184</v>
      </c>
      <c r="C143" s="115" t="e">
        <f ca="1">+ROUND(($C$132)*#REF!,0)</f>
        <v>#REF!</v>
      </c>
      <c r="D143" s="115" t="e">
        <f ca="1">+ROUND(($D$132)*#REF!,0)</f>
        <v>#REF!</v>
      </c>
      <c r="E143" s="115" t="e">
        <f ca="1">+ROUND(($E$132)*#REF!,0)</f>
        <v>#REF!</v>
      </c>
      <c r="F143" s="115" t="e">
        <f ca="1">+ROUND(($F$132)*#REF!,0)</f>
        <v>#REF!</v>
      </c>
      <c r="G143" s="115" t="e">
        <f ca="1">+ROUND(($G$132)*#REF!,0)</f>
        <v>#REF!</v>
      </c>
      <c r="H143" s="115" t="e">
        <f ca="1">+ROUND(($H$132)*#REF!,0)</f>
        <v>#REF!</v>
      </c>
      <c r="I143" s="736"/>
      <c r="J143" s="54"/>
      <c r="K143" s="54"/>
    </row>
    <row r="144" spans="1:11" hidden="1">
      <c r="A144" s="54"/>
      <c r="B144" s="133" t="s">
        <v>134</v>
      </c>
      <c r="C144" s="134">
        <f>+IF(C127&lt;=2,ROUND((#REF!)*C131,0),0)</f>
        <v>0</v>
      </c>
      <c r="D144" s="134">
        <f>+IF(D127&lt;=2,ROUND((#REF!)*D131,0),0)</f>
        <v>0</v>
      </c>
      <c r="E144" s="134" t="e">
        <f>+IF(E127&lt;=2,ROUND((#REF!)*E131,0),0)</f>
        <v>#REF!</v>
      </c>
      <c r="F144" s="134" t="e">
        <f>+IF(F127&lt;=2,ROUND((#REF!)*F131,0),0)</f>
        <v>#REF!</v>
      </c>
      <c r="G144" s="134">
        <f>+IF(G127&lt;=2,ROUND((#REF!)*G131,0),0)</f>
        <v>0</v>
      </c>
      <c r="H144" s="134" t="e">
        <f>+IF(H127&lt;=2,ROUND((#REF!)*H131,0),0)</f>
        <v>#REF!</v>
      </c>
      <c r="I144" s="736"/>
      <c r="J144" s="54"/>
      <c r="K144" s="54"/>
    </row>
    <row r="145" spans="1:11" hidden="1">
      <c r="A145" s="54"/>
      <c r="B145" s="133" t="s">
        <v>185</v>
      </c>
      <c r="C145" s="115" t="e">
        <f ca="1">+ROUND(($C$132)*#REF!,0)</f>
        <v>#REF!</v>
      </c>
      <c r="D145" s="115" t="e">
        <f ca="1">+ROUND(($D$132)*#REF!,0)</f>
        <v>#REF!</v>
      </c>
      <c r="E145" s="115" t="e">
        <f ca="1">+ROUND(($E$132)*#REF!,0)</f>
        <v>#REF!</v>
      </c>
      <c r="F145" s="115" t="e">
        <f ca="1">+ROUND(($F$132)*#REF!,0)</f>
        <v>#REF!</v>
      </c>
      <c r="G145" s="115" t="e">
        <f ca="1">+ROUND(($G$132)*#REF!,0)</f>
        <v>#REF!</v>
      </c>
      <c r="H145" s="115" t="e">
        <f ca="1">+ROUND(($H$132)*#REF!,0)</f>
        <v>#REF!</v>
      </c>
      <c r="I145" s="736"/>
      <c r="J145" s="54"/>
      <c r="K145" s="54"/>
    </row>
    <row r="146" spans="1:11" hidden="1">
      <c r="A146" s="54"/>
      <c r="B146" s="135" t="s">
        <v>186</v>
      </c>
      <c r="C146" s="121" t="e">
        <f ca="1">SUM(C131:C145)-6</f>
        <v>#REF!</v>
      </c>
      <c r="D146" s="121" t="e">
        <f ca="1">SUM(D131:D145)+3</f>
        <v>#REF!</v>
      </c>
      <c r="E146" s="121" t="e">
        <f ca="1">SUM(E131:E145)</f>
        <v>#REF!</v>
      </c>
      <c r="F146" s="121" t="e">
        <f ca="1">SUM(F131:F145)</f>
        <v>#REF!</v>
      </c>
      <c r="G146" s="121" t="e">
        <f ca="1">SUM(G131:G145)</f>
        <v>#REF!</v>
      </c>
      <c r="H146" s="121" t="e">
        <f ca="1">SUM(H131:H145)</f>
        <v>#REF!</v>
      </c>
      <c r="I146" s="121">
        <f>+I127*12</f>
        <v>3000000</v>
      </c>
      <c r="J146" s="54"/>
      <c r="K146" s="54"/>
    </row>
    <row r="147" spans="1:11" hidden="1">
      <c r="A147" s="54"/>
      <c r="B147" s="136" t="s">
        <v>187</v>
      </c>
      <c r="C147" s="121" t="e">
        <f ca="1">ROUND(C146/12,0)</f>
        <v>#REF!</v>
      </c>
      <c r="D147" s="121" t="e">
        <f t="shared" ref="D147:I148" ca="1" si="48">D146/12</f>
        <v>#REF!</v>
      </c>
      <c r="E147" s="121" t="e">
        <f t="shared" ca="1" si="48"/>
        <v>#REF!</v>
      </c>
      <c r="F147" s="121" t="e">
        <f t="shared" ca="1" si="48"/>
        <v>#REF!</v>
      </c>
      <c r="G147" s="121" t="e">
        <f t="shared" ca="1" si="48"/>
        <v>#REF!</v>
      </c>
      <c r="H147" s="121" t="e">
        <f t="shared" ca="1" si="48"/>
        <v>#REF!</v>
      </c>
      <c r="I147" s="121">
        <f t="shared" si="48"/>
        <v>250000</v>
      </c>
      <c r="J147" s="54" t="e">
        <f ca="1">+D147/D130</f>
        <v>#REF!</v>
      </c>
      <c r="K147" s="54" t="e">
        <f ca="1">+G147/30</f>
        <v>#REF!</v>
      </c>
    </row>
    <row r="148" spans="1:11" hidden="1">
      <c r="A148" s="54"/>
      <c r="B148" s="136" t="s">
        <v>137</v>
      </c>
      <c r="C148" s="129" t="e">
        <f ca="1">+C147/C130</f>
        <v>#REF!</v>
      </c>
      <c r="D148" s="129" t="e">
        <f ca="1">+D146/D131</f>
        <v>#REF!</v>
      </c>
      <c r="E148" s="129" t="e">
        <f ca="1">+E146/E131</f>
        <v>#REF!</v>
      </c>
      <c r="F148" s="129" t="e">
        <f ca="1">+F146/F131</f>
        <v>#REF!</v>
      </c>
      <c r="G148" s="129" t="e">
        <f ca="1">+G146/G131</f>
        <v>#REF!</v>
      </c>
      <c r="H148" s="129" t="e">
        <f ca="1">+H146/H131</f>
        <v>#REF!</v>
      </c>
      <c r="I148" s="121">
        <f t="shared" si="48"/>
        <v>20833.333333333332</v>
      </c>
      <c r="J148" s="54" t="e">
        <f ca="1">+D148/D131</f>
        <v>#REF!</v>
      </c>
      <c r="K148" s="54" t="e">
        <f ca="1">+G148/30</f>
        <v>#REF!</v>
      </c>
    </row>
    <row r="149" spans="1:11" hidden="1">
      <c r="A149" s="54"/>
      <c r="B149" s="137"/>
      <c r="C149" s="115"/>
      <c r="D149" s="115"/>
      <c r="E149" s="115"/>
      <c r="F149" s="115"/>
      <c r="G149" s="735" t="e">
        <f ca="1">+G147+H147+I147</f>
        <v>#REF!</v>
      </c>
      <c r="H149" s="735"/>
      <c r="I149" s="735"/>
      <c r="J149" s="54"/>
      <c r="K149" s="54"/>
    </row>
    <row r="150" spans="1:11" hidden="1">
      <c r="A150" s="54"/>
      <c r="B150" s="126"/>
      <c r="C150" s="54"/>
      <c r="D150" s="54"/>
      <c r="E150" s="54"/>
      <c r="F150" s="54"/>
      <c r="G150" s="54" t="e">
        <f ca="1">+G146/G131</f>
        <v>#REF!</v>
      </c>
      <c r="H150" s="54"/>
      <c r="I150" s="54"/>
      <c r="J150" s="54"/>
      <c r="K150" s="54"/>
    </row>
    <row r="151" spans="1:11" hidden="1">
      <c r="A151" s="138"/>
      <c r="B151" s="737" t="s">
        <v>9</v>
      </c>
      <c r="C151" s="728" t="s">
        <v>188</v>
      </c>
      <c r="D151" s="728" t="s">
        <v>189</v>
      </c>
      <c r="E151" s="728" t="s">
        <v>190</v>
      </c>
      <c r="F151" s="728" t="s">
        <v>191</v>
      </c>
      <c r="G151" s="738" t="s">
        <v>118</v>
      </c>
      <c r="H151" s="738" t="s">
        <v>119</v>
      </c>
      <c r="I151" s="728" t="s">
        <v>192</v>
      </c>
      <c r="J151" s="728" t="s">
        <v>193</v>
      </c>
      <c r="K151" s="728" t="s">
        <v>194</v>
      </c>
    </row>
    <row r="152" spans="1:11" hidden="1">
      <c r="A152" s="138"/>
      <c r="B152" s="737"/>
      <c r="C152" s="729"/>
      <c r="D152" s="729"/>
      <c r="E152" s="729"/>
      <c r="F152" s="729"/>
      <c r="G152" s="739"/>
      <c r="H152" s="739"/>
      <c r="I152" s="729"/>
      <c r="J152" s="729"/>
      <c r="K152" s="729"/>
    </row>
    <row r="153" spans="1:11" hidden="1">
      <c r="A153" s="54"/>
      <c r="B153" s="139" t="s">
        <v>121</v>
      </c>
      <c r="C153" s="113">
        <v>2.2999999999999998</v>
      </c>
      <c r="D153" s="113">
        <v>2</v>
      </c>
      <c r="E153" s="113">
        <v>1.8</v>
      </c>
      <c r="F153" s="113">
        <v>1.5</v>
      </c>
      <c r="G153" s="129">
        <v>2</v>
      </c>
      <c r="H153" s="129">
        <v>1</v>
      </c>
      <c r="I153" s="113">
        <v>2.2999999999999998</v>
      </c>
      <c r="J153" s="113">
        <v>1</v>
      </c>
      <c r="K153" s="113">
        <v>2.2999999999999998</v>
      </c>
    </row>
    <row r="154" spans="1:11" hidden="1">
      <c r="A154" s="54"/>
      <c r="B154" s="140" t="s">
        <v>195</v>
      </c>
      <c r="C154" s="121">
        <f t="shared" ref="C154:H154" si="49">+C155*12</f>
        <v>0</v>
      </c>
      <c r="D154" s="121">
        <f t="shared" si="49"/>
        <v>0</v>
      </c>
      <c r="E154" s="121">
        <f t="shared" si="49"/>
        <v>0</v>
      </c>
      <c r="F154" s="121">
        <f t="shared" si="49"/>
        <v>0</v>
      </c>
      <c r="G154" s="121">
        <f t="shared" si="49"/>
        <v>0</v>
      </c>
      <c r="H154" s="121">
        <f t="shared" si="49"/>
        <v>0</v>
      </c>
      <c r="I154" s="121">
        <f>+I155*12</f>
        <v>0</v>
      </c>
      <c r="J154" s="121">
        <f>+J155*12</f>
        <v>0</v>
      </c>
      <c r="K154" s="121">
        <f>+K155*12</f>
        <v>0</v>
      </c>
    </row>
    <row r="155" spans="1:11" hidden="1">
      <c r="A155" s="54"/>
      <c r="B155" s="141" t="s">
        <v>196</v>
      </c>
      <c r="C155" s="121">
        <f>+IF(C153&lt;=2,$D$11,0)</f>
        <v>0</v>
      </c>
      <c r="D155" s="121">
        <f t="shared" ref="D155:K155" si="50">+IF(D153&lt;=2,$D$11,0)</f>
        <v>0</v>
      </c>
      <c r="E155" s="121">
        <f t="shared" si="50"/>
        <v>0</v>
      </c>
      <c r="F155" s="121">
        <f t="shared" si="50"/>
        <v>0</v>
      </c>
      <c r="G155" s="121">
        <f t="shared" si="50"/>
        <v>0</v>
      </c>
      <c r="H155" s="121">
        <f t="shared" si="50"/>
        <v>0</v>
      </c>
      <c r="I155" s="121">
        <f t="shared" si="50"/>
        <v>0</v>
      </c>
      <c r="J155" s="121">
        <f t="shared" si="50"/>
        <v>0</v>
      </c>
      <c r="K155" s="121">
        <f t="shared" si="50"/>
        <v>0</v>
      </c>
    </row>
    <row r="156" spans="1:11" hidden="1">
      <c r="A156" s="54"/>
      <c r="B156" s="141" t="s">
        <v>124</v>
      </c>
      <c r="C156" s="121">
        <f>ROUND($D$10*C153,0)</f>
        <v>460000</v>
      </c>
      <c r="D156" s="121">
        <f t="shared" ref="D156:K156" si="51">ROUND($D$10*D153,0)</f>
        <v>400000</v>
      </c>
      <c r="E156" s="121">
        <f t="shared" si="51"/>
        <v>360000</v>
      </c>
      <c r="F156" s="121">
        <f t="shared" si="51"/>
        <v>300000</v>
      </c>
      <c r="G156" s="121">
        <f t="shared" si="51"/>
        <v>400000</v>
      </c>
      <c r="H156" s="121">
        <f t="shared" si="51"/>
        <v>200000</v>
      </c>
      <c r="I156" s="121">
        <f t="shared" si="51"/>
        <v>460000</v>
      </c>
      <c r="J156" s="121">
        <f t="shared" si="51"/>
        <v>200000</v>
      </c>
      <c r="K156" s="121">
        <f t="shared" si="51"/>
        <v>460000</v>
      </c>
    </row>
    <row r="157" spans="1:11" hidden="1">
      <c r="A157" s="54"/>
      <c r="B157" s="132" t="s">
        <v>176</v>
      </c>
      <c r="C157" s="121">
        <f t="shared" ref="C157:H157" si="52">+ROUND(C156*12,0)</f>
        <v>5520000</v>
      </c>
      <c r="D157" s="121">
        <f t="shared" si="52"/>
        <v>4800000</v>
      </c>
      <c r="E157" s="121">
        <f t="shared" si="52"/>
        <v>4320000</v>
      </c>
      <c r="F157" s="121">
        <f t="shared" si="52"/>
        <v>3600000</v>
      </c>
      <c r="G157" s="121">
        <f t="shared" si="52"/>
        <v>4800000</v>
      </c>
      <c r="H157" s="121">
        <f t="shared" si="52"/>
        <v>2400000</v>
      </c>
      <c r="I157" s="121">
        <f>+ROUND(I156*12,0)</f>
        <v>5520000</v>
      </c>
      <c r="J157" s="121">
        <f>+ROUND(J156*12,0)</f>
        <v>2400000</v>
      </c>
      <c r="K157" s="121">
        <f>+ROUND(K156*12,0)</f>
        <v>5520000</v>
      </c>
    </row>
    <row r="158" spans="1:11" hidden="1">
      <c r="A158" s="54"/>
      <c r="B158" s="133" t="s">
        <v>177</v>
      </c>
      <c r="C158" s="115" t="e">
        <f ca="1">+ROUND(($C$158)*#REF!,0)</f>
        <v>#REF!</v>
      </c>
      <c r="D158" s="115" t="e">
        <f ca="1">+ROUND(($D$158)*#REF!,0)</f>
        <v>#REF!</v>
      </c>
      <c r="E158" s="115" t="e">
        <f ca="1">+ROUND(($E$158)*#REF!,0)</f>
        <v>#REF!</v>
      </c>
      <c r="F158" s="115" t="e">
        <f ca="1">+ROUND(($F$158)*#REF!,0)</f>
        <v>#REF!</v>
      </c>
      <c r="G158" s="115" t="e">
        <f ca="1">+ROUND(($G$158)*#REF!,0)</f>
        <v>#REF!</v>
      </c>
      <c r="H158" s="115" t="e">
        <f ca="1">+ROUND(($H$158)*#REF!,0)</f>
        <v>#REF!</v>
      </c>
      <c r="I158" s="115" t="e">
        <f ca="1">+ROUND(($I$158)*#REF!,0)</f>
        <v>#REF!</v>
      </c>
      <c r="J158" s="115" t="e">
        <f ca="1">+ROUND(($J$158)*#REF!,0)</f>
        <v>#REF!</v>
      </c>
      <c r="K158" s="115" t="e">
        <f ca="1">+ROUND(($K$158)*#REF!,0)</f>
        <v>#REF!</v>
      </c>
    </row>
    <row r="159" spans="1:11" hidden="1">
      <c r="A159" s="54"/>
      <c r="B159" s="133" t="s">
        <v>178</v>
      </c>
      <c r="C159" s="115" t="e">
        <f ca="1">+ROUND(($C$158)*#REF!,0)</f>
        <v>#REF!</v>
      </c>
      <c r="D159" s="115" t="e">
        <f ca="1">+ROUND(($D$158)*#REF!,0)</f>
        <v>#REF!</v>
      </c>
      <c r="E159" s="115" t="e">
        <f ca="1">+ROUND(($E$158)*#REF!,0)</f>
        <v>#REF!</v>
      </c>
      <c r="F159" s="115" t="e">
        <f ca="1">+ROUND(($F$158)*#REF!,0)</f>
        <v>#REF!</v>
      </c>
      <c r="G159" s="115" t="e">
        <f ca="1">+ROUND(($G$158)*#REF!,0)</f>
        <v>#REF!</v>
      </c>
      <c r="H159" s="115" t="e">
        <f ca="1">+ROUND(($H$158)*#REF!,0)</f>
        <v>#REF!</v>
      </c>
      <c r="I159" s="115" t="e">
        <f ca="1">+ROUND(($I$158)*#REF!,0)</f>
        <v>#REF!</v>
      </c>
      <c r="J159" s="115" t="e">
        <f ca="1">+ROUND(($J$158)*#REF!,0)</f>
        <v>#REF!</v>
      </c>
      <c r="K159" s="115" t="e">
        <f ca="1">+ROUND(($K$158)*#REF!,0)</f>
        <v>#REF!</v>
      </c>
    </row>
    <row r="160" spans="1:11" hidden="1">
      <c r="A160" s="54"/>
      <c r="B160" s="133" t="s">
        <v>179</v>
      </c>
      <c r="C160" s="115" t="e">
        <f ca="1">+ROUND(($C$158)*#REF!,0)</f>
        <v>#REF!</v>
      </c>
      <c r="D160" s="115" t="e">
        <f ca="1">+ROUND(($D$158)*#REF!,0)</f>
        <v>#REF!</v>
      </c>
      <c r="E160" s="115" t="e">
        <f ca="1">+ROUND(($E$158)*#REF!,0)</f>
        <v>#REF!</v>
      </c>
      <c r="F160" s="115" t="e">
        <f ca="1">+ROUND(($F$158)*#REF!,0)</f>
        <v>#REF!</v>
      </c>
      <c r="G160" s="115" t="e">
        <f ca="1">+ROUND(($G$158)*#REF!,0)</f>
        <v>#REF!</v>
      </c>
      <c r="H160" s="115" t="e">
        <f ca="1">+ROUND(($H$158)*#REF!,0)</f>
        <v>#REF!</v>
      </c>
      <c r="I160" s="115" t="e">
        <f ca="1">+ROUND(($I$158)*#REF!,0)</f>
        <v>#REF!</v>
      </c>
      <c r="J160" s="115" t="e">
        <f ca="1">+ROUND(($J$158)*#REF!,0)</f>
        <v>#REF!</v>
      </c>
      <c r="K160" s="115" t="e">
        <f ca="1">+ROUND(($K$158)*#REF!,0)</f>
        <v>#REF!</v>
      </c>
    </row>
    <row r="161" spans="1:11" hidden="1">
      <c r="A161" s="54"/>
      <c r="B161" s="133" t="s">
        <v>180</v>
      </c>
      <c r="C161" s="115" t="e">
        <f ca="1">+ROUND(($C$158)*#REF!,0)</f>
        <v>#REF!</v>
      </c>
      <c r="D161" s="115" t="e">
        <f ca="1">+ROUND(($D$158)*#REF!,0)</f>
        <v>#REF!</v>
      </c>
      <c r="E161" s="115" t="e">
        <f ca="1">+ROUND(($E$158)*#REF!,0)</f>
        <v>#REF!</v>
      </c>
      <c r="F161" s="115" t="e">
        <f ca="1">+ROUND(($F$158)*#REF!,0)</f>
        <v>#REF!</v>
      </c>
      <c r="G161" s="115" t="e">
        <f ca="1">+ROUND(($G$158)*#REF!,0)</f>
        <v>#REF!</v>
      </c>
      <c r="H161" s="115" t="e">
        <f ca="1">+ROUND(($H$158)*#REF!,0)</f>
        <v>#REF!</v>
      </c>
      <c r="I161" s="115" t="e">
        <f ca="1">+ROUND(($I$158)*#REF!,0)</f>
        <v>#REF!</v>
      </c>
      <c r="J161" s="115" t="e">
        <f ca="1">+ROUND(($J$158)*#REF!,0)</f>
        <v>#REF!</v>
      </c>
      <c r="K161" s="115" t="e">
        <f ca="1">+ROUND(($K$158)*#REF!,0)</f>
        <v>#REF!</v>
      </c>
    </row>
    <row r="162" spans="1:11" hidden="1">
      <c r="A162" s="54"/>
      <c r="B162" s="133" t="s">
        <v>181</v>
      </c>
      <c r="C162" s="115" t="e">
        <f ca="1">+ROUND(($C$158)*#REF!,0)</f>
        <v>#REF!</v>
      </c>
      <c r="D162" s="115" t="e">
        <f ca="1">+ROUND(($D$158)*#REF!,0)</f>
        <v>#REF!</v>
      </c>
      <c r="E162" s="115" t="e">
        <f ca="1">+ROUND(($E$158)*#REF!,0)</f>
        <v>#REF!</v>
      </c>
      <c r="F162" s="115" t="e">
        <f ca="1">+ROUND(($F$158)*#REF!,0)</f>
        <v>#REF!</v>
      </c>
      <c r="G162" s="115" t="e">
        <f ca="1">+ROUND(($G$158)*#REF!,0)</f>
        <v>#REF!</v>
      </c>
      <c r="H162" s="115" t="e">
        <f ca="1">+ROUND(($H$158)*#REF!,0)</f>
        <v>#REF!</v>
      </c>
      <c r="I162" s="115" t="e">
        <f ca="1">+ROUND(($I$158)*#REF!,0)</f>
        <v>#REF!</v>
      </c>
      <c r="J162" s="115" t="e">
        <f ca="1">+ROUND(($J$158)*#REF!,0)</f>
        <v>#REF!</v>
      </c>
      <c r="K162" s="115" t="e">
        <f ca="1">+ROUND(($K$158)*#REF!,0)</f>
        <v>#REF!</v>
      </c>
    </row>
    <row r="163" spans="1:11" hidden="1">
      <c r="A163" s="54"/>
      <c r="B163" s="133" t="s">
        <v>130</v>
      </c>
      <c r="C163" s="115" t="e">
        <f ca="1">+ROUND(($C$158)*#REF!,0)</f>
        <v>#REF!</v>
      </c>
      <c r="D163" s="115" t="e">
        <f ca="1">+ROUND(($D$158)*#REF!,0)</f>
        <v>#REF!</v>
      </c>
      <c r="E163" s="115" t="e">
        <f ca="1">+ROUND(($E$158)*#REF!,0)</f>
        <v>#REF!</v>
      </c>
      <c r="F163" s="115" t="e">
        <f ca="1">+ROUND(($F$158)*#REF!,0)</f>
        <v>#REF!</v>
      </c>
      <c r="G163" s="115" t="e">
        <f ca="1">+ROUND(($G$158)*#REF!,0)</f>
        <v>#REF!</v>
      </c>
      <c r="H163" s="115" t="e">
        <f ca="1">+ROUND(($H$158)*#REF!,0)</f>
        <v>#REF!</v>
      </c>
      <c r="I163" s="115" t="e">
        <f ca="1">+ROUND(($I$158)*#REF!,0)</f>
        <v>#REF!</v>
      </c>
      <c r="J163" s="115" t="e">
        <f ca="1">+ROUND(($J$158)*#REF!,0)</f>
        <v>#REF!</v>
      </c>
      <c r="K163" s="115" t="e">
        <f ca="1">+ROUND(($K$158)*#REF!,0)</f>
        <v>#REF!</v>
      </c>
    </row>
    <row r="164" spans="1:11" hidden="1">
      <c r="A164" s="54"/>
      <c r="B164" s="133" t="s">
        <v>182</v>
      </c>
      <c r="C164" s="115" t="e">
        <f ca="1">+ROUND(($C$158)*#REF!,0)</f>
        <v>#REF!</v>
      </c>
      <c r="D164" s="115" t="e">
        <f ca="1">+ROUND(($D$158)*#REF!,0)</f>
        <v>#REF!</v>
      </c>
      <c r="E164" s="115" t="e">
        <f ca="1">+ROUND(($E$158)*#REF!,0)</f>
        <v>#REF!</v>
      </c>
      <c r="F164" s="115" t="e">
        <f ca="1">+ROUND(($F$158)*#REF!,0)</f>
        <v>#REF!</v>
      </c>
      <c r="G164" s="115" t="e">
        <f ca="1">+ROUND(($G$158)*#REF!,0)</f>
        <v>#REF!</v>
      </c>
      <c r="H164" s="115" t="e">
        <f ca="1">+ROUND(($H$158)*#REF!,0)</f>
        <v>#REF!</v>
      </c>
      <c r="I164" s="115" t="e">
        <f ca="1">+ROUND(($I$158)*#REF!,0)</f>
        <v>#REF!</v>
      </c>
      <c r="J164" s="115" t="e">
        <f ca="1">+ROUND(($J$158)*#REF!,0)</f>
        <v>#REF!</v>
      </c>
      <c r="K164" s="115" t="e">
        <f ca="1">+ROUND(($K$158)*#REF!,0)</f>
        <v>#REF!</v>
      </c>
    </row>
    <row r="165" spans="1:11" hidden="1">
      <c r="A165" s="54"/>
      <c r="B165" s="133" t="s">
        <v>131</v>
      </c>
      <c r="C165" s="115" t="e">
        <f ca="1">+ROUND(($C$158)*#REF!,0)</f>
        <v>#REF!</v>
      </c>
      <c r="D165" s="115" t="e">
        <f ca="1">+ROUND(($D$158)*#REF!,0)</f>
        <v>#REF!</v>
      </c>
      <c r="E165" s="115" t="e">
        <f ca="1">+ROUND(($E$158)*#REF!,0)</f>
        <v>#REF!</v>
      </c>
      <c r="F165" s="115" t="e">
        <f ca="1">+ROUND(($F$158)*#REF!,0)</f>
        <v>#REF!</v>
      </c>
      <c r="G165" s="115" t="e">
        <f ca="1">+ROUND(($G$158)*#REF!,0)</f>
        <v>#REF!</v>
      </c>
      <c r="H165" s="115" t="e">
        <f ca="1">+ROUND(($H$158)*#REF!,0)</f>
        <v>#REF!</v>
      </c>
      <c r="I165" s="115" t="e">
        <f ca="1">+ROUND(($I$158)*#REF!,0)</f>
        <v>#REF!</v>
      </c>
      <c r="J165" s="115" t="e">
        <f ca="1">+ROUND(($J$158)*#REF!,0)</f>
        <v>#REF!</v>
      </c>
      <c r="K165" s="115" t="e">
        <f ca="1">+ROUND(($K$158)*#REF!,0)</f>
        <v>#REF!</v>
      </c>
    </row>
    <row r="166" spans="1:11" hidden="1">
      <c r="A166" s="54"/>
      <c r="B166" s="133" t="s">
        <v>132</v>
      </c>
      <c r="C166" s="115" t="e">
        <f ca="1">+ROUND(($C$158)*#REF!,0)</f>
        <v>#REF!</v>
      </c>
      <c r="D166" s="115" t="e">
        <f ca="1">+ROUND(($D$158)*#REF!,0)</f>
        <v>#REF!</v>
      </c>
      <c r="E166" s="115" t="e">
        <f ca="1">+ROUND(($E$158)*#REF!,0)</f>
        <v>#REF!</v>
      </c>
      <c r="F166" s="115" t="e">
        <f ca="1">+ROUND(($F$158)*#REF!,0)</f>
        <v>#REF!</v>
      </c>
      <c r="G166" s="115" t="e">
        <f ca="1">+ROUND(($G$158)*#REF!,0)</f>
        <v>#REF!</v>
      </c>
      <c r="H166" s="115" t="e">
        <f ca="1">+ROUND(($H$158)*#REF!,0)</f>
        <v>#REF!</v>
      </c>
      <c r="I166" s="115" t="e">
        <f ca="1">+ROUND(($I$158)*#REF!,0)</f>
        <v>#REF!</v>
      </c>
      <c r="J166" s="115" t="e">
        <f ca="1">+ROUND(($J$158)*#REF!,0)</f>
        <v>#REF!</v>
      </c>
      <c r="K166" s="115" t="e">
        <f ca="1">+ROUND(($K$158)*#REF!,0)</f>
        <v>#REF!</v>
      </c>
    </row>
    <row r="167" spans="1:11" hidden="1">
      <c r="A167" s="54"/>
      <c r="B167" s="133" t="s">
        <v>133</v>
      </c>
      <c r="C167" s="115" t="e">
        <f ca="1">+ROUND(($C$158)*#REF!,0)</f>
        <v>#REF!</v>
      </c>
      <c r="D167" s="115" t="e">
        <f ca="1">+ROUND(($D$158)*#REF!,0)</f>
        <v>#REF!</v>
      </c>
      <c r="E167" s="115" t="e">
        <f ca="1">+ROUND(($E$158)*#REF!,0)</f>
        <v>#REF!</v>
      </c>
      <c r="F167" s="115" t="e">
        <f ca="1">+ROUND(($F$158)*#REF!,0)</f>
        <v>#REF!</v>
      </c>
      <c r="G167" s="115" t="e">
        <f ca="1">+ROUND(($G$158)*#REF!,0)</f>
        <v>#REF!</v>
      </c>
      <c r="H167" s="115" t="e">
        <f ca="1">+ROUND(($H$158)*#REF!,0)</f>
        <v>#REF!</v>
      </c>
      <c r="I167" s="115" t="e">
        <f ca="1">+ROUND(($I$158)*#REF!,0)</f>
        <v>#REF!</v>
      </c>
      <c r="J167" s="115" t="e">
        <f ca="1">+ROUND(($J$158)*#REF!,0)</f>
        <v>#REF!</v>
      </c>
      <c r="K167" s="115" t="e">
        <f ca="1">+ROUND(($K$158)*#REF!,0)</f>
        <v>#REF!</v>
      </c>
    </row>
    <row r="168" spans="1:11" hidden="1">
      <c r="A168" s="54"/>
      <c r="B168" s="133" t="s">
        <v>183</v>
      </c>
      <c r="C168" s="115" t="e">
        <f ca="1">+ROUND(($C$158)*#REF!,0)</f>
        <v>#REF!</v>
      </c>
      <c r="D168" s="115" t="e">
        <f ca="1">+ROUND(($D$158)*#REF!,0)</f>
        <v>#REF!</v>
      </c>
      <c r="E168" s="115" t="e">
        <f ca="1">+ROUND(($E$158)*#REF!,0)</f>
        <v>#REF!</v>
      </c>
      <c r="F168" s="115" t="e">
        <f ca="1">+ROUND(($F$158)*#REF!,0)</f>
        <v>#REF!</v>
      </c>
      <c r="G168" s="115" t="e">
        <f ca="1">+ROUND(($G$158)*#REF!,0)</f>
        <v>#REF!</v>
      </c>
      <c r="H168" s="115" t="e">
        <f ca="1">+ROUND(($H$158)*#REF!,0)</f>
        <v>#REF!</v>
      </c>
      <c r="I168" s="115" t="e">
        <f ca="1">+ROUND(($I$158)*#REF!,0)</f>
        <v>#REF!</v>
      </c>
      <c r="J168" s="115" t="e">
        <f ca="1">+ROUND(($J$158)*#REF!,0)</f>
        <v>#REF!</v>
      </c>
      <c r="K168" s="115" t="e">
        <f ca="1">+ROUND(($K$158)*#REF!,0)</f>
        <v>#REF!</v>
      </c>
    </row>
    <row r="169" spans="1:11" hidden="1">
      <c r="A169" s="54"/>
      <c r="B169" s="133" t="s">
        <v>184</v>
      </c>
      <c r="C169" s="115" t="e">
        <f ca="1">+ROUND(($C$158)*#REF!,0)</f>
        <v>#REF!</v>
      </c>
      <c r="D169" s="115" t="e">
        <f ca="1">+ROUND(($D$158)*#REF!,0)</f>
        <v>#REF!</v>
      </c>
      <c r="E169" s="115" t="e">
        <f ca="1">+ROUND(($E$158)*#REF!,0)</f>
        <v>#REF!</v>
      </c>
      <c r="F169" s="115" t="e">
        <f ca="1">+ROUND(($F$158)*#REF!,0)</f>
        <v>#REF!</v>
      </c>
      <c r="G169" s="115" t="e">
        <f ca="1">+ROUND(($G$158)*#REF!,0)</f>
        <v>#REF!</v>
      </c>
      <c r="H169" s="115" t="e">
        <f ca="1">+ROUND(($H$158)*#REF!,0)</f>
        <v>#REF!</v>
      </c>
      <c r="I169" s="115" t="e">
        <f ca="1">+ROUND(($I$158)*#REF!,0)</f>
        <v>#REF!</v>
      </c>
      <c r="J169" s="115" t="e">
        <f ca="1">+ROUND(($J$158)*#REF!,0)</f>
        <v>#REF!</v>
      </c>
      <c r="K169" s="115" t="e">
        <f ca="1">+ROUND(($K$158)*#REF!,0)</f>
        <v>#REF!</v>
      </c>
    </row>
    <row r="170" spans="1:11" hidden="1">
      <c r="A170" s="54"/>
      <c r="B170" s="133" t="s">
        <v>197</v>
      </c>
      <c r="C170" s="142">
        <f>+IF(C153&lt;=2,ROUND((#REF!)*C157,0),0)</f>
        <v>0</v>
      </c>
      <c r="D170" s="142" t="e">
        <f>+IF(D153&lt;=2,ROUND((#REF!)*D157,0),0)</f>
        <v>#REF!</v>
      </c>
      <c r="E170" s="142" t="e">
        <f>+IF(E153&lt;=2,ROUND((#REF!)*E157,0),0)</f>
        <v>#REF!</v>
      </c>
      <c r="F170" s="142" t="e">
        <f>+IF(F153&lt;=2,ROUND((#REF!)*F157,0),0)</f>
        <v>#REF!</v>
      </c>
      <c r="G170" s="142" t="e">
        <f>+IF(G153&lt;=2,ROUND((#REF!)*G157,0),0)</f>
        <v>#REF!</v>
      </c>
      <c r="H170" s="142" t="e">
        <f>+IF(H153&lt;=2,ROUND((#REF!)*H157,0),0)</f>
        <v>#REF!</v>
      </c>
      <c r="I170" s="142">
        <f>+IF(I153&lt;=2,ROUND((#REF!)*I157,0),0)</f>
        <v>0</v>
      </c>
      <c r="J170" s="142" t="e">
        <f>+IF(J153&lt;=2,ROUND((#REF!)*J157,0),0)</f>
        <v>#REF!</v>
      </c>
      <c r="K170" s="142">
        <f>+IF(K153&lt;=2,ROUND((#REF!)*K157,0),0)</f>
        <v>0</v>
      </c>
    </row>
    <row r="171" spans="1:11" hidden="1">
      <c r="A171" s="54"/>
      <c r="B171" s="133" t="s">
        <v>185</v>
      </c>
      <c r="C171" s="115" t="e">
        <f ca="1">+ROUND(($C$158)*#REF!,0)</f>
        <v>#REF!</v>
      </c>
      <c r="D171" s="115" t="e">
        <f ca="1">+ROUND(($D$158)*#REF!,0)</f>
        <v>#REF!</v>
      </c>
      <c r="E171" s="115" t="e">
        <f ca="1">+ROUND(($E$158)*#REF!,0)</f>
        <v>#REF!</v>
      </c>
      <c r="F171" s="115" t="e">
        <f ca="1">+ROUND(($F$158)*#REF!,0)</f>
        <v>#REF!</v>
      </c>
      <c r="G171" s="115" t="e">
        <f ca="1">+ROUND(($G$158)*#REF!,0)</f>
        <v>#REF!</v>
      </c>
      <c r="H171" s="115" t="e">
        <f ca="1">+ROUND(($H$158)*#REF!,0)</f>
        <v>#REF!</v>
      </c>
      <c r="I171" s="115" t="e">
        <f ca="1">+ROUND(($I$158)*#REF!,0)</f>
        <v>#REF!</v>
      </c>
      <c r="J171" s="115" t="e">
        <f ca="1">+ROUND(($J$158)*#REF!,0)</f>
        <v>#REF!</v>
      </c>
      <c r="K171" s="115" t="e">
        <f ca="1">+ROUND(($K$158)*#REF!,0)</f>
        <v>#REF!</v>
      </c>
    </row>
    <row r="172" spans="1:11" hidden="1">
      <c r="A172" s="54"/>
      <c r="B172" s="143" t="s">
        <v>198</v>
      </c>
      <c r="C172" s="121" t="e">
        <f t="shared" ref="C172:H172" ca="1" si="53">SUM(C157:C171)</f>
        <v>#REF!</v>
      </c>
      <c r="D172" s="121" t="e">
        <f t="shared" ca="1" si="53"/>
        <v>#REF!</v>
      </c>
      <c r="E172" s="121" t="e">
        <f t="shared" ca="1" si="53"/>
        <v>#REF!</v>
      </c>
      <c r="F172" s="121" t="e">
        <f t="shared" ca="1" si="53"/>
        <v>#REF!</v>
      </c>
      <c r="G172" s="121" t="e">
        <f t="shared" ca="1" si="53"/>
        <v>#REF!</v>
      </c>
      <c r="H172" s="121" t="e">
        <f t="shared" ca="1" si="53"/>
        <v>#REF!</v>
      </c>
      <c r="I172" s="121" t="e">
        <f ca="1">SUM(I157:I171)</f>
        <v>#REF!</v>
      </c>
      <c r="J172" s="121" t="e">
        <f ca="1">SUM(J157:J171)</f>
        <v>#REF!</v>
      </c>
      <c r="K172" s="121" t="e">
        <f ca="1">SUM(K157:K171)</f>
        <v>#REF!</v>
      </c>
    </row>
    <row r="173" spans="1:11" hidden="1">
      <c r="A173" s="54"/>
      <c r="B173" s="136" t="s">
        <v>187</v>
      </c>
      <c r="C173" s="121" t="e">
        <f t="shared" ref="C173:K173" ca="1" si="54">C172/12</f>
        <v>#REF!</v>
      </c>
      <c r="D173" s="121" t="e">
        <f t="shared" ca="1" si="54"/>
        <v>#REF!</v>
      </c>
      <c r="E173" s="121" t="e">
        <f t="shared" ca="1" si="54"/>
        <v>#REF!</v>
      </c>
      <c r="F173" s="121" t="e">
        <f t="shared" ca="1" si="54"/>
        <v>#REF!</v>
      </c>
      <c r="G173" s="121" t="e">
        <f t="shared" ca="1" si="54"/>
        <v>#REF!</v>
      </c>
      <c r="H173" s="121" t="e">
        <f t="shared" ca="1" si="54"/>
        <v>#REF!</v>
      </c>
      <c r="I173" s="121" t="e">
        <f t="shared" ca="1" si="54"/>
        <v>#REF!</v>
      </c>
      <c r="J173" s="121" t="e">
        <f t="shared" ca="1" si="54"/>
        <v>#REF!</v>
      </c>
      <c r="K173" s="121" t="e">
        <f t="shared" ca="1" si="54"/>
        <v>#REF!</v>
      </c>
    </row>
    <row r="174" spans="1:11" hidden="1">
      <c r="A174" s="54"/>
      <c r="B174" s="136" t="s">
        <v>137</v>
      </c>
      <c r="C174" s="129" t="e">
        <f ca="1">+C172/C157</f>
        <v>#REF!</v>
      </c>
      <c r="D174" s="129" t="e">
        <f t="shared" ref="D174:K174" ca="1" si="55">+D172/D157</f>
        <v>#REF!</v>
      </c>
      <c r="E174" s="129" t="e">
        <f t="shared" ca="1" si="55"/>
        <v>#REF!</v>
      </c>
      <c r="F174" s="129" t="e">
        <f t="shared" ca="1" si="55"/>
        <v>#REF!</v>
      </c>
      <c r="G174" s="129" t="e">
        <f t="shared" ca="1" si="55"/>
        <v>#REF!</v>
      </c>
      <c r="H174" s="129" t="e">
        <f t="shared" ca="1" si="55"/>
        <v>#REF!</v>
      </c>
      <c r="I174" s="129" t="e">
        <f t="shared" ca="1" si="55"/>
        <v>#REF!</v>
      </c>
      <c r="J174" s="129" t="e">
        <f t="shared" ca="1" si="55"/>
        <v>#REF!</v>
      </c>
      <c r="K174" s="129" t="e">
        <f t="shared" ca="1" si="55"/>
        <v>#REF!</v>
      </c>
    </row>
    <row r="175" spans="1:11" hidden="1">
      <c r="A175" s="54"/>
      <c r="B175" s="55"/>
      <c r="C175" s="54"/>
      <c r="D175" s="54"/>
      <c r="E175" s="54"/>
      <c r="F175" s="54"/>
      <c r="G175" s="54"/>
      <c r="H175" s="54"/>
      <c r="I175" s="54"/>
      <c r="J175" s="54"/>
      <c r="K175" s="54"/>
    </row>
    <row r="176" spans="1:11" hidden="1">
      <c r="A176" s="54"/>
      <c r="B176" s="730" t="s">
        <v>199</v>
      </c>
      <c r="C176" s="731"/>
      <c r="D176" s="731"/>
      <c r="E176" s="732"/>
      <c r="F176" s="54"/>
      <c r="G176" s="54"/>
      <c r="H176" s="54"/>
      <c r="I176" s="54"/>
      <c r="J176" s="54"/>
      <c r="K176" s="54"/>
    </row>
    <row r="177" spans="1:11" hidden="1">
      <c r="A177" s="54"/>
      <c r="B177" s="144" t="s">
        <v>172</v>
      </c>
      <c r="C177" s="144" t="s">
        <v>173</v>
      </c>
      <c r="D177" s="144" t="s">
        <v>146</v>
      </c>
      <c r="E177" s="144" t="s">
        <v>174</v>
      </c>
      <c r="F177" s="54"/>
      <c r="G177" s="54"/>
      <c r="H177" s="54"/>
      <c r="I177" s="54"/>
      <c r="J177" s="54"/>
      <c r="K177" s="54"/>
    </row>
    <row r="178" spans="1:11" hidden="1">
      <c r="A178" s="54"/>
      <c r="B178" s="145">
        <v>3</v>
      </c>
      <c r="C178" s="146">
        <v>1.8</v>
      </c>
      <c r="D178" s="146">
        <v>1.2</v>
      </c>
      <c r="E178" s="733">
        <v>166766.32999999999</v>
      </c>
      <c r="F178" s="54"/>
      <c r="G178" s="54"/>
      <c r="H178" s="54"/>
      <c r="I178" s="54"/>
      <c r="J178" s="54"/>
      <c r="K178" s="54"/>
    </row>
    <row r="179" spans="1:11" hidden="1">
      <c r="A179" s="54"/>
      <c r="B179" s="115">
        <v>1</v>
      </c>
      <c r="C179" s="115">
        <v>0.8</v>
      </c>
      <c r="D179" s="115">
        <v>0.8</v>
      </c>
      <c r="E179" s="734"/>
      <c r="F179" s="54"/>
      <c r="G179" s="54"/>
      <c r="H179" s="54"/>
      <c r="I179" s="54"/>
      <c r="J179" s="54"/>
      <c r="K179" s="54"/>
    </row>
    <row r="180" spans="1:11" hidden="1">
      <c r="A180" s="54"/>
      <c r="B180" s="115">
        <f>+B181*12</f>
        <v>932400</v>
      </c>
      <c r="C180" s="115">
        <f>+C181*12</f>
        <v>932400</v>
      </c>
      <c r="D180" s="115">
        <f>+D181*12</f>
        <v>932400</v>
      </c>
      <c r="E180" s="734"/>
      <c r="F180" s="54"/>
      <c r="G180" s="54"/>
      <c r="H180" s="54"/>
      <c r="I180" s="54"/>
      <c r="J180" s="54"/>
      <c r="K180" s="54"/>
    </row>
    <row r="181" spans="1:11" hidden="1">
      <c r="A181" s="54"/>
      <c r="B181" s="115">
        <v>77700</v>
      </c>
      <c r="C181" s="115">
        <v>77700</v>
      </c>
      <c r="D181" s="115">
        <v>77700</v>
      </c>
      <c r="E181" s="734"/>
      <c r="F181" s="54"/>
      <c r="G181" s="54"/>
      <c r="H181" s="54"/>
      <c r="I181" s="54"/>
      <c r="J181" s="54"/>
      <c r="K181" s="54"/>
    </row>
    <row r="182" spans="1:11" hidden="1">
      <c r="A182" s="54"/>
      <c r="B182" s="115">
        <f>ROUND(689455*B179,0)</f>
        <v>689455</v>
      </c>
      <c r="C182" s="115">
        <f>ROUND(689455*C179,0)</f>
        <v>551564</v>
      </c>
      <c r="D182" s="115">
        <f>ROUND(689455*D179,0)</f>
        <v>551564</v>
      </c>
      <c r="E182" s="734"/>
      <c r="F182" s="54"/>
      <c r="G182" s="54"/>
      <c r="H182" s="54"/>
      <c r="I182" s="54"/>
      <c r="J182" s="54"/>
      <c r="K182" s="54"/>
    </row>
    <row r="183" spans="1:11" hidden="1">
      <c r="A183" s="54"/>
      <c r="B183" s="115">
        <f>+ROUND(B182*12,0)</f>
        <v>8273460</v>
      </c>
      <c r="C183" s="115">
        <f>+ROUND(C182*12,0)</f>
        <v>6618768</v>
      </c>
      <c r="D183" s="115">
        <f>+ROUND(D182*12,0)</f>
        <v>6618768</v>
      </c>
      <c r="E183" s="734"/>
      <c r="F183" s="54"/>
      <c r="G183" s="54"/>
      <c r="H183" s="54"/>
      <c r="I183" s="54"/>
      <c r="J183" s="54"/>
      <c r="K183" s="54"/>
    </row>
    <row r="184" spans="1:11" hidden="1">
      <c r="A184" s="54"/>
      <c r="B184" s="115">
        <f>+ROUND((B183+B180)*0.1,0)</f>
        <v>920586</v>
      </c>
      <c r="C184" s="115">
        <f>+ROUND((C183+C180)*0.1,0)</f>
        <v>755117</v>
      </c>
      <c r="D184" s="115">
        <f>+ROUND((D183+D180)*0.1,0)</f>
        <v>755117</v>
      </c>
      <c r="E184" s="734"/>
      <c r="F184" s="54"/>
      <c r="G184" s="54"/>
      <c r="H184" s="54"/>
      <c r="I184" s="54"/>
      <c r="J184" s="54"/>
      <c r="K184" s="54"/>
    </row>
    <row r="185" spans="1:11" hidden="1">
      <c r="A185" s="54"/>
      <c r="B185" s="115">
        <f>+ROUND(B182/2,0)</f>
        <v>344728</v>
      </c>
      <c r="C185" s="115">
        <f>+ROUND(C182/2,0)</f>
        <v>275782</v>
      </c>
      <c r="D185" s="115">
        <f>+ROUND(D182/2,0)</f>
        <v>275782</v>
      </c>
      <c r="E185" s="734"/>
      <c r="F185" s="54"/>
      <c r="G185" s="54"/>
      <c r="H185" s="54"/>
      <c r="I185" s="54"/>
      <c r="J185" s="54"/>
      <c r="K185" s="54"/>
    </row>
    <row r="186" spans="1:11" hidden="1">
      <c r="A186" s="54"/>
      <c r="B186" s="115">
        <f>+B182+B181</f>
        <v>767155</v>
      </c>
      <c r="C186" s="115">
        <f>+C182+C181</f>
        <v>629264</v>
      </c>
      <c r="D186" s="115">
        <f>+D182+D181</f>
        <v>629264</v>
      </c>
      <c r="E186" s="734"/>
      <c r="F186" s="54"/>
      <c r="G186" s="54"/>
      <c r="H186" s="54"/>
      <c r="I186" s="54"/>
      <c r="J186" s="54"/>
      <c r="K186" s="54"/>
    </row>
    <row r="187" spans="1:11" hidden="1">
      <c r="A187" s="54"/>
      <c r="B187" s="115">
        <f>+ROUND(B184*(1%*12),0)</f>
        <v>110470</v>
      </c>
      <c r="C187" s="115">
        <f>+ROUND(C184*(1%*12),0)</f>
        <v>90614</v>
      </c>
      <c r="D187" s="115">
        <f>+ROUND(D184*(1%*12),0)</f>
        <v>90614</v>
      </c>
      <c r="E187" s="734"/>
      <c r="F187" s="54"/>
      <c r="G187" s="54"/>
      <c r="H187" s="54"/>
      <c r="I187" s="54"/>
      <c r="J187" s="54"/>
      <c r="K187" s="54"/>
    </row>
    <row r="188" spans="1:11" hidden="1">
      <c r="A188" s="54"/>
      <c r="B188" s="115">
        <f>+ROUND((689455*12)/40,0)</f>
        <v>206837</v>
      </c>
      <c r="C188" s="115">
        <f>+ROUND((689455*12)/40,0)</f>
        <v>206837</v>
      </c>
      <c r="D188" s="115">
        <f>+ROUND((689455*12)/40,0)</f>
        <v>206837</v>
      </c>
      <c r="E188" s="734"/>
      <c r="F188" s="54"/>
      <c r="G188" s="54"/>
      <c r="H188" s="54"/>
      <c r="I188" s="54"/>
      <c r="J188" s="54"/>
      <c r="K188" s="54"/>
    </row>
    <row r="189" spans="1:11" hidden="1">
      <c r="A189" s="54"/>
      <c r="B189" s="115">
        <f>(B181/30)*(360-18)</f>
        <v>885780</v>
      </c>
      <c r="C189" s="115">
        <f>(C181/30)*(360-18)</f>
        <v>885780</v>
      </c>
      <c r="D189" s="115">
        <f>(D181/30)*(360-18)</f>
        <v>885780</v>
      </c>
      <c r="E189" s="734"/>
      <c r="F189" s="54"/>
      <c r="G189" s="54"/>
      <c r="H189" s="54"/>
      <c r="I189" s="54"/>
      <c r="J189" s="54"/>
      <c r="K189" s="54"/>
    </row>
    <row r="190" spans="1:11" hidden="1">
      <c r="A190" s="54"/>
      <c r="B190" s="115">
        <v>0</v>
      </c>
      <c r="C190" s="115">
        <v>0</v>
      </c>
      <c r="D190" s="115">
        <v>0</v>
      </c>
      <c r="E190" s="734"/>
      <c r="F190" s="54"/>
      <c r="G190" s="54"/>
      <c r="H190" s="54"/>
      <c r="I190" s="54"/>
      <c r="J190" s="54"/>
      <c r="K190" s="54"/>
    </row>
    <row r="191" spans="1:11" hidden="1">
      <c r="A191" s="54"/>
      <c r="B191" s="115">
        <f>+ROUND(B183*12%,0)</f>
        <v>992815</v>
      </c>
      <c r="C191" s="115">
        <f>+ROUND(C183*12%,0)</f>
        <v>794252</v>
      </c>
      <c r="D191" s="115">
        <f>+ROUND(D183*12%,0)</f>
        <v>794252</v>
      </c>
      <c r="E191" s="734"/>
      <c r="F191" s="54"/>
      <c r="G191" s="54"/>
      <c r="H191" s="54"/>
      <c r="I191" s="54"/>
      <c r="J191" s="54"/>
      <c r="K191" s="54"/>
    </row>
    <row r="192" spans="1:11" hidden="1">
      <c r="A192" s="54"/>
      <c r="B192" s="115">
        <f>+ROUND((B182*12)*6.96%,0)</f>
        <v>575833</v>
      </c>
      <c r="C192" s="115">
        <f>+ROUND((C182*12)*6.96%,0)</f>
        <v>460666</v>
      </c>
      <c r="D192" s="115">
        <f>+ROUND((D182*12)*6.96%,0)</f>
        <v>460666</v>
      </c>
      <c r="E192" s="734"/>
      <c r="F192" s="54"/>
      <c r="G192" s="54"/>
      <c r="H192" s="54"/>
      <c r="I192" s="54"/>
      <c r="J192" s="54"/>
      <c r="K192" s="54"/>
    </row>
    <row r="193" spans="1:11" hidden="1">
      <c r="A193" s="54"/>
      <c r="B193" s="115">
        <f>+ROUND((B182*12)*4%,0)</f>
        <v>330938</v>
      </c>
      <c r="C193" s="115">
        <f>+ROUND((C182*12)*4%,0)</f>
        <v>264751</v>
      </c>
      <c r="D193" s="115">
        <f>+ROUND((D182*12)*4%,0)</f>
        <v>264751</v>
      </c>
      <c r="E193" s="734"/>
      <c r="F193" s="54"/>
      <c r="G193" s="54"/>
      <c r="H193" s="54"/>
      <c r="I193" s="54"/>
      <c r="J193" s="54"/>
      <c r="K193" s="54"/>
    </row>
    <row r="194" spans="1:11" hidden="1">
      <c r="A194" s="54"/>
      <c r="B194" s="115">
        <v>0</v>
      </c>
      <c r="C194" s="115">
        <v>0</v>
      </c>
      <c r="D194" s="115">
        <v>0</v>
      </c>
      <c r="E194" s="734"/>
      <c r="F194" s="54"/>
      <c r="G194" s="54"/>
      <c r="H194" s="54"/>
      <c r="I194" s="54"/>
      <c r="J194" s="54"/>
      <c r="K194" s="54"/>
    </row>
    <row r="195" spans="1:11" hidden="1">
      <c r="A195" s="54"/>
      <c r="B195" s="115">
        <v>0</v>
      </c>
      <c r="C195" s="115">
        <v>0</v>
      </c>
      <c r="D195" s="115">
        <v>0</v>
      </c>
      <c r="E195" s="734"/>
      <c r="F195" s="54"/>
      <c r="G195" s="54"/>
      <c r="H195" s="54"/>
      <c r="I195" s="54"/>
      <c r="J195" s="54"/>
      <c r="K195" s="54"/>
    </row>
    <row r="196" spans="1:11" hidden="1">
      <c r="A196" s="54"/>
      <c r="B196" s="115">
        <v>405900</v>
      </c>
      <c r="C196" s="115">
        <v>405900</v>
      </c>
      <c r="D196" s="115">
        <v>405900</v>
      </c>
      <c r="E196" s="734"/>
      <c r="F196" s="54"/>
      <c r="G196" s="54"/>
      <c r="H196" s="54"/>
      <c r="I196" s="54"/>
      <c r="J196" s="54"/>
      <c r="K196" s="54"/>
    </row>
    <row r="197" spans="1:11" hidden="1">
      <c r="A197" s="54"/>
      <c r="B197" s="115">
        <v>336280</v>
      </c>
      <c r="C197" s="115">
        <v>336280</v>
      </c>
      <c r="D197" s="115">
        <v>336280</v>
      </c>
      <c r="E197" s="734"/>
      <c r="F197" s="54"/>
      <c r="G197" s="54"/>
      <c r="H197" s="54"/>
      <c r="I197" s="54"/>
      <c r="J197" s="54"/>
      <c r="K197" s="54"/>
    </row>
    <row r="198" spans="1:11" hidden="1">
      <c r="A198" s="54"/>
      <c r="B198" s="121">
        <f>SUM(B183:B197)</f>
        <v>14150782</v>
      </c>
      <c r="C198" s="121">
        <f>SUM(C183:C197)</f>
        <v>11724011</v>
      </c>
      <c r="D198" s="121">
        <f>SUM(D183:D197)</f>
        <v>11724011</v>
      </c>
      <c r="E198" s="121">
        <f>+E178*12</f>
        <v>2001195.96</v>
      </c>
      <c r="F198" s="54"/>
      <c r="G198" s="54"/>
      <c r="H198" s="54"/>
      <c r="I198" s="54"/>
      <c r="J198" s="54"/>
      <c r="K198" s="54"/>
    </row>
    <row r="199" spans="1:11" hidden="1">
      <c r="A199" s="54"/>
      <c r="B199" s="121">
        <f>B198/12</f>
        <v>1179231.8333333333</v>
      </c>
      <c r="C199" s="121">
        <f>C198/12</f>
        <v>977000.91666666663</v>
      </c>
      <c r="D199" s="121">
        <f>D198/12</f>
        <v>977000.91666666663</v>
      </c>
      <c r="E199" s="121">
        <f>E198/12</f>
        <v>166766.32999999999</v>
      </c>
      <c r="F199" s="54"/>
      <c r="G199" s="54"/>
      <c r="H199" s="54"/>
      <c r="I199" s="54"/>
      <c r="J199" s="54"/>
      <c r="K199" s="54"/>
    </row>
    <row r="200" spans="1:11" hidden="1">
      <c r="A200" s="54"/>
      <c r="B200" s="735">
        <f>+B199+C199+D199+E199</f>
        <v>3299999.9966666666</v>
      </c>
      <c r="C200" s="735"/>
      <c r="D200" s="735"/>
      <c r="E200" s="735"/>
      <c r="F200" s="54"/>
      <c r="G200" s="54"/>
      <c r="H200" s="54"/>
      <c r="I200" s="54"/>
      <c r="J200" s="54"/>
      <c r="K200" s="54"/>
    </row>
  </sheetData>
  <mergeCells count="29">
    <mergeCell ref="B56:K56"/>
    <mergeCell ref="B2:K2"/>
    <mergeCell ref="B4:H7"/>
    <mergeCell ref="J7:K7"/>
    <mergeCell ref="B9:B10"/>
    <mergeCell ref="B30:K30"/>
    <mergeCell ref="B110:E110"/>
    <mergeCell ref="B123:K123"/>
    <mergeCell ref="B125:B126"/>
    <mergeCell ref="C125:C126"/>
    <mergeCell ref="D125:D126"/>
    <mergeCell ref="E125:E126"/>
    <mergeCell ref="F125:F126"/>
    <mergeCell ref="G125:I125"/>
    <mergeCell ref="I127:I145"/>
    <mergeCell ref="G149:I149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J151:J152"/>
    <mergeCell ref="K151:K152"/>
    <mergeCell ref="B176:E176"/>
    <mergeCell ref="E178:E197"/>
    <mergeCell ref="B200:E200"/>
  </mergeCells>
  <pageMargins left="0.7" right="0.7" top="0.75" bottom="0.75" header="0.3" footer="0.3"/>
  <pageSetup paperSize="9" scale="57" orientation="landscape" r:id="rId1"/>
  <colBreaks count="1" manualBreakCount="1">
    <brk id="1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96EED-E567-4359-A967-38EB5EFFB51D}">
  <dimension ref="A1:D29"/>
  <sheetViews>
    <sheetView view="pageBreakPreview" topLeftCell="A7" zoomScale="130" zoomScaleNormal="100" zoomScaleSheetLayoutView="130" workbookViewId="0">
      <selection activeCell="E14" sqref="E14"/>
    </sheetView>
  </sheetViews>
  <sheetFormatPr baseColWidth="10" defaultRowHeight="13.2"/>
  <cols>
    <col min="1" max="1" width="35.33203125" customWidth="1"/>
    <col min="2" max="2" width="32.6640625" customWidth="1"/>
    <col min="3" max="3" width="12.44140625" customWidth="1"/>
    <col min="4" max="4" width="20.33203125" customWidth="1"/>
  </cols>
  <sheetData>
    <row r="1" spans="1:4" ht="17.399999999999999">
      <c r="A1" s="759" t="s">
        <v>7</v>
      </c>
      <c r="B1" s="759"/>
      <c r="C1" s="759"/>
      <c r="D1" s="759"/>
    </row>
    <row r="2" spans="1:4" ht="17.399999999999999">
      <c r="A2" s="759" t="s">
        <v>246</v>
      </c>
      <c r="B2" s="759"/>
      <c r="C2" s="759"/>
      <c r="D2" s="759"/>
    </row>
    <row r="3" spans="1:4" ht="15">
      <c r="A3" s="760"/>
      <c r="B3" s="760"/>
      <c r="C3" s="760"/>
      <c r="D3" s="760"/>
    </row>
    <row r="4" spans="1:4" ht="17.399999999999999">
      <c r="A4" s="761" t="s">
        <v>552</v>
      </c>
      <c r="B4" s="761"/>
      <c r="C4" s="761"/>
      <c r="D4" s="761"/>
    </row>
    <row r="5" spans="1:4">
      <c r="A5" s="483"/>
      <c r="B5" s="483"/>
      <c r="C5" s="483"/>
      <c r="D5" s="483"/>
    </row>
    <row r="6" spans="1:4" ht="15">
      <c r="A6" s="484" t="s">
        <v>281</v>
      </c>
      <c r="B6" s="482"/>
      <c r="C6" s="482"/>
      <c r="D6" s="482"/>
    </row>
    <row r="7" spans="1:4" ht="28.2" customHeight="1">
      <c r="A7" s="762" t="str">
        <f>[15]PRESUPUESTO!A8</f>
        <v>MANTENIMIENTO Y REPARACION DE LAS INSTALACIONES DEL COLISEO CUBIERTO DEL MUNICIPIO DE CAUCASIA - ANTIOQUIA.</v>
      </c>
      <c r="B7" s="762"/>
      <c r="C7" s="762"/>
      <c r="D7" s="762"/>
    </row>
    <row r="8" spans="1:4">
      <c r="A8" s="483"/>
      <c r="B8" s="483"/>
      <c r="C8" s="483"/>
      <c r="D8" s="483"/>
    </row>
    <row r="9" spans="1:4" ht="15">
      <c r="A9" s="485"/>
      <c r="B9" s="485"/>
      <c r="C9" s="756">
        <v>1423500</v>
      </c>
      <c r="D9" s="756"/>
    </row>
    <row r="10" spans="1:4" ht="15.6">
      <c r="A10" s="486" t="s">
        <v>19</v>
      </c>
      <c r="B10" s="486" t="s">
        <v>553</v>
      </c>
      <c r="C10" s="763" t="s">
        <v>554</v>
      </c>
      <c r="D10" s="763"/>
    </row>
    <row r="11" spans="1:4" ht="15">
      <c r="A11" s="487" t="s">
        <v>555</v>
      </c>
      <c r="B11" s="488" t="s">
        <v>556</v>
      </c>
      <c r="C11" s="756">
        <f>ROUND(B25*1*'[15]SALARIOS Y PRESTACIONES '!J29,0)</f>
        <v>70561</v>
      </c>
      <c r="D11" s="756"/>
    </row>
    <row r="12" spans="1:4" ht="15">
      <c r="A12" s="487" t="s">
        <v>557</v>
      </c>
      <c r="B12" s="488" t="s">
        <v>558</v>
      </c>
      <c r="C12" s="756">
        <f>ROUND(B25*2*'[15]SALARIOS Y PRESTACIONES '!J29,0)</f>
        <v>141122</v>
      </c>
      <c r="D12" s="756"/>
    </row>
    <row r="13" spans="1:4" ht="15">
      <c r="A13" s="487" t="s">
        <v>559</v>
      </c>
      <c r="B13" s="488" t="s">
        <v>560</v>
      </c>
      <c r="C13" s="756">
        <f>ROUND(( (B21*'[15]SALARIOS Y PRESTACIONES '!I29)+('[15]SALARIOS Y PRESTACIONES '!J29*[15]CUADRILLAS!B26)),0)</f>
        <v>205599</v>
      </c>
      <c r="D13" s="756"/>
    </row>
    <row r="14" spans="1:4" ht="15">
      <c r="A14" s="487" t="s">
        <v>561</v>
      </c>
      <c r="B14" s="488" t="s">
        <v>562</v>
      </c>
      <c r="C14" s="756">
        <f>ROUND(((B21*'[15]SALARIOS Y PRESTACIONES '!I29)+([15]CUADRILLAS!B26*2*'[15]SALARIOS Y PRESTACIONES '!J29)),0)</f>
        <v>276160</v>
      </c>
      <c r="D14" s="756"/>
    </row>
    <row r="15" spans="1:4" ht="15">
      <c r="A15" s="487" t="s">
        <v>563</v>
      </c>
      <c r="B15" s="488" t="s">
        <v>564</v>
      </c>
      <c r="C15" s="756">
        <f>ROUND(((B21*'[15]SALARIOS Y PRESTACIONES '!I29)+([15]CUADRILLAS!B26*6*'[15]SALARIOS Y PRESTACIONES '!J29)),0)</f>
        <v>558405</v>
      </c>
      <c r="D15" s="756"/>
    </row>
    <row r="16" spans="1:4" ht="15">
      <c r="A16" s="487" t="s">
        <v>565</v>
      </c>
      <c r="B16" s="488" t="s">
        <v>566</v>
      </c>
      <c r="C16" s="756">
        <f>ROUND(((B22*'[15]SALARIOS Y PRESTACIONES '!I29)+(B23*'[15]SALARIOS Y PRESTACIONES '!J29)),0)</f>
        <v>240880</v>
      </c>
      <c r="D16" s="756"/>
    </row>
    <row r="17" spans="1:4" ht="15">
      <c r="A17" s="487" t="s">
        <v>567</v>
      </c>
      <c r="B17" s="488" t="s">
        <v>568</v>
      </c>
      <c r="C17" s="756">
        <f>ROUND(((B23*'[15]SALARIOS Y PRESTACIONES '!E29)+(B25*'[15]SALARIOS Y PRESTACIONES '!F29)),0)</f>
        <v>162649</v>
      </c>
      <c r="D17" s="756"/>
    </row>
    <row r="18" spans="1:4" ht="15">
      <c r="A18" s="485"/>
      <c r="B18" s="489"/>
      <c r="C18" s="757"/>
      <c r="D18" s="757"/>
    </row>
    <row r="19" spans="1:4">
      <c r="A19" s="758"/>
      <c r="B19" s="758"/>
      <c r="C19" s="758"/>
      <c r="D19" s="758"/>
    </row>
    <row r="20" spans="1:4" ht="31.2">
      <c r="A20" s="486" t="s">
        <v>19</v>
      </c>
      <c r="B20" s="486" t="s">
        <v>569</v>
      </c>
      <c r="C20" s="486" t="s">
        <v>570</v>
      </c>
      <c r="D20" s="486" t="s">
        <v>571</v>
      </c>
    </row>
    <row r="21" spans="1:4" ht="15">
      <c r="A21" s="488" t="s">
        <v>147</v>
      </c>
      <c r="B21" s="490">
        <f>'[15]SALARIOS Y PRESTACIONES '!I16/30</f>
        <v>86666.666666666672</v>
      </c>
      <c r="C21" s="491">
        <f>'[15]SALARIOS Y PRESTACIONES '!I29</f>
        <v>1.5581333333333334</v>
      </c>
      <c r="D21" s="492">
        <f>C21*30*B21</f>
        <v>4051146.666666667</v>
      </c>
    </row>
    <row r="22" spans="1:4" ht="15">
      <c r="A22" s="488" t="s">
        <v>572</v>
      </c>
      <c r="B22" s="490">
        <f>'[15]SALARIOS Y PRESTACIONES '!I16/30</f>
        <v>86666.666666666672</v>
      </c>
      <c r="C22" s="491">
        <f>'[15]SALARIOS Y PRESTACIONES '!I29</f>
        <v>1.5581333333333334</v>
      </c>
      <c r="D22" s="492">
        <f t="shared" ref="D22:D26" si="0">C22*30*B22</f>
        <v>4051146.666666667</v>
      </c>
    </row>
    <row r="23" spans="1:4" ht="15">
      <c r="A23" s="488" t="s">
        <v>115</v>
      </c>
      <c r="B23" s="490">
        <f>'[15]SALARIOS Y PRESTACIONES '!F16/30</f>
        <v>65000</v>
      </c>
      <c r="C23" s="491">
        <f>'[15]SALARIOS Y PRESTACIONES '!F29</f>
        <v>1.5815333333333332</v>
      </c>
      <c r="D23" s="492">
        <f t="shared" si="0"/>
        <v>3083990</v>
      </c>
    </row>
    <row r="24" spans="1:4" ht="15">
      <c r="A24" s="488" t="s">
        <v>114</v>
      </c>
      <c r="B24" s="490">
        <f>'[15]SALARIOS Y PRESTACIONES '!E16/30</f>
        <v>130000</v>
      </c>
      <c r="C24" s="491">
        <f>'[15]SALARIOS Y PRESTACIONES '!E29</f>
        <v>1.4479333333333333</v>
      </c>
      <c r="D24" s="492">
        <f t="shared" si="0"/>
        <v>5646940</v>
      </c>
    </row>
    <row r="25" spans="1:4" ht="15">
      <c r="A25" s="488" t="s">
        <v>146</v>
      </c>
      <c r="B25" s="490">
        <f>'[15]SALARIOS Y PRESTACIONES '!J16/30</f>
        <v>43333.333333333336</v>
      </c>
      <c r="C25" s="491">
        <f>'[15]SALARIOS Y PRESTACIONES '!J29</f>
        <v>1.6283333333333334</v>
      </c>
      <c r="D25" s="492">
        <f t="shared" si="0"/>
        <v>2116833.3333333335</v>
      </c>
    </row>
    <row r="26" spans="1:4" ht="15">
      <c r="A26" s="488" t="s">
        <v>573</v>
      </c>
      <c r="B26" s="490">
        <f>'[15]SALARIOS Y PRESTACIONES '!H42/30</f>
        <v>108333.33333333333</v>
      </c>
      <c r="C26" s="491">
        <f>'[15]SALARIOS Y PRESTACIONES '!H55</f>
        <v>1.45</v>
      </c>
      <c r="D26" s="492">
        <f t="shared" si="0"/>
        <v>4712500</v>
      </c>
    </row>
    <row r="27" spans="1:4" ht="15">
      <c r="A27" s="488" t="s">
        <v>574</v>
      </c>
      <c r="B27" s="490">
        <f>'[15]SALARIOS Y PRESTACIONES '!D16/30</f>
        <v>173333.33333333334</v>
      </c>
      <c r="C27" s="491">
        <f>'[15]SALARIOS Y PRESTACIONES '!D29</f>
        <v>1.4479333333333333</v>
      </c>
      <c r="D27" s="492">
        <f>C27*30*B27</f>
        <v>7529253.333333334</v>
      </c>
    </row>
    <row r="28" spans="1:4" ht="15">
      <c r="A28" s="489"/>
      <c r="B28" s="493"/>
      <c r="C28" s="494"/>
      <c r="D28" s="495"/>
    </row>
    <row r="29" spans="1:4">
      <c r="A29" s="496"/>
      <c r="B29" s="496"/>
      <c r="C29" s="496"/>
      <c r="D29" s="496"/>
    </row>
  </sheetData>
  <mergeCells count="16">
    <mergeCell ref="C14:D14"/>
    <mergeCell ref="A1:D1"/>
    <mergeCell ref="A2:D2"/>
    <mergeCell ref="A3:D3"/>
    <mergeCell ref="A4:D4"/>
    <mergeCell ref="A7:D7"/>
    <mergeCell ref="C9:D9"/>
    <mergeCell ref="C10:D10"/>
    <mergeCell ref="C11:D11"/>
    <mergeCell ref="C12:D12"/>
    <mergeCell ref="C13:D13"/>
    <mergeCell ref="C15:D15"/>
    <mergeCell ref="C16:D16"/>
    <mergeCell ref="C17:D17"/>
    <mergeCell ref="C18:D18"/>
    <mergeCell ref="A19:D19"/>
  </mergeCells>
  <pageMargins left="0.7" right="0.7" top="0.75" bottom="0.75" header="0.3" footer="0.3"/>
  <pageSetup paperSize="9" scale="75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PRESUPUESTO</vt:lpstr>
      <vt:lpstr>APUS</vt:lpstr>
      <vt:lpstr>MEMORIAS </vt:lpstr>
      <vt:lpstr>CRONOGRAMA</vt:lpstr>
      <vt:lpstr>AU</vt:lpstr>
      <vt:lpstr>MATERIALES</vt:lpstr>
      <vt:lpstr>SALARIOS Y PRESTACIONES </vt:lpstr>
      <vt:lpstr>CUADRILLAS</vt:lpstr>
      <vt:lpstr>AU!Área_de_impresión</vt:lpstr>
      <vt:lpstr>CUADRILLAS!Área_de_impresión</vt:lpstr>
      <vt:lpstr>MATERIALES!Área_de_impresión</vt:lpstr>
      <vt:lpstr>PRESUPUESTO!Área_de_impresión</vt:lpstr>
      <vt:lpstr>'SALARIOS Y PRESTACIONES '!Área_de_impresión</vt:lpstr>
      <vt:lpstr>CRONOGRAMA!Títulos_a_imprimir</vt:lpstr>
      <vt:lpstr>PRESUPUESTO!Títulos_a_imprimir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Harold Fabián Herrera Arrieta</cp:lastModifiedBy>
  <cp:lastPrinted>2025-03-13T15:41:46Z</cp:lastPrinted>
  <dcterms:created xsi:type="dcterms:W3CDTF">2019-04-26T02:26:41Z</dcterms:created>
  <dcterms:modified xsi:type="dcterms:W3CDTF">2025-11-11T00:43:55Z</dcterms:modified>
</cp:coreProperties>
</file>