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Natalia\Documents\2020\SELECCIÓN ABREVIADA\xxx CERCAS VIVAS\"/>
    </mc:Choice>
  </mc:AlternateContent>
  <bookViews>
    <workbookView xWindow="0" yWindow="0" windowWidth="20490" windowHeight="7755" tabRatio="803" activeTab="5"/>
  </bookViews>
  <sheets>
    <sheet name="Listado de Actividades" sheetId="20" r:id="rId1"/>
    <sheet name="Resumen" sheetId="37" r:id="rId2"/>
    <sheet name="Mano de Obra (JORNAL)" sheetId="30" r:id="rId3"/>
    <sheet name="COSTOSaisla Madera 4 caras" sheetId="9" r:id="rId4"/>
    <sheet name="Mtto Agroforestales" sheetId="34" r:id="rId5"/>
    <sheet name="BEBEDERO PLASTICO" sheetId="28" r:id="rId6"/>
    <sheet name="COSTOS Revegetalizacion" sheetId="12" r:id="rId7"/>
    <sheet name="COSTOS aisla Guadua" sheetId="26" r:id="rId8"/>
    <sheet name="Mtto Plantaciones UN AÑO Piloto" sheetId="23" r:id="rId9"/>
    <sheet name="CERCA VIVA Estacas" sheetId="24" r:id="rId10"/>
    <sheet name="COSTO talleres" sheetId="16" r:id="rId11"/>
    <sheet name="Profesionales" sheetId="38" r:id="rId12"/>
    <sheet name="PROMOTOR AMBIENTAL" sheetId="36" r:id="rId13"/>
    <sheet name="COSTOS agrofor Urbanos" sheetId="33" r:id="rId14"/>
    <sheet name="COSTOS RESTAURACION ISLAS " sheetId="27" r:id="rId15"/>
    <sheet name="COSTOS agroforest caucho" sheetId="19" r:id="rId16"/>
    <sheet name="COSTOS agroforest cacao" sheetId="32" r:id="rId17"/>
    <sheet name="COSTOSaisla Rollisa o 3 caras" sheetId="25" r:id="rId18"/>
    <sheet name="CERCA VIVA E INERTE" sheetId="31" r:id="rId19"/>
    <sheet name="MTO CERCA VARIOS ESTACONES" sheetId="21" r:id="rId20"/>
    <sheet name="BIOINGENIERIA" sheetId="22" r:id="rId21"/>
    <sheet name="ESTUFA EFICIENTE TIPO HUELLA" sheetId="35" r:id="rId22"/>
    <sheet name="SIEMBRA ARBOLES AGROFORESTALES" sheetId="39" r:id="rId23"/>
    <sheet name="GEOREFERENCIACIÓN_ACTIVIDADES" sheetId="40" r:id="rId24"/>
    <sheet name="Riesgos" sheetId="44" r:id="rId25"/>
  </sheets>
  <definedNames>
    <definedName name="_xlnm.Print_Area" localSheetId="3">'COSTOSaisla Madera 4 caras'!$A$1:$H$55</definedName>
  </definedNames>
  <calcPr calcId="152511"/>
</workbook>
</file>

<file path=xl/calcChain.xml><?xml version="1.0" encoding="utf-8"?>
<calcChain xmlns="http://schemas.openxmlformats.org/spreadsheetml/2006/main">
  <c r="D10" i="37" l="1"/>
  <c r="H25" i="37" l="1"/>
  <c r="E18" i="26"/>
  <c r="E20" i="26"/>
  <c r="F10" i="37" l="1"/>
  <c r="G10" i="37" s="1"/>
  <c r="H28" i="37" l="1"/>
  <c r="F28" i="37" l="1"/>
  <c r="B7" i="36" l="1"/>
  <c r="E19" i="37" l="1"/>
  <c r="L48" i="44"/>
  <c r="C32" i="30"/>
  <c r="B19" i="30"/>
  <c r="C14" i="30"/>
  <c r="C16" i="30" s="1"/>
  <c r="H14" i="37"/>
  <c r="D15" i="40"/>
  <c r="C30" i="40" s="1"/>
  <c r="C36" i="40"/>
  <c r="B23" i="40"/>
  <c r="C18" i="40"/>
  <c r="C19" i="40" s="1"/>
  <c r="L30" i="39"/>
  <c r="L29" i="39"/>
  <c r="L28" i="39"/>
  <c r="F28" i="39"/>
  <c r="F27" i="39"/>
  <c r="C24" i="39"/>
  <c r="F24" i="39" s="1"/>
  <c r="J22" i="39"/>
  <c r="C22" i="39"/>
  <c r="E21" i="39"/>
  <c r="F21" i="39" s="1"/>
  <c r="E20" i="39"/>
  <c r="F20" i="39" s="1"/>
  <c r="E19" i="39"/>
  <c r="F19" i="39" s="1"/>
  <c r="E18" i="39"/>
  <c r="F18" i="39" s="1"/>
  <c r="E17" i="39"/>
  <c r="F17" i="39" s="1"/>
  <c r="E16" i="39"/>
  <c r="F16" i="39" s="1"/>
  <c r="E15" i="39"/>
  <c r="F15" i="39" s="1"/>
  <c r="E14" i="39"/>
  <c r="F14" i="39" s="1"/>
  <c r="F13" i="39"/>
  <c r="I19" i="38"/>
  <c r="H19" i="38"/>
  <c r="I14" i="38"/>
  <c r="J11" i="38"/>
  <c r="I26" i="38" s="1"/>
  <c r="C19" i="38"/>
  <c r="B19" i="38"/>
  <c r="C14" i="38"/>
  <c r="C24" i="38" s="1"/>
  <c r="D11" i="38"/>
  <c r="C26" i="38" s="1"/>
  <c r="D11" i="36"/>
  <c r="C26" i="36" s="1"/>
  <c r="B19" i="36"/>
  <c r="C14" i="36"/>
  <c r="C17" i="36" s="1"/>
  <c r="C19" i="36"/>
  <c r="L9" i="35"/>
  <c r="L10" i="35" s="1"/>
  <c r="L6" i="35"/>
  <c r="L7" i="35" s="1"/>
  <c r="F50" i="35"/>
  <c r="F51" i="35" s="1"/>
  <c r="F53" i="35"/>
  <c r="F54" i="35" s="1"/>
  <c r="C22" i="33"/>
  <c r="F29" i="35"/>
  <c r="F30" i="35" s="1"/>
  <c r="F25" i="35"/>
  <c r="F24" i="35"/>
  <c r="F23" i="35"/>
  <c r="F22" i="35"/>
  <c r="F21" i="35"/>
  <c r="F20" i="35"/>
  <c r="F19" i="35"/>
  <c r="F16" i="35"/>
  <c r="F15" i="35"/>
  <c r="F14" i="35"/>
  <c r="F13" i="35"/>
  <c r="F12" i="35"/>
  <c r="F11" i="35"/>
  <c r="F10" i="35"/>
  <c r="F9" i="35"/>
  <c r="F8" i="35"/>
  <c r="F6" i="35"/>
  <c r="F7" i="35"/>
  <c r="D43" i="20"/>
  <c r="E16" i="34"/>
  <c r="F18" i="34"/>
  <c r="C17" i="34"/>
  <c r="F17" i="34" s="1"/>
  <c r="C16" i="34"/>
  <c r="C14" i="34"/>
  <c r="F11" i="22"/>
  <c r="F10" i="22"/>
  <c r="F9" i="22"/>
  <c r="I27" i="16"/>
  <c r="I19" i="16"/>
  <c r="C23" i="32"/>
  <c r="F23" i="32" s="1"/>
  <c r="G32" i="33"/>
  <c r="G30" i="33"/>
  <c r="G29" i="33"/>
  <c r="G27" i="33"/>
  <c r="F26" i="33"/>
  <c r="F25" i="33"/>
  <c r="G24" i="33"/>
  <c r="G23" i="33"/>
  <c r="G22" i="33"/>
  <c r="G21" i="33"/>
  <c r="J20" i="33"/>
  <c r="G20" i="33"/>
  <c r="C20" i="33"/>
  <c r="G19" i="33"/>
  <c r="G18" i="33"/>
  <c r="G17" i="33"/>
  <c r="G16" i="33"/>
  <c r="G15" i="33"/>
  <c r="G14" i="33"/>
  <c r="G13" i="33"/>
  <c r="G12" i="33"/>
  <c r="G11" i="33"/>
  <c r="C24" i="32"/>
  <c r="F24" i="32" s="1"/>
  <c r="K36" i="32"/>
  <c r="G32" i="32"/>
  <c r="G30" i="32"/>
  <c r="G29" i="32"/>
  <c r="G27" i="32"/>
  <c r="F26" i="32"/>
  <c r="F25" i="32"/>
  <c r="G24" i="32"/>
  <c r="G23" i="32"/>
  <c r="G22" i="32"/>
  <c r="F22" i="32"/>
  <c r="G21" i="32"/>
  <c r="J20" i="32"/>
  <c r="G20" i="32"/>
  <c r="C20" i="32"/>
  <c r="G19" i="32"/>
  <c r="G18" i="32"/>
  <c r="G17" i="32"/>
  <c r="G16" i="32"/>
  <c r="G15" i="32"/>
  <c r="G14" i="32"/>
  <c r="G13" i="32"/>
  <c r="G12" i="32"/>
  <c r="G11" i="32"/>
  <c r="C23" i="19"/>
  <c r="F23" i="19" s="1"/>
  <c r="C24" i="19"/>
  <c r="F24" i="19" s="1"/>
  <c r="J20" i="19"/>
  <c r="O62" i="21"/>
  <c r="R55" i="21"/>
  <c r="R18" i="21"/>
  <c r="I18" i="21"/>
  <c r="O25" i="21"/>
  <c r="N21" i="21"/>
  <c r="O21" i="21" s="1"/>
  <c r="F25" i="21"/>
  <c r="E22" i="26"/>
  <c r="H29" i="25"/>
  <c r="E24" i="9"/>
  <c r="P19" i="12"/>
  <c r="C25" i="12"/>
  <c r="F25" i="12" s="1"/>
  <c r="C27" i="27"/>
  <c r="F27" i="27" s="1"/>
  <c r="C24" i="27"/>
  <c r="F24" i="27" s="1"/>
  <c r="C22" i="12"/>
  <c r="F22" i="12" s="1"/>
  <c r="K28" i="27"/>
  <c r="K29" i="27" s="1"/>
  <c r="K30" i="27" s="1"/>
  <c r="C19" i="30"/>
  <c r="D11" i="30"/>
  <c r="C26" i="30" s="1"/>
  <c r="F23" i="27"/>
  <c r="E24" i="25"/>
  <c r="G16" i="25"/>
  <c r="F26" i="19"/>
  <c r="F25" i="19"/>
  <c r="F23" i="12"/>
  <c r="F24" i="12"/>
  <c r="Q13" i="16"/>
  <c r="Q15" i="16" s="1"/>
  <c r="F17" i="28"/>
  <c r="F16" i="28"/>
  <c r="C14" i="28"/>
  <c r="F26" i="27"/>
  <c r="F25" i="27"/>
  <c r="G33" i="27"/>
  <c r="G32" i="27"/>
  <c r="G31" i="27"/>
  <c r="G30" i="27"/>
  <c r="G28" i="27"/>
  <c r="G27" i="27"/>
  <c r="G24" i="27"/>
  <c r="K23" i="27"/>
  <c r="G23" i="27"/>
  <c r="G22" i="27"/>
  <c r="G21" i="27"/>
  <c r="C21" i="27"/>
  <c r="G20" i="27"/>
  <c r="G19" i="27"/>
  <c r="G18" i="27"/>
  <c r="G17" i="27"/>
  <c r="G16" i="27"/>
  <c r="G15" i="27"/>
  <c r="O14" i="27"/>
  <c r="G14" i="27"/>
  <c r="G13" i="27"/>
  <c r="G12" i="27"/>
  <c r="L29" i="12"/>
  <c r="M32" i="12"/>
  <c r="N12" i="12"/>
  <c r="O58" i="21"/>
  <c r="L55" i="21"/>
  <c r="L18" i="21"/>
  <c r="E26" i="21"/>
  <c r="E27" i="21"/>
  <c r="N27" i="21" s="1"/>
  <c r="O27" i="21" s="1"/>
  <c r="E24" i="21"/>
  <c r="N24" i="21" s="1"/>
  <c r="E23" i="21"/>
  <c r="F23" i="21" s="1"/>
  <c r="E22" i="21"/>
  <c r="N22" i="21" s="1"/>
  <c r="E21" i="21"/>
  <c r="F21" i="21" s="1"/>
  <c r="E24" i="26"/>
  <c r="E23" i="26"/>
  <c r="E21" i="26"/>
  <c r="E19" i="26"/>
  <c r="B16" i="26"/>
  <c r="E26" i="25"/>
  <c r="E25" i="25"/>
  <c r="E23" i="25"/>
  <c r="E22" i="25"/>
  <c r="E21" i="25"/>
  <c r="E20" i="25"/>
  <c r="B16" i="25"/>
  <c r="F21" i="24"/>
  <c r="F20" i="24"/>
  <c r="C18" i="24"/>
  <c r="F80" i="23"/>
  <c r="E79" i="23"/>
  <c r="C79" i="23"/>
  <c r="E78" i="23"/>
  <c r="C78" i="23"/>
  <c r="C76" i="23"/>
  <c r="F52" i="23"/>
  <c r="E51" i="23"/>
  <c r="F51" i="23" s="1"/>
  <c r="E50" i="23"/>
  <c r="C50" i="23"/>
  <c r="C48" i="23"/>
  <c r="F21" i="23"/>
  <c r="F20" i="23"/>
  <c r="F19" i="23"/>
  <c r="C17" i="23"/>
  <c r="G31" i="12"/>
  <c r="G30" i="12"/>
  <c r="G29" i="12"/>
  <c r="G28" i="12"/>
  <c r="G26" i="12"/>
  <c r="G25" i="12"/>
  <c r="G22" i="12"/>
  <c r="J21" i="12"/>
  <c r="G21" i="12"/>
  <c r="F21" i="12"/>
  <c r="G20" i="12"/>
  <c r="G19" i="12"/>
  <c r="C19" i="12"/>
  <c r="G18" i="12"/>
  <c r="G17" i="12"/>
  <c r="G16" i="12"/>
  <c r="G15" i="12"/>
  <c r="G14" i="12"/>
  <c r="G13" i="12"/>
  <c r="G12" i="12"/>
  <c r="G11" i="12"/>
  <c r="G10" i="12"/>
  <c r="E26" i="9"/>
  <c r="E25" i="9"/>
  <c r="E23" i="9"/>
  <c r="E22" i="9"/>
  <c r="E21" i="9"/>
  <c r="E20" i="9"/>
  <c r="B17" i="9"/>
  <c r="I54" i="16"/>
  <c r="I53" i="16"/>
  <c r="I59" i="16" s="1"/>
  <c r="I48" i="16"/>
  <c r="I49" i="16" s="1"/>
  <c r="I47" i="16"/>
  <c r="I43" i="16"/>
  <c r="I23" i="16"/>
  <c r="I17" i="16"/>
  <c r="I16" i="16"/>
  <c r="I11" i="16"/>
  <c r="F54" i="16"/>
  <c r="F53" i="16"/>
  <c r="F48" i="16"/>
  <c r="F47" i="16"/>
  <c r="C45" i="16"/>
  <c r="F43" i="16"/>
  <c r="C18" i="21"/>
  <c r="N23" i="16"/>
  <c r="N18" i="16"/>
  <c r="N17" i="16"/>
  <c r="N16" i="16"/>
  <c r="N15" i="16"/>
  <c r="N11" i="16"/>
  <c r="N24" i="16"/>
  <c r="K13" i="16"/>
  <c r="F18" i="16"/>
  <c r="F25" i="16"/>
  <c r="F11" i="16"/>
  <c r="F15" i="16"/>
  <c r="F16" i="16"/>
  <c r="F17" i="16"/>
  <c r="C13" i="16"/>
  <c r="F22" i="19"/>
  <c r="G11" i="19"/>
  <c r="G12" i="19"/>
  <c r="G13" i="19"/>
  <c r="G14" i="19"/>
  <c r="G15" i="19"/>
  <c r="G16" i="19"/>
  <c r="G17" i="19"/>
  <c r="G18" i="19"/>
  <c r="G19" i="19"/>
  <c r="C20" i="19"/>
  <c r="G20" i="19"/>
  <c r="G21" i="19"/>
  <c r="G22" i="19"/>
  <c r="G23" i="19"/>
  <c r="G24" i="19"/>
  <c r="G27" i="19"/>
  <c r="G29" i="19"/>
  <c r="G30" i="19"/>
  <c r="G32" i="19"/>
  <c r="F13" i="28"/>
  <c r="F14" i="28" s="1"/>
  <c r="C23" i="30"/>
  <c r="C24" i="30"/>
  <c r="C20" i="30"/>
  <c r="C15" i="30"/>
  <c r="C17" i="30"/>
  <c r="C25" i="30"/>
  <c r="G28" i="37"/>
  <c r="C22" i="30" l="1"/>
  <c r="F49" i="16"/>
  <c r="C26" i="39"/>
  <c r="F26" i="39" s="1"/>
  <c r="F18" i="28"/>
  <c r="F22" i="28" s="1"/>
  <c r="N64" i="21"/>
  <c r="O64" i="21" s="1"/>
  <c r="C25" i="39"/>
  <c r="F25" i="39" s="1"/>
  <c r="C21" i="30"/>
  <c r="C18" i="30"/>
  <c r="F27" i="21"/>
  <c r="C27" i="40"/>
  <c r="F26" i="12"/>
  <c r="F30" i="12" s="1"/>
  <c r="F28" i="27"/>
  <c r="F32" i="27" s="1"/>
  <c r="F24" i="21"/>
  <c r="F55" i="35"/>
  <c r="F58" i="35" s="1"/>
  <c r="F60" i="35" s="1"/>
  <c r="H26" i="38"/>
  <c r="H28" i="38" s="1"/>
  <c r="F22" i="24"/>
  <c r="F26" i="24" s="1"/>
  <c r="F26" i="35"/>
  <c r="N25" i="16"/>
  <c r="F50" i="23"/>
  <c r="F53" i="23" s="1"/>
  <c r="F58" i="23" s="1"/>
  <c r="N23" i="21"/>
  <c r="N60" i="21" s="1"/>
  <c r="O60" i="21" s="1"/>
  <c r="B30" i="40"/>
  <c r="B32" i="40" s="1"/>
  <c r="D36" i="40" s="1"/>
  <c r="E36" i="40" s="1"/>
  <c r="C21" i="40"/>
  <c r="C29" i="40"/>
  <c r="C15" i="38"/>
  <c r="C20" i="38"/>
  <c r="I21" i="38"/>
  <c r="I15" i="38"/>
  <c r="I17" i="38"/>
  <c r="I23" i="38"/>
  <c r="C21" i="38"/>
  <c r="C17" i="38"/>
  <c r="C16" i="38"/>
  <c r="I16" i="38"/>
  <c r="B26" i="38"/>
  <c r="B28" i="38" s="1"/>
  <c r="C22" i="38"/>
  <c r="I22" i="38"/>
  <c r="I18" i="38"/>
  <c r="I25" i="38"/>
  <c r="I24" i="38"/>
  <c r="C25" i="38"/>
  <c r="C18" i="38"/>
  <c r="C23" i="38"/>
  <c r="I20" i="38"/>
  <c r="N59" i="21"/>
  <c r="O59" i="21" s="1"/>
  <c r="O22" i="21"/>
  <c r="F21" i="28"/>
  <c r="F78" i="23"/>
  <c r="F12" i="22"/>
  <c r="F14" i="22" s="1"/>
  <c r="F22" i="21"/>
  <c r="F19" i="16"/>
  <c r="E27" i="9"/>
  <c r="E30" i="9" s="1"/>
  <c r="F79" i="23"/>
  <c r="E27" i="25"/>
  <c r="E30" i="25" s="1"/>
  <c r="F17" i="35"/>
  <c r="C24" i="40"/>
  <c r="C22" i="40"/>
  <c r="C23" i="40"/>
  <c r="F16" i="34"/>
  <c r="F19" i="34" s="1"/>
  <c r="F24" i="34" s="1"/>
  <c r="N19" i="16"/>
  <c r="C25" i="40"/>
  <c r="C20" i="40"/>
  <c r="H15" i="37"/>
  <c r="H17" i="37"/>
  <c r="H16" i="37"/>
  <c r="E25" i="26"/>
  <c r="E27" i="26" s="1"/>
  <c r="B26" i="30"/>
  <c r="B28" i="30" s="1"/>
  <c r="D32" i="30" s="1"/>
  <c r="E32" i="30" s="1"/>
  <c r="F27" i="19"/>
  <c r="C24" i="33"/>
  <c r="F24" i="33" s="1"/>
  <c r="F22" i="33"/>
  <c r="C23" i="33"/>
  <c r="F23" i="33" s="1"/>
  <c r="N26" i="21"/>
  <c r="F26" i="21"/>
  <c r="C16" i="36"/>
  <c r="C20" i="36"/>
  <c r="C24" i="36"/>
  <c r="C21" i="36"/>
  <c r="C22" i="36"/>
  <c r="C15" i="36"/>
  <c r="C18" i="36"/>
  <c r="C25" i="36"/>
  <c r="F55" i="16"/>
  <c r="L11" i="35"/>
  <c r="F22" i="39"/>
  <c r="F22" i="23"/>
  <c r="O24" i="21"/>
  <c r="N61" i="21"/>
  <c r="O61" i="21" s="1"/>
  <c r="F27" i="32"/>
  <c r="C23" i="36"/>
  <c r="B26" i="36"/>
  <c r="B28" i="36" s="1"/>
  <c r="C28" i="40"/>
  <c r="C26" i="40"/>
  <c r="F27" i="35" l="1"/>
  <c r="F31" i="35" s="1"/>
  <c r="F33" i="35" s="1"/>
  <c r="F36" i="35" s="1"/>
  <c r="F37" i="35" s="1"/>
  <c r="F29" i="39"/>
  <c r="F33" i="39" s="1"/>
  <c r="F24" i="28"/>
  <c r="F19" i="28"/>
  <c r="C28" i="30"/>
  <c r="E28" i="30" s="1"/>
  <c r="G28" i="30" s="1"/>
  <c r="C28" i="38"/>
  <c r="E32" i="38" s="1"/>
  <c r="O23" i="21"/>
  <c r="C32" i="40"/>
  <c r="I28" i="38"/>
  <c r="K32" i="38" s="1"/>
  <c r="F81" i="23"/>
  <c r="F86" i="23" s="1"/>
  <c r="L12" i="35"/>
  <c r="L14" i="35"/>
  <c r="L15" i="35" s="1"/>
  <c r="L16" i="35" s="1"/>
  <c r="F28" i="21"/>
  <c r="F31" i="21" s="1"/>
  <c r="N63" i="21"/>
  <c r="O63" i="21" s="1"/>
  <c r="O65" i="21" s="1"/>
  <c r="O68" i="21" s="1"/>
  <c r="O26" i="21"/>
  <c r="F27" i="33"/>
  <c r="E11" i="33"/>
  <c r="E6" i="22"/>
  <c r="F6" i="22" s="1"/>
  <c r="E12" i="27"/>
  <c r="E12" i="16"/>
  <c r="E44" i="16"/>
  <c r="F44" i="16" s="1"/>
  <c r="E12" i="23"/>
  <c r="D10" i="25"/>
  <c r="D11" i="9"/>
  <c r="E12" i="21"/>
  <c r="E12" i="24"/>
  <c r="E11" i="32"/>
  <c r="E10" i="12"/>
  <c r="E9" i="34"/>
  <c r="D10" i="26"/>
  <c r="E11" i="19"/>
  <c r="F31" i="32"/>
  <c r="F26" i="23"/>
  <c r="F31" i="19"/>
  <c r="J32" i="38"/>
  <c r="D32" i="38"/>
  <c r="F32" i="39"/>
  <c r="C28" i="36"/>
  <c r="D31" i="36" s="1"/>
  <c r="F30" i="39" l="1"/>
  <c r="D47" i="20"/>
  <c r="F26" i="28"/>
  <c r="O28" i="21"/>
  <c r="O31" i="21" s="1"/>
  <c r="E18" i="19"/>
  <c r="F18" i="19" s="1"/>
  <c r="E15" i="19"/>
  <c r="F15" i="19" s="1"/>
  <c r="E17" i="19"/>
  <c r="F17" i="19" s="1"/>
  <c r="E14" i="19"/>
  <c r="F14" i="19" s="1"/>
  <c r="F11" i="19"/>
  <c r="E12" i="19"/>
  <c r="F12" i="19" s="1"/>
  <c r="E16" i="19"/>
  <c r="F16" i="19" s="1"/>
  <c r="E13" i="19"/>
  <c r="F13" i="19" s="1"/>
  <c r="E19" i="19"/>
  <c r="F19" i="19" s="1"/>
  <c r="F31" i="33"/>
  <c r="E10" i="26"/>
  <c r="D11" i="26"/>
  <c r="E13" i="24"/>
  <c r="F12" i="24"/>
  <c r="E45" i="23"/>
  <c r="F45" i="23" s="1"/>
  <c r="E47" i="23"/>
  <c r="F47" i="23" s="1"/>
  <c r="E14" i="23"/>
  <c r="E43" i="23"/>
  <c r="E16" i="23"/>
  <c r="F16" i="23" s="1"/>
  <c r="E44" i="23"/>
  <c r="F44" i="23" s="1"/>
  <c r="E15" i="23"/>
  <c r="E72" i="23"/>
  <c r="F72" i="23" s="1"/>
  <c r="F12" i="23"/>
  <c r="E13" i="23"/>
  <c r="F13" i="22"/>
  <c r="F15" i="22" s="1"/>
  <c r="F7" i="22"/>
  <c r="E19" i="32"/>
  <c r="F19" i="32" s="1"/>
  <c r="E17" i="32"/>
  <c r="F17" i="32" s="1"/>
  <c r="E16" i="32"/>
  <c r="F16" i="32" s="1"/>
  <c r="F11" i="32"/>
  <c r="E14" i="32"/>
  <c r="F14" i="32" s="1"/>
  <c r="E12" i="32"/>
  <c r="F12" i="32" s="1"/>
  <c r="E18" i="32"/>
  <c r="F18" i="32" s="1"/>
  <c r="E13" i="32"/>
  <c r="F13" i="32" s="1"/>
  <c r="E15" i="32"/>
  <c r="F15" i="32" s="1"/>
  <c r="E18" i="27"/>
  <c r="F18" i="27" s="1"/>
  <c r="E13" i="27"/>
  <c r="F13" i="27" s="1"/>
  <c r="F12" i="27"/>
  <c r="E20" i="27"/>
  <c r="F20" i="27" s="1"/>
  <c r="E14" i="27"/>
  <c r="F14" i="27" s="1"/>
  <c r="E19" i="27"/>
  <c r="F19" i="27" s="1"/>
  <c r="E16" i="27"/>
  <c r="F16" i="27" s="1"/>
  <c r="E17" i="27"/>
  <c r="F17" i="27" s="1"/>
  <c r="E15" i="27"/>
  <c r="F15" i="27" s="1"/>
  <c r="F34" i="39"/>
  <c r="E10" i="34"/>
  <c r="E13" i="34"/>
  <c r="F13" i="34" s="1"/>
  <c r="F9" i="34"/>
  <c r="E12" i="34"/>
  <c r="F12" i="34" s="1"/>
  <c r="E17" i="21"/>
  <c r="E15" i="21"/>
  <c r="E14" i="21"/>
  <c r="F12" i="21"/>
  <c r="N12" i="21"/>
  <c r="E13" i="21"/>
  <c r="E16" i="21"/>
  <c r="F45" i="16"/>
  <c r="F56" i="16" s="1"/>
  <c r="E15" i="33"/>
  <c r="F15" i="33" s="1"/>
  <c r="E12" i="33"/>
  <c r="F12" i="33" s="1"/>
  <c r="E16" i="33"/>
  <c r="F16" i="33" s="1"/>
  <c r="E18" i="33"/>
  <c r="F18" i="33" s="1"/>
  <c r="E13" i="33"/>
  <c r="F13" i="33" s="1"/>
  <c r="E14" i="33"/>
  <c r="F14" i="33" s="1"/>
  <c r="F11" i="33"/>
  <c r="E17" i="33"/>
  <c r="F17" i="33" s="1"/>
  <c r="E19" i="33"/>
  <c r="F19" i="33" s="1"/>
  <c r="E10" i="25"/>
  <c r="D11" i="25"/>
  <c r="F36" i="39"/>
  <c r="E16" i="12"/>
  <c r="F16" i="12" s="1"/>
  <c r="E11" i="12"/>
  <c r="F11" i="12" s="1"/>
  <c r="E17" i="12"/>
  <c r="F17" i="12" s="1"/>
  <c r="E15" i="12"/>
  <c r="F15" i="12" s="1"/>
  <c r="E14" i="12"/>
  <c r="F14" i="12" s="1"/>
  <c r="E12" i="12"/>
  <c r="F12" i="12" s="1"/>
  <c r="E18" i="12"/>
  <c r="F18" i="12" s="1"/>
  <c r="F10" i="12"/>
  <c r="E13" i="12"/>
  <c r="F13" i="12" s="1"/>
  <c r="E11" i="9"/>
  <c r="D12" i="9"/>
  <c r="F12" i="16"/>
  <c r="M12" i="16"/>
  <c r="N12" i="16" s="1"/>
  <c r="H37" i="35"/>
  <c r="G19" i="28" l="1"/>
  <c r="G24" i="28"/>
  <c r="G13" i="28"/>
  <c r="G18" i="28"/>
  <c r="F28" i="28"/>
  <c r="G16" i="28"/>
  <c r="G14" i="28"/>
  <c r="G22" i="28"/>
  <c r="G17" i="28"/>
  <c r="D45" i="20"/>
  <c r="F57" i="16"/>
  <c r="F60" i="16"/>
  <c r="F15" i="21"/>
  <c r="N15" i="21"/>
  <c r="O15" i="21" s="1"/>
  <c r="F50" i="16"/>
  <c r="E46" i="23"/>
  <c r="F46" i="23" s="1"/>
  <c r="F43" i="23"/>
  <c r="O12" i="21"/>
  <c r="N50" i="21"/>
  <c r="N49" i="21"/>
  <c r="O49" i="21" s="1"/>
  <c r="F10" i="34"/>
  <c r="E11" i="34"/>
  <c r="F11" i="34" s="1"/>
  <c r="H34" i="39"/>
  <c r="H27" i="39"/>
  <c r="N13" i="16"/>
  <c r="F16" i="21"/>
  <c r="N16" i="21"/>
  <c r="O16" i="21" s="1"/>
  <c r="N14" i="21"/>
  <c r="O14" i="21" s="1"/>
  <c r="F14" i="21"/>
  <c r="F16" i="22"/>
  <c r="F15" i="23"/>
  <c r="E75" i="23"/>
  <c r="F75" i="23" s="1"/>
  <c r="F14" i="23"/>
  <c r="E74" i="23"/>
  <c r="F74" i="23" s="1"/>
  <c r="F13" i="24"/>
  <c r="E14" i="24"/>
  <c r="D13" i="9"/>
  <c r="E12" i="9"/>
  <c r="H28" i="39"/>
  <c r="H19" i="39"/>
  <c r="H17" i="39"/>
  <c r="H25" i="39"/>
  <c r="H15" i="39"/>
  <c r="H13" i="39"/>
  <c r="H14" i="39"/>
  <c r="H33" i="39"/>
  <c r="H16" i="39"/>
  <c r="H21" i="39"/>
  <c r="H26" i="39"/>
  <c r="F39" i="39"/>
  <c r="H29" i="39"/>
  <c r="H20" i="39"/>
  <c r="H24" i="39"/>
  <c r="H18" i="39"/>
  <c r="H22" i="39"/>
  <c r="H36" i="39" s="1"/>
  <c r="F17" i="21"/>
  <c r="N17" i="21"/>
  <c r="O17" i="21" s="1"/>
  <c r="F20" i="33"/>
  <c r="F13" i="16"/>
  <c r="F19" i="12"/>
  <c r="H30" i="39"/>
  <c r="E11" i="25"/>
  <c r="D12" i="25"/>
  <c r="F13" i="21"/>
  <c r="N13" i="21"/>
  <c r="O13" i="21" s="1"/>
  <c r="H32" i="39"/>
  <c r="F21" i="27"/>
  <c r="F20" i="32"/>
  <c r="F13" i="23"/>
  <c r="E73" i="23"/>
  <c r="F73" i="23" s="1"/>
  <c r="D12" i="26"/>
  <c r="E11" i="26"/>
  <c r="F20" i="19"/>
  <c r="G26" i="28" l="1"/>
  <c r="F18" i="21"/>
  <c r="F19" i="21" s="1"/>
  <c r="F30" i="21" s="1"/>
  <c r="F32" i="21" s="1"/>
  <c r="F34" i="21" s="1"/>
  <c r="G17" i="21" s="1"/>
  <c r="F14" i="34"/>
  <c r="F23" i="34" s="1"/>
  <c r="E12" i="25"/>
  <c r="D13" i="25"/>
  <c r="E22" i="22"/>
  <c r="F18" i="22"/>
  <c r="D42" i="20" s="1"/>
  <c r="F76" i="23"/>
  <c r="F26" i="16"/>
  <c r="G13" i="16" s="1"/>
  <c r="F20" i="16"/>
  <c r="G48" i="16"/>
  <c r="G54" i="16"/>
  <c r="D39" i="20"/>
  <c r="G47" i="16"/>
  <c r="G43" i="16"/>
  <c r="G53" i="16"/>
  <c r="G49" i="16"/>
  <c r="G55" i="16"/>
  <c r="G44" i="16"/>
  <c r="F29" i="12"/>
  <c r="F27" i="12"/>
  <c r="F28" i="19"/>
  <c r="F30" i="19"/>
  <c r="D13" i="26"/>
  <c r="E12" i="26"/>
  <c r="F28" i="33"/>
  <c r="F30" i="33"/>
  <c r="O50" i="21"/>
  <c r="N51" i="21"/>
  <c r="F48" i="23"/>
  <c r="G50" i="16"/>
  <c r="N26" i="16"/>
  <c r="O13" i="16" s="1"/>
  <c r="N20" i="16"/>
  <c r="F28" i="32"/>
  <c r="F30" i="32"/>
  <c r="F31" i="27"/>
  <c r="F29" i="27"/>
  <c r="F17" i="23"/>
  <c r="E13" i="9"/>
  <c r="D14" i="9"/>
  <c r="E15" i="24"/>
  <c r="F14" i="24"/>
  <c r="O18" i="21"/>
  <c r="G45" i="16"/>
  <c r="F20" i="34" l="1"/>
  <c r="O20" i="16"/>
  <c r="G20" i="16"/>
  <c r="F33" i="27"/>
  <c r="F34" i="27" s="1"/>
  <c r="H29" i="27" s="1"/>
  <c r="F31" i="12"/>
  <c r="O19" i="21"/>
  <c r="O30" i="21"/>
  <c r="F25" i="34"/>
  <c r="F82" i="23"/>
  <c r="F85" i="23"/>
  <c r="G14" i="21"/>
  <c r="E13" i="25"/>
  <c r="D14" i="25"/>
  <c r="G56" i="16"/>
  <c r="F32" i="19"/>
  <c r="F34" i="19" s="1"/>
  <c r="F23" i="23"/>
  <c r="F25" i="23"/>
  <c r="F32" i="32"/>
  <c r="F34" i="32" s="1"/>
  <c r="H28" i="32" s="1"/>
  <c r="F32" i="33"/>
  <c r="F34" i="33" s="1"/>
  <c r="H28" i="33" s="1"/>
  <c r="G17" i="16"/>
  <c r="G11" i="16"/>
  <c r="G15" i="16"/>
  <c r="G18" i="16"/>
  <c r="G23" i="16"/>
  <c r="G16" i="16"/>
  <c r="G24" i="16"/>
  <c r="F28" i="16"/>
  <c r="G19" i="16"/>
  <c r="G25" i="16"/>
  <c r="G12" i="16"/>
  <c r="O51" i="21"/>
  <c r="N52" i="21"/>
  <c r="G23" i="21"/>
  <c r="D36" i="20"/>
  <c r="F38" i="21"/>
  <c r="G24" i="21"/>
  <c r="F36" i="21"/>
  <c r="G22" i="21"/>
  <c r="G25" i="21"/>
  <c r="G27" i="21"/>
  <c r="G21" i="21"/>
  <c r="G26" i="21"/>
  <c r="G31" i="21"/>
  <c r="G15" i="21"/>
  <c r="G12" i="21"/>
  <c r="G13" i="21"/>
  <c r="E16" i="24"/>
  <c r="F15" i="24"/>
  <c r="E14" i="9"/>
  <c r="D15" i="9"/>
  <c r="O15" i="16"/>
  <c r="O16" i="16"/>
  <c r="O17" i="16"/>
  <c r="O24" i="16"/>
  <c r="O11" i="16"/>
  <c r="D38" i="20"/>
  <c r="O25" i="16"/>
  <c r="O19" i="16"/>
  <c r="N28" i="16"/>
  <c r="O23" i="16"/>
  <c r="O18" i="16"/>
  <c r="O12" i="16"/>
  <c r="F54" i="23"/>
  <c r="F57" i="23"/>
  <c r="E13" i="26"/>
  <c r="D14" i="26"/>
  <c r="G16" i="21"/>
  <c r="G30" i="21"/>
  <c r="O26" i="16" l="1"/>
  <c r="G26" i="16"/>
  <c r="F32" i="12"/>
  <c r="H27" i="12" s="1"/>
  <c r="H30" i="19"/>
  <c r="H28" i="19"/>
  <c r="H30" i="32"/>
  <c r="D18" i="20"/>
  <c r="F37" i="33"/>
  <c r="H26" i="33"/>
  <c r="H22" i="33"/>
  <c r="H23" i="33"/>
  <c r="H24" i="33"/>
  <c r="H27" i="33"/>
  <c r="H14" i="33"/>
  <c r="H13" i="33"/>
  <c r="H11" i="33"/>
  <c r="H17" i="33"/>
  <c r="H19" i="33"/>
  <c r="H18" i="33"/>
  <c r="H12" i="33"/>
  <c r="H31" i="33"/>
  <c r="H15" i="33"/>
  <c r="H16" i="33"/>
  <c r="H20" i="33"/>
  <c r="G19" i="21"/>
  <c r="G28" i="21"/>
  <c r="H32" i="33"/>
  <c r="H25" i="33"/>
  <c r="H25" i="32"/>
  <c r="H32" i="32"/>
  <c r="E14" i="25"/>
  <c r="D15" i="25"/>
  <c r="E15" i="25" s="1"/>
  <c r="F27" i="34"/>
  <c r="F29" i="34" s="1"/>
  <c r="H23" i="32"/>
  <c r="H22" i="32"/>
  <c r="D17" i="20"/>
  <c r="H26" i="32"/>
  <c r="H24" i="32"/>
  <c r="F37" i="32"/>
  <c r="F39" i="32"/>
  <c r="H27" i="32"/>
  <c r="H31" i="32"/>
  <c r="H12" i="32"/>
  <c r="H14" i="32"/>
  <c r="H13" i="32"/>
  <c r="H18" i="32"/>
  <c r="H17" i="32"/>
  <c r="H19" i="32"/>
  <c r="H15" i="32"/>
  <c r="H16" i="32"/>
  <c r="H11" i="32"/>
  <c r="H20" i="32"/>
  <c r="F27" i="23"/>
  <c r="F29" i="23" s="1"/>
  <c r="O32" i="21"/>
  <c r="O34" i="21" s="1"/>
  <c r="P30" i="21" s="1"/>
  <c r="H33" i="27"/>
  <c r="H34" i="27" s="1"/>
  <c r="G32" i="21"/>
  <c r="D15" i="26"/>
  <c r="E15" i="26" s="1"/>
  <c r="E14" i="26"/>
  <c r="N30" i="16"/>
  <c r="D40" i="20"/>
  <c r="F16" i="24"/>
  <c r="E17" i="24"/>
  <c r="O52" i="21"/>
  <c r="N53" i="21"/>
  <c r="H26" i="19"/>
  <c r="D16" i="20"/>
  <c r="H22" i="19"/>
  <c r="H23" i="19"/>
  <c r="F37" i="19"/>
  <c r="H24" i="19"/>
  <c r="H27" i="19"/>
  <c r="H31" i="19"/>
  <c r="H17" i="19"/>
  <c r="H11" i="19"/>
  <c r="H18" i="19"/>
  <c r="H15" i="19"/>
  <c r="H13" i="19"/>
  <c r="H14" i="19"/>
  <c r="H16" i="19"/>
  <c r="H19" i="19"/>
  <c r="H12" i="19"/>
  <c r="H20" i="19"/>
  <c r="H30" i="33"/>
  <c r="H25" i="19"/>
  <c r="H32" i="19"/>
  <c r="F87" i="23"/>
  <c r="F59" i="23"/>
  <c r="E15" i="9"/>
  <c r="D16" i="9"/>
  <c r="E16" i="9" s="1"/>
  <c r="H25" i="27"/>
  <c r="H28" i="27"/>
  <c r="D14" i="20"/>
  <c r="H26" i="27"/>
  <c r="H27" i="27"/>
  <c r="H32" i="27"/>
  <c r="H24" i="27"/>
  <c r="H23" i="27"/>
  <c r="F36" i="27"/>
  <c r="H18" i="27"/>
  <c r="H16" i="27"/>
  <c r="H15" i="27"/>
  <c r="H17" i="27"/>
  <c r="H12" i="27"/>
  <c r="H13" i="27"/>
  <c r="H14" i="27"/>
  <c r="H20" i="27"/>
  <c r="H19" i="27"/>
  <c r="H21" i="27"/>
  <c r="H31" i="27"/>
  <c r="H23" i="12" l="1"/>
  <c r="H15" i="12"/>
  <c r="H10" i="12"/>
  <c r="H13" i="12"/>
  <c r="F34" i="12"/>
  <c r="D39" i="12" s="1"/>
  <c r="H18" i="12"/>
  <c r="H14" i="12"/>
  <c r="H26" i="12"/>
  <c r="H25" i="12"/>
  <c r="H22" i="12"/>
  <c r="H11" i="12"/>
  <c r="H17" i="12"/>
  <c r="H21" i="12"/>
  <c r="H29" i="12"/>
  <c r="H19" i="12"/>
  <c r="H16" i="12"/>
  <c r="H12" i="12"/>
  <c r="D13" i="20"/>
  <c r="H30" i="12"/>
  <c r="H31" i="12"/>
  <c r="H32" i="12" s="1"/>
  <c r="G34" i="21"/>
  <c r="H34" i="33"/>
  <c r="E17" i="9"/>
  <c r="E29" i="9" s="1"/>
  <c r="E31" i="9" s="1"/>
  <c r="E16" i="26"/>
  <c r="G18" i="34"/>
  <c r="G24" i="34"/>
  <c r="F33" i="34"/>
  <c r="D19" i="20"/>
  <c r="G17" i="34"/>
  <c r="G19" i="34"/>
  <c r="G16" i="34"/>
  <c r="G12" i="34"/>
  <c r="G9" i="34"/>
  <c r="G13" i="34"/>
  <c r="G10" i="34"/>
  <c r="G11" i="34"/>
  <c r="G14" i="34"/>
  <c r="G20" i="34"/>
  <c r="G23" i="34"/>
  <c r="F89" i="23"/>
  <c r="O38" i="21"/>
  <c r="P22" i="21"/>
  <c r="D35" i="20"/>
  <c r="O36" i="21"/>
  <c r="P27" i="21"/>
  <c r="P23" i="21"/>
  <c r="P25" i="21"/>
  <c r="P21" i="21"/>
  <c r="P24" i="21"/>
  <c r="P31" i="21"/>
  <c r="P32" i="21" s="1"/>
  <c r="P26" i="21"/>
  <c r="P13" i="21"/>
  <c r="P14" i="21"/>
  <c r="P15" i="21"/>
  <c r="P12" i="21"/>
  <c r="P17" i="21"/>
  <c r="P16" i="21"/>
  <c r="H34" i="32"/>
  <c r="G25" i="34"/>
  <c r="E16" i="25"/>
  <c r="D40" i="27"/>
  <c r="F37" i="27"/>
  <c r="O53" i="21"/>
  <c r="N54" i="21"/>
  <c r="O54" i="21" s="1"/>
  <c r="F61" i="23"/>
  <c r="G59" i="23" s="1"/>
  <c r="H34" i="19"/>
  <c r="F17" i="24"/>
  <c r="F18" i="24" s="1"/>
  <c r="E18" i="24"/>
  <c r="H24" i="12" l="1"/>
  <c r="E32" i="9"/>
  <c r="D12" i="31" s="1"/>
  <c r="E12" i="31" s="1"/>
  <c r="E28" i="26"/>
  <c r="E29" i="26" s="1"/>
  <c r="E30" i="26" s="1"/>
  <c r="E31" i="26" s="1"/>
  <c r="G27" i="23"/>
  <c r="F30" i="23"/>
  <c r="D25" i="20"/>
  <c r="O55" i="21"/>
  <c r="G86" i="23"/>
  <c r="G81" i="23"/>
  <c r="G79" i="23"/>
  <c r="G78" i="23"/>
  <c r="G80" i="23"/>
  <c r="F95" i="23"/>
  <c r="F98" i="23" s="1"/>
  <c r="F91" i="23"/>
  <c r="D23" i="20"/>
  <c r="G72" i="23"/>
  <c r="G74" i="23"/>
  <c r="G73" i="23"/>
  <c r="G75" i="23"/>
  <c r="G76" i="23"/>
  <c r="G85" i="23"/>
  <c r="G82" i="23"/>
  <c r="D22" i="20"/>
  <c r="G58" i="23"/>
  <c r="G51" i="23"/>
  <c r="F63" i="23"/>
  <c r="G53" i="23"/>
  <c r="G52" i="23"/>
  <c r="G47" i="23"/>
  <c r="G44" i="23"/>
  <c r="G45" i="23"/>
  <c r="G46" i="23"/>
  <c r="G43" i="23"/>
  <c r="G48" i="23"/>
  <c r="G54" i="23"/>
  <c r="G61" i="23" s="1"/>
  <c r="G57" i="23"/>
  <c r="P28" i="21"/>
  <c r="G87" i="23"/>
  <c r="G27" i="34"/>
  <c r="F25" i="24"/>
  <c r="F27" i="24" s="1"/>
  <c r="F23" i="24"/>
  <c r="E29" i="25"/>
  <c r="E18" i="25"/>
  <c r="P18" i="21"/>
  <c r="F34" i="23"/>
  <c r="G21" i="23"/>
  <c r="D21" i="20"/>
  <c r="G20" i="23"/>
  <c r="J34" i="23"/>
  <c r="G19" i="23"/>
  <c r="G22" i="23"/>
  <c r="G26" i="23"/>
  <c r="G16" i="23"/>
  <c r="G12" i="23"/>
  <c r="G15" i="23"/>
  <c r="G14" i="23"/>
  <c r="G13" i="23"/>
  <c r="G17" i="23"/>
  <c r="G23" i="23"/>
  <c r="G25" i="23"/>
  <c r="E34" i="9" l="1"/>
  <c r="F28" i="24"/>
  <c r="F29" i="24" s="1"/>
  <c r="E37" i="9"/>
  <c r="G29" i="23"/>
  <c r="F28" i="26"/>
  <c r="P34" i="21"/>
  <c r="E31" i="25"/>
  <c r="E32" i="25" s="1"/>
  <c r="F24" i="26"/>
  <c r="D32" i="31"/>
  <c r="E32" i="31" s="1"/>
  <c r="F19" i="26"/>
  <c r="F18" i="26"/>
  <c r="F21" i="26"/>
  <c r="F27" i="26"/>
  <c r="F23" i="26"/>
  <c r="F20" i="26"/>
  <c r="E35" i="26"/>
  <c r="F22" i="26"/>
  <c r="F10" i="26"/>
  <c r="F11" i="26"/>
  <c r="F12" i="26"/>
  <c r="F13" i="26"/>
  <c r="F14" i="26"/>
  <c r="F15" i="26"/>
  <c r="G89" i="23"/>
  <c r="O56" i="21"/>
  <c r="O67" i="21"/>
  <c r="K34" i="23"/>
  <c r="L34" i="23"/>
  <c r="L36" i="23" s="1"/>
  <c r="D29" i="20" l="1"/>
  <c r="D12" i="37" s="1"/>
  <c r="F12" i="37" s="1"/>
  <c r="G12" i="37" s="1"/>
  <c r="G14" i="37" s="1"/>
  <c r="G15" i="37" s="1"/>
  <c r="E31" i="24"/>
  <c r="E33" i="24" s="1"/>
  <c r="F29" i="26"/>
  <c r="O69" i="21"/>
  <c r="O71" i="21" s="1"/>
  <c r="F25" i="26"/>
  <c r="F20" i="25"/>
  <c r="D22" i="31"/>
  <c r="E22" i="31" s="1"/>
  <c r="F30" i="25"/>
  <c r="F22" i="25"/>
  <c r="F26" i="25"/>
  <c r="F21" i="25"/>
  <c r="E34" i="25"/>
  <c r="D26" i="20"/>
  <c r="F24" i="25"/>
  <c r="F25" i="25"/>
  <c r="E37" i="25"/>
  <c r="F23" i="25"/>
  <c r="F10" i="25"/>
  <c r="F11" i="25"/>
  <c r="F12" i="25"/>
  <c r="F13" i="25"/>
  <c r="F15" i="25"/>
  <c r="F14" i="25"/>
  <c r="F16" i="25"/>
  <c r="F16" i="26"/>
  <c r="F18" i="25"/>
  <c r="F29" i="25"/>
  <c r="D11" i="31"/>
  <c r="F14" i="37" l="1"/>
  <c r="F30" i="26"/>
  <c r="D31" i="31"/>
  <c r="E31" i="31" s="1"/>
  <c r="E33" i="31" s="1"/>
  <c r="E11" i="31"/>
  <c r="E13" i="31" s="1"/>
  <c r="D21" i="31"/>
  <c r="E21" i="31" s="1"/>
  <c r="E23" i="31" s="1"/>
  <c r="D34" i="20"/>
  <c r="P58" i="21"/>
  <c r="P64" i="21"/>
  <c r="O73" i="21"/>
  <c r="P62" i="21"/>
  <c r="P60" i="21"/>
  <c r="P59" i="21"/>
  <c r="O76" i="21"/>
  <c r="P61" i="21"/>
  <c r="P68" i="21"/>
  <c r="P63" i="21"/>
  <c r="P49" i="21"/>
  <c r="P50" i="21"/>
  <c r="P51" i="21"/>
  <c r="P52" i="21"/>
  <c r="P54" i="21"/>
  <c r="P53" i="21"/>
  <c r="F27" i="25"/>
  <c r="F31" i="25"/>
  <c r="P67" i="21"/>
  <c r="F32" i="25" l="1"/>
  <c r="P69" i="21"/>
  <c r="P65" i="21"/>
  <c r="D32" i="20"/>
  <c r="E34" i="31"/>
  <c r="G16" i="37"/>
  <c r="G17" i="37"/>
  <c r="F15" i="37"/>
  <c r="F17" i="37"/>
  <c r="F16" i="37"/>
  <c r="D30" i="20"/>
  <c r="E14" i="31"/>
  <c r="P56" i="21"/>
  <c r="E24" i="31"/>
  <c r="D31" i="20"/>
  <c r="P71" i="21" l="1"/>
  <c r="F18" i="37"/>
  <c r="G18" i="37" s="1"/>
  <c r="H19" i="37" s="1"/>
  <c r="H21" i="37" s="1"/>
  <c r="H30" i="37" l="1"/>
  <c r="F19" i="37"/>
  <c r="F21" i="37" s="1"/>
  <c r="G19" i="37"/>
  <c r="G21" i="37" s="1"/>
  <c r="D13" i="44"/>
  <c r="G30" i="37" l="1"/>
  <c r="G32" i="37"/>
  <c r="F30" i="37"/>
  <c r="F32" i="37"/>
  <c r="C36" i="37" s="1"/>
  <c r="L49" i="44"/>
  <c r="H23" i="44"/>
  <c r="I23" i="44" s="1"/>
  <c r="M23" i="44" s="1"/>
  <c r="I6" i="44"/>
  <c r="D36" i="37" l="1"/>
  <c r="E40" i="37" s="1"/>
  <c r="G37" i="37"/>
  <c r="G36" i="37"/>
  <c r="G38" i="37"/>
  <c r="G39" i="37"/>
  <c r="C38" i="37"/>
  <c r="J7" i="44"/>
  <c r="J6" i="44"/>
  <c r="J8" i="44"/>
  <c r="H37" i="44"/>
  <c r="I37" i="44" s="1"/>
  <c r="M37" i="44" s="1"/>
  <c r="H26" i="44"/>
  <c r="I26" i="44" s="1"/>
  <c r="M26" i="44" s="1"/>
  <c r="H17" i="44" l="1"/>
  <c r="I17" i="44" s="1"/>
  <c r="M17" i="44" s="1"/>
  <c r="H40" i="44"/>
  <c r="I40" i="44" s="1"/>
  <c r="M40" i="44" s="1"/>
  <c r="H31" i="44"/>
  <c r="I31" i="44" s="1"/>
  <c r="M31" i="44" s="1"/>
  <c r="H19" i="44"/>
  <c r="I19" i="44" s="1"/>
  <c r="M19" i="44" s="1"/>
  <c r="H21" i="44"/>
  <c r="I21" i="44" s="1"/>
  <c r="M21" i="44" s="1"/>
  <c r="H29" i="44"/>
  <c r="I29" i="44" s="1"/>
  <c r="M29" i="44" s="1"/>
  <c r="M48" i="44" l="1"/>
  <c r="M49" i="44" l="1"/>
</calcChain>
</file>

<file path=xl/comments1.xml><?xml version="1.0" encoding="utf-8"?>
<comments xmlns="http://schemas.openxmlformats.org/spreadsheetml/2006/main">
  <authors>
    <author>JUAN MANUEL</author>
  </authors>
  <commentList>
    <comment ref="G17" authorId="0" shapeId="0">
      <text>
        <r>
          <rPr>
            <b/>
            <sz val="9"/>
            <color indexed="81"/>
            <rFont val="Tahoma"/>
            <family val="2"/>
          </rPr>
          <t>JUAN MANUEL:</t>
        </r>
        <r>
          <rPr>
            <sz val="9"/>
            <color indexed="81"/>
            <rFont val="Tahoma"/>
            <family val="2"/>
          </rPr>
          <t xml:space="preserve">
PRECIO ANTERIOR. Para incrementar el IPC 4%
</t>
        </r>
      </text>
    </comment>
  </commentList>
</comments>
</file>

<file path=xl/sharedStrings.xml><?xml version="1.0" encoding="utf-8"?>
<sst xmlns="http://schemas.openxmlformats.org/spreadsheetml/2006/main" count="1666" uniqueCount="603">
  <si>
    <t>CANT/Ha</t>
  </si>
  <si>
    <t>TOTAL/Ha</t>
  </si>
  <si>
    <t>VALOR/UNIT</t>
  </si>
  <si>
    <t>DETALLE</t>
  </si>
  <si>
    <t xml:space="preserve">UNIDAD </t>
  </si>
  <si>
    <t>PLANTULA</t>
  </si>
  <si>
    <t>SUBTOTAL MO</t>
  </si>
  <si>
    <t>POSTE</t>
  </si>
  <si>
    <t>ROLLO</t>
  </si>
  <si>
    <t>KILO</t>
  </si>
  <si>
    <t xml:space="preserve">BASE DE CALCULO 1000 METROS </t>
  </si>
  <si>
    <t>VALOR/PARCIAL</t>
  </si>
  <si>
    <t xml:space="preserve">TOTAL MO </t>
  </si>
  <si>
    <t xml:space="preserve">SUBTOTAL INSUMOS </t>
  </si>
  <si>
    <t xml:space="preserve">SUBTOTAL INDIRECTOS </t>
  </si>
  <si>
    <t>%</t>
  </si>
  <si>
    <t xml:space="preserve">1. COSTOS DIRECTOS </t>
  </si>
  <si>
    <t xml:space="preserve">1.1 MANO DE OBRA </t>
  </si>
  <si>
    <t xml:space="preserve">1.2 INSUMOS </t>
  </si>
  <si>
    <t xml:space="preserve">2. COSTOS INDIRECTOS </t>
  </si>
  <si>
    <t xml:space="preserve">SUBTOTAL DIRECTOS </t>
  </si>
  <si>
    <t xml:space="preserve">      AHOYADO</t>
  </si>
  <si>
    <t xml:space="preserve">      PLATEO</t>
  </si>
  <si>
    <t xml:space="preserve">      FERTILIZACION</t>
  </si>
  <si>
    <t xml:space="preserve">      SIEMBRA</t>
  </si>
  <si>
    <t xml:space="preserve">      RESIEMBRA </t>
  </si>
  <si>
    <t xml:space="preserve">      CONTROL FITOSANITARIO </t>
  </si>
  <si>
    <t xml:space="preserve">      CAL DOLOMITA </t>
  </si>
  <si>
    <t xml:space="preserve">      TRANSPORT PLANTULAS (menor)</t>
  </si>
  <si>
    <t xml:space="preserve">1. MANO DE OBRA </t>
  </si>
  <si>
    <t xml:space="preserve">      HINCADO</t>
  </si>
  <si>
    <t xml:space="preserve">      TEMPLADO Y GRAPADO</t>
  </si>
  <si>
    <t xml:space="preserve">      POSTES</t>
  </si>
  <si>
    <t xml:space="preserve">      ALAMBRE </t>
  </si>
  <si>
    <t xml:space="preserve">      GRAPAS </t>
  </si>
  <si>
    <t>Subtotal mano de obra</t>
  </si>
  <si>
    <t xml:space="preserve">Subtotal insumos </t>
  </si>
  <si>
    <t xml:space="preserve">ESPECIFICACIONES TECNICAS </t>
  </si>
  <si>
    <t>ESPECIFICACION</t>
  </si>
  <si>
    <t xml:space="preserve">CANTIDAD </t>
  </si>
  <si>
    <t xml:space="preserve">Postes cada 2.5 mts </t>
  </si>
  <si>
    <t xml:space="preserve">Pies de amigo cada 30 metros </t>
  </si>
  <si>
    <t>poste</t>
  </si>
  <si>
    <t>rollo</t>
  </si>
  <si>
    <t xml:space="preserve">hoyos </t>
  </si>
  <si>
    <t xml:space="preserve">* Rollo de 350 metros </t>
  </si>
  <si>
    <t xml:space="preserve">        HERRAMIENTAS (5%MO)</t>
  </si>
  <si>
    <t xml:space="preserve">MINISTERIO DEL AMBIENTE VIVIENDA Y DESARROLLO TERRITORIAL </t>
  </si>
  <si>
    <t>SMLV</t>
  </si>
  <si>
    <t xml:space="preserve">        HERRAMIENTAS   (5% MO)</t>
  </si>
  <si>
    <t>KGR</t>
  </si>
  <si>
    <t xml:space="preserve">1.2    INSUMOS </t>
  </si>
  <si>
    <t>Jornal</t>
  </si>
  <si>
    <t xml:space="preserve">      PLANTULAS (incluye 10% pérdidas)</t>
  </si>
  <si>
    <t>LBS</t>
  </si>
  <si>
    <t xml:space="preserve">      ROCERIA ALTA para adecuación</t>
  </si>
  <si>
    <t xml:space="preserve">      FERTILIZANTE ORGANICO (gallinaza compostada)</t>
  </si>
  <si>
    <t>TOTAL</t>
  </si>
  <si>
    <t>CORPORACIÓN AUTONOMA REGIONAL DE CALDAS-CORPOCALDAS</t>
  </si>
  <si>
    <t xml:space="preserve">      TRANSPORTE (menor)</t>
  </si>
  <si>
    <t>CANTIDAD</t>
  </si>
  <si>
    <t>UNIDAD</t>
  </si>
  <si>
    <t>V/R UNITARIO</t>
  </si>
  <si>
    <t>CORPOCALDAS</t>
  </si>
  <si>
    <t>Instalación de Unidad ( Bebedero + Manguera)</t>
  </si>
  <si>
    <t>PINTURA AMARILLA</t>
  </si>
  <si>
    <t>GALON</t>
  </si>
  <si>
    <t>MANO DE OBRA</t>
  </si>
  <si>
    <t>MATERIALES</t>
  </si>
  <si>
    <t>unidad</t>
  </si>
  <si>
    <t>Cantidad</t>
  </si>
  <si>
    <t>Unidad</t>
  </si>
  <si>
    <t>tres hilos de alambre calibre 14*</t>
  </si>
  <si>
    <t>IMPERMEABILIZANTE(BARETA)</t>
  </si>
  <si>
    <t xml:space="preserve">      PINTADA</t>
  </si>
  <si>
    <t>unid</t>
  </si>
  <si>
    <t>COSTO TOTAL INSTALACION BEBERDERO</t>
  </si>
  <si>
    <t>Kgr</t>
  </si>
  <si>
    <t>Rollo (100 mts)</t>
  </si>
  <si>
    <t>CANT</t>
  </si>
  <si>
    <t xml:space="preserve">dia </t>
  </si>
  <si>
    <t>1.1 PERSONAL</t>
  </si>
  <si>
    <t xml:space="preserve">Taller </t>
  </si>
  <si>
    <t>SUBTOTAL PERSONAL</t>
  </si>
  <si>
    <t>1.2 MATERIALES Y EQUIPOS</t>
  </si>
  <si>
    <t>Alquiler de equipos</t>
  </si>
  <si>
    <t xml:space="preserve">Unidad </t>
  </si>
  <si>
    <t xml:space="preserve">Alquiler recinto/aula </t>
  </si>
  <si>
    <t>Auxilio transporte asistentes</t>
  </si>
  <si>
    <t>tarifa</t>
  </si>
  <si>
    <t>Preparaciòn del taller y logistica</t>
  </si>
  <si>
    <t xml:space="preserve">Materiales </t>
  </si>
  <si>
    <t xml:space="preserve">Refrigerio </t>
  </si>
  <si>
    <t xml:space="preserve">Global </t>
  </si>
  <si>
    <t>Transporte talleristas</t>
  </si>
  <si>
    <t>Facilitador taller (incluye viaticos de un dìa)</t>
  </si>
  <si>
    <t>2.1 TRANSPORTE</t>
  </si>
  <si>
    <t xml:space="preserve">ARBOL </t>
  </si>
  <si>
    <t>VR UNITARIO POR HA</t>
  </si>
  <si>
    <t xml:space="preserve">CORPORACION AUTONOMA REGIONAL DE CALDAS, CORPOCALDAS </t>
  </si>
  <si>
    <t>ACTIVIDAD</t>
  </si>
  <si>
    <t>UNIDA</t>
  </si>
  <si>
    <t>vr unit</t>
  </si>
  <si>
    <t xml:space="preserve">MUNICIPIO </t>
  </si>
  <si>
    <t>Alimentacion asistentes</t>
  </si>
  <si>
    <t xml:space="preserve">COSTO TOTAL </t>
  </si>
  <si>
    <t>Transporte FACILITADOR</t>
  </si>
  <si>
    <t xml:space="preserve">MANTENIMIENTO PLANTACIONES PROTECTORAS </t>
  </si>
  <si>
    <t xml:space="preserve">      TRANSPORTE PLANTULAS (menor)</t>
  </si>
  <si>
    <t xml:space="preserve">     UNA LIMPIA</t>
  </si>
  <si>
    <t xml:space="preserve">      INSUMO BIOLOGICO</t>
  </si>
  <si>
    <t>ml</t>
  </si>
  <si>
    <t xml:space="preserve"> </t>
  </si>
  <si>
    <t>UN</t>
  </si>
  <si>
    <t>kg</t>
  </si>
  <si>
    <t>COSTO DE TALLER ZONA RURAL</t>
  </si>
  <si>
    <t>ITEM</t>
  </si>
  <si>
    <t>Ml</t>
  </si>
  <si>
    <t>M2</t>
  </si>
  <si>
    <t>ML</t>
  </si>
  <si>
    <t xml:space="preserve">Especificaciones técnicas </t>
  </si>
  <si>
    <t>Valor</t>
  </si>
  <si>
    <t>Observación</t>
  </si>
  <si>
    <t>Trinchos en guadua</t>
  </si>
  <si>
    <t>Los precios incluyen el suministro de las plántulas y la siembra</t>
  </si>
  <si>
    <t>DESCRIPCIÓN</t>
  </si>
  <si>
    <t>VALOR UNITARIO</t>
  </si>
  <si>
    <t>VALOR TOTAL</t>
  </si>
  <si>
    <t>MEDIDA</t>
  </si>
  <si>
    <t>Alambre calibre 16</t>
  </si>
  <si>
    <t>Mano de obra establecimiento</t>
  </si>
  <si>
    <t>Impermeabilizante (bareta)</t>
  </si>
  <si>
    <t>galón</t>
  </si>
  <si>
    <t>Subtotal</t>
  </si>
  <si>
    <t xml:space="preserve">  CORPORACIÓN AUTONOMA REGIONAL DE CALDAS-CORPOCALDAS</t>
  </si>
  <si>
    <t>Para 20 participantes</t>
  </si>
  <si>
    <t xml:space="preserve">BASE DE CALCULO 1.000 METROS </t>
  </si>
  <si>
    <t>HERRAMIENTAS (5% MO)</t>
  </si>
  <si>
    <t xml:space="preserve">TOTAL MANO DE OBRA </t>
  </si>
  <si>
    <t>POSTES DE MADERA</t>
  </si>
  <si>
    <t xml:space="preserve">GRAPAS </t>
  </si>
  <si>
    <t>TRANSPORTE INSUMOS</t>
  </si>
  <si>
    <t xml:space="preserve">Hoyos de 0.5 m de profundidad por 0,4O x 0.4O m </t>
  </si>
  <si>
    <t>Árbol</t>
  </si>
  <si>
    <t>Km</t>
  </si>
  <si>
    <t>LIMPIA</t>
  </si>
  <si>
    <t xml:space="preserve">       TRANSPORTE INSUMOS (30%COSTO INSUMOS) </t>
  </si>
  <si>
    <t>COSTO POR HECTAREA INTERVENCION 1</t>
  </si>
  <si>
    <t xml:space="preserve">      PLANTULAS. RESIEMBRA 30%</t>
  </si>
  <si>
    <t xml:space="preserve">      INSUMO BIOLOGICO. (Foliar)</t>
  </si>
  <si>
    <t xml:space="preserve">       TRANSPORTE INSUMOS (30%COSTO INSUMOS)</t>
  </si>
  <si>
    <t>COSTO TOTAL MANTENIMIENTO INTERVENCIÓN 1.</t>
  </si>
  <si>
    <t>COSTO POR HECTAREA INTERVENCIÓN 2</t>
  </si>
  <si>
    <t>RESIEMBRA</t>
  </si>
  <si>
    <t xml:space="preserve">      PLANTULAS. RESIEMBRA 20%</t>
  </si>
  <si>
    <t>COSTO TOTAL MANTENIMIENTO  INTERVENCION 2</t>
  </si>
  <si>
    <t>COSTO POR HECTAREA INTERVENCIÓN 3</t>
  </si>
  <si>
    <t xml:space="preserve">      PLANTULAS. RESIEMBRA 10%</t>
  </si>
  <si>
    <t>COSTO TOTAL MANTENIMIENTO  INTRERVENCION 3</t>
  </si>
  <si>
    <t>VALOR POR HACTAREA</t>
  </si>
  <si>
    <t>ARBOL</t>
  </si>
  <si>
    <t>PINTURA AMARILLA ESMALTE</t>
  </si>
  <si>
    <t>MANTENIMIENTO  DE CERCA INERTE GUADUA</t>
  </si>
  <si>
    <t>MANTENIMIENTO  DE CERCA INERTE TRES CARAS</t>
  </si>
  <si>
    <t>MANTENIMIENTO  DE CERCA INERTE CUATRO CARAS</t>
  </si>
  <si>
    <t xml:space="preserve">Densidad de siembra 555 árboles/ha (6 X 3 metros; surcos cada 6 metros) </t>
  </si>
  <si>
    <t>Datos jornles anteriores</t>
  </si>
  <si>
    <t>m2/ha</t>
  </si>
  <si>
    <t>distancia   6x3</t>
  </si>
  <si>
    <t>plantulas por bloque</t>
  </si>
  <si>
    <t>bloques por ha</t>
  </si>
  <si>
    <t xml:space="preserve">      FERTILIZANTE COMPUESTO (50 GR /Plantula)</t>
  </si>
  <si>
    <t xml:space="preserve">      CONTROLADOR ORGANICO DE PLAGAS</t>
  </si>
  <si>
    <t xml:space="preserve">      CONTROLADOR  DE ARVENSES</t>
  </si>
  <si>
    <t xml:space="preserve">      CONTROL FITOSANITARIO Y DE ARVENSES</t>
  </si>
  <si>
    <t>LTS</t>
  </si>
  <si>
    <t xml:space="preserve">Manguera para bebedero </t>
  </si>
  <si>
    <t>Para 16 participantes- Zona Rural</t>
  </si>
  <si>
    <t xml:space="preserve">       FERTILIZANTE COMPUESTO (50 GR /Plantula)</t>
  </si>
  <si>
    <t>Con AIU del 13%</t>
  </si>
  <si>
    <t>Con Admon e imprevistos</t>
  </si>
  <si>
    <t>Grupo de Biodiversidad y ecosistemas</t>
  </si>
  <si>
    <t>AISLAMIENTO CERCA INERTE</t>
  </si>
  <si>
    <t>ALAMBRE CALIBRE 14</t>
  </si>
  <si>
    <t xml:space="preserve">      TRAZO Y ROCERIA</t>
  </si>
  <si>
    <t>8 GALONES</t>
  </si>
  <si>
    <t>16 ROLLOS</t>
  </si>
  <si>
    <t>PLACO</t>
  </si>
  <si>
    <t>2 GALONES</t>
  </si>
  <si>
    <t>1 GALON</t>
  </si>
  <si>
    <t>Para pintura</t>
  </si>
  <si>
    <t>Para Vareta</t>
  </si>
  <si>
    <t>PUNTILLAS DE 3 pulgadas</t>
  </si>
  <si>
    <t>ESTABLECIMIENTO DE CERCAS VIVAS</t>
  </si>
  <si>
    <t>COSTO POR KM</t>
  </si>
  <si>
    <t>Dato suministrado</t>
  </si>
  <si>
    <t>DISOLVENTE PARA PINTURA E IMPERMEABILIZANTE</t>
  </si>
  <si>
    <t>ESTACAS</t>
  </si>
  <si>
    <t xml:space="preserve">Densidad de siembra 400 Estacas/Km (1 estaca entre estacones de la cerca inerte) </t>
  </si>
  <si>
    <t xml:space="preserve">      PLATEO Y AHOYADO</t>
  </si>
  <si>
    <t xml:space="preserve">      TRANSPORTE ESTACAS (menor)</t>
  </si>
  <si>
    <t xml:space="preserve">Densidad de siembra 800 árboles/ha (40 Bloques de 20 arboles a 2,5 X 2,5 mts) </t>
  </si>
  <si>
    <t>DOTACION LABORAL</t>
  </si>
  <si>
    <t>AÑOS</t>
  </si>
  <si>
    <t>Guantes</t>
  </si>
  <si>
    <t>SMLMV:</t>
  </si>
  <si>
    <t>Botas</t>
  </si>
  <si>
    <t>SUBSIDIO TRANSPORTE</t>
  </si>
  <si>
    <t>DIAS LABORALES MES</t>
  </si>
  <si>
    <t>Chalecos Visibilidad</t>
  </si>
  <si>
    <t>HORAS LABORALES POR DIA</t>
  </si>
  <si>
    <t>Cascos con barbuquejo</t>
  </si>
  <si>
    <t>ANALISIS DE PRESTACIONES SOCIALES PERSONAL CON SALARIO INFERIOR A 2 SMMV, VALIDO PARA OFICIALES Y AYUDANTES</t>
  </si>
  <si>
    <t>COSTO TRABAJADOR MENSUAL</t>
  </si>
  <si>
    <t xml:space="preserve">SALARIO </t>
  </si>
  <si>
    <t>CESANTIAS</t>
  </si>
  <si>
    <t>VACACIONES</t>
  </si>
  <si>
    <t>PRIMA DE SERVICIOS</t>
  </si>
  <si>
    <t xml:space="preserve">INTERESES A LAS CESANTIAS </t>
  </si>
  <si>
    <t>SUBSIDIO DE TRANSPORTE</t>
  </si>
  <si>
    <t>APORTES SALUD</t>
  </si>
  <si>
    <t>APORTES RIESGOS PROFESIONALES</t>
  </si>
  <si>
    <t>APORTES PENSION</t>
  </si>
  <si>
    <t>APORTE SENA</t>
  </si>
  <si>
    <t>APORTE ICBF</t>
  </si>
  <si>
    <t>APORTE CCF</t>
  </si>
  <si>
    <t>DOTACION DE LABOR</t>
  </si>
  <si>
    <t>TOTAL PRESTACIONES SOCIALES</t>
  </si>
  <si>
    <t>DESCRIPCION DE MANO DE OBRA</t>
  </si>
  <si>
    <t>VR DIA</t>
  </si>
  <si>
    <t>FACTOR</t>
  </si>
  <si>
    <t>DIA</t>
  </si>
  <si>
    <t>OBRERO CON PRESTACIONES</t>
  </si>
  <si>
    <t>VR DIA INTEGRAL</t>
  </si>
  <si>
    <t>GRUPO DE BIODIVERSIDAD Y ECOSISTEMAS</t>
  </si>
  <si>
    <t>CÁLCULOS PARA MANO DE OBRA</t>
  </si>
  <si>
    <t>50 grs por planta</t>
  </si>
  <si>
    <t>300 grs por planta</t>
  </si>
  <si>
    <t xml:space="preserve">        TRAZO </t>
  </si>
  <si>
    <t xml:space="preserve">      TRAZO (40 bloques /Ha)</t>
  </si>
  <si>
    <t>Cant jornal anterior</t>
  </si>
  <si>
    <t xml:space="preserve">COSTO TOTAL ESTABLECIMIENTO </t>
  </si>
  <si>
    <t xml:space="preserve">ESTABLECIMIENTO PLANTACION FORESTAL PROTECTORA </t>
  </si>
  <si>
    <t>COSTO POR HECTAREA</t>
  </si>
  <si>
    <t xml:space="preserve">       TRANSPORTE GENERAL DE LOS  INSUMOS (30%COSTO INSUMOS) </t>
  </si>
  <si>
    <t xml:space="preserve">ESTABLECIMIENTO PLANTACION FORESTAL PROTECTORA EN BLOQUES O ISLAS DE CONSERVACIÓN </t>
  </si>
  <si>
    <t xml:space="preserve">COSTO POR HECTAREA </t>
  </si>
  <si>
    <t>Observción</t>
  </si>
  <si>
    <t>Cantidad jornles anteriores</t>
  </si>
  <si>
    <t xml:space="preserve">Observación </t>
  </si>
  <si>
    <t xml:space="preserve">      FERTILIZANTE (Elementos Mayores)</t>
  </si>
  <si>
    <t>Dosis 30gr/planta</t>
  </si>
  <si>
    <t>Dosis 40gr/planta</t>
  </si>
  <si>
    <t>Arbol Mtto Uno</t>
  </si>
  <si>
    <t>Arbol Mtto Dos</t>
  </si>
  <si>
    <t>Dosis 50gr/planta</t>
  </si>
  <si>
    <t>Arbol Mtto Tres</t>
  </si>
  <si>
    <t>Cada Arbol por los tres Mttos</t>
  </si>
  <si>
    <t>TOTAL DE LAS 3 INTERVENCIONES</t>
  </si>
  <si>
    <r>
      <rPr>
        <b/>
        <sz val="10"/>
        <rFont val="Arial"/>
        <family val="2"/>
      </rPr>
      <t>OBSERVACIÓN:</t>
    </r>
    <r>
      <rPr>
        <sz val="10"/>
        <rFont val="Arial"/>
        <family val="2"/>
      </rPr>
      <t xml:space="preserve">  
- Se realizará el mantenimiento de 550 árboles por hectarea. Teniendo en cuenta que se pueden presentar altos porcentajes de mortalidad se consideran tres resiembras que suman un 60% al final.
- Estos cálculos se basaron en el proyecto piloto de mantenimiento que se llevo a cabo en el año 2017, sin embargo, sirven para seguir proyectando los mantenimientos a plantaciones protectoras de acuerdo al porcentaje de resiembras que se pretendan programar.
- Los árboles para resembrar tendrán una altura que oscila entre 0.30 a 0,50 mts. Bien lignificados. La bolsa de siembra recomendada es de 2 kilos. Plántulas vigorosas y sin problemas fitosanitarios.
- El valor del transporte incluye: el transporte en vehículo automotor hasta 25 km de distancia del centro poblado, incluye el transporte No automotor y al hombro fuerte pendiente hasta una distancia de 5 kms de la carretera. </t>
    </r>
  </si>
  <si>
    <t>2   Costos Indirectos</t>
  </si>
  <si>
    <t>Subtotal indirectos</t>
  </si>
  <si>
    <t xml:space="preserve">TOTAL COSTOS </t>
  </si>
  <si>
    <t>1. COSTOS DIRECTOS</t>
  </si>
  <si>
    <t>Metro lineal</t>
  </si>
  <si>
    <t>Subtotal Costos Indirectos</t>
  </si>
  <si>
    <t>CERCA VIVA E INERTE</t>
  </si>
  <si>
    <t>1. COSTO CERCA VIVA E INERTE CON POSTES CUATRO CARAS</t>
  </si>
  <si>
    <t>COSTO ESTABLECIMIENTO KILOMETRO</t>
  </si>
  <si>
    <t>VALOR CERCA VIVA+ INERTE ml</t>
  </si>
  <si>
    <t>VALOR CERCA VIVA+ INERTE km</t>
  </si>
  <si>
    <t>2. COSTO CERCA VIVA E INERTE CON POSTES TRES CARAS O MADERA ROLLISA</t>
  </si>
  <si>
    <t>3. COSTO CERCA VIVA E INERTE CON POSTES DE GUADUA</t>
  </si>
  <si>
    <t>VALOR CERCA INERTE  POSTES CUATRO CARAS</t>
  </si>
  <si>
    <t>VALOR CERCA INERTE  POSTES TRES CARAS O MADERA ROLLISA</t>
  </si>
  <si>
    <t>VALOR CERCA INERTE  EN GUADUA</t>
  </si>
  <si>
    <t xml:space="preserve">* Rollo de alambre de 350 metros </t>
  </si>
  <si>
    <r>
      <rPr>
        <b/>
        <sz val="10"/>
        <rFont val="Arial"/>
        <family val="2"/>
      </rPr>
      <t xml:space="preserve">Observaciones:
- </t>
    </r>
    <r>
      <rPr>
        <sz val="10"/>
        <rFont val="Arial"/>
        <family val="2"/>
      </rPr>
      <t xml:space="preserve">Los postes deben ser cuatro caras punta de diamante provenientes de plantaciones forestales y que cuenten con permiso de aprovechamiento forestal.
- Los postes deben estar impermeabilizados completamente con producto tipo Vareta.
- El valor del transporte incluye: el transporte en vehículo automotor hasta 25 km de distancia del centro poblado, incluye el transporte No automotor y al hombro fuerte pendiente hasta una distancia de 5 kms de la carretera. 
</t>
    </r>
  </si>
  <si>
    <r>
      <rPr>
        <b/>
        <sz val="10"/>
        <rFont val="Arial"/>
        <family val="2"/>
      </rPr>
      <t xml:space="preserve">Observaciones
- </t>
    </r>
    <r>
      <rPr>
        <sz val="10"/>
        <rFont val="Arial"/>
        <family val="2"/>
      </rPr>
      <t xml:space="preserve">Los postes deben ser tres caras o de madera rollisa provenientes de plantaciones forestales y que cuenten con permiso de aprovechamiento forestal.(Entresacas o aprovechamientos totales).
- Igualmente si provienen de residuos de aprovechamientos de bosque natural, deben contar con el permiso de aprovechamiento de la autoridad ambiental.
- El valor del transporte incluye: el transporte en vehículo automotor hasta 25 km de distancia del centro poblado, incluye el transporte No automotor y al hombro fuerte pendiente hasta una distancia de 5 kms de la carretera. </t>
    </r>
  </si>
  <si>
    <t>COSTO CERCA INERTE MADERA CUATRO CARAS</t>
  </si>
  <si>
    <t>COSTO CERCA INERTE MADERA TRES CARAS O ROLLISA</t>
  </si>
  <si>
    <t>COSTO CERCA INERTE EN GUADUA</t>
  </si>
  <si>
    <t>COTOS CERCAS VIVAS CON ESTACAS</t>
  </si>
  <si>
    <t xml:space="preserve">      TRAZO Y ROCERÍA</t>
  </si>
  <si>
    <t>POSTES DE GUADUA</t>
  </si>
  <si>
    <t>IMPERMEABILIZANTE(TIPO VARETA)</t>
  </si>
  <si>
    <t>PUNTILLAS DE 3 PULGADAS</t>
  </si>
  <si>
    <t>Subtotal costos indirectos</t>
  </si>
  <si>
    <t>HERRAMIENTAS</t>
  </si>
  <si>
    <t>Tres hilos de alambre calibre 14*</t>
  </si>
  <si>
    <t>ROCERÍA</t>
  </si>
  <si>
    <t>ROCERIA</t>
  </si>
  <si>
    <t>Herramientas</t>
  </si>
  <si>
    <t xml:space="preserve">COSTOS INDIRECTOS </t>
  </si>
  <si>
    <t>1. COSTO MANTENIMIENTO CERCA INERTE GUADUA:</t>
  </si>
  <si>
    <t>VALOR TOTAL MANTENIMIENTO CERCA INERTE GUADUA</t>
  </si>
  <si>
    <t>HERRAMIENRAS</t>
  </si>
  <si>
    <t xml:space="preserve">TRANSPORTE INSUMOS </t>
  </si>
  <si>
    <t xml:space="preserve">VALOR TOTAL MANTENIMIENTO CERCA INERTE TRES CARAS </t>
  </si>
  <si>
    <t>2. COSTO MANTENIMIENTO CERCA INERTE MADERA TRES CARAS O ROLLISA:</t>
  </si>
  <si>
    <t>3. COSTO MANTENIMIENTO CERCA INERTE CUATRO CARAS:</t>
  </si>
  <si>
    <t>Cant Jornales anteriores</t>
  </si>
  <si>
    <t xml:space="preserve">Subtotal INDIRECTOS </t>
  </si>
  <si>
    <t xml:space="preserve">VALOR TOTAL MANTENIMIENTO CERCA INERTE CUATRO CARAS </t>
  </si>
  <si>
    <t>Cantidad jornales anteriores</t>
  </si>
  <si>
    <t>3x3</t>
  </si>
  <si>
    <t>ESTABLECIMIENTO AGROFORESTERIA CON CAUCHO</t>
  </si>
  <si>
    <t>Densidad de siembra 550 árboles/ha  (6X3 METROS)</t>
  </si>
  <si>
    <t>Densidad de siembra 555 árboles/ha  (6X3 METROS)</t>
  </si>
  <si>
    <t>Arbol/Caucho</t>
  </si>
  <si>
    <t>PLANT/HA</t>
  </si>
  <si>
    <t xml:space="preserve">      FERTILIZANTE Compuesto (45 a 60 dias de sembrados)</t>
  </si>
  <si>
    <t>Distancia Siembra</t>
  </si>
  <si>
    <t>Caucho</t>
  </si>
  <si>
    <t>Aguacate</t>
  </si>
  <si>
    <t>Cacao</t>
  </si>
  <si>
    <t>Cultivo</t>
  </si>
  <si>
    <t>Dosis CAL Dolomita</t>
  </si>
  <si>
    <t>Dosis Fertilizante Compuesto</t>
  </si>
  <si>
    <t xml:space="preserve">6x3 </t>
  </si>
  <si>
    <t xml:space="preserve">      UNA LIMPIA O PLATEO (Primer mantenimiento para fertilizar)</t>
  </si>
  <si>
    <t xml:space="preserve">        HERRAMIENTAS   </t>
  </si>
  <si>
    <t>COSTO TOTAL ESTABLECIMIENTO Y PRIMER MANTENIMIENTO</t>
  </si>
  <si>
    <t>VALOR POR ARBOL</t>
  </si>
  <si>
    <t>Valor Arbol</t>
  </si>
  <si>
    <t>Con transporte</t>
  </si>
  <si>
    <t>En Vivero</t>
  </si>
  <si>
    <t>Hasta el Pueblo</t>
  </si>
  <si>
    <t>ESTABLECIMIENTO AGROFORESTERIA CON CACAO</t>
  </si>
  <si>
    <t>Densidad de siembra 1110 árboles/ha  (3X3 METROS)</t>
  </si>
  <si>
    <t>Arbol/Cacao</t>
  </si>
  <si>
    <t>8x8</t>
  </si>
  <si>
    <t>Marca Rotoplast</t>
  </si>
  <si>
    <t>Nota: Valores suministrados por Almacen del Café. Distribuidor de bebederos.</t>
  </si>
  <si>
    <t>Almacen del café Manzanares 2017</t>
  </si>
  <si>
    <t>DATOS DE MERCADO 30/03/2017</t>
  </si>
  <si>
    <t>ESTABLECIMIENTO DE BEBEDEROS SUSTITUTOS</t>
  </si>
  <si>
    <t>BEBEDERO SUSTITUTO DE 250 LTS, removible, flotador y acoples</t>
  </si>
  <si>
    <r>
      <rPr>
        <b/>
        <sz val="10"/>
        <rFont val="Arial"/>
        <family val="2"/>
      </rPr>
      <t>OBSERVACIÓN:</t>
    </r>
    <r>
      <rPr>
        <sz val="10"/>
        <rFont val="Arial"/>
        <family val="2"/>
      </rPr>
      <t xml:space="preserve">  
- Se establecerán 555 árboles en surcos cada 6 metros y a una distancia de 3 metros entre árbol. Se contempla el 10% de plantulas para resiembra por mortalidad.
- Se debe utilizar Cal deshidratada (Dolomita) para la siembra (aplicar en el hoyo), a razón de 250 gramos por planta.
- Despues de 45 a 60 días de la siembra se debe realizar una limpia o plateo para fertilizar la totalidad de los árboles. 
- Se debe utilizar un fertilizante simple como DAP, o compuesto rico en Fósforo, Azufre y Zinc, los cuales son escenciales en la primera etapa de crecimiento de la planta. La dosis recomendada es de 80 grs por planta.
- El valor del transporte incluye: el transporte en vehículo automotor hasta 25 km de distancia del centro poblado, incluye el transporte No automotor y al hombro fuerte pendiente hasta una distancia de 5 kms de la carretera. </t>
    </r>
  </si>
  <si>
    <r>
      <rPr>
        <b/>
        <sz val="10"/>
        <rFont val="Arial"/>
        <family val="2"/>
      </rPr>
      <t>OBSERVACIÓN:</t>
    </r>
    <r>
      <rPr>
        <sz val="10"/>
        <rFont val="Arial"/>
        <family val="2"/>
      </rPr>
      <t xml:space="preserve">  
- Se establecerán 1110 árboles a una distancia de 3X3 metros entre árboles. Se contempla el 10% de plantulas para resiembra por mortalidad.
- Se debe utilizar Cal deshidratada (Dolomita) para la siembra (aplicar en el hoyo), a razón de 150 gramos por planta.
- Despues de 45 a 60 días de la siembra se debe realizar una limpia o plateo para fertilizar la totalidad de los árboles. 
- Se debe utilizar un fertilizante simple como DAP, o compuesto rico en Fósforo, Azufre y Zinc, los cuales son escenciales en la primera etapa de crecimiento de la planta. La dosis recomendada es de 30 grs por planta.
- El valor del transporte incluye: el transporte en vehículo automotor hasta 25 km de distancia del centro poblado, incluye el transporte No automotor y al hombro fuerte pendiente hasta una distancia de 5 kms de la carretera. </t>
    </r>
  </si>
  <si>
    <t>Preparación del taller y logística</t>
  </si>
  <si>
    <r>
      <t xml:space="preserve">COSTO DE TALLER EN ZONA URBANA </t>
    </r>
    <r>
      <rPr>
        <b/>
        <sz val="10"/>
        <color indexed="10"/>
        <rFont val="Arial"/>
        <family val="2"/>
      </rPr>
      <t xml:space="preserve">TIPO CONFERENCIA </t>
    </r>
  </si>
  <si>
    <t xml:space="preserve">Facilitador taller </t>
  </si>
  <si>
    <t>Transporte tallerista</t>
  </si>
  <si>
    <t>Viaticos</t>
  </si>
  <si>
    <t>Salario Dia</t>
  </si>
  <si>
    <t>Cada Taller</t>
  </si>
  <si>
    <t>Con Admon e imprevistos 13%</t>
  </si>
  <si>
    <r>
      <rPr>
        <b/>
        <sz val="10"/>
        <rFont val="Arial"/>
        <family val="2"/>
      </rPr>
      <t>Observaciones:</t>
    </r>
    <r>
      <rPr>
        <sz val="10"/>
        <rFont val="Arial"/>
        <family val="2"/>
      </rPr>
      <t xml:space="preserve">
- Los costos se ajustaràn conforme al numero de participantes y la duraciòn en horas de las sesiones del taller.
- Este tipo de taller se proyecta en la zona rural e incluye el transporte del tallerista desde el municipio hasta la vereda donde se llevará a cabo el taller.
</t>
    </r>
  </si>
  <si>
    <r>
      <rPr>
        <b/>
        <sz val="10"/>
        <rFont val="Arial"/>
        <family val="2"/>
      </rPr>
      <t>Observaciones:</t>
    </r>
    <r>
      <rPr>
        <sz val="10"/>
        <rFont val="Arial"/>
        <family val="2"/>
      </rPr>
      <t xml:space="preserve">
- Los costos se ajustaràn conforme al numero de participantes y la duraciòn en horas de las sesiones del taller.
- Este tipo de taller se proyecta en la zona urbana e incluye el transporte del conferencista desde Manizales a otro de los municipios del departamento.
</t>
    </r>
  </si>
  <si>
    <r>
      <rPr>
        <b/>
        <sz val="10"/>
        <rFont val="Arial"/>
        <family val="2"/>
      </rPr>
      <t>Observaciones:</t>
    </r>
    <r>
      <rPr>
        <sz val="10"/>
        <rFont val="Arial"/>
        <family val="2"/>
      </rPr>
      <t xml:space="preserve">
- Los costos se ajustaràn conforme al numero de participantes y la duraciòn en horas de las sesiones del taller.
- Este tipo de taller se proyecta en las zonas rurales mas alejadas e incluye los viáticos del tallerista, además incluye un mayor costo del transporte para el tallerista desde el municipio hasta la vereda donde se llevará a cabo el taller.
- Igualmente por el tema de la localización, es dificil contar con poblaciones numerosas, por lo tanto solo se calcula para 16 personas.
</t>
    </r>
  </si>
  <si>
    <t>GUADUA (10 cm diámetro x 2 m de largo)</t>
  </si>
  <si>
    <t>Kg</t>
  </si>
  <si>
    <t xml:space="preserve">Transporte materiales </t>
  </si>
  <si>
    <t>Materiales</t>
  </si>
  <si>
    <t>Mano de obra construcción y excavación</t>
  </si>
  <si>
    <t>SMMLV</t>
  </si>
  <si>
    <t>Metro cuadrado</t>
  </si>
  <si>
    <t>Las plántulas se siembran a 6 plantulas por metro lineal.</t>
  </si>
  <si>
    <t>Barreras vivas Vetiver</t>
  </si>
  <si>
    <t xml:space="preserve">Los trinchos son en guadua. Las guaduas verticales deben medir 2 mts se entierran 1,50 mts, y deben ir  separadas máximo 1 mt. Las horizontales deben ser preferiblemente 7, de las cuales 2 deben ir bajo tierra.  </t>
  </si>
  <si>
    <t xml:space="preserve">Arbol Mtto </t>
  </si>
  <si>
    <r>
      <rPr>
        <b/>
        <sz val="10"/>
        <rFont val="Arial"/>
        <family val="2"/>
      </rPr>
      <t>OBSERVACIÓN:</t>
    </r>
    <r>
      <rPr>
        <sz val="10"/>
        <rFont val="Arial"/>
        <family val="2"/>
      </rPr>
      <t xml:space="preserve">  
- Se realizará el mantenimiento de 550 árboles por hectarea. 
- Se contempla el 10% de plantulas para resiembra por mortalidad.
- Los árboles para resembrar tendrán las mismas características de los que se utilizan para el establecimiento de agroforestería.
- Se debe utilizar un fertilizante compuesto de acuerdo a las necesidades específicas de la planta. La dosis recomendada es de 50 grs por planta.
- El valor del transporte incluye: el transporte en vehículo automotor hasta 25 km de distancia del centro poblado, incluye el transporte No automotor y al hombro fuerte pendiente hasta una distancia de 5 kms de la carretera. </t>
    </r>
  </si>
  <si>
    <t xml:space="preserve">COSTO TOTAL MANTENIMIENTO  </t>
  </si>
  <si>
    <t>HA</t>
  </si>
  <si>
    <t>Intervención Uno</t>
  </si>
  <si>
    <t>Intervención Dos</t>
  </si>
  <si>
    <t>Intervención Tres</t>
  </si>
  <si>
    <t>Con Admon</t>
  </si>
  <si>
    <t>Agroforestería con caucho</t>
  </si>
  <si>
    <t>Agroforestería con cacao</t>
  </si>
  <si>
    <t>Restauración ISLAS</t>
  </si>
  <si>
    <t>Aislamiento Madera 4 caras</t>
  </si>
  <si>
    <t>Aislamiento Madera 3 caras o rollisa</t>
  </si>
  <si>
    <t>Aislamiento en guadua</t>
  </si>
  <si>
    <t>KM</t>
  </si>
  <si>
    <t>Cerca Viva Con Estacas</t>
  </si>
  <si>
    <t>Mantenimiento Plantaciones POR UN AÑO (3 Intervenciones Piloto)</t>
  </si>
  <si>
    <t>Cerca viva e inerte (Madera 4 caras)</t>
  </si>
  <si>
    <t>Cerca viva e inerte (Madera 3 caras)</t>
  </si>
  <si>
    <t>Cerca viva e inerte (Con guadua)</t>
  </si>
  <si>
    <t>Mantenimiento Cerca Inerte (Madera 4 caras)</t>
  </si>
  <si>
    <t>Mantenimiento Cerca Inerte (Madera 3 caras)</t>
  </si>
  <si>
    <t>Mantenimiento Cerca Inerte (Con guadua)</t>
  </si>
  <si>
    <t>Revegetalizacion (Reforestación)</t>
  </si>
  <si>
    <t>Agroforestería</t>
  </si>
  <si>
    <t>Restauración</t>
  </si>
  <si>
    <t>Aislamiento</t>
  </si>
  <si>
    <t>Cercas Vivas</t>
  </si>
  <si>
    <t>Mantenimiento de Cerca Inerte</t>
  </si>
  <si>
    <t>Talleres</t>
  </si>
  <si>
    <t>TALLER EN ZONA RURAL (Zona Dificil acceso)</t>
  </si>
  <si>
    <t>Taller Tipo Conferencia Zona Urbana (20 personas)</t>
  </si>
  <si>
    <t>Taller Zona Rural (20 personas)</t>
  </si>
  <si>
    <t>Taller Zona Rural dificil acceso. (16 personas)</t>
  </si>
  <si>
    <t>Global</t>
  </si>
  <si>
    <t>Bioingenieria</t>
  </si>
  <si>
    <t>Barreras Vivas</t>
  </si>
  <si>
    <t>Bebederos</t>
  </si>
  <si>
    <t>Bebederos Plásticos (250 litros)</t>
  </si>
  <si>
    <t>Bebedero Instalado</t>
  </si>
  <si>
    <t>LISTADO DE COSTOS PARA RESTAURACIÓN DE MICROCUENCAS</t>
  </si>
  <si>
    <t>Ítem</t>
  </si>
  <si>
    <t>Descripción Artículo</t>
  </si>
  <si>
    <t>UNID.</t>
  </si>
  <si>
    <t>VR UNIT</t>
  </si>
  <si>
    <t>Vr total</t>
  </si>
  <si>
    <t>HERRAJES</t>
  </si>
  <si>
    <t>Planchas en hierro de fundición gris, con sus respectivos discos de graduación. Todos resistentes a altas temperaturas.</t>
  </si>
  <si>
    <t>Separador en fundición gris</t>
  </si>
  <si>
    <t>Compuerta para leña en fundición gris</t>
  </si>
  <si>
    <t>Parrilla para leña en fundición gris.</t>
  </si>
  <si>
    <t>Tanque con tapa en aluminio de fundición</t>
  </si>
  <si>
    <t>Escuadra en ángulo de 1/8 x 1 ½ reforzada con un separador en tubo redondo de 7/8</t>
  </si>
  <si>
    <t>Horno en lamina col-rol calibre 18 con su respectiva bandeja interna y puerta reforzada con platina de 1/8 y manija en aluminio</t>
  </si>
  <si>
    <t>Compuerta de aireación con manija en aluminio, en lámina calibre 18</t>
  </si>
  <si>
    <t>Cilindro para chimenea, en lámina</t>
  </si>
  <si>
    <t>Gorro chino para chimenea, en hierro recubierto en fibra de vidrio</t>
  </si>
  <si>
    <t>Ceniceros en lámina calibre 18 con manija en aluminio</t>
  </si>
  <si>
    <t>Ladrillo macizo tipo bocadillo o santa fe de 5cm x 10cm x 20 cm color pálido</t>
  </si>
  <si>
    <t>Ladrillo macizo de 10cm x 20cm x 40cm</t>
  </si>
  <si>
    <t>Ladrillo sencillo de 3 huecos de 10 cm x 20 cm x 40cm.</t>
  </si>
  <si>
    <t>Melaza</t>
  </si>
  <si>
    <t>Vitrificado</t>
  </si>
  <si>
    <t>Metro</t>
  </si>
  <si>
    <t>Cemento</t>
  </si>
  <si>
    <t>Bulto x 50 kg</t>
  </si>
  <si>
    <t xml:space="preserve">Arena </t>
  </si>
  <si>
    <t>Lata</t>
  </si>
  <si>
    <t>Total</t>
  </si>
  <si>
    <t>Otras Actividades</t>
  </si>
  <si>
    <t>Estufas Ecoeficientes</t>
  </si>
  <si>
    <t>Estufa</t>
  </si>
  <si>
    <t>Gafas</t>
  </si>
  <si>
    <t xml:space="preserve">      PLATEO.</t>
  </si>
  <si>
    <r>
      <rPr>
        <b/>
        <sz val="10"/>
        <rFont val="Arial"/>
        <family val="2"/>
      </rPr>
      <t>OBSERVACIÓN:</t>
    </r>
    <r>
      <rPr>
        <sz val="10"/>
        <rFont val="Arial"/>
        <family val="2"/>
      </rPr>
      <t xml:space="preserve">  
- Se establecerán 555 árboles en surcos cada 6 metros y a una distancia de 3 metros entre árbol. No se deben realizar rocerías completas; unicamente se debe realizar la rocería en los surcos a intervenir.
- Se deben establecer minimo cinco especies por hectarea, de las cuales minimo una especie debe ser frutal. Las especies deben ser acordes a las condiciones climaticas de la zona y a la presencia de las mismas en el paisaje. 
- Los árboles a sembrar tendrán una altura de 0,40. Bien lignificados la bolsa de siembra es de minimo 1 kilo, plántulas vigorosas y sin problemas fitosanitarios.
- Se debe utilizar Cal deshidratada (Dolomita) para la siembra (aplicar en el hoyo), a razón de 300 gramos por planta.
- Despues de 45 a 60 días de la siembra se debe realizar una limpia o plateo para fertilizar la totalidad de los árboles. 
- Se debe utilizar un fertilizante compuesto con elementos menores, los cuales son escenciales en la primera etapa de crecimiento de la planta. La dosis recomendada es de 50 grs por planta.
- El valor del transporte incluye: el transporte en vehículo automotor hasta 25 km de distancia del centro poblado, incluye el transporte No automotor y al hombro fuerte pendiente hasta una distancia de 5 kms de la carretera. </t>
    </r>
  </si>
  <si>
    <r>
      <rPr>
        <b/>
        <sz val="10"/>
        <rFont val="Arial"/>
        <family val="2"/>
      </rPr>
      <t>OBSERVACIÓN:</t>
    </r>
    <r>
      <rPr>
        <sz val="10"/>
        <rFont val="Arial"/>
        <family val="2"/>
      </rPr>
      <t xml:space="preserve">  
- Esta estrategia se recomienda para trabajos de Restauracion de Paramos.
- Se estableceran 800 árboles en 40 bloques de 20 árboles cada uno; a una distancia de 2,5 X 2,5 mts. Con este diseño espacial se permite la regeneración natural en el 50% del área de cada hectarea intervenida, buscando la conectividad.
- Los árboles a siembrar tendrán una altura de minimo 25 cms. Bien lignificados. La bolsa de siembra recomendada es de minimo 1 kilo. Plántulas vigorosas y sin problemas fitosanitarios. 
- El valor del transporte incluye: el transporte en vehículo automotor hasta 25 km de distancia del centro poblado, incluye el transporte No automotor y al hombro fuerte pendiente hasta una distancia de 5 kms de la carretera. </t>
    </r>
  </si>
  <si>
    <t>Densidad de siembra 238 árboles/ha  (6X7 METROS)</t>
  </si>
  <si>
    <t>Agroforestería con Frutales</t>
  </si>
  <si>
    <t xml:space="preserve">      LIMPIA</t>
  </si>
  <si>
    <t>MANTENIMIENTO AGROFORESTALES</t>
  </si>
  <si>
    <t>PODA</t>
  </si>
  <si>
    <r>
      <rPr>
        <b/>
        <sz val="10"/>
        <rFont val="Arial"/>
        <family val="2"/>
      </rPr>
      <t>OBSERVACIÓN:</t>
    </r>
    <r>
      <rPr>
        <sz val="10"/>
        <rFont val="Arial"/>
        <family val="2"/>
      </rPr>
      <t xml:space="preserve">  
- Las estacas a sembrar tendrán una altura de 1,20 metros con diametro del tallo de mínimo 5 cm de grosor. Se deben clavar de 30 a 40 cms de profundidad. Las estacas a utilizar mas recomendadas son Quiebrabarrigo, Matarraton, Lechudo, Sauce Lloron, entre otras.
- El valor del transporte incluye: el transporte en vehículo automotor hasta 25 km de distancia del centro poblado, incluye el transporte No automotor y al hombro fuerte pendiente hasta una distancia de 5 kms de la carretera. </t>
    </r>
  </si>
  <si>
    <r>
      <rPr>
        <b/>
        <sz val="10"/>
        <rFont val="Arial"/>
        <family val="2"/>
      </rPr>
      <t xml:space="preserve">Observaciones: </t>
    </r>
    <r>
      <rPr>
        <sz val="10"/>
        <rFont val="Arial"/>
        <family val="2"/>
      </rPr>
      <t xml:space="preserve">
- Los postes de guadua deben ser de cepa, basa y sobrebasa y que cuenten con permiso de aprovechamiento forestal.
- Los postes deben tener un mínimo de 10 cms de diámetro y 2 metros de longitud.
- El estacón de guadua debe tener en su parte superior un corte recto y a ras del entrenudo para evitar el empocillamiento de guadua.
- El valor del transporte incluye: el transporte en vehículo automotor hasta 25 km de distancia del centro poblado, incluye el transporte No automotor y al hombro fuerte pendiente hasta una distancia de 5 kms de la carretera. </t>
    </r>
  </si>
  <si>
    <t xml:space="preserve">      FIJADO Y GRAPADO DE ALAMBRE</t>
  </si>
  <si>
    <r>
      <rPr>
        <b/>
        <sz val="10"/>
        <rFont val="Arial"/>
        <family val="2"/>
      </rPr>
      <t xml:space="preserve">Observaciones: 
</t>
    </r>
    <r>
      <rPr>
        <sz val="10"/>
        <rFont val="Arial"/>
        <family val="2"/>
      </rPr>
      <t xml:space="preserve">Una vez realizada la visita de corroboracion de la necesidad del mantenimiento se hacen las siguientes actividades.
- Los postes con que se realicen los mantenimientos deben contener las mismas especificaciones técnicas de los que se utilizan para aislamientos nuevos. Por tal razón deben contener permiso de aprovechamiento forestal de la autoridad competente.
- El mantenimiento consiste en Hincar 200 estacones nuevos con 16 piés de amigo en un kilómetro lineal de cerca. Se deben instalar al lado de los horcones viejos y sobre ellos se debe realizar el templado del alambre.
- Se debe renovar haste el 33% de la totalidad del alambre de pua, especialmente en los sitios mas críticos.
- Se deben pintar de amarillo tanto los hilos de almbre renovado como la parte superior (20 cms aprox) de los estacones nuevos.
- No se deben retirar alambres viejos ni los estacones deteriorados. Estos no se deben disponer ni a las fuentes hídricas ni a las zonas de actividad agropecuaria ubicados al lado de los aislamientos.
- El valor del transporte incluye: el transporte en vehículo automotor hasta 25 km de distancia del centro poblado, incluye el transporte No automotor y al hombro fuerte pendiente hasta una distancia de 5 kms de la carretera. </t>
    </r>
  </si>
  <si>
    <r>
      <rPr>
        <b/>
        <sz val="10"/>
        <rFont val="Arial"/>
        <family val="2"/>
      </rPr>
      <t>OBSERVACIÓN:</t>
    </r>
    <r>
      <rPr>
        <sz val="10"/>
        <rFont val="Arial"/>
        <family val="2"/>
      </rPr>
      <t xml:space="preserve">  
- Las cercas vivas se establecerán con estacas vivas.
- Las estacas a sembrar tendrán una altura de 1,20 metros con diametro del tallo de mínimo 5 cm de grosor. Se deben clavar de 30 a 40 cms de profundidad.
- Se establecerá una estaca entre cada dos horcones hasta completar 400 estacas por kilometro.
- El Costo comprende la resiembra del 10% de las estacas por la mortalidad que se presente.
- Ver otras condiciones en el Item CERCA VIVA y en el Item del tipo de estacones a utilizar.
- El valor del transporte incluye: el transporte en vehículo automotor hasta 25 km de distancia del centro poblado, incluye el transporte No automotor y al hombro fuerte pendiente hasta una distancia de 5 kms de la carretera. </t>
    </r>
  </si>
  <si>
    <t>GLOBAL</t>
  </si>
  <si>
    <r>
      <rPr>
        <b/>
        <sz val="10"/>
        <rFont val="Arial"/>
        <family val="2"/>
      </rPr>
      <t>Observaciones:</t>
    </r>
    <r>
      <rPr>
        <sz val="10"/>
        <rFont val="Arial"/>
        <family val="2"/>
      </rPr>
      <t xml:space="preserve">
LA COMUNIDAD BENEFICIADA DEBE APORTAR LOS SIGUIENTES INSUMOS:
- 14 LATAS DE LIMO (TIERRA AMARILLA).
- </t>
    </r>
    <r>
      <rPr>
        <sz val="10"/>
        <color indexed="10"/>
        <rFont val="Arial"/>
        <family val="2"/>
      </rPr>
      <t>12 LATAS DE ARENA DE PEGA.</t>
    </r>
    <r>
      <rPr>
        <sz val="10"/>
        <rFont val="Arial"/>
        <family val="2"/>
      </rPr>
      <t xml:space="preserve">
- 1 AYUDANTE DE CONSTRUCCION DE MANO DE OBRA NO CALIFICADO, PARA APOYAR AL CONSTRUCTOR DE LA ESTUFA.
- Alimentación del Oficial.
</t>
    </r>
  </si>
  <si>
    <t>Transporte de Materiales</t>
  </si>
  <si>
    <t>Subtotal Herrajes</t>
  </si>
  <si>
    <t>Subtotal Materiales</t>
  </si>
  <si>
    <t>Oficial Experto Construcción Estufa. (Incluye Transporte Oficial)</t>
  </si>
  <si>
    <t xml:space="preserve">Herramientas </t>
  </si>
  <si>
    <t>Total Materiales</t>
  </si>
  <si>
    <t>Los costos NO incluyen relleno de las estructuras con tierra suelta.</t>
  </si>
  <si>
    <t>AI 13%</t>
  </si>
  <si>
    <t>Con 4 Por mil</t>
  </si>
  <si>
    <t>Con 4 X mil</t>
  </si>
  <si>
    <t>Sumiistro Arbol</t>
  </si>
  <si>
    <t>CANT/Bosque</t>
  </si>
  <si>
    <t>Arbol</t>
  </si>
  <si>
    <t>TOTAL/Parcela</t>
  </si>
  <si>
    <t xml:space="preserve">       TRANSPORTE  (Hasta el predio) </t>
  </si>
  <si>
    <t>Total Parcela</t>
  </si>
  <si>
    <t xml:space="preserve">COSTO TOTAL PARCELA </t>
  </si>
  <si>
    <r>
      <rPr>
        <b/>
        <sz val="10"/>
        <rFont val="Arial"/>
        <family val="2"/>
      </rPr>
      <t>Observaciones:</t>
    </r>
    <r>
      <rPr>
        <sz val="10"/>
        <rFont val="Arial"/>
        <family val="2"/>
      </rPr>
      <t xml:space="preserve">
LA COMUNIDAD BENEFICIADA DEBE APORTAR WL ESTABLECIMIENTO DE LOS ÁRBOLES EN LA PARCELA DENDROENERGÉTICA.</t>
    </r>
  </si>
  <si>
    <t xml:space="preserve">TRANSPORTE  (Hasta el predio) </t>
  </si>
  <si>
    <t>Observaciones:
LA COMUNIDAD BENEFICIADA DEBE APORTAR EL ESTABLECIMIENTO DE LOS ÁRBOLES EN LA PARCELA DENDROENERGÉTICA.</t>
  </si>
  <si>
    <t>Establecimieto Bosque Leñero</t>
  </si>
  <si>
    <t>Valor Estufa</t>
  </si>
  <si>
    <t>Admon Imprevistos 13%</t>
  </si>
  <si>
    <t>Promotor Ambiental 2017</t>
  </si>
  <si>
    <t>Mes</t>
  </si>
  <si>
    <t>CÁLCULOS PARA PROMOTOR AMBIENTAL</t>
  </si>
  <si>
    <t>Chaleco</t>
  </si>
  <si>
    <t>Gorra para sol</t>
  </si>
  <si>
    <t>Pago Mensual</t>
  </si>
  <si>
    <r>
      <rPr>
        <b/>
        <sz val="10"/>
        <rFont val="Arial"/>
        <family val="2"/>
      </rPr>
      <t>Observaciones:</t>
    </r>
    <r>
      <rPr>
        <sz val="10"/>
        <rFont val="Arial"/>
        <family val="2"/>
      </rPr>
      <t xml:space="preserve">
La Función principal del promotor Ambiental del Año 2017 será diligenciar la Ficha de Campo suministrada por CORPOCALDAS en todos los ABACOS de acueductos veredales y de cabeceras urbanas, de los municipios donde se contraten, con el fin de alimentar la base de datos de microcuencas.
</t>
    </r>
    <r>
      <rPr>
        <b/>
        <u/>
        <sz val="10"/>
        <rFont val="Arial"/>
        <family val="2"/>
      </rPr>
      <t>La inducción para el diligenciamiento de la ficha de campo estará a cargo de CORPOCALDAS.</t>
    </r>
    <r>
      <rPr>
        <sz val="10"/>
        <rFont val="Arial"/>
        <family val="2"/>
      </rPr>
      <t xml:space="preserve"> </t>
    </r>
  </si>
  <si>
    <t>Con Parcela incluido el AI del 13%</t>
  </si>
  <si>
    <t>Con A.I 13%</t>
  </si>
  <si>
    <t>Vr Unitario</t>
  </si>
  <si>
    <t>Aportes</t>
  </si>
  <si>
    <t>AÑO</t>
  </si>
  <si>
    <t>ASIGNACIÓN SALARIAL INTEGRAL</t>
  </si>
  <si>
    <t>MES</t>
  </si>
  <si>
    <t>PROFESIONA CON PRESTACIONES</t>
  </si>
  <si>
    <t>VR MES INTEGRAL</t>
  </si>
  <si>
    <r>
      <rPr>
        <b/>
        <sz val="10"/>
        <rFont val="Arial"/>
        <family val="2"/>
      </rPr>
      <t>OBSERVACIÓN:</t>
    </r>
    <r>
      <rPr>
        <sz val="10"/>
        <rFont val="Arial"/>
        <family val="2"/>
      </rPr>
      <t xml:space="preserve">  
- Se establecerán 238 árboles por hectárea, a una distancia de 6 X 7 metros entre árboles. Se contempla el 10% de plantulas para resiembra por mortalidad.
- Se debe utilizar Cal deshidratada (Dolomita) para la siembra (aplicar en el hoyo), a razón de 200 gramos por planta.
- Despues de 45 a 60 días de la siembra se debe realizar una limpia o plateo para fertilizar la totalidad de los árboles. 
- Se debe utilizar un fertilizante compuesto, con elementos menores, los cuales son escenciales en la primera etapa de crecimiento de la planta.  La dosis recomendada es de 50 grs por planta. 
- El valor del transporte incluye: el transporte en vehículo automotor desde Palestina hasta el municipio de Neira, incluye el transporte No automotor y al hombro . </t>
    </r>
  </si>
  <si>
    <t>ESTABLECIMIENTO AGROFORESTERIA ZONA URBANA</t>
  </si>
  <si>
    <t xml:space="preserve">Administración </t>
  </si>
  <si>
    <t>Imprevistos</t>
  </si>
  <si>
    <t>Utilidades</t>
  </si>
  <si>
    <t>Aportes Contrato</t>
  </si>
  <si>
    <t>Valor Convenio</t>
  </si>
  <si>
    <t>Valor Ficha</t>
  </si>
  <si>
    <t>ESTABLECIMIENTO AGROFORESTERIA CON FRUTALES</t>
  </si>
  <si>
    <t>Arbol/Frutal</t>
  </si>
  <si>
    <r>
      <rPr>
        <b/>
        <sz val="10"/>
        <rFont val="Arial"/>
        <family val="2"/>
      </rPr>
      <t>OBSERVACIÓN:</t>
    </r>
    <r>
      <rPr>
        <sz val="10"/>
        <rFont val="Arial"/>
        <family val="2"/>
      </rPr>
      <t xml:space="preserve">  
- Se establecerán 238 árboles por hectárea, a una distancia de 6 X 7 metros entre árboles. Se contempla el 10% de plantulas para resiembra por mortalidad.
- Se debe utilizar Cal deshidratada (Dolomita) para la siembra (aplicar en el hoyo), a razón de 200 gramos por planta.
- Despues de 45 a 60 días de la siembra se debe realizar una limpia o plateo para fertilizar la totalidad de los árboles. 
- Se debe utilizar un fertilizante compuesto, con elementos menores, los cuales son escenciales en la primera etapa de crecimiento de la planta.  La dosis recomendada es de 50 grs por planta. 
- El valor del transporte incluye: el transporte en vehículo automotor hasta 25 km de distancia del centro poblado, incluye el transporte No automotor y al hombro fuerte pendiente hasta una distancia de 5 kms de la carretera. </t>
    </r>
  </si>
  <si>
    <t>COMPONENTE A</t>
  </si>
  <si>
    <t>Subtotal AIU Componente A</t>
  </si>
  <si>
    <t>COMPONENTE B</t>
  </si>
  <si>
    <t>Subtotal Componente A</t>
  </si>
  <si>
    <t>TOTAL COMPONENTE A</t>
  </si>
  <si>
    <t>Subtotal Componente B</t>
  </si>
  <si>
    <t>TOTAL COMPONENTE B</t>
  </si>
  <si>
    <t>GPS</t>
  </si>
  <si>
    <t>Alquiler GPS mes</t>
  </si>
  <si>
    <t>TÉCNICO CON PRESTACIONES</t>
  </si>
  <si>
    <t>Valor arbol</t>
  </si>
  <si>
    <t>contrato de monto agotable</t>
  </si>
  <si>
    <t>Vr probabilidad</t>
  </si>
  <si>
    <t>alta (inminente)</t>
  </si>
  <si>
    <t>0,99-0,75</t>
  </si>
  <si>
    <t>media alta (usual)</t>
  </si>
  <si>
    <t>0,749-0,5</t>
  </si>
  <si>
    <t>media baja (inusual)</t>
  </si>
  <si>
    <t>0,499-0,25</t>
  </si>
  <si>
    <t>baja (remota)</t>
  </si>
  <si>
    <t xml:space="preserve"> 0,249-0,01</t>
  </si>
  <si>
    <t>bajo</t>
  </si>
  <si>
    <t>medio bajo</t>
  </si>
  <si>
    <t xml:space="preserve">medio alto </t>
  </si>
  <si>
    <t>alto</t>
  </si>
  <si>
    <t>&lt;0,05</t>
  </si>
  <si>
    <t>0,149-0,05</t>
  </si>
  <si>
    <t>0,299-0,15</t>
  </si>
  <si>
    <t>&gt;0,30</t>
  </si>
  <si>
    <t>0 -30.000.000</t>
  </si>
  <si>
    <t>30,000,001 -90,000,000</t>
  </si>
  <si>
    <t>90,000,001 -180,000,000</t>
  </si>
  <si>
    <t>180.000.000 o mas</t>
  </si>
  <si>
    <t>PRESUPUESTO</t>
  </si>
  <si>
    <t>Riesgos</t>
  </si>
  <si>
    <t>Estimación del riesgo</t>
  </si>
  <si>
    <t>Asignación</t>
  </si>
  <si>
    <t xml:space="preserve">VALORACIÓN ECONOMICA </t>
  </si>
  <si>
    <t>Probabilidad</t>
  </si>
  <si>
    <t>Impacto</t>
  </si>
  <si>
    <t>Valor en contrato</t>
  </si>
  <si>
    <t>Valor riesgo</t>
  </si>
  <si>
    <t xml:space="preserve">Corpocaldas </t>
  </si>
  <si>
    <t>EJECUTOR</t>
  </si>
  <si>
    <t xml:space="preserve">Valor riesgo CORPOCALDAS </t>
  </si>
  <si>
    <t xml:space="preserve">Valor riesgo EJECUTOR </t>
  </si>
  <si>
    <t>Económicos</t>
  </si>
  <si>
    <t xml:space="preserve">Incremento en el precio de los materiales </t>
  </si>
  <si>
    <t>x</t>
  </si>
  <si>
    <t>Incremento del precio de la mano de obra</t>
  </si>
  <si>
    <t xml:space="preserve">bajo </t>
  </si>
  <si>
    <t>Incremento en el precio de alquiler o adquisición de equipos</t>
  </si>
  <si>
    <t>baja</t>
  </si>
  <si>
    <t>Incremento en los precios por la modalidad de contratación que seleccione el municipio, que puedan generar algún sobrecosto a los contratos derivados.</t>
  </si>
  <si>
    <t>Social Politico</t>
  </si>
  <si>
    <t>Orden público (retraso en la ejecución de la obra) que genera adición del plazo del contrato</t>
  </si>
  <si>
    <t xml:space="preserve">Operacionales </t>
  </si>
  <si>
    <t>Incremento en el precio de transporte</t>
  </si>
  <si>
    <t>Disminución de los rendimientos de las obras por efecto de las lluvias u otro fenomeno de la naturaleza</t>
  </si>
  <si>
    <t>Financieros</t>
  </si>
  <si>
    <t>No se prevén</t>
  </si>
  <si>
    <t xml:space="preserve">Regulatorios </t>
  </si>
  <si>
    <t>Cambios en el régimen tributario</t>
  </si>
  <si>
    <t>Naturaleza</t>
  </si>
  <si>
    <t xml:space="preserve">Pérdida de materiales por efecto de las lluvias u otro fenómeno de la naturaleza </t>
  </si>
  <si>
    <t>Ambientales</t>
  </si>
  <si>
    <t>Tecnológicos</t>
  </si>
  <si>
    <t>VALORACIÓN ECONÓMICA DEL RIESGO PROBABLE</t>
  </si>
  <si>
    <t>PORCENTAJE %</t>
  </si>
  <si>
    <t>IVA sobre la Utilidad</t>
  </si>
  <si>
    <t>AÑO 2019</t>
  </si>
  <si>
    <t>P. ANTERIOR</t>
  </si>
  <si>
    <t xml:space="preserve">ACTIVIDADES, AÑO 2019 proyeccion </t>
  </si>
  <si>
    <t>Pesos 2019</t>
  </si>
  <si>
    <t>SALARIO PROFESIONAL GRADO 7</t>
  </si>
  <si>
    <t>SALARIO PROFESIONAL GRADO 12</t>
  </si>
  <si>
    <t>CÁLCULOS PARA PROFESIONAL UNIVERSITARIO</t>
  </si>
  <si>
    <t>CÁLCULOS PARA PROFESIONAL ESPECIALIZADO</t>
  </si>
  <si>
    <t>PESOS 2019</t>
  </si>
  <si>
    <t>COSTO CONSTRUCCIÓN METRO CUADRADO DE TRINCHO 2019</t>
  </si>
  <si>
    <t>APU ESTUFAS ECOEFICIENTES 2019</t>
  </si>
  <si>
    <t>Suministro Arbol</t>
  </si>
  <si>
    <t>GEOREFERENCIACIÓN TECNICO</t>
  </si>
  <si>
    <t>NOTA</t>
  </si>
  <si>
    <t>La totalidad de los estacones deben estar debidamente anclados al piso, evitando su localización en bordes de taludes u otros sitios donde el estacón quede fuera de la superficie del suelo o por el aire.</t>
  </si>
  <si>
    <t xml:space="preserve">Mantenimiento Agroforestales </t>
  </si>
  <si>
    <t>Corpocaldas (Efectivo)</t>
  </si>
  <si>
    <t>Corpocaldas Efectivo</t>
  </si>
  <si>
    <t>Desembolsos</t>
  </si>
  <si>
    <t>1ro</t>
  </si>
  <si>
    <t>2do</t>
  </si>
  <si>
    <t>3ro</t>
  </si>
  <si>
    <t>4to</t>
  </si>
  <si>
    <t>Acompañamiento Tecnico</t>
  </si>
  <si>
    <t>VALOR</t>
  </si>
  <si>
    <t>Cerca Viva</t>
  </si>
  <si>
    <t>4Xmil</t>
  </si>
  <si>
    <r>
      <t xml:space="preserve">ACTIVIDADES AÑO 2020 - Proyección </t>
    </r>
    <r>
      <rPr>
        <b/>
        <u/>
        <sz val="10"/>
        <rFont val="Arial"/>
        <family val="2"/>
      </rPr>
      <t>PACORA Y NEIRA</t>
    </r>
    <r>
      <rPr>
        <b/>
        <sz val="10"/>
        <rFont val="Arial"/>
        <family val="2"/>
      </rPr>
      <t xml:space="preserve"> Caldas.</t>
    </r>
  </si>
  <si>
    <t>Cerca viva con estacas. (Neira)</t>
  </si>
  <si>
    <t>Aislamiento en Guadua (4km Neira y 1,1 en Pacora)</t>
  </si>
  <si>
    <t>Total contrato ANTES DE IVA</t>
  </si>
  <si>
    <t>VALOR CONTRATO</t>
  </si>
  <si>
    <t>Fuente</t>
  </si>
  <si>
    <t>FICHA PRESUPUESTAL 273</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</si>
</sst>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164" formatCode="_(&quot;$&quot;\ * #,##0.00_);_(&quot;$&quot;\ * \(#,##0.00\);_(&quot;$&quot;\ * &quot;-&quot;??_);_(@_)"/>
    <numFmt numFmtId="165" formatCode="#,##0\ &quot;€&quot;;[Red]\-#,##0\ &quot;€&quot;"/>
    <numFmt numFmtId="166" formatCode="&quot;$&quot;\ #,##0;&quot;$&quot;\ \-#,##0"/>
    <numFmt numFmtId="167" formatCode="_-* #,##0.00\ _P_t_s_-;\-* #,##0.00\ _P_t_s_-;_-* &quot;-&quot;??\ _P_t_s_-;_-@_-"/>
    <numFmt numFmtId="168" formatCode="0.0%"/>
    <numFmt numFmtId="169" formatCode="#,##0.0"/>
    <numFmt numFmtId="170" formatCode="_-* #,##0.0\ _P_t_s_-;\-* #,##0.0\ _P_t_s_-;_-* &quot;-&quot;??\ _P_t_s_-;_-@_-"/>
    <numFmt numFmtId="171" formatCode="_-* #,##0\ _P_t_s_-;\-* #,##0\ _P_t_s_-;_-* &quot;-&quot;??\ _P_t_s_-;_-@_-"/>
    <numFmt numFmtId="172" formatCode="_ * #,##0.0_ ;_ * \-#,##0.0_ ;_ * &quot;-&quot;?_ ;_ @_ "/>
    <numFmt numFmtId="173" formatCode="_ * #,##0_ ;_ * \-#,##0_ ;_ * &quot;-&quot;?_ ;_ @_ "/>
    <numFmt numFmtId="174" formatCode="#,##0.000"/>
    <numFmt numFmtId="175" formatCode="&quot;$&quot;\ #,##0"/>
    <numFmt numFmtId="176" formatCode="0.000"/>
    <numFmt numFmtId="177" formatCode="_-* #,##0.00\ _€_-;\-* #,##0.00\ _€_-;_-* &quot;-&quot;??\ _€_-;_-@_-"/>
  </numFmts>
  <fonts count="42" x14ac:knownFonts="1">
    <font>
      <sz val="10"/>
      <name val="Arial"/>
    </font>
    <font>
      <sz val="10"/>
      <name val="Arial"/>
      <family val="2"/>
    </font>
    <font>
      <b/>
      <sz val="10"/>
      <name val="Arial"/>
      <family val="2"/>
    </font>
    <font>
      <b/>
      <sz val="8"/>
      <name val="Arial"/>
      <family val="2"/>
    </font>
    <font>
      <sz val="8"/>
      <name val="Arial"/>
      <family val="2"/>
    </font>
    <font>
      <b/>
      <sz val="10"/>
      <color indexed="10"/>
      <name val="Arial"/>
      <family val="2"/>
    </font>
    <font>
      <sz val="10"/>
      <name val="Arial"/>
      <family val="2"/>
    </font>
    <font>
      <b/>
      <sz val="14"/>
      <name val="Arial"/>
      <family val="2"/>
    </font>
    <font>
      <sz val="14"/>
      <name val="Arial"/>
      <family val="2"/>
    </font>
    <font>
      <b/>
      <sz val="12"/>
      <name val="Arial"/>
      <family val="2"/>
    </font>
    <font>
      <sz val="11"/>
      <name val="Arial"/>
      <family val="2"/>
    </font>
    <font>
      <sz val="9"/>
      <name val="Arial"/>
      <family val="2"/>
    </font>
    <font>
      <sz val="10"/>
      <color indexed="10"/>
      <name val="Arial"/>
      <family val="2"/>
    </font>
    <font>
      <sz val="12"/>
      <name val="Arial Narrow"/>
      <family val="2"/>
    </font>
    <font>
      <sz val="13"/>
      <name val="Arial"/>
      <family val="2"/>
    </font>
    <font>
      <b/>
      <sz val="9"/>
      <name val="Arial"/>
      <family val="2"/>
    </font>
    <font>
      <b/>
      <sz val="9"/>
      <color indexed="10"/>
      <name val="Arial"/>
      <family val="2"/>
    </font>
    <font>
      <sz val="11"/>
      <name val="Calibri"/>
      <family val="2"/>
    </font>
    <font>
      <sz val="8"/>
      <name val="Arial"/>
      <family val="2"/>
    </font>
    <font>
      <sz val="10"/>
      <name val="Arial Narrow"/>
      <family val="2"/>
    </font>
    <font>
      <b/>
      <sz val="10"/>
      <name val="Arial Narrow"/>
      <family val="2"/>
    </font>
    <font>
      <b/>
      <sz val="11"/>
      <name val="Arial"/>
      <family val="2"/>
    </font>
    <font>
      <b/>
      <sz val="11"/>
      <name val="Arial Narrow"/>
      <family val="2"/>
    </font>
    <font>
      <sz val="11"/>
      <name val="Arial Narrow"/>
      <family val="2"/>
    </font>
    <font>
      <b/>
      <sz val="12"/>
      <name val="Arial Narrow"/>
      <family val="2"/>
    </font>
    <font>
      <b/>
      <u/>
      <sz val="10"/>
      <name val="Arial"/>
      <family val="2"/>
    </font>
    <font>
      <u/>
      <sz val="9"/>
      <color theme="10"/>
      <name val="Arial"/>
      <family val="2"/>
    </font>
    <font>
      <b/>
      <sz val="11"/>
      <color theme="1"/>
      <name val="Calibri"/>
      <family val="2"/>
      <scheme val="minor"/>
    </font>
    <font>
      <sz val="11"/>
      <color theme="1"/>
      <name val="Arial Narrow"/>
      <family val="2"/>
    </font>
    <font>
      <b/>
      <sz val="11"/>
      <color theme="1"/>
      <name val="Arial Narrow"/>
      <family val="2"/>
    </font>
    <font>
      <sz val="10"/>
      <color rgb="FFFF0000"/>
      <name val="Arial"/>
      <family val="2"/>
    </font>
    <font>
      <b/>
      <sz val="10"/>
      <color rgb="FF000000"/>
      <name val="Arial"/>
      <family val="2"/>
    </font>
    <font>
      <sz val="10"/>
      <color rgb="FF000000"/>
      <name val="Arial"/>
      <family val="2"/>
    </font>
    <font>
      <b/>
      <sz val="10"/>
      <color rgb="FFFF0000"/>
      <name val="Arial Narrow"/>
      <family val="2"/>
    </font>
    <font>
      <b/>
      <sz val="18"/>
      <color theme="1"/>
      <name val="Calibri"/>
      <family val="2"/>
      <scheme val="minor"/>
    </font>
    <font>
      <sz val="10"/>
      <name val="Arial"/>
      <family val="2"/>
    </font>
    <font>
      <sz val="9"/>
      <color theme="1"/>
      <name val="Arial"/>
      <family val="2"/>
    </font>
    <font>
      <b/>
      <sz val="9"/>
      <color theme="1"/>
      <name val="Arial"/>
      <family val="2"/>
    </font>
    <font>
      <b/>
      <sz val="9"/>
      <color rgb="FFFF0000"/>
      <name val="Arial"/>
      <family val="2"/>
    </font>
    <font>
      <sz val="9"/>
      <color rgb="FFFF0000"/>
      <name val="Arial"/>
      <family val="2"/>
    </font>
    <font>
      <b/>
      <sz val="9"/>
      <color indexed="81"/>
      <name val="Tahoma"/>
      <family val="2"/>
    </font>
    <font>
      <sz val="9"/>
      <color indexed="81"/>
      <name val="Tahoma"/>
      <family val="2"/>
    </font>
  </fonts>
  <fills count="21">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53"/>
        <bgColor indexed="64"/>
      </patternFill>
    </fill>
    <fill>
      <patternFill patternType="solid">
        <fgColor indexed="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0000"/>
        <bgColor indexed="64"/>
      </patternFill>
    </fill>
    <fill>
      <patternFill patternType="solid">
        <fgColor rgb="FFFFC000"/>
        <bgColor indexed="64"/>
      </patternFill>
    </fill>
    <fill>
      <patternFill patternType="solid">
        <fgColor rgb="FF00B050"/>
        <bgColor indexed="64"/>
      </patternFill>
    </fill>
    <fill>
      <patternFill patternType="solid">
        <fgColor rgb="FF92D050"/>
        <bgColor indexed="64"/>
      </patternFill>
    </fill>
    <fill>
      <patternFill patternType="solid">
        <fgColor theme="3" tint="0.59999389629810485"/>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right/>
      <top style="thin">
        <color indexed="64"/>
      </top>
      <bottom style="thin">
        <color indexed="64"/>
      </bottom>
      <diagonal/>
    </border>
    <border>
      <left style="medium">
        <color indexed="64"/>
      </left>
      <right style="medium">
        <color indexed="64"/>
      </right>
      <top/>
      <bottom/>
      <diagonal/>
    </border>
    <border>
      <left/>
      <right/>
      <top/>
      <bottom style="thin">
        <color indexed="64"/>
      </bottom>
      <diagonal/>
    </border>
    <border>
      <left/>
      <right style="thin">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s>
  <cellStyleXfs count="25">
    <xf numFmtId="0" fontId="0" fillId="0" borderId="0"/>
    <xf numFmtId="0" fontId="26" fillId="0" borderId="0" applyNumberFormat="0" applyFill="0" applyBorder="0" applyAlignment="0" applyProtection="0">
      <alignment vertical="top"/>
      <protection locked="0"/>
    </xf>
    <xf numFmtId="167"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1" fillId="0" borderId="0" applyFont="0" applyFill="0" applyBorder="0" applyAlignment="0" applyProtection="0"/>
    <xf numFmtId="9" fontId="1" fillId="0" borderId="0" applyFont="0" applyFill="0" applyBorder="0" applyAlignment="0" applyProtection="0"/>
    <xf numFmtId="164" fontId="35" fillId="0" borderId="0" applyFont="0" applyFill="0" applyBorder="0" applyAlignment="0" applyProtection="0"/>
  </cellStyleXfs>
  <cellXfs count="733">
    <xf numFmtId="0" fontId="0" fillId="0" borderId="0" xfId="0"/>
    <xf numFmtId="3" fontId="0" fillId="0" borderId="0" xfId="0" applyNumberFormat="1"/>
    <xf numFmtId="0" fontId="5" fillId="0" borderId="0" xfId="0" applyFont="1" applyBorder="1" applyAlignment="1">
      <alignment horizontal="center"/>
    </xf>
    <xf numFmtId="0" fontId="2" fillId="0" borderId="1" xfId="0" applyFont="1" applyFill="1" applyBorder="1"/>
    <xf numFmtId="3" fontId="2" fillId="0" borderId="1" xfId="0" applyNumberFormat="1" applyFont="1" applyFill="1" applyBorder="1" applyAlignment="1">
      <alignment horizontal="center"/>
    </xf>
    <xf numFmtId="10" fontId="2" fillId="0" borderId="1" xfId="0" applyNumberFormat="1" applyFont="1" applyFill="1" applyBorder="1" applyAlignment="1">
      <alignment horizontal="center"/>
    </xf>
    <xf numFmtId="0" fontId="2" fillId="0" borderId="2" xfId="0" applyFont="1" applyFill="1" applyBorder="1"/>
    <xf numFmtId="3" fontId="2" fillId="0" borderId="2" xfId="0" applyNumberFormat="1" applyFont="1" applyFill="1" applyBorder="1" applyAlignment="1">
      <alignment horizontal="center"/>
    </xf>
    <xf numFmtId="0" fontId="2" fillId="0" borderId="1" xfId="0" applyFont="1" applyFill="1" applyBorder="1" applyAlignment="1">
      <alignment horizontal="center"/>
    </xf>
    <xf numFmtId="2" fontId="3" fillId="0" borderId="3" xfId="0" applyNumberFormat="1" applyFont="1" applyFill="1" applyBorder="1" applyAlignment="1">
      <alignment horizontal="center" vertical="center"/>
    </xf>
    <xf numFmtId="2" fontId="3" fillId="0" borderId="4" xfId="0" applyNumberFormat="1" applyFont="1" applyFill="1" applyBorder="1" applyAlignment="1">
      <alignment horizontal="center" vertical="center"/>
    </xf>
    <xf numFmtId="10" fontId="2" fillId="0" borderId="5" xfId="0" applyNumberFormat="1" applyFont="1" applyFill="1" applyBorder="1" applyAlignment="1">
      <alignment horizontal="center"/>
    </xf>
    <xf numFmtId="0" fontId="6" fillId="0" borderId="1" xfId="0" applyFont="1" applyFill="1" applyBorder="1"/>
    <xf numFmtId="0" fontId="6" fillId="0" borderId="0" xfId="0" applyFont="1" applyFill="1"/>
    <xf numFmtId="3" fontId="6" fillId="0" borderId="1" xfId="0" applyNumberFormat="1" applyFont="1" applyFill="1" applyBorder="1" applyAlignment="1">
      <alignment horizontal="center"/>
    </xf>
    <xf numFmtId="0" fontId="2" fillId="0" borderId="0" xfId="0" applyFont="1" applyFill="1" applyBorder="1" applyAlignment="1">
      <alignment horizontal="center"/>
    </xf>
    <xf numFmtId="0" fontId="2" fillId="0" borderId="0" xfId="0" applyFont="1" applyFill="1" applyBorder="1" applyAlignment="1">
      <alignment horizontal="left"/>
    </xf>
    <xf numFmtId="2" fontId="3" fillId="0" borderId="6" xfId="0" applyNumberFormat="1" applyFont="1" applyFill="1" applyBorder="1" applyAlignment="1">
      <alignment horizontal="center" vertical="center"/>
    </xf>
    <xf numFmtId="2" fontId="3" fillId="0" borderId="7" xfId="0" applyNumberFormat="1" applyFont="1" applyFill="1" applyBorder="1" applyAlignment="1">
      <alignment horizontal="center" vertical="center"/>
    </xf>
    <xf numFmtId="0" fontId="6" fillId="0" borderId="1" xfId="0" applyFont="1" applyFill="1" applyBorder="1" applyAlignment="1">
      <alignment horizontal="center"/>
    </xf>
    <xf numFmtId="0" fontId="3" fillId="0" borderId="1" xfId="0" applyFont="1" applyFill="1" applyBorder="1" applyAlignment="1">
      <alignment horizontal="center"/>
    </xf>
    <xf numFmtId="0" fontId="6" fillId="0" borderId="0" xfId="0" applyFont="1" applyFill="1" applyAlignment="1">
      <alignment horizontal="center"/>
    </xf>
    <xf numFmtId="10" fontId="6" fillId="0" borderId="0" xfId="0" applyNumberFormat="1" applyFont="1" applyFill="1"/>
    <xf numFmtId="3" fontId="2" fillId="0" borderId="4" xfId="0" applyNumberFormat="1" applyFont="1" applyFill="1" applyBorder="1" applyAlignment="1">
      <alignment horizontal="center"/>
    </xf>
    <xf numFmtId="10" fontId="2" fillId="0" borderId="4" xfId="0" applyNumberFormat="1" applyFont="1" applyFill="1" applyBorder="1" applyAlignment="1">
      <alignment horizontal="center"/>
    </xf>
    <xf numFmtId="3" fontId="2" fillId="0" borderId="0" xfId="0" applyNumberFormat="1" applyFont="1" applyFill="1" applyBorder="1" applyAlignment="1">
      <alignment horizontal="center"/>
    </xf>
    <xf numFmtId="10" fontId="2" fillId="0" borderId="0" xfId="0" applyNumberFormat="1" applyFont="1" applyFill="1" applyBorder="1" applyAlignment="1">
      <alignment horizontal="center"/>
    </xf>
    <xf numFmtId="10" fontId="6" fillId="0" borderId="1" xfId="0" applyNumberFormat="1" applyFont="1" applyFill="1" applyBorder="1" applyAlignment="1">
      <alignment horizontal="center"/>
    </xf>
    <xf numFmtId="0" fontId="2" fillId="0" borderId="8" xfId="0" applyFont="1" applyFill="1" applyBorder="1"/>
    <xf numFmtId="0" fontId="2" fillId="0" borderId="6" xfId="0" applyFont="1" applyFill="1" applyBorder="1"/>
    <xf numFmtId="0" fontId="2" fillId="0" borderId="9" xfId="0" applyFont="1" applyFill="1" applyBorder="1"/>
    <xf numFmtId="0" fontId="2" fillId="0" borderId="0" xfId="0" applyFont="1" applyFill="1" applyAlignment="1">
      <alignment horizontal="center"/>
    </xf>
    <xf numFmtId="0" fontId="6" fillId="0" borderId="0" xfId="0" applyFont="1" applyFill="1" applyBorder="1"/>
    <xf numFmtId="0" fontId="8" fillId="0" borderId="0" xfId="0" applyFont="1" applyFill="1"/>
    <xf numFmtId="0" fontId="2" fillId="0" borderId="0" xfId="0" applyFont="1"/>
    <xf numFmtId="0" fontId="0" fillId="0" borderId="0" xfId="0" applyAlignment="1">
      <alignment wrapText="1"/>
    </xf>
    <xf numFmtId="0" fontId="0" fillId="0" borderId="10" xfId="0" applyBorder="1"/>
    <xf numFmtId="0" fontId="0" fillId="0" borderId="0" xfId="0" applyBorder="1"/>
    <xf numFmtId="0" fontId="0" fillId="0" borderId="11" xfId="0" applyBorder="1"/>
    <xf numFmtId="0" fontId="0" fillId="0" borderId="12" xfId="0" applyBorder="1"/>
    <xf numFmtId="0" fontId="0" fillId="0" borderId="1" xfId="0" applyBorder="1"/>
    <xf numFmtId="0" fontId="2" fillId="0" borderId="1" xfId="0" applyFont="1" applyBorder="1" applyAlignment="1">
      <alignment horizontal="center"/>
    </xf>
    <xf numFmtId="0" fontId="2" fillId="0" borderId="1" xfId="0" applyFont="1" applyBorder="1" applyAlignment="1">
      <alignment horizontal="center" vertical="justify" wrapText="1"/>
    </xf>
    <xf numFmtId="0" fontId="9" fillId="0" borderId="1" xfId="0" applyFont="1" applyBorder="1" applyAlignment="1">
      <alignment horizontal="center"/>
    </xf>
    <xf numFmtId="0" fontId="3" fillId="0" borderId="0" xfId="0" applyFont="1" applyFill="1" applyBorder="1" applyAlignment="1">
      <alignment horizontal="center"/>
    </xf>
    <xf numFmtId="0" fontId="2" fillId="0" borderId="1" xfId="0" applyFont="1" applyFill="1" applyBorder="1" applyAlignment="1">
      <alignment wrapText="1"/>
    </xf>
    <xf numFmtId="0" fontId="0" fillId="0" borderId="0" xfId="0" applyFill="1" applyBorder="1"/>
    <xf numFmtId="0" fontId="2" fillId="0" borderId="1" xfId="0" applyFont="1" applyFill="1" applyBorder="1" applyAlignment="1">
      <alignment vertical="center" wrapText="1"/>
    </xf>
    <xf numFmtId="0" fontId="6" fillId="0" borderId="13" xfId="0" applyFont="1" applyFill="1" applyBorder="1"/>
    <xf numFmtId="0" fontId="6" fillId="0" borderId="10" xfId="0" applyFont="1" applyFill="1" applyBorder="1"/>
    <xf numFmtId="0" fontId="6" fillId="0" borderId="14" xfId="0" applyFont="1" applyFill="1" applyBorder="1"/>
    <xf numFmtId="4" fontId="6" fillId="0" borderId="1" xfId="0" applyNumberFormat="1" applyFont="1" applyFill="1" applyBorder="1"/>
    <xf numFmtId="10" fontId="6" fillId="0" borderId="1" xfId="0" applyNumberFormat="1" applyFont="1" applyFill="1" applyBorder="1"/>
    <xf numFmtId="0" fontId="4" fillId="0" borderId="1" xfId="0" applyFont="1" applyFill="1" applyBorder="1" applyAlignment="1">
      <alignment horizontal="left"/>
    </xf>
    <xf numFmtId="0" fontId="2" fillId="0" borderId="0" xfId="0" applyFont="1" applyFill="1"/>
    <xf numFmtId="0" fontId="2" fillId="0" borderId="0" xfId="0" applyFont="1" applyFill="1" applyBorder="1"/>
    <xf numFmtId="0" fontId="2" fillId="0" borderId="15" xfId="0" applyFont="1" applyFill="1" applyBorder="1"/>
    <xf numFmtId="2" fontId="3" fillId="0" borderId="6" xfId="0" applyNumberFormat="1" applyFont="1" applyFill="1" applyBorder="1" applyAlignment="1">
      <alignment horizontal="center" vertical="center" wrapText="1"/>
    </xf>
    <xf numFmtId="2" fontId="2" fillId="0" borderId="1" xfId="0" applyNumberFormat="1" applyFont="1" applyFill="1" applyBorder="1" applyAlignment="1">
      <alignment horizontal="center" vertical="center" wrapText="1"/>
    </xf>
    <xf numFmtId="169" fontId="6" fillId="0" borderId="1" xfId="0" applyNumberFormat="1" applyFont="1" applyFill="1" applyBorder="1" applyAlignment="1">
      <alignment horizontal="center"/>
    </xf>
    <xf numFmtId="3" fontId="2" fillId="2" borderId="1" xfId="0" applyNumberFormat="1" applyFont="1" applyFill="1" applyBorder="1" applyAlignment="1">
      <alignment horizontal="center"/>
    </xf>
    <xf numFmtId="4" fontId="2" fillId="0" borderId="16" xfId="0" applyNumberFormat="1" applyFont="1" applyFill="1" applyBorder="1"/>
    <xf numFmtId="10" fontId="2" fillId="0" borderId="17" xfId="0" applyNumberFormat="1" applyFont="1" applyFill="1" applyBorder="1" applyAlignment="1">
      <alignment horizontal="center"/>
    </xf>
    <xf numFmtId="10" fontId="2" fillId="0" borderId="18" xfId="0" applyNumberFormat="1" applyFont="1" applyFill="1" applyBorder="1" applyAlignment="1">
      <alignment horizontal="center"/>
    </xf>
    <xf numFmtId="0" fontId="1" fillId="0" borderId="0" xfId="0" applyFont="1"/>
    <xf numFmtId="3" fontId="0" fillId="0" borderId="1" xfId="0" applyNumberFormat="1" applyBorder="1" applyAlignment="1">
      <alignment horizontal="center"/>
    </xf>
    <xf numFmtId="2" fontId="3" fillId="0" borderId="9" xfId="0" applyNumberFormat="1" applyFont="1" applyFill="1" applyBorder="1" applyAlignment="1">
      <alignment horizontal="center" vertical="center"/>
    </xf>
    <xf numFmtId="0" fontId="6" fillId="0" borderId="12" xfId="0" applyFont="1" applyFill="1" applyBorder="1"/>
    <xf numFmtId="0" fontId="6" fillId="0" borderId="19" xfId="0" applyFont="1" applyFill="1" applyBorder="1"/>
    <xf numFmtId="10" fontId="6" fillId="0" borderId="19" xfId="0" applyNumberFormat="1" applyFont="1" applyFill="1" applyBorder="1" applyAlignment="1">
      <alignment horizontal="center"/>
    </xf>
    <xf numFmtId="10" fontId="2" fillId="0" borderId="19" xfId="0" applyNumberFormat="1" applyFont="1" applyFill="1" applyBorder="1" applyAlignment="1">
      <alignment horizontal="center"/>
    </xf>
    <xf numFmtId="10" fontId="6" fillId="0" borderId="19" xfId="0" applyNumberFormat="1" applyFont="1" applyFill="1" applyBorder="1"/>
    <xf numFmtId="10" fontId="6" fillId="0" borderId="10" xfId="0" applyNumberFormat="1" applyFont="1" applyFill="1" applyBorder="1"/>
    <xf numFmtId="10" fontId="2" fillId="0" borderId="9" xfId="0" applyNumberFormat="1" applyFont="1" applyFill="1" applyBorder="1" applyAlignment="1">
      <alignment horizontal="center"/>
    </xf>
    <xf numFmtId="0" fontId="2" fillId="0" borderId="20" xfId="0" applyFont="1" applyFill="1" applyBorder="1"/>
    <xf numFmtId="0" fontId="6" fillId="0" borderId="21" xfId="0" applyFont="1" applyFill="1" applyBorder="1"/>
    <xf numFmtId="0" fontId="6" fillId="0" borderId="20" xfId="0" applyFont="1" applyFill="1" applyBorder="1"/>
    <xf numFmtId="3" fontId="6" fillId="0" borderId="21" xfId="0" applyNumberFormat="1" applyFont="1" applyFill="1" applyBorder="1" applyAlignment="1">
      <alignment horizontal="center"/>
    </xf>
    <xf numFmtId="0" fontId="2" fillId="0" borderId="20" xfId="0" applyFont="1" applyFill="1" applyBorder="1" applyAlignment="1">
      <alignment horizontal="center"/>
    </xf>
    <xf numFmtId="0" fontId="11" fillId="3" borderId="20" xfId="0" applyFont="1" applyFill="1" applyBorder="1" applyAlignment="1">
      <alignment horizontal="left"/>
    </xf>
    <xf numFmtId="0" fontId="6" fillId="0" borderId="22" xfId="0" applyFont="1" applyFill="1" applyBorder="1"/>
    <xf numFmtId="3" fontId="6" fillId="0" borderId="22" xfId="0" applyNumberFormat="1" applyFont="1" applyFill="1" applyBorder="1" applyAlignment="1">
      <alignment horizontal="center"/>
    </xf>
    <xf numFmtId="3" fontId="2" fillId="0" borderId="22" xfId="0" applyNumberFormat="1" applyFont="1" applyFill="1" applyBorder="1" applyAlignment="1">
      <alignment horizontal="center"/>
    </xf>
    <xf numFmtId="0" fontId="6" fillId="0" borderId="22" xfId="0" applyFont="1" applyFill="1" applyBorder="1" applyAlignment="1">
      <alignment horizontal="center"/>
    </xf>
    <xf numFmtId="0" fontId="6" fillId="0" borderId="12" xfId="0" applyFont="1" applyFill="1" applyBorder="1" applyAlignment="1">
      <alignment horizontal="center"/>
    </xf>
    <xf numFmtId="0" fontId="2" fillId="0" borderId="23" xfId="0" applyFont="1" applyFill="1" applyBorder="1"/>
    <xf numFmtId="3" fontId="6" fillId="0" borderId="24" xfId="0" applyNumberFormat="1" applyFont="1" applyFill="1" applyBorder="1" applyAlignment="1">
      <alignment horizontal="center"/>
    </xf>
    <xf numFmtId="3" fontId="6" fillId="0" borderId="25" xfId="0" applyNumberFormat="1" applyFont="1" applyFill="1" applyBorder="1" applyAlignment="1">
      <alignment horizontal="center"/>
    </xf>
    <xf numFmtId="10" fontId="12" fillId="0" borderId="1" xfId="0" applyNumberFormat="1" applyFont="1" applyFill="1" applyBorder="1" applyAlignment="1">
      <alignment horizontal="center"/>
    </xf>
    <xf numFmtId="4" fontId="12" fillId="0" borderId="1" xfId="0" applyNumberFormat="1" applyFont="1" applyFill="1" applyBorder="1"/>
    <xf numFmtId="0" fontId="2" fillId="0" borderId="0" xfId="0" applyFont="1" applyAlignment="1">
      <alignment horizontal="right"/>
    </xf>
    <xf numFmtId="3" fontId="2" fillId="0" borderId="1" xfId="0" applyNumberFormat="1" applyFont="1" applyBorder="1" applyAlignment="1">
      <alignment horizontal="center"/>
    </xf>
    <xf numFmtId="0" fontId="2" fillId="3" borderId="1" xfId="0" applyFont="1" applyFill="1" applyBorder="1" applyAlignment="1">
      <alignment horizontal="center"/>
    </xf>
    <xf numFmtId="3" fontId="2" fillId="3" borderId="1" xfId="0" applyNumberFormat="1" applyFont="1" applyFill="1" applyBorder="1" applyAlignment="1">
      <alignment horizontal="center"/>
    </xf>
    <xf numFmtId="3" fontId="9" fillId="4" borderId="4" xfId="0" applyNumberFormat="1" applyFont="1" applyFill="1" applyBorder="1" applyAlignment="1">
      <alignment horizontal="center"/>
    </xf>
    <xf numFmtId="3" fontId="2" fillId="4" borderId="9" xfId="0" applyNumberFormat="1" applyFont="1" applyFill="1" applyBorder="1" applyAlignment="1">
      <alignment horizontal="center"/>
    </xf>
    <xf numFmtId="0" fontId="14" fillId="0" borderId="0" xfId="0" applyFont="1" applyFill="1"/>
    <xf numFmtId="0" fontId="15" fillId="0" borderId="0" xfId="0" applyFont="1" applyFill="1" applyBorder="1" applyAlignment="1">
      <alignment horizontal="center"/>
    </xf>
    <xf numFmtId="0" fontId="11" fillId="0" borderId="0" xfId="0" applyFont="1"/>
    <xf numFmtId="0" fontId="11" fillId="0" borderId="0" xfId="0" applyFont="1" applyFill="1"/>
    <xf numFmtId="0" fontId="15" fillId="0" borderId="1" xfId="0" applyFont="1" applyFill="1" applyBorder="1" applyAlignment="1">
      <alignment horizontal="center"/>
    </xf>
    <xf numFmtId="2" fontId="15" fillId="0" borderId="1" xfId="0" applyNumberFormat="1" applyFont="1" applyFill="1" applyBorder="1" applyAlignment="1">
      <alignment horizontal="center" vertical="center" wrapText="1"/>
    </xf>
    <xf numFmtId="0" fontId="16" fillId="0" borderId="1" xfId="0" applyFont="1" applyFill="1" applyBorder="1"/>
    <xf numFmtId="0" fontId="11" fillId="0" borderId="1" xfId="0" applyFont="1" applyFill="1" applyBorder="1"/>
    <xf numFmtId="3" fontId="11" fillId="0" borderId="1" xfId="0" applyNumberFormat="1" applyFont="1" applyFill="1" applyBorder="1" applyAlignment="1">
      <alignment horizontal="center"/>
    </xf>
    <xf numFmtId="169" fontId="11" fillId="0" borderId="1" xfId="0" applyNumberFormat="1" applyFont="1" applyFill="1" applyBorder="1" applyAlignment="1">
      <alignment horizontal="center"/>
    </xf>
    <xf numFmtId="168" fontId="11" fillId="0" borderId="26" xfId="0" applyNumberFormat="1" applyFont="1" applyFill="1" applyBorder="1"/>
    <xf numFmtId="3" fontId="15" fillId="0" borderId="1" xfId="0" applyNumberFormat="1" applyFont="1" applyFill="1" applyBorder="1" applyAlignment="1">
      <alignment horizontal="center"/>
    </xf>
    <xf numFmtId="168" fontId="15" fillId="0" borderId="26" xfId="0" applyNumberFormat="1" applyFont="1" applyFill="1" applyBorder="1"/>
    <xf numFmtId="0" fontId="16" fillId="0" borderId="1" xfId="0" applyFont="1" applyFill="1" applyBorder="1" applyAlignment="1">
      <alignment horizontal="left"/>
    </xf>
    <xf numFmtId="0" fontId="11" fillId="0" borderId="1" xfId="0" applyFont="1" applyFill="1" applyBorder="1" applyAlignment="1">
      <alignment horizontal="left"/>
    </xf>
    <xf numFmtId="0" fontId="15" fillId="0" borderId="1" xfId="0" applyFont="1" applyFill="1" applyBorder="1" applyAlignment="1">
      <alignment horizontal="left"/>
    </xf>
    <xf numFmtId="0" fontId="6" fillId="0" borderId="1" xfId="0" applyFont="1" applyBorder="1"/>
    <xf numFmtId="169" fontId="0" fillId="0" borderId="1" xfId="0" applyNumberFormat="1" applyBorder="1" applyAlignment="1">
      <alignment horizontal="center"/>
    </xf>
    <xf numFmtId="3" fontId="11" fillId="3" borderId="1" xfId="0" applyNumberFormat="1" applyFont="1" applyFill="1" applyBorder="1" applyAlignment="1">
      <alignment horizontal="center"/>
    </xf>
    <xf numFmtId="0" fontId="2" fillId="0" borderId="1" xfId="0" applyFont="1" applyBorder="1"/>
    <xf numFmtId="0" fontId="21" fillId="0" borderId="0" xfId="0" applyFont="1"/>
    <xf numFmtId="0" fontId="22" fillId="0" borderId="1" xfId="0" applyFont="1" applyBorder="1" applyAlignment="1">
      <alignment horizontal="center" wrapText="1"/>
    </xf>
    <xf numFmtId="0" fontId="22" fillId="0" borderId="1" xfId="0" applyFont="1" applyBorder="1" applyAlignment="1">
      <alignment horizontal="center"/>
    </xf>
    <xf numFmtId="0" fontId="23" fillId="0" borderId="1" xfId="0" applyFont="1" applyBorder="1" applyAlignment="1">
      <alignment vertical="center" wrapText="1"/>
    </xf>
    <xf numFmtId="0" fontId="23" fillId="0" borderId="1" xfId="0" applyFont="1" applyBorder="1" applyAlignment="1">
      <alignment wrapText="1"/>
    </xf>
    <xf numFmtId="0" fontId="23" fillId="0" borderId="1" xfId="0" applyFont="1" applyBorder="1" applyAlignment="1">
      <alignment horizontal="center" vertical="center" wrapText="1"/>
    </xf>
    <xf numFmtId="0" fontId="23" fillId="0" borderId="1" xfId="0" applyFont="1" applyBorder="1" applyAlignment="1">
      <alignment horizontal="left" vertical="center" wrapText="1"/>
    </xf>
    <xf numFmtId="3" fontId="7" fillId="0" borderId="0" xfId="0" applyNumberFormat="1" applyFont="1" applyFill="1" applyBorder="1" applyAlignment="1">
      <alignment horizontal="center"/>
    </xf>
    <xf numFmtId="0" fontId="2" fillId="0" borderId="0" xfId="0" applyFont="1" applyAlignment="1">
      <alignment horizontal="center"/>
    </xf>
    <xf numFmtId="2" fontId="3" fillId="0" borderId="1" xfId="0" applyNumberFormat="1" applyFont="1" applyFill="1" applyBorder="1" applyAlignment="1">
      <alignment horizontal="center" vertical="center"/>
    </xf>
    <xf numFmtId="169" fontId="0" fillId="0" borderId="0" xfId="0" applyNumberFormat="1"/>
    <xf numFmtId="169" fontId="6" fillId="0" borderId="1" xfId="0" applyNumberFormat="1" applyFont="1" applyBorder="1"/>
    <xf numFmtId="169" fontId="0" fillId="0" borderId="1" xfId="0" applyNumberFormat="1" applyBorder="1"/>
    <xf numFmtId="169" fontId="2" fillId="0" borderId="1" xfId="0" applyNumberFormat="1" applyFont="1" applyBorder="1" applyAlignment="1">
      <alignment horizontal="center"/>
    </xf>
    <xf numFmtId="169" fontId="2" fillId="0" borderId="1" xfId="0" applyNumberFormat="1" applyFont="1" applyBorder="1"/>
    <xf numFmtId="0" fontId="6" fillId="0" borderId="0" xfId="0" applyFont="1" applyFill="1" applyBorder="1" applyAlignment="1">
      <alignment horizontal="center"/>
    </xf>
    <xf numFmtId="2" fontId="3" fillId="0" borderId="0" xfId="0" applyNumberFormat="1" applyFont="1" applyFill="1" applyBorder="1" applyAlignment="1">
      <alignment horizontal="center" vertical="center"/>
    </xf>
    <xf numFmtId="3" fontId="6" fillId="0" borderId="0" xfId="0" applyNumberFormat="1" applyFont="1" applyFill="1" applyBorder="1" applyAlignment="1">
      <alignment horizontal="center"/>
    </xf>
    <xf numFmtId="10" fontId="6" fillId="0" borderId="0" xfId="0" applyNumberFormat="1" applyFont="1" applyFill="1" applyBorder="1" applyAlignment="1">
      <alignment horizontal="center"/>
    </xf>
    <xf numFmtId="169" fontId="6" fillId="0" borderId="0" xfId="0" applyNumberFormat="1" applyFont="1" applyFill="1" applyBorder="1" applyAlignment="1">
      <alignment horizontal="center"/>
    </xf>
    <xf numFmtId="10" fontId="6" fillId="0" borderId="0" xfId="0" applyNumberFormat="1" applyFont="1" applyFill="1" applyBorder="1"/>
    <xf numFmtId="0" fontId="11" fillId="3" borderId="0" xfId="0" applyFont="1" applyFill="1" applyBorder="1" applyAlignment="1">
      <alignment horizontal="left"/>
    </xf>
    <xf numFmtId="3" fontId="2" fillId="4" borderId="0" xfId="0" applyNumberFormat="1" applyFont="1" applyFill="1" applyBorder="1" applyAlignment="1">
      <alignment horizontal="center"/>
    </xf>
    <xf numFmtId="0" fontId="0" fillId="0" borderId="27" xfId="0" applyBorder="1"/>
    <xf numFmtId="0" fontId="1" fillId="3" borderId="1" xfId="0" applyFont="1" applyFill="1" applyBorder="1" applyAlignment="1">
      <alignment horizontal="justify" vertical="top" wrapText="1"/>
    </xf>
    <xf numFmtId="3" fontId="1" fillId="3" borderId="1" xfId="0" applyNumberFormat="1" applyFont="1" applyFill="1" applyBorder="1" applyAlignment="1">
      <alignment horizontal="center" vertical="center"/>
    </xf>
    <xf numFmtId="4" fontId="0" fillId="0" borderId="0" xfId="0" applyNumberFormat="1"/>
    <xf numFmtId="0" fontId="2" fillId="3" borderId="1" xfId="0" applyFont="1" applyFill="1" applyBorder="1" applyAlignment="1">
      <alignment horizontal="center" vertical="top" wrapText="1"/>
    </xf>
    <xf numFmtId="0" fontId="1" fillId="0" borderId="0" xfId="0" applyFont="1" applyFill="1"/>
    <xf numFmtId="0" fontId="15" fillId="6" borderId="1" xfId="0" applyFont="1" applyFill="1" applyBorder="1"/>
    <xf numFmtId="0" fontId="11" fillId="6" borderId="1" xfId="0" applyFont="1" applyFill="1" applyBorder="1"/>
    <xf numFmtId="3" fontId="11" fillId="0" borderId="1" xfId="0" applyNumberFormat="1" applyFont="1" applyFill="1" applyBorder="1"/>
    <xf numFmtId="0" fontId="15" fillId="6" borderId="1" xfId="0" applyFont="1" applyFill="1" applyBorder="1" applyAlignment="1">
      <alignment horizontal="left"/>
    </xf>
    <xf numFmtId="3" fontId="11" fillId="6" borderId="1" xfId="0" applyNumberFormat="1" applyFont="1" applyFill="1" applyBorder="1"/>
    <xf numFmtId="168" fontId="11" fillId="6" borderId="26" xfId="0" applyNumberFormat="1" applyFont="1" applyFill="1" applyBorder="1"/>
    <xf numFmtId="0" fontId="11" fillId="0" borderId="1" xfId="0" applyFont="1" applyFill="1" applyBorder="1" applyAlignment="1">
      <alignment horizontal="left" vertical="center"/>
    </xf>
    <xf numFmtId="9" fontId="11" fillId="0" borderId="1" xfId="0" applyNumberFormat="1" applyFont="1" applyFill="1" applyBorder="1" applyAlignment="1">
      <alignment horizontal="center"/>
    </xf>
    <xf numFmtId="3" fontId="15" fillId="7" borderId="1" xfId="0" applyNumberFormat="1" applyFont="1" applyFill="1" applyBorder="1" applyAlignment="1">
      <alignment horizontal="center"/>
    </xf>
    <xf numFmtId="0" fontId="15" fillId="0" borderId="0" xfId="0" applyFont="1" applyFill="1" applyBorder="1" applyAlignment="1">
      <alignment horizontal="left"/>
    </xf>
    <xf numFmtId="3" fontId="11" fillId="0" borderId="0" xfId="0" applyNumberFormat="1" applyFont="1" applyFill="1" applyBorder="1" applyAlignment="1">
      <alignment horizontal="center"/>
    </xf>
    <xf numFmtId="3" fontId="15" fillId="0" borderId="0" xfId="0" applyNumberFormat="1" applyFont="1" applyFill="1" applyBorder="1" applyAlignment="1">
      <alignment horizontal="center"/>
    </xf>
    <xf numFmtId="168" fontId="15" fillId="0" borderId="0" xfId="0" applyNumberFormat="1" applyFont="1" applyFill="1" applyBorder="1"/>
    <xf numFmtId="0" fontId="1" fillId="0" borderId="1" xfId="0" applyFont="1" applyFill="1" applyBorder="1"/>
    <xf numFmtId="3" fontId="1" fillId="0" borderId="1" xfId="0" applyNumberFormat="1" applyFont="1" applyFill="1" applyBorder="1" applyAlignment="1">
      <alignment horizontal="center" vertical="center"/>
    </xf>
    <xf numFmtId="0" fontId="1" fillId="0" borderId="1" xfId="0" applyFont="1" applyFill="1" applyBorder="1" applyAlignment="1">
      <alignment vertical="center" wrapText="1"/>
    </xf>
    <xf numFmtId="0" fontId="1" fillId="0" borderId="1" xfId="0" applyFont="1" applyBorder="1" applyAlignment="1">
      <alignment horizontal="center" vertical="center"/>
    </xf>
    <xf numFmtId="3" fontId="1" fillId="0" borderId="1" xfId="2" applyNumberFormat="1" applyFont="1" applyBorder="1" applyAlignment="1">
      <alignment horizontal="center" vertical="center"/>
    </xf>
    <xf numFmtId="0" fontId="0" fillId="0" borderId="1" xfId="0" applyBorder="1" applyAlignment="1">
      <alignment horizontal="center" vertical="center"/>
    </xf>
    <xf numFmtId="0" fontId="1" fillId="0" borderId="1" xfId="0" applyFont="1" applyFill="1" applyBorder="1" applyAlignment="1">
      <alignment horizontal="center" vertical="center"/>
    </xf>
    <xf numFmtId="169" fontId="1" fillId="0" borderId="1" xfId="0" applyNumberFormat="1" applyFont="1" applyBorder="1" applyAlignment="1">
      <alignment horizontal="center" vertical="center"/>
    </xf>
    <xf numFmtId="0" fontId="1" fillId="0" borderId="1" xfId="0" applyFont="1" applyFill="1" applyBorder="1" applyAlignment="1">
      <alignment horizontal="center"/>
    </xf>
    <xf numFmtId="0" fontId="1" fillId="0" borderId="1" xfId="0" applyFont="1" applyBorder="1" applyAlignment="1">
      <alignment horizontal="center" vertical="center" wrapText="1"/>
    </xf>
    <xf numFmtId="173" fontId="1" fillId="0" borderId="1" xfId="0" applyNumberFormat="1" applyFont="1" applyBorder="1" applyAlignment="1">
      <alignment horizontal="center" vertical="center"/>
    </xf>
    <xf numFmtId="3" fontId="2" fillId="7" borderId="1" xfId="2" applyNumberFormat="1" applyFont="1" applyFill="1" applyBorder="1" applyAlignment="1">
      <alignment horizontal="center" vertical="center"/>
    </xf>
    <xf numFmtId="0" fontId="1" fillId="0" borderId="13" xfId="0" applyFont="1" applyFill="1" applyBorder="1"/>
    <xf numFmtId="0" fontId="1" fillId="0" borderId="10" xfId="0" applyFont="1" applyFill="1" applyBorder="1"/>
    <xf numFmtId="0" fontId="1" fillId="0" borderId="28" xfId="0" applyFont="1" applyFill="1" applyBorder="1"/>
    <xf numFmtId="0" fontId="1" fillId="0" borderId="16" xfId="0" applyFont="1" applyFill="1" applyBorder="1"/>
    <xf numFmtId="0" fontId="1" fillId="0" borderId="17" xfId="0" applyFont="1" applyFill="1" applyBorder="1"/>
    <xf numFmtId="3" fontId="1" fillId="0" borderId="1" xfId="0" applyNumberFormat="1" applyFont="1" applyFill="1" applyBorder="1" applyAlignment="1">
      <alignment horizontal="center"/>
    </xf>
    <xf numFmtId="169" fontId="1" fillId="0" borderId="1" xfId="0" applyNumberFormat="1" applyFont="1" applyFill="1" applyBorder="1" applyAlignment="1">
      <alignment horizontal="center"/>
    </xf>
    <xf numFmtId="4" fontId="1" fillId="0" borderId="16" xfId="0" applyNumberFormat="1" applyFont="1" applyFill="1" applyBorder="1"/>
    <xf numFmtId="10" fontId="1" fillId="0" borderId="17" xfId="0" applyNumberFormat="1" applyFont="1" applyFill="1" applyBorder="1" applyAlignment="1">
      <alignment horizontal="center"/>
    </xf>
    <xf numFmtId="3" fontId="0" fillId="0" borderId="0" xfId="0" applyNumberFormat="1" applyAlignment="1">
      <alignment horizontal="center"/>
    </xf>
    <xf numFmtId="10" fontId="1" fillId="0" borderId="17" xfId="0" applyNumberFormat="1" applyFont="1" applyFill="1" applyBorder="1"/>
    <xf numFmtId="10" fontId="1" fillId="0" borderId="1" xfId="0" applyNumberFormat="1" applyFont="1" applyFill="1" applyBorder="1" applyAlignment="1">
      <alignment horizontal="center"/>
    </xf>
    <xf numFmtId="10" fontId="1" fillId="0" borderId="1" xfId="0" applyNumberFormat="1" applyFont="1" applyFill="1" applyBorder="1"/>
    <xf numFmtId="0" fontId="1" fillId="8" borderId="1" xfId="0" applyFont="1" applyFill="1" applyBorder="1"/>
    <xf numFmtId="3" fontId="2" fillId="7" borderId="1" xfId="0" applyNumberFormat="1" applyFont="1" applyFill="1" applyBorder="1" applyAlignment="1">
      <alignment horizontal="center"/>
    </xf>
    <xf numFmtId="0" fontId="1" fillId="0" borderId="14" xfId="0" applyFont="1" applyFill="1" applyBorder="1"/>
    <xf numFmtId="0" fontId="1" fillId="0" borderId="1" xfId="0" applyFont="1" applyFill="1" applyBorder="1" applyAlignment="1">
      <alignment horizontal="left" indent="2"/>
    </xf>
    <xf numFmtId="3" fontId="1" fillId="8" borderId="1" xfId="0" applyNumberFormat="1" applyFont="1" applyFill="1" applyBorder="1" applyAlignment="1">
      <alignment horizontal="center"/>
    </xf>
    <xf numFmtId="3" fontId="1" fillId="0" borderId="2" xfId="0" applyNumberFormat="1" applyFont="1" applyFill="1" applyBorder="1" applyAlignment="1">
      <alignment horizontal="center"/>
    </xf>
    <xf numFmtId="0" fontId="1" fillId="0" borderId="13" xfId="0" applyFont="1" applyFill="1" applyBorder="1" applyAlignment="1">
      <alignment horizontal="center"/>
    </xf>
    <xf numFmtId="10" fontId="1" fillId="0" borderId="29" xfId="0" applyNumberFormat="1" applyFont="1" applyFill="1" applyBorder="1"/>
    <xf numFmtId="0" fontId="1" fillId="0" borderId="0" xfId="0" applyFont="1" applyFill="1" applyAlignment="1">
      <alignment horizontal="center"/>
    </xf>
    <xf numFmtId="10" fontId="1" fillId="0" borderId="0" xfId="0" applyNumberFormat="1" applyFont="1" applyFill="1"/>
    <xf numFmtId="0" fontId="1" fillId="0" borderId="6" xfId="0" applyFont="1" applyFill="1" applyBorder="1"/>
    <xf numFmtId="3" fontId="2" fillId="7" borderId="4" xfId="0" applyNumberFormat="1" applyFont="1" applyFill="1" applyBorder="1" applyAlignment="1">
      <alignment horizontal="center"/>
    </xf>
    <xf numFmtId="0" fontId="12" fillId="0" borderId="0" xfId="0" applyFont="1"/>
    <xf numFmtId="169" fontId="1" fillId="3" borderId="1" xfId="0" applyNumberFormat="1" applyFont="1" applyFill="1" applyBorder="1" applyAlignment="1">
      <alignment horizontal="center" vertical="center"/>
    </xf>
    <xf numFmtId="0" fontId="0" fillId="0" borderId="30" xfId="0" applyBorder="1"/>
    <xf numFmtId="0" fontId="1" fillId="0" borderId="10" xfId="0" applyFont="1" applyBorder="1"/>
    <xf numFmtId="0" fontId="2" fillId="0" borderId="31" xfId="0" applyFont="1" applyBorder="1"/>
    <xf numFmtId="3" fontId="7" fillId="0" borderId="11" xfId="0" applyNumberFormat="1" applyFont="1" applyBorder="1"/>
    <xf numFmtId="0" fontId="2" fillId="7" borderId="4" xfId="0" applyFont="1" applyFill="1" applyBorder="1"/>
    <xf numFmtId="3" fontId="1" fillId="8" borderId="1" xfId="0" applyNumberFormat="1" applyFont="1" applyFill="1" applyBorder="1" applyAlignment="1">
      <alignment horizontal="center" vertical="center"/>
    </xf>
    <xf numFmtId="0" fontId="1" fillId="0" borderId="1" xfId="0" applyFont="1" applyBorder="1" applyAlignment="1">
      <alignment vertical="top" wrapText="1"/>
    </xf>
    <xf numFmtId="3" fontId="15" fillId="8" borderId="0" xfId="0" applyNumberFormat="1" applyFont="1" applyFill="1" applyBorder="1" applyAlignment="1">
      <alignment horizontal="center"/>
    </xf>
    <xf numFmtId="0" fontId="11" fillId="8" borderId="0" xfId="0" applyFont="1" applyFill="1"/>
    <xf numFmtId="0" fontId="15" fillId="8" borderId="0" xfId="0" applyFont="1" applyFill="1" applyBorder="1" applyAlignment="1">
      <alignment horizontal="center"/>
    </xf>
    <xf numFmtId="0" fontId="11" fillId="0" borderId="2" xfId="0" applyFont="1" applyFill="1" applyBorder="1" applyAlignment="1">
      <alignment horizontal="left"/>
    </xf>
    <xf numFmtId="3" fontId="11" fillId="0" borderId="2" xfId="0" applyNumberFormat="1" applyFont="1" applyFill="1" applyBorder="1" applyAlignment="1">
      <alignment horizontal="center"/>
    </xf>
    <xf numFmtId="168" fontId="11" fillId="0" borderId="32" xfId="0" applyNumberFormat="1" applyFont="1" applyFill="1" applyBorder="1"/>
    <xf numFmtId="0" fontId="17" fillId="3" borderId="0" xfId="0" applyFont="1" applyFill="1" applyBorder="1"/>
    <xf numFmtId="0" fontId="0" fillId="3" borderId="0" xfId="0" applyFill="1" applyBorder="1"/>
    <xf numFmtId="0" fontId="15" fillId="3" borderId="0" xfId="0" applyFont="1" applyFill="1" applyBorder="1"/>
    <xf numFmtId="0" fontId="11" fillId="3" borderId="0" xfId="0" applyFont="1" applyFill="1" applyBorder="1" applyAlignment="1">
      <alignment horizontal="center"/>
    </xf>
    <xf numFmtId="4" fontId="15" fillId="3" borderId="0" xfId="0" applyNumberFormat="1" applyFont="1" applyFill="1" applyBorder="1" applyAlignment="1">
      <alignment horizontal="center"/>
    </xf>
    <xf numFmtId="0" fontId="11" fillId="3" borderId="0" xfId="0" applyFont="1" applyFill="1" applyBorder="1"/>
    <xf numFmtId="0" fontId="1" fillId="0" borderId="1" xfId="0" applyFont="1" applyBorder="1"/>
    <xf numFmtId="3" fontId="0" fillId="0" borderId="1" xfId="0" applyNumberFormat="1" applyBorder="1"/>
    <xf numFmtId="167" fontId="0" fillId="0" borderId="0" xfId="2" applyFont="1"/>
    <xf numFmtId="0" fontId="2" fillId="0" borderId="1" xfId="0" applyFont="1" applyFill="1" applyBorder="1" applyAlignment="1">
      <alignment horizontal="center" wrapText="1"/>
    </xf>
    <xf numFmtId="0" fontId="1" fillId="0" borderId="1" xfId="0" applyFont="1" applyFill="1" applyBorder="1" applyAlignment="1">
      <alignment wrapText="1"/>
    </xf>
    <xf numFmtId="3" fontId="1" fillId="0" borderId="1" xfId="0" applyNumberFormat="1" applyFont="1" applyFill="1" applyBorder="1" applyAlignment="1">
      <alignment horizontal="center" wrapText="1"/>
    </xf>
    <xf numFmtId="171" fontId="1" fillId="0" borderId="1" xfId="2" applyNumberFormat="1" applyFont="1" applyFill="1" applyBorder="1" applyAlignment="1">
      <alignment horizontal="center"/>
    </xf>
    <xf numFmtId="0" fontId="4" fillId="0" borderId="1" xfId="0" applyFont="1" applyFill="1" applyBorder="1" applyAlignment="1">
      <alignment horizontal="left" wrapText="1"/>
    </xf>
    <xf numFmtId="0" fontId="4" fillId="3" borderId="1" xfId="0" applyFont="1" applyFill="1" applyBorder="1" applyAlignment="1">
      <alignment horizontal="left" wrapText="1"/>
    </xf>
    <xf numFmtId="4" fontId="1" fillId="0" borderId="1" xfId="0" applyNumberFormat="1" applyFont="1" applyFill="1" applyBorder="1"/>
    <xf numFmtId="171" fontId="0" fillId="0" borderId="0" xfId="2" applyNumberFormat="1" applyFont="1"/>
    <xf numFmtId="0" fontId="1" fillId="0" borderId="26" xfId="0" applyFont="1" applyFill="1" applyBorder="1"/>
    <xf numFmtId="3" fontId="1" fillId="0" borderId="26" xfId="0" applyNumberFormat="1" applyFont="1" applyFill="1" applyBorder="1" applyAlignment="1">
      <alignment horizontal="center"/>
    </xf>
    <xf numFmtId="0" fontId="0" fillId="0" borderId="0" xfId="0" applyAlignment="1">
      <alignment horizontal="center" vertical="center"/>
    </xf>
    <xf numFmtId="3" fontId="9" fillId="7" borderId="0" xfId="0" applyNumberFormat="1" applyFont="1" applyFill="1" applyBorder="1" applyAlignment="1">
      <alignment horizontal="center"/>
    </xf>
    <xf numFmtId="3" fontId="2" fillId="7" borderId="0" xfId="0" applyNumberFormat="1" applyFont="1" applyFill="1"/>
    <xf numFmtId="3" fontId="15" fillId="7" borderId="4" xfId="0" applyNumberFormat="1" applyFont="1" applyFill="1" applyBorder="1" applyAlignment="1">
      <alignment horizontal="center"/>
    </xf>
    <xf numFmtId="3" fontId="2" fillId="7" borderId="9" xfId="0" applyNumberFormat="1" applyFont="1" applyFill="1" applyBorder="1" applyAlignment="1">
      <alignment horizontal="center"/>
    </xf>
    <xf numFmtId="3" fontId="7" fillId="7" borderId="4" xfId="0" applyNumberFormat="1" applyFont="1" applyFill="1" applyBorder="1" applyAlignment="1">
      <alignment horizontal="center"/>
    </xf>
    <xf numFmtId="0" fontId="1" fillId="7" borderId="0" xfId="0" applyFont="1" applyFill="1"/>
    <xf numFmtId="0" fontId="1" fillId="0" borderId="0" xfId="0" applyFont="1" applyFill="1" applyBorder="1" applyAlignment="1">
      <alignment horizontal="center"/>
    </xf>
    <xf numFmtId="0" fontId="15" fillId="8" borderId="0" xfId="0" applyFont="1" applyFill="1" applyBorder="1" applyAlignment="1">
      <alignment horizontal="center"/>
    </xf>
    <xf numFmtId="0" fontId="15" fillId="0" borderId="16" xfId="0" applyFont="1" applyFill="1" applyBorder="1" applyAlignment="1">
      <alignment horizontal="center"/>
    </xf>
    <xf numFmtId="0" fontId="28" fillId="0" borderId="0" xfId="0" applyFont="1"/>
    <xf numFmtId="0" fontId="29" fillId="6" borderId="1" xfId="0" applyFont="1" applyFill="1" applyBorder="1" applyAlignment="1">
      <alignment horizontal="left" vertical="center"/>
    </xf>
    <xf numFmtId="0" fontId="28" fillId="0" borderId="16" xfId="0" applyFont="1" applyBorder="1" applyAlignment="1">
      <alignment horizontal="center" vertical="center"/>
    </xf>
    <xf numFmtId="0" fontId="19" fillId="0" borderId="1" xfId="16" applyFont="1" applyBorder="1"/>
    <xf numFmtId="175" fontId="28" fillId="0" borderId="1" xfId="0" applyNumberFormat="1" applyFont="1" applyBorder="1" applyAlignment="1">
      <alignment horizontal="center" vertical="center"/>
    </xf>
    <xf numFmtId="0" fontId="29" fillId="6" borderId="1" xfId="0" applyFont="1" applyFill="1" applyBorder="1" applyAlignment="1">
      <alignment horizontal="left"/>
    </xf>
    <xf numFmtId="175" fontId="28" fillId="0" borderId="16" xfId="0" applyNumberFormat="1" applyFont="1" applyBorder="1" applyAlignment="1">
      <alignment horizontal="center" vertical="center"/>
    </xf>
    <xf numFmtId="0" fontId="19" fillId="0" borderId="1" xfId="16" applyFont="1" applyBorder="1" applyAlignment="1">
      <alignment wrapText="1"/>
    </xf>
    <xf numFmtId="0" fontId="29" fillId="6" borderId="1" xfId="0" applyFont="1" applyFill="1" applyBorder="1" applyAlignment="1">
      <alignment vertical="center"/>
    </xf>
    <xf numFmtId="0" fontId="29" fillId="6" borderId="1" xfId="0" applyFont="1" applyFill="1" applyBorder="1" applyAlignment="1">
      <alignment vertical="center" wrapText="1"/>
    </xf>
    <xf numFmtId="0" fontId="29" fillId="0" borderId="0" xfId="0" applyFont="1" applyFill="1" applyBorder="1" applyAlignment="1">
      <alignment vertical="center" wrapText="1"/>
    </xf>
    <xf numFmtId="0" fontId="28" fillId="0" borderId="0" xfId="0" applyFont="1" applyBorder="1" applyAlignment="1">
      <alignment horizontal="center" vertical="center"/>
    </xf>
    <xf numFmtId="0" fontId="20" fillId="0" borderId="1" xfId="16" applyFont="1" applyBorder="1" applyAlignment="1">
      <alignment wrapText="1"/>
    </xf>
    <xf numFmtId="0" fontId="13" fillId="3" borderId="1" xfId="17" applyFont="1" applyFill="1" applyBorder="1"/>
    <xf numFmtId="10" fontId="13" fillId="3" borderId="1" xfId="22" applyNumberFormat="1" applyFont="1" applyFill="1" applyBorder="1"/>
    <xf numFmtId="0" fontId="19" fillId="0" borderId="0" xfId="16" applyFont="1" applyFill="1" applyBorder="1" applyAlignment="1" applyProtection="1">
      <alignment horizontal="left" vertical="center" indent="1"/>
      <protection hidden="1"/>
    </xf>
    <xf numFmtId="10" fontId="19" fillId="0" borderId="0" xfId="16" applyNumberFormat="1" applyFont="1" applyFill="1" applyBorder="1"/>
    <xf numFmtId="0" fontId="13" fillId="0" borderId="1" xfId="17" applyFont="1" applyFill="1" applyBorder="1"/>
    <xf numFmtId="168" fontId="13" fillId="3" borderId="1" xfId="22" applyNumberFormat="1" applyFont="1" applyFill="1" applyBorder="1"/>
    <xf numFmtId="0" fontId="13" fillId="3" borderId="1" xfId="17" applyFont="1" applyFill="1" applyBorder="1" applyAlignment="1">
      <alignment wrapText="1"/>
    </xf>
    <xf numFmtId="0" fontId="28" fillId="0" borderId="1" xfId="0" applyFont="1" applyBorder="1"/>
    <xf numFmtId="10" fontId="28" fillId="0" borderId="1" xfId="0" applyNumberFormat="1" applyFont="1" applyBorder="1"/>
    <xf numFmtId="0" fontId="28" fillId="0" borderId="1" xfId="0" applyFont="1" applyBorder="1" applyAlignment="1">
      <alignment horizontal="center" vertical="center"/>
    </xf>
    <xf numFmtId="0" fontId="28" fillId="0" borderId="1" xfId="0" applyFont="1" applyFill="1" applyBorder="1"/>
    <xf numFmtId="0" fontId="28" fillId="0" borderId="26" xfId="0" applyFont="1" applyBorder="1"/>
    <xf numFmtId="0" fontId="28" fillId="6" borderId="26" xfId="0" applyFont="1" applyFill="1" applyBorder="1" applyAlignment="1">
      <alignment horizontal="center"/>
    </xf>
    <xf numFmtId="0" fontId="29" fillId="6" borderId="26" xfId="0" applyFont="1" applyFill="1" applyBorder="1" applyAlignment="1">
      <alignment horizontal="center"/>
    </xf>
    <xf numFmtId="3" fontId="0" fillId="0" borderId="0" xfId="0" applyNumberFormat="1" applyAlignment="1">
      <alignment horizontal="center" vertical="center"/>
    </xf>
    <xf numFmtId="174" fontId="0" fillId="0" borderId="0" xfId="0" applyNumberFormat="1"/>
    <xf numFmtId="176" fontId="0" fillId="0" borderId="0" xfId="0" applyNumberFormat="1"/>
    <xf numFmtId="0" fontId="1" fillId="0" borderId="16" xfId="0" applyFont="1" applyBorder="1"/>
    <xf numFmtId="0" fontId="0" fillId="0" borderId="16" xfId="0" applyBorder="1"/>
    <xf numFmtId="0" fontId="2" fillId="0" borderId="1" xfId="0" applyFont="1" applyBorder="1" applyAlignment="1">
      <alignment vertical="center"/>
    </xf>
    <xf numFmtId="169" fontId="1" fillId="0" borderId="1" xfId="0" applyNumberFormat="1" applyFont="1" applyFill="1" applyBorder="1"/>
    <xf numFmtId="2" fontId="3" fillId="0" borderId="8" xfId="0" applyNumberFormat="1" applyFont="1" applyFill="1" applyBorder="1" applyAlignment="1">
      <alignment horizontal="center" vertical="center"/>
    </xf>
    <xf numFmtId="0" fontId="1" fillId="0" borderId="30" xfId="0" applyFont="1" applyFill="1" applyBorder="1"/>
    <xf numFmtId="0" fontId="1" fillId="0" borderId="34" xfId="0" applyFont="1" applyFill="1" applyBorder="1"/>
    <xf numFmtId="10" fontId="1" fillId="0" borderId="34" xfId="0" applyNumberFormat="1" applyFont="1" applyFill="1" applyBorder="1" applyAlignment="1">
      <alignment horizontal="center"/>
    </xf>
    <xf numFmtId="10" fontId="2" fillId="0" borderId="34" xfId="0" applyNumberFormat="1" applyFont="1" applyFill="1" applyBorder="1" applyAlignment="1">
      <alignment horizontal="center"/>
    </xf>
    <xf numFmtId="10" fontId="1" fillId="0" borderId="34" xfId="0" applyNumberFormat="1" applyFont="1" applyFill="1" applyBorder="1"/>
    <xf numFmtId="10" fontId="2" fillId="0" borderId="35" xfId="0" applyNumberFormat="1" applyFont="1" applyFill="1" applyBorder="1" applyAlignment="1">
      <alignment horizontal="center"/>
    </xf>
    <xf numFmtId="10" fontId="2" fillId="0" borderId="8" xfId="0" applyNumberFormat="1" applyFont="1" applyFill="1" applyBorder="1" applyAlignment="1">
      <alignment horizontal="center"/>
    </xf>
    <xf numFmtId="3" fontId="30" fillId="0" borderId="1" xfId="0" applyNumberFormat="1" applyFont="1" applyFill="1" applyBorder="1" applyAlignment="1">
      <alignment horizontal="center"/>
    </xf>
    <xf numFmtId="3" fontId="2" fillId="7" borderId="8" xfId="0" applyNumberFormat="1" applyFont="1" applyFill="1" applyBorder="1" applyAlignment="1">
      <alignment horizontal="center"/>
    </xf>
    <xf numFmtId="2" fontId="2" fillId="0" borderId="0" xfId="0" applyNumberFormat="1" applyFont="1" applyFill="1" applyBorder="1" applyAlignment="1">
      <alignment horizontal="center" vertical="center" wrapText="1"/>
    </xf>
    <xf numFmtId="0" fontId="11" fillId="6" borderId="0" xfId="0" applyFont="1" applyFill="1" applyBorder="1"/>
    <xf numFmtId="168" fontId="11" fillId="0" borderId="0" xfId="0" applyNumberFormat="1" applyFont="1" applyFill="1" applyBorder="1"/>
    <xf numFmtId="168" fontId="11" fillId="6" borderId="0" xfId="0" applyNumberFormat="1" applyFont="1" applyFill="1" applyBorder="1"/>
    <xf numFmtId="0" fontId="15" fillId="0" borderId="1" xfId="0" applyFont="1" applyFill="1" applyBorder="1" applyAlignment="1">
      <alignment horizontal="left" vertical="center"/>
    </xf>
    <xf numFmtId="0" fontId="15" fillId="7" borderId="1" xfId="0" applyFont="1" applyFill="1" applyBorder="1" applyAlignment="1">
      <alignment horizontal="left"/>
    </xf>
    <xf numFmtId="3" fontId="11" fillId="8" borderId="1" xfId="0" applyNumberFormat="1" applyFont="1" applyFill="1" applyBorder="1" applyAlignment="1">
      <alignment horizontal="center"/>
    </xf>
    <xf numFmtId="0" fontId="2" fillId="7" borderId="0" xfId="0" applyFont="1" applyFill="1"/>
    <xf numFmtId="0" fontId="2" fillId="7" borderId="1" xfId="0" applyFont="1" applyFill="1" applyBorder="1"/>
    <xf numFmtId="0" fontId="1" fillId="0" borderId="0" xfId="0" applyFont="1" applyAlignment="1">
      <alignment wrapText="1"/>
    </xf>
    <xf numFmtId="0" fontId="1" fillId="0" borderId="1" xfId="0" applyFont="1" applyBorder="1" applyAlignment="1">
      <alignment vertical="center"/>
    </xf>
    <xf numFmtId="0" fontId="1" fillId="7" borderId="1" xfId="0" applyFont="1" applyFill="1" applyBorder="1" applyAlignment="1">
      <alignment vertical="top" wrapText="1"/>
    </xf>
    <xf numFmtId="0" fontId="1" fillId="0" borderId="1" xfId="0" applyFont="1" applyBorder="1" applyAlignment="1">
      <alignment vertical="center" wrapText="1"/>
    </xf>
    <xf numFmtId="0" fontId="0" fillId="0" borderId="0" xfId="0" applyAlignment="1">
      <alignment horizontal="center" wrapText="1"/>
    </xf>
    <xf numFmtId="0" fontId="1" fillId="7" borderId="1" xfId="0" applyFont="1" applyFill="1" applyBorder="1" applyAlignment="1">
      <alignment wrapText="1"/>
    </xf>
    <xf numFmtId="9" fontId="2" fillId="0" borderId="0" xfId="0" applyNumberFormat="1" applyFont="1" applyFill="1" applyBorder="1"/>
    <xf numFmtId="0" fontId="11" fillId="0" borderId="0" xfId="0" applyFont="1" applyFill="1" applyBorder="1" applyAlignment="1">
      <alignment horizontal="left"/>
    </xf>
    <xf numFmtId="3" fontId="15" fillId="8" borderId="1" xfId="0" applyNumberFormat="1" applyFont="1" applyFill="1" applyBorder="1" applyAlignment="1">
      <alignment horizontal="center"/>
    </xf>
    <xf numFmtId="168" fontId="15" fillId="8" borderId="26" xfId="0" applyNumberFormat="1" applyFont="1" applyFill="1" applyBorder="1"/>
    <xf numFmtId="0" fontId="14" fillId="0" borderId="0" xfId="0" applyFont="1" applyFill="1" applyAlignment="1">
      <alignment vertical="top"/>
    </xf>
    <xf numFmtId="0" fontId="11" fillId="0" borderId="1" xfId="0" applyFont="1" applyFill="1" applyBorder="1" applyAlignment="1">
      <alignment vertical="top" wrapText="1"/>
    </xf>
    <xf numFmtId="169" fontId="11" fillId="0" borderId="1" xfId="0" applyNumberFormat="1" applyFont="1" applyFill="1" applyBorder="1" applyAlignment="1">
      <alignment horizontal="center" vertical="top"/>
    </xf>
    <xf numFmtId="3" fontId="11" fillId="0" borderId="1" xfId="0" applyNumberFormat="1" applyFont="1" applyFill="1" applyBorder="1" applyAlignment="1">
      <alignment horizontal="center" vertical="top"/>
    </xf>
    <xf numFmtId="0" fontId="11" fillId="0" borderId="0" xfId="0" applyFont="1" applyAlignment="1">
      <alignment vertical="top"/>
    </xf>
    <xf numFmtId="0" fontId="0" fillId="0" borderId="0" xfId="0" applyAlignment="1">
      <alignment vertical="top"/>
    </xf>
    <xf numFmtId="9" fontId="15" fillId="5" borderId="4" xfId="23" applyFont="1" applyFill="1" applyBorder="1" applyAlignment="1">
      <alignment horizontal="center"/>
    </xf>
    <xf numFmtId="0" fontId="15" fillId="7" borderId="0" xfId="0" applyFont="1" applyFill="1"/>
    <xf numFmtId="0" fontId="11" fillId="7" borderId="0" xfId="0" applyFont="1" applyFill="1"/>
    <xf numFmtId="169" fontId="11" fillId="0" borderId="1" xfId="0" applyNumberFormat="1" applyFont="1" applyFill="1" applyBorder="1" applyAlignment="1">
      <alignment horizontal="center" vertical="center"/>
    </xf>
    <xf numFmtId="3" fontId="11" fillId="0" borderId="1" xfId="0" applyNumberFormat="1" applyFont="1" applyFill="1" applyBorder="1" applyAlignment="1">
      <alignment horizontal="center" vertical="center"/>
    </xf>
    <xf numFmtId="168" fontId="11" fillId="0" borderId="26" xfId="0" applyNumberFormat="1" applyFont="1" applyFill="1" applyBorder="1" applyAlignment="1">
      <alignment vertical="center"/>
    </xf>
    <xf numFmtId="3" fontId="15" fillId="0" borderId="2" xfId="0" applyNumberFormat="1" applyFont="1" applyFill="1" applyBorder="1" applyAlignment="1">
      <alignment horizontal="center"/>
    </xf>
    <xf numFmtId="168" fontId="15" fillId="0" borderId="1" xfId="0" applyNumberFormat="1" applyFont="1" applyFill="1" applyBorder="1"/>
    <xf numFmtId="0" fontId="1" fillId="0" borderId="0" xfId="0" applyFont="1" applyAlignment="1">
      <alignment horizontal="center"/>
    </xf>
    <xf numFmtId="9" fontId="11" fillId="0" borderId="0" xfId="0" applyNumberFormat="1" applyFont="1" applyFill="1" applyBorder="1" applyAlignment="1">
      <alignment horizontal="center"/>
    </xf>
    <xf numFmtId="168" fontId="15" fillId="0" borderId="32" xfId="0" applyNumberFormat="1" applyFont="1" applyFill="1" applyBorder="1"/>
    <xf numFmtId="10" fontId="12" fillId="0" borderId="0" xfId="0" applyNumberFormat="1" applyFont="1" applyFill="1" applyBorder="1" applyAlignment="1">
      <alignment horizontal="center"/>
    </xf>
    <xf numFmtId="3" fontId="7" fillId="7" borderId="0" xfId="0" applyNumberFormat="1" applyFont="1" applyFill="1" applyBorder="1" applyAlignment="1">
      <alignment horizontal="center"/>
    </xf>
    <xf numFmtId="0" fontId="1" fillId="0" borderId="1" xfId="0" applyFont="1" applyBorder="1" applyAlignment="1">
      <alignment horizontal="center"/>
    </xf>
    <xf numFmtId="10" fontId="2" fillId="9" borderId="1" xfId="0" applyNumberFormat="1" applyFont="1" applyFill="1" applyBorder="1" applyAlignment="1">
      <alignment horizontal="center"/>
    </xf>
    <xf numFmtId="0" fontId="2" fillId="9" borderId="1" xfId="0" applyFont="1" applyFill="1" applyBorder="1"/>
    <xf numFmtId="0" fontId="2" fillId="9" borderId="1" xfId="0" applyFont="1" applyFill="1" applyBorder="1" applyAlignment="1">
      <alignment horizontal="center"/>
    </xf>
    <xf numFmtId="3" fontId="2" fillId="9" borderId="1" xfId="0" applyNumberFormat="1" applyFont="1" applyFill="1" applyBorder="1" applyAlignment="1">
      <alignment horizontal="center"/>
    </xf>
    <xf numFmtId="10" fontId="2" fillId="10" borderId="1" xfId="0" applyNumberFormat="1" applyFont="1" applyFill="1" applyBorder="1" applyAlignment="1">
      <alignment horizontal="center"/>
    </xf>
    <xf numFmtId="3" fontId="21" fillId="7" borderId="4" xfId="0" applyNumberFormat="1" applyFont="1" applyFill="1" applyBorder="1" applyAlignment="1">
      <alignment horizontal="center"/>
    </xf>
    <xf numFmtId="9" fontId="4" fillId="0" borderId="1" xfId="0" applyNumberFormat="1" applyFont="1" applyFill="1" applyBorder="1" applyAlignment="1">
      <alignment horizontal="center"/>
    </xf>
    <xf numFmtId="0" fontId="1" fillId="0" borderId="32" xfId="0" applyFont="1" applyFill="1" applyBorder="1"/>
    <xf numFmtId="9" fontId="1" fillId="0" borderId="1" xfId="0" applyNumberFormat="1" applyFont="1" applyFill="1" applyBorder="1" applyAlignment="1">
      <alignment horizontal="center"/>
    </xf>
    <xf numFmtId="0" fontId="2" fillId="0" borderId="0" xfId="0" applyFont="1" applyBorder="1" applyAlignment="1">
      <alignment horizontal="center"/>
    </xf>
    <xf numFmtId="0" fontId="2" fillId="0" borderId="0" xfId="0" applyFont="1" applyBorder="1" applyAlignment="1">
      <alignment horizontal="center" vertical="justify" wrapText="1"/>
    </xf>
    <xf numFmtId="0" fontId="9" fillId="0" borderId="0" xfId="0" applyFont="1" applyBorder="1" applyAlignment="1">
      <alignment horizontal="center"/>
    </xf>
    <xf numFmtId="0" fontId="6" fillId="0" borderId="0" xfId="0" applyFont="1" applyBorder="1" applyAlignment="1">
      <alignment wrapText="1"/>
    </xf>
    <xf numFmtId="0" fontId="11" fillId="0" borderId="0" xfId="0" applyFont="1" applyBorder="1" applyAlignment="1">
      <alignment horizontal="center"/>
    </xf>
    <xf numFmtId="0" fontId="11" fillId="0" borderId="0" xfId="0" applyFont="1" applyBorder="1"/>
    <xf numFmtId="171" fontId="11" fillId="0" borderId="0" xfId="0" applyNumberFormat="1" applyFont="1" applyBorder="1" applyAlignment="1">
      <alignment horizontal="center"/>
    </xf>
    <xf numFmtId="170" fontId="4" fillId="0" borderId="0" xfId="2" applyNumberFormat="1" applyFont="1" applyBorder="1" applyAlignment="1">
      <alignment horizontal="right"/>
    </xf>
    <xf numFmtId="2" fontId="11" fillId="0" borderId="0" xfId="0" applyNumberFormat="1" applyFont="1" applyBorder="1" applyAlignment="1">
      <alignment horizontal="center" vertical="center"/>
    </xf>
    <xf numFmtId="0" fontId="11" fillId="0" borderId="0" xfId="0" applyFont="1" applyBorder="1" applyAlignment="1">
      <alignment wrapText="1"/>
    </xf>
    <xf numFmtId="2" fontId="15" fillId="0" borderId="0" xfId="0" applyNumberFormat="1" applyFont="1" applyBorder="1" applyAlignment="1">
      <alignment horizontal="center"/>
    </xf>
    <xf numFmtId="170" fontId="3" fillId="0" borderId="0" xfId="0" applyNumberFormat="1" applyFont="1" applyFill="1" applyBorder="1"/>
    <xf numFmtId="0" fontId="2" fillId="0" borderId="0" xfId="0" applyFont="1" applyFill="1" applyBorder="1" applyAlignment="1">
      <alignment wrapText="1"/>
    </xf>
    <xf numFmtId="0" fontId="11" fillId="0" borderId="0" xfId="0" applyFont="1" applyFill="1" applyBorder="1" applyAlignment="1">
      <alignment horizontal="center"/>
    </xf>
    <xf numFmtId="173" fontId="11" fillId="0" borderId="0" xfId="0" applyNumberFormat="1" applyFont="1" applyBorder="1" applyAlignment="1"/>
    <xf numFmtId="172" fontId="3" fillId="5" borderId="0" xfId="0" applyNumberFormat="1" applyFont="1" applyFill="1" applyBorder="1"/>
    <xf numFmtId="0" fontId="2" fillId="0" borderId="0" xfId="0" applyFont="1" applyFill="1" applyBorder="1" applyAlignment="1">
      <alignment vertical="center" wrapText="1"/>
    </xf>
    <xf numFmtId="0" fontId="10" fillId="0" borderId="0" xfId="0" applyFont="1" applyFill="1" applyBorder="1" applyAlignment="1">
      <alignment horizontal="center"/>
    </xf>
    <xf numFmtId="0" fontId="0" fillId="0" borderId="0" xfId="0" applyBorder="1" applyAlignment="1">
      <alignment wrapText="1"/>
    </xf>
    <xf numFmtId="173" fontId="10" fillId="0" borderId="0" xfId="0" applyNumberFormat="1" applyFont="1" applyBorder="1" applyAlignment="1">
      <alignment horizontal="center"/>
    </xf>
    <xf numFmtId="172" fontId="9" fillId="0" borderId="0" xfId="0" applyNumberFormat="1" applyFont="1" applyFill="1" applyBorder="1"/>
    <xf numFmtId="168" fontId="11" fillId="0" borderId="26" xfId="0" applyNumberFormat="1" applyFont="1" applyFill="1" applyBorder="1" applyAlignment="1">
      <alignment horizontal="center"/>
    </xf>
    <xf numFmtId="168" fontId="15" fillId="0" borderId="26" xfId="0" applyNumberFormat="1" applyFont="1" applyFill="1" applyBorder="1" applyAlignment="1">
      <alignment horizontal="center"/>
    </xf>
    <xf numFmtId="168" fontId="11" fillId="0" borderId="26" xfId="0" applyNumberFormat="1" applyFont="1" applyFill="1" applyBorder="1" applyAlignment="1">
      <alignment horizontal="center" vertical="top"/>
    </xf>
    <xf numFmtId="168" fontId="15" fillId="8" borderId="26" xfId="0" applyNumberFormat="1" applyFont="1" applyFill="1" applyBorder="1" applyAlignment="1">
      <alignment horizontal="center"/>
    </xf>
    <xf numFmtId="168" fontId="11" fillId="0" borderId="0" xfId="0" applyNumberFormat="1" applyFont="1" applyFill="1" applyBorder="1" applyAlignment="1">
      <alignment horizontal="center"/>
    </xf>
    <xf numFmtId="0" fontId="15" fillId="0" borderId="26" xfId="0" applyFont="1" applyFill="1" applyBorder="1" applyAlignment="1">
      <alignment horizontal="center"/>
    </xf>
    <xf numFmtId="2" fontId="15" fillId="0" borderId="26" xfId="0" applyNumberFormat="1" applyFont="1" applyFill="1" applyBorder="1" applyAlignment="1">
      <alignment horizontal="center" vertical="center" wrapText="1"/>
    </xf>
    <xf numFmtId="0" fontId="1" fillId="8" borderId="0" xfId="0" applyFont="1" applyFill="1" applyBorder="1" applyAlignment="1">
      <alignment vertical="top" wrapText="1"/>
    </xf>
    <xf numFmtId="10" fontId="2" fillId="8" borderId="0" xfId="0" applyNumberFormat="1" applyFont="1" applyFill="1" applyBorder="1" applyAlignment="1">
      <alignment horizontal="center"/>
    </xf>
    <xf numFmtId="0" fontId="0" fillId="8" borderId="0" xfId="0" applyFill="1" applyBorder="1"/>
    <xf numFmtId="3" fontId="23" fillId="0" borderId="1" xfId="0" applyNumberFormat="1" applyFont="1" applyBorder="1" applyAlignment="1">
      <alignment horizontal="center" vertical="center"/>
    </xf>
    <xf numFmtId="3" fontId="23" fillId="7" borderId="1" xfId="0" applyNumberFormat="1" applyFont="1" applyFill="1" applyBorder="1" applyAlignment="1">
      <alignment horizontal="center" vertical="center"/>
    </xf>
    <xf numFmtId="0" fontId="1" fillId="0" borderId="20" xfId="0" applyFont="1" applyFill="1" applyBorder="1"/>
    <xf numFmtId="3" fontId="2" fillId="7" borderId="6" xfId="0" applyNumberFormat="1" applyFont="1" applyFill="1" applyBorder="1" applyAlignment="1">
      <alignment horizontal="center"/>
    </xf>
    <xf numFmtId="10" fontId="2" fillId="0" borderId="0" xfId="0" applyNumberFormat="1" applyFont="1" applyFill="1" applyBorder="1" applyAlignment="1">
      <alignment horizontal="left"/>
    </xf>
    <xf numFmtId="0" fontId="1" fillId="7" borderId="4" xfId="0" applyFont="1" applyFill="1" applyBorder="1" applyAlignment="1">
      <alignment vertical="top" wrapText="1"/>
    </xf>
    <xf numFmtId="0" fontId="1" fillId="7" borderId="4" xfId="0" applyFont="1" applyFill="1" applyBorder="1" applyAlignment="1">
      <alignment horizontal="left" vertical="top" wrapText="1"/>
    </xf>
    <xf numFmtId="169" fontId="1" fillId="0" borderId="1" xfId="0" applyNumberFormat="1" applyFont="1" applyBorder="1"/>
    <xf numFmtId="9" fontId="0" fillId="0" borderId="1" xfId="23" applyFont="1" applyBorder="1"/>
    <xf numFmtId="169" fontId="6" fillId="0" borderId="1" xfId="0" applyNumberFormat="1" applyFont="1" applyBorder="1" applyAlignment="1">
      <alignment horizontal="center"/>
    </xf>
    <xf numFmtId="9" fontId="0" fillId="0" borderId="1" xfId="23" applyFont="1" applyBorder="1" applyAlignment="1">
      <alignment horizontal="center"/>
    </xf>
    <xf numFmtId="169" fontId="1" fillId="0" borderId="1" xfId="0" applyNumberFormat="1" applyFont="1" applyBorder="1" applyAlignment="1">
      <alignment horizontal="center"/>
    </xf>
    <xf numFmtId="0" fontId="2" fillId="7" borderId="1" xfId="0" applyFont="1" applyFill="1" applyBorder="1" applyAlignment="1">
      <alignment horizontal="center"/>
    </xf>
    <xf numFmtId="169" fontId="2" fillId="7" borderId="1" xfId="0" applyNumberFormat="1" applyFont="1" applyFill="1" applyBorder="1"/>
    <xf numFmtId="169" fontId="23" fillId="0" borderId="1" xfId="0" applyNumberFormat="1" applyFont="1" applyBorder="1" applyAlignment="1">
      <alignment horizontal="center" vertical="center" wrapText="1"/>
    </xf>
    <xf numFmtId="0" fontId="23" fillId="7" borderId="1" xfId="0" applyFont="1" applyFill="1" applyBorder="1" applyAlignment="1">
      <alignment wrapText="1"/>
    </xf>
    <xf numFmtId="0" fontId="22" fillId="7" borderId="1" xfId="0" applyFont="1" applyFill="1" applyBorder="1" applyAlignment="1">
      <alignment vertical="center" wrapText="1"/>
    </xf>
    <xf numFmtId="9" fontId="2" fillId="0" borderId="0" xfId="0" applyNumberFormat="1" applyFont="1" applyAlignment="1">
      <alignment horizontal="left"/>
    </xf>
    <xf numFmtId="0" fontId="1" fillId="0" borderId="0" xfId="0" applyFont="1" applyBorder="1"/>
    <xf numFmtId="0" fontId="1" fillId="3" borderId="0" xfId="0" applyFont="1" applyFill="1"/>
    <xf numFmtId="3" fontId="1" fillId="0" borderId="0" xfId="0" applyNumberFormat="1" applyFont="1"/>
    <xf numFmtId="0" fontId="2" fillId="0" borderId="0" xfId="0" applyFont="1" applyAlignment="1">
      <alignment horizontal="center" vertical="center" wrapText="1"/>
    </xf>
    <xf numFmtId="0" fontId="2" fillId="0" borderId="0" xfId="0" applyFont="1" applyAlignment="1">
      <alignment horizontal="left"/>
    </xf>
    <xf numFmtId="0" fontId="31" fillId="0" borderId="0" xfId="0" applyFont="1" applyBorder="1" applyAlignment="1">
      <alignment horizontal="center" wrapText="1"/>
    </xf>
    <xf numFmtId="0" fontId="31" fillId="0" borderId="0" xfId="0" applyFont="1" applyBorder="1" applyAlignment="1">
      <alignment horizontal="center"/>
    </xf>
    <xf numFmtId="0" fontId="32" fillId="0" borderId="0" xfId="0" applyFont="1" applyBorder="1"/>
    <xf numFmtId="0" fontId="32" fillId="0" borderId="0" xfId="0" applyFont="1" applyBorder="1" applyAlignment="1">
      <alignment horizontal="right"/>
    </xf>
    <xf numFmtId="4" fontId="32" fillId="0" borderId="0" xfId="0" applyNumberFormat="1" applyFont="1" applyBorder="1" applyAlignment="1">
      <alignment horizontal="right"/>
    </xf>
    <xf numFmtId="0" fontId="1" fillId="3" borderId="1" xfId="0" applyFont="1" applyFill="1" applyBorder="1" applyAlignment="1">
      <alignment horizontal="center"/>
    </xf>
    <xf numFmtId="4" fontId="1" fillId="3" borderId="1" xfId="0" applyNumberFormat="1" applyFont="1" applyFill="1" applyBorder="1" applyAlignment="1">
      <alignment horizontal="center"/>
    </xf>
    <xf numFmtId="0" fontId="2" fillId="6" borderId="1" xfId="0" applyFont="1" applyFill="1" applyBorder="1" applyAlignment="1">
      <alignment horizontal="left" vertical="top" wrapText="1"/>
    </xf>
    <xf numFmtId="0" fontId="2" fillId="6" borderId="1" xfId="0" applyFont="1" applyFill="1" applyBorder="1" applyAlignment="1">
      <alignment horizontal="center"/>
    </xf>
    <xf numFmtId="3" fontId="1" fillId="6" borderId="1" xfId="0" applyNumberFormat="1" applyFont="1" applyFill="1" applyBorder="1" applyAlignment="1">
      <alignment horizontal="center" vertical="center"/>
    </xf>
    <xf numFmtId="0" fontId="1" fillId="6" borderId="1" xfId="0" applyFont="1" applyFill="1" applyBorder="1" applyAlignment="1">
      <alignment horizontal="center"/>
    </xf>
    <xf numFmtId="4" fontId="1" fillId="6" borderId="1" xfId="0" applyNumberFormat="1" applyFont="1" applyFill="1" applyBorder="1" applyAlignment="1">
      <alignment horizontal="center"/>
    </xf>
    <xf numFmtId="0" fontId="2" fillId="6" borderId="1" xfId="0" applyFont="1" applyFill="1" applyBorder="1" applyAlignment="1">
      <alignment horizontal="left"/>
    </xf>
    <xf numFmtId="0" fontId="1" fillId="6" borderId="0" xfId="0" applyFont="1" applyFill="1"/>
    <xf numFmtId="3" fontId="1" fillId="6" borderId="1" xfId="0" applyNumberFormat="1" applyFont="1" applyFill="1" applyBorder="1" applyAlignment="1">
      <alignment horizontal="center"/>
    </xf>
    <xf numFmtId="0" fontId="0" fillId="0" borderId="0" xfId="0" applyAlignment="1">
      <alignment horizontal="left"/>
    </xf>
    <xf numFmtId="3" fontId="2" fillId="7" borderId="4" xfId="0" applyNumberFormat="1" applyFont="1" applyFill="1" applyBorder="1" applyAlignment="1">
      <alignment horizontal="left"/>
    </xf>
    <xf numFmtId="0" fontId="0" fillId="3" borderId="1" xfId="0" applyFill="1" applyBorder="1" applyAlignment="1" applyProtection="1">
      <alignment horizontal="left" vertical="top" wrapText="1"/>
    </xf>
    <xf numFmtId="0" fontId="0" fillId="3" borderId="1" xfId="0" applyFill="1" applyBorder="1" applyAlignment="1" applyProtection="1">
      <alignment horizontal="left"/>
    </xf>
    <xf numFmtId="0" fontId="0" fillId="3" borderId="1" xfId="0" applyFill="1" applyBorder="1" applyAlignment="1" applyProtection="1">
      <alignment horizontal="justify" vertical="top" wrapText="1"/>
    </xf>
    <xf numFmtId="0" fontId="20" fillId="6" borderId="1" xfId="0" applyFont="1" applyFill="1" applyBorder="1" applyAlignment="1">
      <alignment horizontal="center" wrapText="1"/>
    </xf>
    <xf numFmtId="0" fontId="19" fillId="0" borderId="1" xfId="0" applyFont="1" applyBorder="1" applyAlignment="1">
      <alignment horizontal="center" wrapText="1"/>
    </xf>
    <xf numFmtId="3" fontId="20" fillId="0" borderId="1" xfId="0" applyNumberFormat="1" applyFont="1" applyBorder="1" applyAlignment="1">
      <alignment horizontal="center" wrapText="1"/>
    </xf>
    <xf numFmtId="0" fontId="1" fillId="8" borderId="1" xfId="0" applyFont="1" applyFill="1" applyBorder="1" applyAlignment="1">
      <alignment horizontal="center"/>
    </xf>
    <xf numFmtId="4" fontId="1" fillId="8" borderId="1" xfId="0" applyNumberFormat="1" applyFont="1" applyFill="1" applyBorder="1" applyAlignment="1">
      <alignment horizontal="center"/>
    </xf>
    <xf numFmtId="0" fontId="0" fillId="8" borderId="1" xfId="0" applyFill="1" applyBorder="1" applyAlignment="1" applyProtection="1">
      <alignment horizontal="left" vertical="top" wrapText="1"/>
    </xf>
    <xf numFmtId="0" fontId="30" fillId="0" borderId="0" xfId="0" applyFont="1"/>
    <xf numFmtId="3" fontId="20" fillId="0" borderId="0" xfId="0" applyNumberFormat="1" applyFont="1" applyBorder="1" applyAlignment="1">
      <alignment horizontal="center" wrapText="1"/>
    </xf>
    <xf numFmtId="0" fontId="19" fillId="6" borderId="1" xfId="0" applyFont="1" applyFill="1" applyBorder="1" applyAlignment="1">
      <alignment horizontal="center" wrapText="1"/>
    </xf>
    <xf numFmtId="3" fontId="19" fillId="6" borderId="1" xfId="0" applyNumberFormat="1" applyFont="1" applyFill="1" applyBorder="1" applyAlignment="1">
      <alignment horizontal="center" wrapText="1"/>
    </xf>
    <xf numFmtId="3" fontId="20" fillId="6" borderId="1" xfId="0" applyNumberFormat="1" applyFont="1" applyFill="1" applyBorder="1" applyAlignment="1">
      <alignment horizontal="center" wrapText="1"/>
    </xf>
    <xf numFmtId="0" fontId="1" fillId="7" borderId="2" xfId="0" applyFont="1" applyFill="1" applyBorder="1" applyAlignment="1">
      <alignment vertical="top" wrapText="1"/>
    </xf>
    <xf numFmtId="0" fontId="0" fillId="0" borderId="0" xfId="0" applyAlignment="1" applyProtection="1"/>
    <xf numFmtId="9" fontId="0" fillId="0" borderId="0" xfId="0" applyNumberFormat="1" applyAlignment="1">
      <alignment horizontal="left"/>
    </xf>
    <xf numFmtId="0" fontId="11" fillId="0" borderId="1" xfId="0" applyFont="1" applyFill="1" applyBorder="1" applyAlignment="1">
      <alignment horizontal="left" indent="1"/>
    </xf>
    <xf numFmtId="0" fontId="20" fillId="8" borderId="1" xfId="0" applyFont="1" applyFill="1" applyBorder="1" applyAlignment="1">
      <alignment horizontal="center" wrapText="1"/>
    </xf>
    <xf numFmtId="0" fontId="0" fillId="8" borderId="0" xfId="0" applyFill="1"/>
    <xf numFmtId="0" fontId="19" fillId="8" borderId="1" xfId="0" applyFont="1" applyFill="1" applyBorder="1" applyAlignment="1">
      <alignment horizontal="center" wrapText="1"/>
    </xf>
    <xf numFmtId="0" fontId="19" fillId="8" borderId="1" xfId="0" applyFont="1" applyFill="1" applyBorder="1" applyAlignment="1">
      <alignment horizontal="justify" vertical="top" wrapText="1"/>
    </xf>
    <xf numFmtId="3" fontId="19" fillId="8" borderId="1" xfId="0" applyNumberFormat="1" applyFont="1" applyFill="1" applyBorder="1" applyAlignment="1">
      <alignment horizontal="center" wrapText="1"/>
    </xf>
    <xf numFmtId="0" fontId="19" fillId="8" borderId="1" xfId="0" applyFont="1" applyFill="1" applyBorder="1" applyAlignment="1">
      <alignment wrapText="1"/>
    </xf>
    <xf numFmtId="0" fontId="19" fillId="8" borderId="1" xfId="0" applyFont="1" applyFill="1" applyBorder="1"/>
    <xf numFmtId="3" fontId="20" fillId="8" borderId="1" xfId="0" applyNumberFormat="1" applyFont="1" applyFill="1" applyBorder="1" applyAlignment="1">
      <alignment horizontal="center" wrapText="1"/>
    </xf>
    <xf numFmtId="0" fontId="19" fillId="8" borderId="1" xfId="0" applyFont="1" applyFill="1" applyBorder="1" applyAlignment="1">
      <alignment horizontal="justify" wrapText="1"/>
    </xf>
    <xf numFmtId="9" fontId="19" fillId="8" borderId="1" xfId="0" applyNumberFormat="1" applyFont="1" applyFill="1" applyBorder="1" applyAlignment="1">
      <alignment horizontal="center" wrapText="1"/>
    </xf>
    <xf numFmtId="0" fontId="1" fillId="8" borderId="0" xfId="0" applyFont="1" applyFill="1"/>
    <xf numFmtId="3" fontId="1" fillId="7" borderId="1" xfId="0" applyNumberFormat="1" applyFont="1" applyFill="1" applyBorder="1" applyAlignment="1">
      <alignment horizontal="center"/>
    </xf>
    <xf numFmtId="0" fontId="0" fillId="7" borderId="0" xfId="0" applyFill="1" applyAlignment="1">
      <alignment horizontal="center"/>
    </xf>
    <xf numFmtId="169" fontId="2" fillId="0" borderId="1" xfId="0" applyNumberFormat="1" applyFont="1" applyFill="1" applyBorder="1" applyAlignment="1">
      <alignment horizontal="center"/>
    </xf>
    <xf numFmtId="0" fontId="1" fillId="0" borderId="1" xfId="0" applyFont="1" applyFill="1" applyBorder="1" applyAlignment="1">
      <alignment vertical="center"/>
    </xf>
    <xf numFmtId="0" fontId="4" fillId="0" borderId="1" xfId="0" applyFont="1" applyFill="1" applyBorder="1" applyAlignment="1">
      <alignment horizontal="left" vertical="center"/>
    </xf>
    <xf numFmtId="0" fontId="2" fillId="0" borderId="8" xfId="0" applyFont="1" applyFill="1" applyBorder="1" applyAlignment="1">
      <alignment vertical="center"/>
    </xf>
    <xf numFmtId="3" fontId="0" fillId="0" borderId="4" xfId="0" applyNumberFormat="1" applyBorder="1"/>
    <xf numFmtId="0" fontId="27" fillId="0" borderId="0" xfId="0" applyFont="1" applyBorder="1" applyAlignment="1">
      <alignment horizontal="center"/>
    </xf>
    <xf numFmtId="3" fontId="24" fillId="0" borderId="0" xfId="0" applyNumberFormat="1" applyFont="1" applyBorder="1" applyAlignment="1">
      <alignment horizontal="center" wrapText="1"/>
    </xf>
    <xf numFmtId="3" fontId="33" fillId="0" borderId="0" xfId="0" applyNumberFormat="1" applyFont="1" applyBorder="1" applyAlignment="1">
      <alignment horizontal="center" wrapText="1"/>
    </xf>
    <xf numFmtId="0" fontId="29" fillId="0" borderId="1" xfId="0" applyFont="1" applyBorder="1"/>
    <xf numFmtId="175" fontId="0" fillId="0" borderId="0" xfId="0" applyNumberFormat="1"/>
    <xf numFmtId="0" fontId="2" fillId="0" borderId="30" xfId="0" applyFont="1" applyBorder="1"/>
    <xf numFmtId="3" fontId="0" fillId="0" borderId="28" xfId="0" applyNumberFormat="1" applyBorder="1" applyAlignment="1">
      <alignment horizontal="center"/>
    </xf>
    <xf numFmtId="0" fontId="2" fillId="0" borderId="31" xfId="0" applyFont="1" applyBorder="1" applyAlignment="1">
      <alignment vertical="center"/>
    </xf>
    <xf numFmtId="3" fontId="2" fillId="7" borderId="36" xfId="0" applyNumberFormat="1" applyFont="1" applyFill="1" applyBorder="1" applyAlignment="1">
      <alignment horizontal="center" vertical="center"/>
    </xf>
    <xf numFmtId="0" fontId="2" fillId="0" borderId="4" xfId="0" applyFont="1" applyBorder="1" applyAlignment="1">
      <alignment vertical="center"/>
    </xf>
    <xf numFmtId="3" fontId="1" fillId="0" borderId="4" xfId="0" applyNumberFormat="1" applyFont="1" applyBorder="1" applyAlignment="1">
      <alignment horizontal="center" vertical="center"/>
    </xf>
    <xf numFmtId="0" fontId="29" fillId="7" borderId="1" xfId="0" applyFont="1" applyFill="1" applyBorder="1"/>
    <xf numFmtId="10" fontId="29" fillId="7" borderId="1" xfId="0" applyNumberFormat="1" applyFont="1" applyFill="1" applyBorder="1"/>
    <xf numFmtId="0" fontId="2" fillId="3" borderId="1" xfId="0" applyFont="1" applyFill="1" applyBorder="1"/>
    <xf numFmtId="0" fontId="21" fillId="10" borderId="37" xfId="0" applyFont="1" applyFill="1" applyBorder="1"/>
    <xf numFmtId="0" fontId="1" fillId="11" borderId="30" xfId="0" applyFont="1" applyFill="1" applyBorder="1"/>
    <xf numFmtId="0" fontId="0" fillId="11" borderId="40" xfId="0" applyFill="1" applyBorder="1"/>
    <xf numFmtId="0" fontId="0" fillId="11" borderId="31" xfId="0" applyFill="1" applyBorder="1"/>
    <xf numFmtId="0" fontId="2" fillId="0" borderId="0" xfId="0" applyFont="1" applyFill="1" applyBorder="1" applyAlignment="1">
      <alignment horizontal="center"/>
    </xf>
    <xf numFmtId="0" fontId="1" fillId="0" borderId="0" xfId="0" applyFont="1" applyFill="1" applyBorder="1" applyAlignment="1">
      <alignment horizontal="center"/>
    </xf>
    <xf numFmtId="10" fontId="2" fillId="0" borderId="0" xfId="0" applyNumberFormat="1" applyFont="1" applyFill="1" applyBorder="1" applyAlignment="1">
      <alignment horizontal="center"/>
    </xf>
    <xf numFmtId="0" fontId="1" fillId="0" borderId="0" xfId="0" applyFont="1" applyFill="1" applyBorder="1"/>
    <xf numFmtId="10" fontId="1" fillId="0" borderId="0" xfId="0" applyNumberFormat="1" applyFont="1" applyFill="1" applyBorder="1" applyAlignment="1">
      <alignment horizontal="center"/>
    </xf>
    <xf numFmtId="10" fontId="1" fillId="0" borderId="0" xfId="0" applyNumberFormat="1" applyFont="1" applyFill="1" applyBorder="1"/>
    <xf numFmtId="3" fontId="34" fillId="7" borderId="4" xfId="0" applyNumberFormat="1" applyFont="1" applyFill="1" applyBorder="1" applyAlignment="1">
      <alignment horizontal="center"/>
    </xf>
    <xf numFmtId="9" fontId="1" fillId="0" borderId="0" xfId="23" applyFont="1" applyFill="1"/>
    <xf numFmtId="9" fontId="3" fillId="0" borderId="3" xfId="23" applyFont="1" applyFill="1" applyBorder="1" applyAlignment="1">
      <alignment horizontal="center" vertical="center"/>
    </xf>
    <xf numFmtId="9" fontId="1" fillId="0" borderId="10" xfId="23" applyFont="1" applyFill="1" applyBorder="1"/>
    <xf numFmtId="9" fontId="1" fillId="0" borderId="1" xfId="23" applyFont="1" applyFill="1" applyBorder="1"/>
    <xf numFmtId="9" fontId="1" fillId="0" borderId="16" xfId="23" applyFont="1" applyFill="1" applyBorder="1"/>
    <xf numFmtId="9" fontId="12" fillId="0" borderId="1" xfId="23" applyFont="1" applyFill="1" applyBorder="1"/>
    <xf numFmtId="9" fontId="7" fillId="7" borderId="0" xfId="23" applyFont="1" applyFill="1" applyBorder="1" applyAlignment="1">
      <alignment horizontal="center"/>
    </xf>
    <xf numFmtId="9" fontId="0" fillId="0" borderId="0" xfId="23" applyFont="1"/>
    <xf numFmtId="0" fontId="2" fillId="3" borderId="1" xfId="0" applyFont="1" applyFill="1" applyBorder="1" applyAlignment="1">
      <alignment horizontal="center" vertical="top" wrapText="1"/>
    </xf>
    <xf numFmtId="0" fontId="2" fillId="3" borderId="0" xfId="0" applyFont="1" applyFill="1" applyBorder="1" applyAlignment="1">
      <alignment horizontal="center"/>
    </xf>
    <xf numFmtId="0" fontId="2" fillId="14" borderId="1" xfId="0" applyFont="1" applyFill="1" applyBorder="1" applyAlignment="1">
      <alignment horizontal="center"/>
    </xf>
    <xf numFmtId="0" fontId="1" fillId="3" borderId="1" xfId="0" applyFont="1" applyFill="1" applyBorder="1"/>
    <xf numFmtId="0" fontId="1" fillId="3" borderId="0" xfId="0" applyFont="1" applyFill="1" applyBorder="1"/>
    <xf numFmtId="0" fontId="29" fillId="6" borderId="0" xfId="0" applyFont="1" applyFill="1" applyBorder="1" applyAlignment="1">
      <alignment vertical="center" wrapText="1"/>
    </xf>
    <xf numFmtId="3" fontId="9" fillId="4" borderId="0" xfId="0" applyNumberFormat="1" applyFont="1" applyFill="1" applyBorder="1" applyAlignment="1">
      <alignment horizontal="center"/>
    </xf>
    <xf numFmtId="4" fontId="1" fillId="0" borderId="0" xfId="0" applyNumberFormat="1" applyFont="1"/>
    <xf numFmtId="4" fontId="2" fillId="3" borderId="1" xfId="0" applyNumberFormat="1" applyFont="1" applyFill="1" applyBorder="1" applyAlignment="1">
      <alignment horizontal="center"/>
    </xf>
    <xf numFmtId="4" fontId="2" fillId="3" borderId="1" xfId="2" applyNumberFormat="1" applyFont="1" applyFill="1" applyBorder="1" applyAlignment="1"/>
    <xf numFmtId="4" fontId="1" fillId="3" borderId="1" xfId="0" applyNumberFormat="1" applyFont="1" applyFill="1" applyBorder="1" applyAlignment="1">
      <alignment horizontal="center" vertical="center"/>
    </xf>
    <xf numFmtId="4" fontId="0" fillId="6" borderId="0" xfId="0" applyNumberFormat="1" applyFill="1"/>
    <xf numFmtId="4" fontId="0" fillId="6" borderId="0" xfId="2" applyNumberFormat="1" applyFont="1" applyFill="1" applyAlignment="1"/>
    <xf numFmtId="4" fontId="2" fillId="0" borderId="1" xfId="2" applyNumberFormat="1" applyFont="1" applyBorder="1" applyAlignment="1">
      <alignment horizontal="center" vertical="center"/>
    </xf>
    <xf numFmtId="4" fontId="1" fillId="8" borderId="1" xfId="0" applyNumberFormat="1" applyFont="1" applyFill="1" applyBorder="1"/>
    <xf numFmtId="4" fontId="1" fillId="8" borderId="1" xfId="2" applyNumberFormat="1" applyFont="1" applyFill="1" applyBorder="1" applyAlignment="1">
      <alignment horizontal="center" vertical="center"/>
    </xf>
    <xf numFmtId="4" fontId="2" fillId="3" borderId="1" xfId="0" applyNumberFormat="1" applyFont="1" applyFill="1" applyBorder="1" applyAlignment="1">
      <alignment horizontal="center" vertical="center"/>
    </xf>
    <xf numFmtId="4" fontId="2" fillId="8" borderId="1" xfId="2" applyNumberFormat="1" applyFont="1" applyFill="1" applyBorder="1" applyAlignment="1">
      <alignment horizontal="center" vertical="center"/>
    </xf>
    <xf numFmtId="4" fontId="1" fillId="8" borderId="0" xfId="0" applyNumberFormat="1" applyFont="1" applyFill="1" applyBorder="1"/>
    <xf numFmtId="4" fontId="2" fillId="3" borderId="0" xfId="0" applyNumberFormat="1" applyFont="1" applyFill="1" applyBorder="1" applyAlignment="1">
      <alignment horizontal="center"/>
    </xf>
    <xf numFmtId="4" fontId="2" fillId="8" borderId="0" xfId="2" applyNumberFormat="1" applyFont="1" applyFill="1" applyBorder="1" applyAlignment="1">
      <alignment horizontal="center" vertical="center"/>
    </xf>
    <xf numFmtId="4" fontId="2" fillId="0" borderId="0" xfId="2" applyNumberFormat="1" applyFont="1" applyBorder="1" applyAlignment="1">
      <alignment horizontal="center" vertical="center"/>
    </xf>
    <xf numFmtId="4" fontId="1" fillId="14" borderId="1" xfId="0" applyNumberFormat="1" applyFont="1" applyFill="1" applyBorder="1"/>
    <xf numFmtId="4" fontId="2" fillId="14" borderId="1" xfId="0" applyNumberFormat="1" applyFont="1" applyFill="1" applyBorder="1" applyAlignment="1">
      <alignment horizontal="center"/>
    </xf>
    <xf numFmtId="4" fontId="2" fillId="14" borderId="1" xfId="2" applyNumberFormat="1" applyFont="1" applyFill="1" applyBorder="1" applyAlignment="1">
      <alignment horizontal="center" vertical="center"/>
    </xf>
    <xf numFmtId="4" fontId="1" fillId="3" borderId="0" xfId="0" applyNumberFormat="1" applyFont="1" applyFill="1"/>
    <xf numFmtId="4" fontId="1" fillId="3" borderId="1" xfId="0" applyNumberFormat="1" applyFont="1" applyFill="1" applyBorder="1"/>
    <xf numFmtId="4" fontId="1" fillId="3" borderId="0" xfId="0" applyNumberFormat="1" applyFont="1" applyFill="1" applyBorder="1"/>
    <xf numFmtId="4" fontId="1" fillId="3" borderId="0" xfId="0" applyNumberFormat="1" applyFont="1" applyFill="1" applyBorder="1" applyAlignment="1">
      <alignment horizontal="center" vertical="center"/>
    </xf>
    <xf numFmtId="4" fontId="21" fillId="10" borderId="38" xfId="0" applyNumberFormat="1" applyFont="1" applyFill="1" applyBorder="1"/>
    <xf numFmtId="4" fontId="21" fillId="10" borderId="38" xfId="0" applyNumberFormat="1" applyFont="1" applyFill="1" applyBorder="1" applyAlignment="1">
      <alignment horizontal="center" vertical="center"/>
    </xf>
    <xf numFmtId="4" fontId="2" fillId="3" borderId="0" xfId="0" applyNumberFormat="1" applyFont="1" applyFill="1"/>
    <xf numFmtId="4" fontId="1" fillId="11" borderId="10" xfId="0" applyNumberFormat="1" applyFont="1" applyFill="1" applyBorder="1"/>
    <xf numFmtId="4" fontId="0" fillId="11" borderId="12" xfId="0" applyNumberFormat="1" applyFill="1" applyBorder="1"/>
    <xf numFmtId="4" fontId="0" fillId="11" borderId="0" xfId="0" applyNumberFormat="1" applyFill="1" applyBorder="1"/>
    <xf numFmtId="4" fontId="1" fillId="11" borderId="0" xfId="0" applyNumberFormat="1" applyFont="1" applyFill="1" applyBorder="1"/>
    <xf numFmtId="4" fontId="0" fillId="11" borderId="39" xfId="0" applyNumberFormat="1" applyFill="1" applyBorder="1"/>
    <xf numFmtId="4" fontId="0" fillId="11" borderId="1" xfId="0" applyNumberFormat="1" applyFill="1" applyBorder="1"/>
    <xf numFmtId="4" fontId="2" fillId="11" borderId="1" xfId="0" applyNumberFormat="1" applyFont="1" applyFill="1" applyBorder="1"/>
    <xf numFmtId="4" fontId="0" fillId="11" borderId="11" xfId="0" applyNumberFormat="1" applyFill="1" applyBorder="1"/>
    <xf numFmtId="4" fontId="0" fillId="11" borderId="27" xfId="0" applyNumberFormat="1" applyFill="1" applyBorder="1"/>
    <xf numFmtId="4" fontId="1" fillId="0" borderId="0" xfId="0" applyNumberFormat="1" applyFont="1" applyBorder="1"/>
    <xf numFmtId="4" fontId="0" fillId="0" borderId="0" xfId="0" applyNumberFormat="1" applyBorder="1"/>
    <xf numFmtId="4" fontId="1" fillId="0" borderId="0" xfId="0" applyNumberFormat="1" applyFont="1" applyFill="1"/>
    <xf numFmtId="4" fontId="0" fillId="0" borderId="0" xfId="0" applyNumberFormat="1" applyFill="1" applyBorder="1"/>
    <xf numFmtId="3" fontId="0" fillId="0" borderId="0" xfId="0" applyNumberFormat="1" applyBorder="1"/>
    <xf numFmtId="4" fontId="1" fillId="6" borderId="2" xfId="2" applyNumberFormat="1" applyFont="1" applyFill="1" applyBorder="1" applyAlignment="1"/>
    <xf numFmtId="4" fontId="1" fillId="6" borderId="1" xfId="2" applyNumberFormat="1" applyFont="1" applyFill="1" applyBorder="1" applyAlignment="1"/>
    <xf numFmtId="4" fontId="1" fillId="0" borderId="1" xfId="0" applyNumberFormat="1" applyFont="1" applyBorder="1"/>
    <xf numFmtId="0" fontId="0" fillId="0" borderId="0" xfId="0" applyFill="1"/>
    <xf numFmtId="4" fontId="0" fillId="0" borderId="0" xfId="0" applyNumberFormat="1" applyFill="1"/>
    <xf numFmtId="4" fontId="2" fillId="0" borderId="0" xfId="0" applyNumberFormat="1" applyFont="1" applyFill="1" applyBorder="1" applyAlignment="1">
      <alignment horizontal="center"/>
    </xf>
    <xf numFmtId="4" fontId="0" fillId="0" borderId="0" xfId="0" applyNumberFormat="1" applyAlignment="1"/>
    <xf numFmtId="0" fontId="2" fillId="0" borderId="0" xfId="0" applyFont="1" applyFill="1" applyBorder="1" applyAlignment="1">
      <alignment horizontal="center"/>
    </xf>
    <xf numFmtId="10" fontId="2" fillId="0" borderId="0" xfId="0" applyNumberFormat="1" applyFont="1" applyFill="1" applyBorder="1" applyAlignment="1">
      <alignment horizontal="center"/>
    </xf>
    <xf numFmtId="4" fontId="1" fillId="3" borderId="1" xfId="2" applyNumberFormat="1" applyFont="1" applyFill="1" applyBorder="1" applyAlignment="1"/>
    <xf numFmtId="0" fontId="36" fillId="0" borderId="0" xfId="0" applyFont="1"/>
    <xf numFmtId="0" fontId="36" fillId="0" borderId="49" xfId="0" applyFont="1" applyBorder="1" applyAlignment="1">
      <alignment vertical="center"/>
    </xf>
    <xf numFmtId="0" fontId="36" fillId="0" borderId="1" xfId="0" applyFont="1" applyBorder="1" applyAlignment="1">
      <alignment vertical="center"/>
    </xf>
    <xf numFmtId="0" fontId="15" fillId="16" borderId="1" xfId="0" applyFont="1" applyFill="1" applyBorder="1" applyAlignment="1">
      <alignment vertical="center"/>
    </xf>
    <xf numFmtId="0" fontId="37" fillId="17" borderId="1" xfId="0" applyFont="1" applyFill="1" applyBorder="1" applyAlignment="1">
      <alignment vertical="center"/>
    </xf>
    <xf numFmtId="0" fontId="36" fillId="0" borderId="0" xfId="0" applyFont="1" applyAlignment="1">
      <alignment vertical="center"/>
    </xf>
    <xf numFmtId="0" fontId="37" fillId="7" borderId="1" xfId="0" applyFont="1" applyFill="1" applyBorder="1" applyAlignment="1">
      <alignment vertical="center"/>
    </xf>
    <xf numFmtId="177" fontId="36" fillId="0" borderId="0" xfId="0" applyNumberFormat="1" applyFont="1" applyAlignment="1">
      <alignment vertical="center"/>
    </xf>
    <xf numFmtId="177" fontId="36" fillId="0" borderId="0" xfId="0" applyNumberFormat="1" applyFont="1" applyAlignment="1">
      <alignment horizontal="center" vertical="center"/>
    </xf>
    <xf numFmtId="0" fontId="37" fillId="18" borderId="1" xfId="0" applyFont="1" applyFill="1" applyBorder="1" applyAlignment="1">
      <alignment vertical="center"/>
    </xf>
    <xf numFmtId="0" fontId="36" fillId="0" borderId="1" xfId="0" applyFont="1" applyFill="1" applyBorder="1" applyAlignment="1">
      <alignment horizontal="center" vertical="center"/>
    </xf>
    <xf numFmtId="0" fontId="36" fillId="19" borderId="1" xfId="0" applyFont="1" applyFill="1" applyBorder="1" applyAlignment="1">
      <alignment horizontal="center" vertical="center"/>
    </xf>
    <xf numFmtId="0" fontId="36" fillId="7" borderId="1" xfId="0" applyFont="1" applyFill="1" applyBorder="1" applyAlignment="1">
      <alignment horizontal="center" vertical="center"/>
    </xf>
    <xf numFmtId="0" fontId="36" fillId="17" borderId="1" xfId="0" applyFont="1" applyFill="1" applyBorder="1" applyAlignment="1">
      <alignment horizontal="center" vertical="center"/>
    </xf>
    <xf numFmtId="0" fontId="36" fillId="16" borderId="1" xfId="0" applyFont="1" applyFill="1" applyBorder="1" applyAlignment="1">
      <alignment horizontal="center" vertical="center"/>
    </xf>
    <xf numFmtId="0" fontId="36" fillId="0" borderId="0" xfId="0" applyFont="1" applyFill="1" applyAlignment="1">
      <alignment vertical="center"/>
    </xf>
    <xf numFmtId="0" fontId="36" fillId="0" borderId="0" xfId="0" applyFont="1" applyFill="1" applyAlignment="1">
      <alignment horizontal="center" vertical="center"/>
    </xf>
    <xf numFmtId="0" fontId="36" fillId="0" borderId="1" xfId="0" applyFont="1" applyBorder="1" applyAlignment="1">
      <alignment horizontal="center" vertical="center"/>
    </xf>
    <xf numFmtId="0" fontId="38" fillId="15" borderId="2" xfId="0" applyFont="1" applyFill="1" applyBorder="1" applyAlignment="1">
      <alignment vertical="center"/>
    </xf>
    <xf numFmtId="0" fontId="36" fillId="15" borderId="2" xfId="0" applyFont="1" applyFill="1" applyBorder="1" applyAlignment="1">
      <alignment vertical="center"/>
    </xf>
    <xf numFmtId="166" fontId="38" fillId="15" borderId="2" xfId="5" applyFont="1" applyFill="1" applyBorder="1" applyAlignment="1">
      <alignment vertical="center"/>
    </xf>
    <xf numFmtId="0" fontId="36" fillId="0" borderId="1" xfId="0" applyFont="1" applyBorder="1" applyAlignment="1">
      <alignment horizontal="center" vertical="center" wrapText="1"/>
    </xf>
    <xf numFmtId="0" fontId="36" fillId="0" borderId="1" xfId="0" applyFont="1" applyBorder="1"/>
    <xf numFmtId="0" fontId="39" fillId="0" borderId="1" xfId="0" applyFont="1" applyBorder="1" applyAlignment="1">
      <alignment horizontal="center" vertical="center"/>
    </xf>
    <xf numFmtId="0" fontId="39" fillId="0" borderId="0" xfId="0" applyFont="1"/>
    <xf numFmtId="0" fontId="37" fillId="0" borderId="1" xfId="0" applyFont="1" applyBorder="1" applyAlignment="1">
      <alignment horizontal="center" vertical="center"/>
    </xf>
    <xf numFmtId="3" fontId="36" fillId="0" borderId="1" xfId="0" applyNumberFormat="1" applyFont="1" applyBorder="1" applyAlignment="1">
      <alignment vertical="center"/>
    </xf>
    <xf numFmtId="3" fontId="36" fillId="0" borderId="1" xfId="0" applyNumberFormat="1" applyFont="1" applyBorder="1" applyAlignment="1">
      <alignment horizontal="center" vertical="center"/>
    </xf>
    <xf numFmtId="164" fontId="36" fillId="19" borderId="1" xfId="24" applyFont="1" applyFill="1" applyBorder="1"/>
    <xf numFmtId="2" fontId="15" fillId="19" borderId="1" xfId="24" applyNumberFormat="1" applyFont="1" applyFill="1" applyBorder="1"/>
    <xf numFmtId="0" fontId="2" fillId="11" borderId="1" xfId="0" applyFont="1" applyFill="1" applyBorder="1" applyAlignment="1">
      <alignment horizontal="center"/>
    </xf>
    <xf numFmtId="4" fontId="0" fillId="11" borderId="1" xfId="0" applyNumberFormat="1" applyFill="1" applyBorder="1" applyAlignment="1">
      <alignment horizontal="center" vertical="center"/>
    </xf>
    <xf numFmtId="0" fontId="2" fillId="11" borderId="1" xfId="0" applyFont="1" applyFill="1" applyBorder="1" applyAlignment="1">
      <alignment horizontal="right"/>
    </xf>
    <xf numFmtId="4" fontId="2" fillId="11" borderId="1" xfId="0" applyNumberFormat="1" applyFont="1" applyFill="1" applyBorder="1" applyAlignment="1">
      <alignment horizontal="center"/>
    </xf>
    <xf numFmtId="0" fontId="2" fillId="0" borderId="0" xfId="0" applyFont="1" applyFill="1" applyBorder="1" applyAlignment="1">
      <alignment horizontal="center"/>
    </xf>
    <xf numFmtId="10" fontId="2" fillId="0" borderId="0" xfId="0" applyNumberFormat="1" applyFont="1" applyFill="1" applyBorder="1" applyAlignment="1">
      <alignment horizontal="center"/>
    </xf>
    <xf numFmtId="3" fontId="1" fillId="0" borderId="0" xfId="0" applyNumberFormat="1" applyFont="1" applyFill="1" applyBorder="1" applyAlignment="1">
      <alignment horizontal="center"/>
    </xf>
    <xf numFmtId="2" fontId="3" fillId="0" borderId="1" xfId="0" applyNumberFormat="1" applyFont="1" applyFill="1" applyBorder="1" applyAlignment="1">
      <alignment horizontal="center" vertical="center" wrapText="1"/>
    </xf>
    <xf numFmtId="4" fontId="2" fillId="0" borderId="1" xfId="0" applyNumberFormat="1" applyFont="1" applyBorder="1"/>
    <xf numFmtId="0" fontId="2" fillId="0" borderId="0" xfId="0" applyFont="1" applyFill="1" applyBorder="1" applyAlignment="1"/>
    <xf numFmtId="0" fontId="1" fillId="0" borderId="0" xfId="0" applyFont="1" applyFill="1" applyBorder="1" applyAlignment="1"/>
    <xf numFmtId="0" fontId="0" fillId="0" borderId="1" xfId="0" applyFill="1" applyBorder="1"/>
    <xf numFmtId="0" fontId="2" fillId="0" borderId="1" xfId="0" applyFont="1" applyFill="1" applyBorder="1" applyAlignment="1">
      <alignment horizontal="left"/>
    </xf>
    <xf numFmtId="0" fontId="15" fillId="0" borderId="0" xfId="0" applyFont="1"/>
    <xf numFmtId="0" fontId="1" fillId="3" borderId="1" xfId="0" applyFont="1" applyFill="1" applyBorder="1" applyAlignment="1" applyProtection="1">
      <alignment horizontal="left" vertical="top" wrapText="1"/>
    </xf>
    <xf numFmtId="4" fontId="2" fillId="3" borderId="1" xfId="0" applyNumberFormat="1" applyFont="1" applyFill="1" applyBorder="1" applyAlignment="1">
      <alignment horizontal="center" wrapText="1"/>
    </xf>
    <xf numFmtId="4" fontId="0" fillId="0" borderId="1" xfId="0" applyNumberFormat="1" applyFill="1" applyBorder="1"/>
    <xf numFmtId="4" fontId="1" fillId="0" borderId="1" xfId="2" applyNumberFormat="1" applyFont="1" applyFill="1" applyBorder="1" applyAlignment="1"/>
    <xf numFmtId="4" fontId="1" fillId="3" borderId="1" xfId="0" applyNumberFormat="1" applyFont="1" applyFill="1" applyBorder="1" applyAlignment="1">
      <alignment horizontal="right" vertical="center"/>
    </xf>
    <xf numFmtId="0" fontId="25" fillId="11" borderId="1" xfId="0" applyFont="1" applyFill="1" applyBorder="1" applyAlignment="1">
      <alignment horizontal="right"/>
    </xf>
    <xf numFmtId="4" fontId="2" fillId="11" borderId="0" xfId="0" applyNumberFormat="1" applyFont="1" applyFill="1" applyBorder="1" applyAlignment="1">
      <alignment horizontal="center" vertical="center"/>
    </xf>
    <xf numFmtId="175" fontId="28" fillId="0" borderId="0" xfId="0" applyNumberFormat="1" applyFont="1"/>
    <xf numFmtId="4" fontId="0" fillId="8" borderId="1" xfId="2" applyNumberFormat="1" applyFont="1" applyFill="1" applyBorder="1" applyAlignment="1"/>
    <xf numFmtId="4" fontId="1" fillId="11" borderId="39" xfId="0" applyNumberFormat="1" applyFont="1" applyFill="1" applyBorder="1" applyAlignment="1">
      <alignment horizontal="right"/>
    </xf>
    <xf numFmtId="4" fontId="1" fillId="3" borderId="2" xfId="2" applyNumberFormat="1" applyFont="1" applyFill="1" applyBorder="1" applyAlignment="1"/>
    <xf numFmtId="3" fontId="1" fillId="20" borderId="1" xfId="0" applyNumberFormat="1" applyFont="1" applyFill="1" applyBorder="1" applyAlignment="1">
      <alignment horizontal="center"/>
    </xf>
    <xf numFmtId="4" fontId="0" fillId="11" borderId="1" xfId="0" applyNumberFormat="1" applyFill="1" applyBorder="1" applyAlignment="1">
      <alignment horizontal="right"/>
    </xf>
    <xf numFmtId="0" fontId="21" fillId="10" borderId="0" xfId="0" applyFont="1" applyFill="1" applyBorder="1"/>
    <xf numFmtId="4" fontId="21" fillId="10" borderId="0" xfId="0" applyNumberFormat="1" applyFont="1" applyFill="1" applyBorder="1"/>
    <xf numFmtId="4" fontId="21" fillId="10" borderId="0" xfId="0" applyNumberFormat="1" applyFont="1" applyFill="1" applyBorder="1" applyAlignment="1">
      <alignment horizontal="center" vertical="center"/>
    </xf>
    <xf numFmtId="0" fontId="9" fillId="7" borderId="8" xfId="0" applyFont="1" applyFill="1" applyBorder="1"/>
    <xf numFmtId="4" fontId="9" fillId="7" borderId="6" xfId="0" applyNumberFormat="1" applyFont="1" applyFill="1" applyBorder="1"/>
    <xf numFmtId="4" fontId="9" fillId="7" borderId="9" xfId="0" applyNumberFormat="1" applyFont="1" applyFill="1" applyBorder="1" applyAlignment="1">
      <alignment horizontal="center" vertical="center"/>
    </xf>
    <xf numFmtId="4" fontId="0" fillId="0" borderId="0" xfId="0" applyNumberFormat="1" applyAlignment="1">
      <alignment horizontal="right"/>
    </xf>
    <xf numFmtId="0" fontId="2" fillId="0" borderId="0" xfId="0" applyFont="1" applyAlignment="1">
      <alignment horizontal="center" vertical="center" wrapText="1"/>
    </xf>
    <xf numFmtId="0" fontId="9" fillId="7" borderId="1" xfId="0" applyFont="1" applyFill="1" applyBorder="1" applyAlignment="1">
      <alignment horizontal="center" vertical="center" wrapText="1"/>
    </xf>
    <xf numFmtId="0" fontId="2" fillId="3" borderId="1" xfId="0" applyFont="1" applyFill="1" applyBorder="1" applyAlignment="1">
      <alignment horizontal="center" vertical="top" wrapText="1"/>
    </xf>
    <xf numFmtId="0" fontId="2" fillId="3" borderId="16" xfId="0" applyFont="1" applyFill="1" applyBorder="1" applyAlignment="1">
      <alignment horizontal="center" vertical="top" wrapText="1"/>
    </xf>
    <xf numFmtId="0" fontId="2" fillId="3" borderId="41" xfId="0" applyFont="1" applyFill="1" applyBorder="1" applyAlignment="1">
      <alignment horizontal="center" vertical="top" wrapText="1"/>
    </xf>
    <xf numFmtId="0" fontId="2" fillId="3" borderId="19" xfId="0" applyFont="1" applyFill="1" applyBorder="1" applyAlignment="1">
      <alignment horizontal="center" vertical="top" wrapText="1"/>
    </xf>
    <xf numFmtId="0" fontId="9" fillId="7" borderId="8"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9" fillId="7" borderId="9" xfId="0" applyFont="1" applyFill="1" applyBorder="1" applyAlignment="1">
      <alignment horizontal="center" vertical="center" wrapText="1"/>
    </xf>
    <xf numFmtId="4" fontId="2" fillId="7" borderId="1" xfId="0" applyNumberFormat="1" applyFont="1" applyFill="1" applyBorder="1" applyAlignment="1">
      <alignment horizontal="center"/>
    </xf>
    <xf numFmtId="0" fontId="29" fillId="6" borderId="8" xfId="0" applyFont="1" applyFill="1" applyBorder="1" applyAlignment="1">
      <alignment horizontal="center"/>
    </xf>
    <xf numFmtId="0" fontId="29" fillId="6" borderId="6" xfId="0" applyFont="1" applyFill="1" applyBorder="1" applyAlignment="1">
      <alignment horizontal="center"/>
    </xf>
    <xf numFmtId="0" fontId="29" fillId="6" borderId="9" xfId="0" applyFont="1" applyFill="1" applyBorder="1" applyAlignment="1">
      <alignment horizontal="center"/>
    </xf>
    <xf numFmtId="0" fontId="29" fillId="0" borderId="40" xfId="0" applyFont="1" applyBorder="1" applyAlignment="1">
      <alignment horizontal="center"/>
    </xf>
    <xf numFmtId="0" fontId="29" fillId="0" borderId="0" xfId="0" applyFont="1" applyBorder="1" applyAlignment="1">
      <alignment horizontal="center"/>
    </xf>
    <xf numFmtId="0" fontId="20" fillId="0" borderId="0" xfId="16" applyFont="1" applyFill="1" applyBorder="1" applyAlignment="1" applyProtection="1">
      <alignment horizontal="left" vertical="center" wrapText="1"/>
      <protection hidden="1"/>
    </xf>
    <xf numFmtId="175" fontId="23" fillId="0" borderId="1" xfId="0" applyNumberFormat="1" applyFont="1" applyBorder="1" applyAlignment="1">
      <alignment horizontal="center"/>
    </xf>
    <xf numFmtId="0" fontId="23" fillId="0" borderId="1" xfId="0" applyFont="1" applyBorder="1" applyAlignment="1">
      <alignment horizontal="center"/>
    </xf>
    <xf numFmtId="0" fontId="29" fillId="7" borderId="8" xfId="0" applyFont="1" applyFill="1" applyBorder="1" applyAlignment="1">
      <alignment horizontal="center"/>
    </xf>
    <xf numFmtId="0" fontId="29" fillId="7" borderId="6" xfId="0" applyFont="1" applyFill="1" applyBorder="1" applyAlignment="1">
      <alignment horizontal="center"/>
    </xf>
    <xf numFmtId="0" fontId="29" fillId="7" borderId="9" xfId="0" applyFont="1" applyFill="1" applyBorder="1" applyAlignment="1">
      <alignment horizontal="center"/>
    </xf>
    <xf numFmtId="175" fontId="23" fillId="0" borderId="16" xfId="0" applyNumberFormat="1" applyFont="1" applyBorder="1" applyAlignment="1">
      <alignment horizontal="center"/>
    </xf>
    <xf numFmtId="175" fontId="23" fillId="0" borderId="19" xfId="0" applyNumberFormat="1" applyFont="1" applyBorder="1" applyAlignment="1">
      <alignment horizontal="center"/>
    </xf>
    <xf numFmtId="0" fontId="29" fillId="6" borderId="1" xfId="0" applyFont="1" applyFill="1" applyBorder="1" applyAlignment="1">
      <alignment horizontal="center"/>
    </xf>
    <xf numFmtId="0" fontId="24" fillId="6" borderId="1" xfId="17" applyFont="1" applyFill="1" applyBorder="1" applyAlignment="1">
      <alignment horizontal="center" vertical="center" wrapText="1"/>
    </xf>
    <xf numFmtId="0" fontId="24" fillId="6" borderId="16" xfId="17" applyFont="1" applyFill="1" applyBorder="1" applyAlignment="1">
      <alignment horizontal="center" vertical="center" wrapText="1"/>
    </xf>
    <xf numFmtId="0" fontId="24" fillId="6" borderId="19" xfId="17" applyFont="1" applyFill="1" applyBorder="1" applyAlignment="1">
      <alignment horizontal="center" vertical="center" wrapText="1"/>
    </xf>
    <xf numFmtId="0" fontId="1" fillId="7" borderId="5" xfId="0" applyFont="1" applyFill="1" applyBorder="1" applyAlignment="1">
      <alignment horizontal="left" wrapText="1"/>
    </xf>
    <xf numFmtId="0" fontId="1" fillId="7" borderId="50" xfId="0" applyFont="1" applyFill="1" applyBorder="1" applyAlignment="1">
      <alignment horizontal="left" wrapText="1"/>
    </xf>
    <xf numFmtId="0" fontId="1" fillId="7" borderId="46" xfId="0" applyFont="1" applyFill="1" applyBorder="1" applyAlignment="1">
      <alignment horizontal="left" wrapText="1"/>
    </xf>
    <xf numFmtId="0" fontId="1" fillId="7" borderId="33" xfId="0" applyFont="1" applyFill="1" applyBorder="1" applyAlignment="1">
      <alignment horizontal="left" wrapText="1"/>
    </xf>
    <xf numFmtId="0" fontId="1" fillId="7" borderId="0" xfId="0" applyFont="1" applyFill="1" applyBorder="1" applyAlignment="1">
      <alignment horizontal="left" wrapText="1"/>
    </xf>
    <xf numFmtId="0" fontId="1" fillId="7" borderId="47" xfId="0" applyFont="1" applyFill="1" applyBorder="1" applyAlignment="1">
      <alignment horizontal="left" wrapText="1"/>
    </xf>
    <xf numFmtId="0" fontId="1" fillId="7" borderId="45" xfId="0" applyFont="1" applyFill="1" applyBorder="1" applyAlignment="1">
      <alignment horizontal="left" wrapText="1"/>
    </xf>
    <xf numFmtId="0" fontId="1" fillId="7" borderId="43" xfId="0" applyFont="1" applyFill="1" applyBorder="1" applyAlignment="1">
      <alignment horizontal="left" wrapText="1"/>
    </xf>
    <xf numFmtId="0" fontId="1" fillId="7" borderId="48" xfId="0" applyFont="1" applyFill="1" applyBorder="1" applyAlignment="1">
      <alignment horizontal="left" wrapText="1"/>
    </xf>
    <xf numFmtId="10" fontId="2" fillId="0" borderId="33" xfId="0" applyNumberFormat="1" applyFont="1" applyFill="1" applyBorder="1" applyAlignment="1">
      <alignment horizontal="center"/>
    </xf>
    <xf numFmtId="10" fontId="2" fillId="0" borderId="0" xfId="0" applyNumberFormat="1" applyFont="1" applyFill="1" applyBorder="1" applyAlignment="1">
      <alignment horizontal="center"/>
    </xf>
    <xf numFmtId="0" fontId="2" fillId="0" borderId="0" xfId="0" applyFont="1" applyFill="1" applyBorder="1" applyAlignment="1">
      <alignment horizontal="center"/>
    </xf>
    <xf numFmtId="0" fontId="2" fillId="7" borderId="43" xfId="0" applyFont="1" applyFill="1" applyBorder="1" applyAlignment="1">
      <alignment horizontal="center"/>
    </xf>
    <xf numFmtId="0" fontId="2" fillId="7" borderId="8" xfId="0" applyFont="1" applyFill="1" applyBorder="1" applyAlignment="1">
      <alignment horizontal="center"/>
    </xf>
    <xf numFmtId="0" fontId="2" fillId="7" borderId="6" xfId="0" applyFont="1" applyFill="1" applyBorder="1" applyAlignment="1">
      <alignment horizontal="center"/>
    </xf>
    <xf numFmtId="0" fontId="2" fillId="7" borderId="9" xfId="0" applyFont="1" applyFill="1" applyBorder="1" applyAlignment="1">
      <alignment horizontal="center"/>
    </xf>
    <xf numFmtId="0" fontId="2" fillId="8" borderId="26" xfId="0" applyFont="1" applyFill="1" applyBorder="1" applyAlignment="1">
      <alignment horizontal="center"/>
    </xf>
    <xf numFmtId="0" fontId="2" fillId="7" borderId="1" xfId="0" applyFont="1" applyFill="1" applyBorder="1" applyAlignment="1">
      <alignment horizontal="left"/>
    </xf>
    <xf numFmtId="0" fontId="1" fillId="7" borderId="5" xfId="0" applyFont="1" applyFill="1" applyBorder="1" applyAlignment="1">
      <alignment horizontal="left" vertical="top" wrapText="1"/>
    </xf>
    <xf numFmtId="0" fontId="1" fillId="7" borderId="46" xfId="0" applyFont="1" applyFill="1" applyBorder="1" applyAlignment="1">
      <alignment horizontal="left" vertical="top" wrapText="1"/>
    </xf>
    <xf numFmtId="0" fontId="1" fillId="7" borderId="33" xfId="0" applyFont="1" applyFill="1" applyBorder="1" applyAlignment="1">
      <alignment horizontal="left" vertical="top" wrapText="1"/>
    </xf>
    <xf numFmtId="0" fontId="1" fillId="7" borderId="47" xfId="0" applyFont="1" applyFill="1" applyBorder="1" applyAlignment="1">
      <alignment horizontal="left" vertical="top" wrapText="1"/>
    </xf>
    <xf numFmtId="0" fontId="1" fillId="7" borderId="45" xfId="0" applyFont="1" applyFill="1" applyBorder="1" applyAlignment="1">
      <alignment horizontal="left" vertical="top" wrapText="1"/>
    </xf>
    <xf numFmtId="0" fontId="1" fillId="7" borderId="48" xfId="0" applyFont="1" applyFill="1" applyBorder="1" applyAlignment="1">
      <alignment horizontal="left" vertical="top" wrapText="1"/>
    </xf>
    <xf numFmtId="0" fontId="1" fillId="0" borderId="0" xfId="0" applyFont="1" applyFill="1" applyBorder="1" applyAlignment="1">
      <alignment horizontal="center"/>
    </xf>
    <xf numFmtId="0" fontId="6" fillId="0" borderId="0" xfId="0" applyFont="1" applyFill="1" applyBorder="1" applyAlignment="1">
      <alignment horizontal="center"/>
    </xf>
    <xf numFmtId="10" fontId="2" fillId="0" borderId="0" xfId="0" applyNumberFormat="1" applyFont="1" applyFill="1" applyBorder="1" applyAlignment="1">
      <alignment horizontal="left"/>
    </xf>
    <xf numFmtId="0" fontId="2" fillId="0" borderId="33" xfId="0" applyFont="1" applyFill="1" applyBorder="1" applyAlignment="1">
      <alignment horizontal="center"/>
    </xf>
    <xf numFmtId="0" fontId="2" fillId="7" borderId="0" xfId="0" applyFont="1" applyFill="1" applyBorder="1" applyAlignment="1">
      <alignment horizontal="center"/>
    </xf>
    <xf numFmtId="0" fontId="1" fillId="7" borderId="1" xfId="0" applyFont="1" applyFill="1" applyBorder="1" applyAlignment="1">
      <alignment horizontal="center" wrapText="1"/>
    </xf>
    <xf numFmtId="3" fontId="7" fillId="4" borderId="31" xfId="0" applyNumberFormat="1" applyFont="1" applyFill="1" applyBorder="1" applyAlignment="1">
      <alignment horizontal="center"/>
    </xf>
    <xf numFmtId="3" fontId="7" fillId="4" borderId="27" xfId="0" applyNumberFormat="1" applyFont="1" applyFill="1" applyBorder="1" applyAlignment="1">
      <alignment horizontal="center"/>
    </xf>
    <xf numFmtId="0" fontId="2" fillId="7" borderId="33" xfId="0" applyFont="1" applyFill="1" applyBorder="1" applyAlignment="1">
      <alignment horizontal="center"/>
    </xf>
    <xf numFmtId="3" fontId="7" fillId="4" borderId="30" xfId="0" applyNumberFormat="1" applyFont="1" applyFill="1" applyBorder="1" applyAlignment="1">
      <alignment horizontal="center"/>
    </xf>
    <xf numFmtId="3" fontId="7" fillId="4" borderId="12" xfId="0" applyNumberFormat="1" applyFont="1" applyFill="1" applyBorder="1" applyAlignment="1">
      <alignment horizontal="center"/>
    </xf>
    <xf numFmtId="0" fontId="2" fillId="0" borderId="45"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0" xfId="0" applyFont="1" applyFill="1" applyBorder="1" applyAlignment="1">
      <alignment horizontal="center" vertical="center"/>
    </xf>
    <xf numFmtId="0" fontId="1" fillId="7" borderId="1" xfId="0" applyFont="1" applyFill="1" applyBorder="1" applyAlignment="1">
      <alignment horizontal="left" vertical="top" wrapText="1"/>
    </xf>
    <xf numFmtId="0" fontId="2" fillId="12" borderId="1" xfId="0" applyFont="1" applyFill="1" applyBorder="1" applyAlignment="1">
      <alignment horizontal="center"/>
    </xf>
    <xf numFmtId="0" fontId="2" fillId="0" borderId="1" xfId="0" applyFont="1" applyFill="1" applyBorder="1" applyAlignment="1">
      <alignment horizontal="center"/>
    </xf>
    <xf numFmtId="0" fontId="2" fillId="13" borderId="1" xfId="0" applyFont="1" applyFill="1" applyBorder="1" applyAlignment="1">
      <alignment horizontal="center"/>
    </xf>
    <xf numFmtId="0" fontId="2" fillId="0" borderId="16"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33" xfId="0" applyFont="1" applyFill="1" applyBorder="1" applyAlignment="1">
      <alignment horizontal="center" vertical="center"/>
    </xf>
    <xf numFmtId="0" fontId="1" fillId="0" borderId="0" xfId="0" applyFont="1" applyFill="1" applyBorder="1" applyAlignment="1">
      <alignment horizontal="center" vertical="center"/>
    </xf>
    <xf numFmtId="0" fontId="2" fillId="7" borderId="1" xfId="0" applyFont="1" applyFill="1" applyBorder="1" applyAlignment="1">
      <alignment horizontal="center"/>
    </xf>
    <xf numFmtId="0" fontId="2" fillId="0" borderId="31" xfId="0" applyFont="1" applyFill="1" applyBorder="1" applyAlignment="1">
      <alignment horizontal="center"/>
    </xf>
    <xf numFmtId="0" fontId="2" fillId="0" borderId="11" xfId="0" applyFont="1" applyFill="1" applyBorder="1" applyAlignment="1">
      <alignment horizontal="center"/>
    </xf>
    <xf numFmtId="0" fontId="2" fillId="0" borderId="44" xfId="0" applyFont="1" applyFill="1" applyBorder="1" applyAlignment="1">
      <alignment horizontal="center"/>
    </xf>
    <xf numFmtId="175" fontId="22" fillId="7" borderId="1" xfId="0" applyNumberFormat="1" applyFont="1" applyFill="1" applyBorder="1" applyAlignment="1">
      <alignment horizontal="center"/>
    </xf>
    <xf numFmtId="0" fontId="22" fillId="7" borderId="1" xfId="0" applyFont="1" applyFill="1" applyBorder="1" applyAlignment="1">
      <alignment horizontal="center"/>
    </xf>
    <xf numFmtId="175" fontId="22" fillId="0" borderId="1" xfId="0" applyNumberFormat="1" applyFont="1" applyBorder="1" applyAlignment="1">
      <alignment horizontal="center"/>
    </xf>
    <xf numFmtId="0" fontId="22" fillId="0" borderId="1" xfId="0" applyFont="1" applyBorder="1" applyAlignment="1">
      <alignment horizontal="center"/>
    </xf>
    <xf numFmtId="0" fontId="1" fillId="7" borderId="28" xfId="0" applyFont="1" applyFill="1" applyBorder="1" applyAlignment="1">
      <alignment horizontal="left" vertical="top" wrapText="1"/>
    </xf>
    <xf numFmtId="0" fontId="1" fillId="7" borderId="42" xfId="0" applyFont="1" applyFill="1" applyBorder="1" applyAlignment="1">
      <alignment horizontal="left" vertical="top" wrapText="1"/>
    </xf>
    <xf numFmtId="0" fontId="1" fillId="7" borderId="36" xfId="0" applyFont="1" applyFill="1" applyBorder="1" applyAlignment="1">
      <alignment horizontal="left" vertical="top" wrapText="1"/>
    </xf>
    <xf numFmtId="3" fontId="7" fillId="8" borderId="0" xfId="0" applyNumberFormat="1" applyFont="1" applyFill="1" applyBorder="1" applyAlignment="1">
      <alignment horizontal="center"/>
    </xf>
    <xf numFmtId="0" fontId="2" fillId="0" borderId="0" xfId="0" applyFont="1" applyFill="1" applyBorder="1" applyAlignment="1">
      <alignment horizontal="center" wrapText="1"/>
    </xf>
    <xf numFmtId="0" fontId="1" fillId="0" borderId="0" xfId="0" applyFont="1" applyAlignment="1">
      <alignment horizontal="center" wrapText="1"/>
    </xf>
    <xf numFmtId="0" fontId="1" fillId="0" borderId="43" xfId="0" applyFont="1" applyBorder="1" applyAlignment="1">
      <alignment horizontal="center" wrapText="1"/>
    </xf>
    <xf numFmtId="2" fontId="3" fillId="0" borderId="10" xfId="0" applyNumberFormat="1" applyFont="1" applyFill="1" applyBorder="1" applyAlignment="1">
      <alignment horizontal="center" vertical="center" wrapText="1"/>
    </xf>
    <xf numFmtId="2" fontId="3" fillId="0" borderId="43" xfId="0" applyNumberFormat="1" applyFont="1" applyFill="1" applyBorder="1" applyAlignment="1">
      <alignment horizontal="center" vertical="center" wrapText="1"/>
    </xf>
    <xf numFmtId="0" fontId="2" fillId="7" borderId="1" xfId="0" applyFont="1" applyFill="1" applyBorder="1" applyAlignment="1">
      <alignment horizontal="center" wrapText="1"/>
    </xf>
    <xf numFmtId="10" fontId="2" fillId="0" borderId="40" xfId="0" applyNumberFormat="1" applyFont="1" applyFill="1" applyBorder="1" applyAlignment="1">
      <alignment horizontal="center"/>
    </xf>
    <xf numFmtId="0" fontId="1" fillId="0" borderId="1" xfId="0" applyFont="1" applyBorder="1" applyAlignment="1">
      <alignment horizontal="center" wrapText="1"/>
    </xf>
    <xf numFmtId="0" fontId="15" fillId="7" borderId="8" xfId="0" applyFont="1" applyFill="1" applyBorder="1" applyAlignment="1">
      <alignment horizontal="center"/>
    </xf>
    <xf numFmtId="0" fontId="15" fillId="7" borderId="6" xfId="0" applyFont="1" applyFill="1" applyBorder="1" applyAlignment="1">
      <alignment horizontal="center"/>
    </xf>
    <xf numFmtId="0" fontId="15" fillId="7" borderId="9" xfId="0" applyFont="1" applyFill="1" applyBorder="1" applyAlignment="1">
      <alignment horizontal="center"/>
    </xf>
    <xf numFmtId="0" fontId="15" fillId="0" borderId="0" xfId="0" applyFont="1" applyFill="1" applyBorder="1" applyAlignment="1">
      <alignment horizontal="center"/>
    </xf>
    <xf numFmtId="0" fontId="15" fillId="7" borderId="0" xfId="0" applyFont="1" applyFill="1" applyBorder="1" applyAlignment="1">
      <alignment horizontal="center"/>
    </xf>
    <xf numFmtId="0" fontId="15" fillId="8" borderId="0" xfId="0" applyFont="1" applyFill="1" applyBorder="1" applyAlignment="1">
      <alignment horizontal="center"/>
    </xf>
    <xf numFmtId="0" fontId="15" fillId="7" borderId="16" xfId="0" applyFont="1" applyFill="1" applyBorder="1" applyAlignment="1">
      <alignment horizontal="center"/>
    </xf>
    <xf numFmtId="0" fontId="15" fillId="7" borderId="41" xfId="0" applyFont="1" applyFill="1" applyBorder="1" applyAlignment="1">
      <alignment horizontal="center"/>
    </xf>
    <xf numFmtId="0" fontId="15" fillId="7" borderId="22" xfId="0" applyFont="1" applyFill="1" applyBorder="1" applyAlignment="1">
      <alignment horizontal="center"/>
    </xf>
    <xf numFmtId="0" fontId="1" fillId="7" borderId="8" xfId="0" applyFont="1" applyFill="1" applyBorder="1" applyAlignment="1">
      <alignment horizontal="left" vertical="top" wrapText="1"/>
    </xf>
    <xf numFmtId="0" fontId="1" fillId="7" borderId="9" xfId="0" applyFont="1" applyFill="1" applyBorder="1" applyAlignment="1">
      <alignment horizontal="left" vertical="top" wrapText="1"/>
    </xf>
    <xf numFmtId="0" fontId="9" fillId="7" borderId="0" xfId="0" applyFont="1" applyFill="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27" fillId="7" borderId="1" xfId="0" applyFont="1" applyFill="1" applyBorder="1" applyAlignment="1">
      <alignment horizontal="center"/>
    </xf>
    <xf numFmtId="0" fontId="0" fillId="8" borderId="33" xfId="0" applyFill="1" applyBorder="1" applyAlignment="1">
      <alignment horizontal="center" vertical="center"/>
    </xf>
    <xf numFmtId="0" fontId="20" fillId="0" borderId="1" xfId="0" applyFont="1" applyBorder="1" applyAlignment="1">
      <alignment horizontal="center" wrapText="1"/>
    </xf>
    <xf numFmtId="0" fontId="36" fillId="0" borderId="1" xfId="0" applyFont="1" applyBorder="1" applyAlignment="1">
      <alignment horizontal="center" vertical="center" wrapText="1"/>
    </xf>
    <xf numFmtId="0" fontId="15" fillId="19" borderId="16" xfId="0" applyFont="1" applyFill="1" applyBorder="1" applyAlignment="1">
      <alignment horizontal="left"/>
    </xf>
    <xf numFmtId="0" fontId="15" fillId="19" borderId="41" xfId="0" applyFont="1" applyFill="1" applyBorder="1" applyAlignment="1">
      <alignment horizontal="left"/>
    </xf>
    <xf numFmtId="0" fontId="15" fillId="19" borderId="19" xfId="0" applyFont="1" applyFill="1" applyBorder="1" applyAlignment="1">
      <alignment horizontal="left"/>
    </xf>
    <xf numFmtId="0" fontId="37" fillId="0" borderId="16" xfId="0" applyFont="1" applyBorder="1" applyAlignment="1">
      <alignment horizontal="left"/>
    </xf>
    <xf numFmtId="0" fontId="37" fillId="0" borderId="41" xfId="0" applyFont="1" applyBorder="1" applyAlignment="1">
      <alignment horizontal="left"/>
    </xf>
    <xf numFmtId="0" fontId="37" fillId="0" borderId="19" xfId="0" applyFont="1" applyBorder="1" applyAlignment="1">
      <alignment horizontal="left"/>
    </xf>
    <xf numFmtId="0" fontId="36" fillId="0" borderId="2" xfId="0" applyFont="1" applyBorder="1" applyAlignment="1">
      <alignment horizontal="center"/>
    </xf>
    <xf numFmtId="0" fontId="36" fillId="0" borderId="26" xfId="0" applyFont="1" applyBorder="1" applyAlignment="1">
      <alignment horizontal="center"/>
    </xf>
    <xf numFmtId="3" fontId="36" fillId="0" borderId="2" xfId="0" applyNumberFormat="1" applyFont="1" applyBorder="1" applyAlignment="1">
      <alignment horizontal="center"/>
    </xf>
    <xf numFmtId="0" fontId="37" fillId="15" borderId="1" xfId="0" applyFont="1" applyFill="1" applyBorder="1" applyAlignment="1">
      <alignment horizontal="center" vertical="center" wrapText="1"/>
    </xf>
    <xf numFmtId="0" fontId="36" fillId="15" borderId="1" xfId="0" applyFont="1" applyFill="1" applyBorder="1" applyAlignment="1">
      <alignment horizontal="center" vertical="center" wrapText="1"/>
    </xf>
    <xf numFmtId="0" fontId="37" fillId="15" borderId="1" xfId="0" applyFont="1" applyFill="1" applyBorder="1" applyAlignment="1">
      <alignment horizontal="center" vertical="center"/>
    </xf>
    <xf numFmtId="0" fontId="36" fillId="15" borderId="1" xfId="0" applyFont="1" applyFill="1" applyBorder="1" applyAlignment="1">
      <alignment horizontal="center" vertical="center"/>
    </xf>
    <xf numFmtId="3" fontId="36" fillId="0" borderId="1" xfId="0" applyNumberFormat="1" applyFont="1" applyBorder="1" applyAlignment="1">
      <alignment horizontal="center" vertical="center"/>
    </xf>
    <xf numFmtId="0" fontId="37" fillId="0" borderId="1" xfId="0" applyFont="1" applyBorder="1" applyAlignment="1">
      <alignment horizontal="center" vertical="center"/>
    </xf>
    <xf numFmtId="0" fontId="37" fillId="19" borderId="1" xfId="0" applyFont="1" applyFill="1" applyBorder="1" applyAlignment="1">
      <alignment horizontal="center" vertical="center"/>
    </xf>
    <xf numFmtId="3" fontId="36" fillId="8" borderId="1" xfId="0" applyNumberFormat="1" applyFont="1" applyFill="1" applyBorder="1" applyAlignment="1">
      <alignment horizontal="center" vertical="center"/>
    </xf>
    <xf numFmtId="0" fontId="37" fillId="7" borderId="1" xfId="0" applyFont="1" applyFill="1" applyBorder="1" applyAlignment="1">
      <alignment horizontal="center" vertical="center"/>
    </xf>
    <xf numFmtId="0" fontId="39" fillId="0" borderId="1" xfId="0" applyFont="1" applyBorder="1" applyAlignment="1">
      <alignment horizontal="center" vertical="center" wrapText="1"/>
    </xf>
    <xf numFmtId="3" fontId="39" fillId="0" borderId="1" xfId="0" applyNumberFormat="1" applyFont="1" applyBorder="1" applyAlignment="1">
      <alignment horizontal="center" vertical="center"/>
    </xf>
    <xf numFmtId="0" fontId="38" fillId="7" borderId="1" xfId="0" applyFont="1" applyFill="1" applyBorder="1" applyAlignment="1">
      <alignment horizontal="center" vertical="center"/>
    </xf>
    <xf numFmtId="3" fontId="39" fillId="0" borderId="2" xfId="0" applyNumberFormat="1" applyFont="1" applyBorder="1" applyAlignment="1">
      <alignment horizontal="center"/>
    </xf>
    <xf numFmtId="0" fontId="39" fillId="0" borderId="26" xfId="0" applyFont="1" applyBorder="1" applyAlignment="1">
      <alignment horizontal="center"/>
    </xf>
    <xf numFmtId="0" fontId="37" fillId="15" borderId="16" xfId="0" applyFont="1" applyFill="1" applyBorder="1" applyAlignment="1">
      <alignment horizontal="center" vertical="center"/>
    </xf>
    <xf numFmtId="0" fontId="37" fillId="15" borderId="41" xfId="0" applyFont="1" applyFill="1" applyBorder="1" applyAlignment="1">
      <alignment horizontal="center" vertical="center"/>
    </xf>
    <xf numFmtId="0" fontId="36" fillId="15" borderId="41" xfId="0" applyFont="1" applyFill="1" applyBorder="1" applyAlignment="1">
      <alignment horizontal="center" vertical="center"/>
    </xf>
    <xf numFmtId="0" fontId="36" fillId="15" borderId="19" xfId="0" applyFont="1" applyFill="1" applyBorder="1" applyAlignment="1">
      <alignment horizontal="center" vertical="center"/>
    </xf>
    <xf numFmtId="0" fontId="36" fillId="0" borderId="1" xfId="0" applyFont="1" applyBorder="1" applyAlignment="1">
      <alignment horizontal="center" vertical="center"/>
    </xf>
    <xf numFmtId="0" fontId="36" fillId="0" borderId="16" xfId="0" applyFont="1" applyBorder="1" applyAlignment="1">
      <alignment horizontal="center"/>
    </xf>
    <xf numFmtId="0" fontId="36" fillId="0" borderId="19" xfId="0" applyFont="1" applyBorder="1" applyAlignment="1">
      <alignment horizontal="center"/>
    </xf>
  </cellXfs>
  <cellStyles count="25">
    <cellStyle name="Hipervínculo" xfId="1" builtinId="8" hidden="1"/>
    <cellStyle name="Millares" xfId="2" builtinId="3"/>
    <cellStyle name="Millares 10" xfId="3"/>
    <cellStyle name="Millares 11" xfId="4"/>
    <cellStyle name="Millares 2" xfId="5"/>
    <cellStyle name="Millares 3" xfId="6"/>
    <cellStyle name="Millares 5" xfId="7"/>
    <cellStyle name="Millares 6" xfId="8"/>
    <cellStyle name="Millares 7" xfId="9"/>
    <cellStyle name="Millares 8" xfId="10"/>
    <cellStyle name="Moneda" xfId="24" builtinId="4"/>
    <cellStyle name="Normal" xfId="0" builtinId="0"/>
    <cellStyle name="Normal 10" xfId="11"/>
    <cellStyle name="Normal 11" xfId="12"/>
    <cellStyle name="Normal 12" xfId="13"/>
    <cellStyle name="Normal 15" xfId="14"/>
    <cellStyle name="Normal 16" xfId="15"/>
    <cellStyle name="Normal 2" xfId="16"/>
    <cellStyle name="Normal 3" xfId="17"/>
    <cellStyle name="Normal 5" xfId="18"/>
    <cellStyle name="Normal 6" xfId="19"/>
    <cellStyle name="Normal 7" xfId="20"/>
    <cellStyle name="Normal 8" xfId="21"/>
    <cellStyle name="Porcentaje" xfId="23" builtinId="5"/>
    <cellStyle name="Porcentaje 2" xfId="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34</xdr:row>
      <xdr:rowOff>0</xdr:rowOff>
    </xdr:from>
    <xdr:to>
      <xdr:col>6</xdr:col>
      <xdr:colOff>1590675</xdr:colOff>
      <xdr:row>75</xdr:row>
      <xdr:rowOff>85725</xdr:rowOff>
    </xdr:to>
    <xdr:pic>
      <xdr:nvPicPr>
        <xdr:cNvPr id="2" name="Imagen 1"/>
        <xdr:cNvPicPr/>
      </xdr:nvPicPr>
      <xdr:blipFill>
        <a:blip xmlns:r="http://schemas.openxmlformats.org/officeDocument/2006/relationships" r:embed="rId1">
          <a:extLst>
            <a:ext uri="{28A0092B-C50C-407E-A947-70E740481C1C}">
              <a14:useLocalDpi xmlns:a14="http://schemas.microsoft.com/office/drawing/2010/main" val="0"/>
            </a:ext>
          </a:extLst>
        </a:blip>
        <a:srcRect l="11206" t="17825" r="37599" b="7170"/>
        <a:stretch>
          <a:fillRect/>
        </a:stretch>
      </xdr:blipFill>
      <xdr:spPr bwMode="auto">
        <a:xfrm>
          <a:off x="0" y="7153275"/>
          <a:ext cx="8639175" cy="672465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57"/>
  <sheetViews>
    <sheetView view="pageBreakPreview" zoomScale="90" zoomScaleNormal="90" zoomScaleSheetLayoutView="90" workbookViewId="0">
      <selection activeCell="E34" sqref="E34"/>
    </sheetView>
  </sheetViews>
  <sheetFormatPr baseColWidth="10" defaultColWidth="11.42578125" defaultRowHeight="12.75" x14ac:dyDescent="0.2"/>
  <cols>
    <col min="1" max="1" width="11.42578125" style="64"/>
    <col min="2" max="2" width="57.28515625" style="64" customWidth="1"/>
    <col min="3" max="3" width="9.7109375" style="64" customWidth="1"/>
    <col min="4" max="4" width="11.42578125" style="64"/>
    <col min="5" max="5" width="16.5703125" style="64" customWidth="1"/>
    <col min="6" max="16384" width="11.42578125" style="64"/>
  </cols>
  <sheetData>
    <row r="1" spans="1:13" x14ac:dyDescent="0.2">
      <c r="A1" s="195"/>
    </row>
    <row r="2" spans="1:13" x14ac:dyDescent="0.2">
      <c r="A2" s="195"/>
    </row>
    <row r="3" spans="1:13" x14ac:dyDescent="0.2">
      <c r="A3" s="195"/>
      <c r="B3" s="591" t="s">
        <v>99</v>
      </c>
      <c r="C3" s="591"/>
      <c r="D3" s="591"/>
      <c r="E3" s="591"/>
    </row>
    <row r="4" spans="1:13" x14ac:dyDescent="0.2">
      <c r="A4" s="195"/>
      <c r="B4" s="383"/>
      <c r="C4" s="383"/>
      <c r="D4" s="383"/>
      <c r="E4" s="383"/>
    </row>
    <row r="5" spans="1:13" x14ac:dyDescent="0.2">
      <c r="A5" s="195"/>
      <c r="B5" s="591" t="s">
        <v>181</v>
      </c>
      <c r="C5" s="591"/>
      <c r="D5" s="591"/>
      <c r="E5" s="591"/>
    </row>
    <row r="6" spans="1:13" x14ac:dyDescent="0.2">
      <c r="A6" s="195"/>
      <c r="B6" s="383"/>
    </row>
    <row r="7" spans="1:13" ht="15.75" x14ac:dyDescent="0.2">
      <c r="A7" s="195"/>
      <c r="B7" s="592" t="s">
        <v>401</v>
      </c>
      <c r="C7" s="592"/>
      <c r="D7" s="592"/>
      <c r="E7" s="592"/>
    </row>
    <row r="8" spans="1:13" x14ac:dyDescent="0.2">
      <c r="A8" s="195"/>
      <c r="B8" s="124"/>
    </row>
    <row r="9" spans="1:13" x14ac:dyDescent="0.2">
      <c r="A9" s="195"/>
      <c r="B9" s="591" t="s">
        <v>571</v>
      </c>
      <c r="C9" s="591"/>
      <c r="D9" s="591"/>
      <c r="E9" s="591"/>
      <c r="I9" s="34"/>
    </row>
    <row r="10" spans="1:13" x14ac:dyDescent="0.2">
      <c r="A10" s="195"/>
      <c r="B10" s="384"/>
    </row>
    <row r="11" spans="1:13" x14ac:dyDescent="0.2">
      <c r="B11" s="143" t="s">
        <v>100</v>
      </c>
      <c r="C11" s="92" t="s">
        <v>101</v>
      </c>
      <c r="D11" s="92" t="s">
        <v>102</v>
      </c>
      <c r="E11" s="92" t="s">
        <v>368</v>
      </c>
      <c r="I11" s="385"/>
      <c r="J11" s="386"/>
      <c r="K11" s="385"/>
      <c r="L11" s="386"/>
      <c r="M11" s="380"/>
    </row>
    <row r="12" spans="1:13" x14ac:dyDescent="0.2">
      <c r="B12" s="392" t="s">
        <v>386</v>
      </c>
      <c r="C12" s="393"/>
      <c r="D12" s="393"/>
      <c r="E12" s="393"/>
      <c r="I12" s="385"/>
      <c r="J12" s="386"/>
      <c r="K12" s="385"/>
      <c r="L12" s="386"/>
      <c r="M12" s="380"/>
    </row>
    <row r="13" spans="1:13" x14ac:dyDescent="0.2">
      <c r="B13" s="402" t="s">
        <v>384</v>
      </c>
      <c r="C13" s="196" t="s">
        <v>364</v>
      </c>
      <c r="D13" s="202">
        <f>'COSTOS Revegetalizacion'!F32</f>
        <v>3733355</v>
      </c>
      <c r="E13" s="141"/>
      <c r="I13" s="387"/>
      <c r="J13" s="388"/>
      <c r="K13" s="389"/>
      <c r="L13" s="389"/>
      <c r="M13" s="380"/>
    </row>
    <row r="14" spans="1:13" x14ac:dyDescent="0.2">
      <c r="B14" s="402" t="s">
        <v>371</v>
      </c>
      <c r="C14" s="141" t="s">
        <v>364</v>
      </c>
      <c r="D14" s="141">
        <f>'COSTOS RESTAURACION ISLAS '!F34</f>
        <v>5117708.3</v>
      </c>
      <c r="E14" s="141"/>
      <c r="I14" s="387"/>
      <c r="J14" s="388"/>
      <c r="K14" s="389"/>
      <c r="L14" s="389"/>
      <c r="M14" s="380"/>
    </row>
    <row r="15" spans="1:13" x14ac:dyDescent="0.2">
      <c r="B15" s="392" t="s">
        <v>385</v>
      </c>
      <c r="C15" s="394"/>
      <c r="D15" s="394"/>
      <c r="E15" s="394"/>
      <c r="I15" s="387"/>
      <c r="J15" s="388"/>
      <c r="K15" s="389"/>
      <c r="L15" s="389"/>
      <c r="M15" s="380"/>
    </row>
    <row r="16" spans="1:13" x14ac:dyDescent="0.2">
      <c r="B16" s="403" t="s">
        <v>369</v>
      </c>
      <c r="C16" s="141" t="s">
        <v>364</v>
      </c>
      <c r="D16" s="141">
        <f>'COSTOS agroforest caucho'!F34</f>
        <v>5394492</v>
      </c>
      <c r="E16" s="141"/>
      <c r="I16" s="387"/>
      <c r="J16" s="388"/>
      <c r="K16" s="389"/>
      <c r="L16" s="389"/>
      <c r="M16" s="380"/>
    </row>
    <row r="17" spans="1:13" x14ac:dyDescent="0.2">
      <c r="B17" s="402" t="s">
        <v>370</v>
      </c>
      <c r="C17" s="390" t="s">
        <v>364</v>
      </c>
      <c r="D17" s="187">
        <f>'COSTOS agroforest cacao'!F34</f>
        <v>7462484.5999999996</v>
      </c>
      <c r="E17" s="391"/>
      <c r="I17" s="387"/>
      <c r="J17" s="389"/>
      <c r="K17" s="389"/>
      <c r="L17" s="389"/>
      <c r="M17" s="380"/>
    </row>
    <row r="18" spans="1:13" x14ac:dyDescent="0.2">
      <c r="B18" s="417" t="s">
        <v>438</v>
      </c>
      <c r="C18" s="390" t="s">
        <v>364</v>
      </c>
      <c r="D18" s="187">
        <f>'COSTOS agrofor Urbanos'!F34</f>
        <v>4621642.68</v>
      </c>
      <c r="E18" s="391"/>
      <c r="I18" s="387"/>
      <c r="J18" s="389"/>
      <c r="K18" s="389"/>
      <c r="L18" s="389"/>
      <c r="M18" s="380"/>
    </row>
    <row r="19" spans="1:13" x14ac:dyDescent="0.2">
      <c r="B19" s="571" t="s">
        <v>584</v>
      </c>
      <c r="C19" s="390" t="s">
        <v>364</v>
      </c>
      <c r="D19" s="187">
        <f>'Mtto Agroforestales'!F27</f>
        <v>1297298.75</v>
      </c>
      <c r="E19" s="391"/>
      <c r="I19" s="387"/>
      <c r="J19" s="389"/>
      <c r="K19" s="389"/>
      <c r="L19" s="389"/>
      <c r="M19" s="380"/>
    </row>
    <row r="20" spans="1:13" ht="25.5" x14ac:dyDescent="0.2">
      <c r="B20" s="392" t="s">
        <v>377</v>
      </c>
      <c r="C20" s="395"/>
      <c r="D20" s="395"/>
      <c r="E20" s="396"/>
      <c r="I20" s="387"/>
      <c r="J20" s="389"/>
      <c r="K20" s="389"/>
      <c r="L20" s="389"/>
      <c r="M20" s="380"/>
    </row>
    <row r="21" spans="1:13" x14ac:dyDescent="0.2">
      <c r="B21" s="402" t="s">
        <v>365</v>
      </c>
      <c r="C21" s="390" t="s">
        <v>364</v>
      </c>
      <c r="D21" s="187">
        <f>'Mtto Plantaciones UN AÑO Piloto'!F29</f>
        <v>1622019</v>
      </c>
      <c r="E21" s="391"/>
      <c r="I21" s="387"/>
      <c r="J21" s="389"/>
      <c r="K21" s="389"/>
      <c r="L21" s="389"/>
      <c r="M21" s="380"/>
    </row>
    <row r="22" spans="1:13" x14ac:dyDescent="0.2">
      <c r="B22" s="402" t="s">
        <v>366</v>
      </c>
      <c r="C22" s="390" t="s">
        <v>364</v>
      </c>
      <c r="D22" s="187">
        <f>'Mtto Plantaciones UN AÑO Piloto'!F61</f>
        <v>1267925.5</v>
      </c>
      <c r="E22" s="391"/>
      <c r="I22" s="387"/>
      <c r="J22" s="389"/>
      <c r="K22" s="389"/>
      <c r="L22" s="389"/>
      <c r="M22" s="380"/>
    </row>
    <row r="23" spans="1:13" x14ac:dyDescent="0.2">
      <c r="B23" s="402" t="s">
        <v>367</v>
      </c>
      <c r="C23" s="390" t="s">
        <v>364</v>
      </c>
      <c r="D23" s="187">
        <f>'Mtto Plantaciones UN AÑO Piloto'!F89</f>
        <v>974607.5</v>
      </c>
      <c r="E23" s="391"/>
      <c r="I23" s="387"/>
      <c r="J23" s="389"/>
      <c r="K23" s="389"/>
      <c r="L23" s="389"/>
      <c r="M23" s="380"/>
    </row>
    <row r="24" spans="1:13" x14ac:dyDescent="0.2">
      <c r="B24" s="397" t="s">
        <v>387</v>
      </c>
      <c r="C24" s="398"/>
      <c r="D24" s="398"/>
      <c r="E24" s="398"/>
    </row>
    <row r="25" spans="1:13" x14ac:dyDescent="0.2">
      <c r="B25" s="402" t="s">
        <v>372</v>
      </c>
      <c r="C25" s="390" t="s">
        <v>144</v>
      </c>
      <c r="D25" s="187">
        <f>'COSTOSaisla Madera 4 caras'!E32</f>
        <v>11793348</v>
      </c>
      <c r="E25" s="391"/>
      <c r="I25" s="387"/>
      <c r="J25" s="389"/>
      <c r="K25" s="389"/>
      <c r="L25" s="389"/>
      <c r="M25" s="380"/>
    </row>
    <row r="26" spans="1:13" x14ac:dyDescent="0.2">
      <c r="B26" s="402" t="s">
        <v>373</v>
      </c>
      <c r="C26" s="390" t="s">
        <v>144</v>
      </c>
      <c r="D26" s="187">
        <f>'COSTOSaisla Rollisa o 3 caras'!E32</f>
        <v>7939929.75</v>
      </c>
      <c r="E26" s="391"/>
      <c r="I26" s="387"/>
      <c r="J26" s="389"/>
      <c r="K26" s="389"/>
      <c r="L26" s="389"/>
      <c r="M26" s="380"/>
    </row>
    <row r="27" spans="1:13" x14ac:dyDescent="0.2">
      <c r="B27" s="402" t="s">
        <v>374</v>
      </c>
      <c r="C27" s="390" t="s">
        <v>144</v>
      </c>
      <c r="D27" s="582">
        <v>6522003</v>
      </c>
      <c r="E27" s="391"/>
      <c r="I27" s="387"/>
      <c r="J27" s="389"/>
      <c r="K27" s="389"/>
      <c r="L27" s="389"/>
      <c r="M27" s="380"/>
    </row>
    <row r="28" spans="1:13" x14ac:dyDescent="0.2">
      <c r="B28" s="392" t="s">
        <v>388</v>
      </c>
      <c r="C28" s="395"/>
      <c r="D28" s="399"/>
      <c r="E28" s="396"/>
      <c r="I28" s="387"/>
      <c r="J28" s="389"/>
      <c r="K28" s="389"/>
      <c r="L28" s="389"/>
      <c r="M28" s="380"/>
    </row>
    <row r="29" spans="1:13" x14ac:dyDescent="0.2">
      <c r="A29" s="430"/>
      <c r="B29" s="402" t="s">
        <v>376</v>
      </c>
      <c r="C29" s="390" t="s">
        <v>144</v>
      </c>
      <c r="D29" s="582">
        <f>'CERCA VIVA Estacas'!F28</f>
        <v>2458849</v>
      </c>
      <c r="E29" s="391"/>
      <c r="I29" s="387"/>
      <c r="J29" s="389"/>
      <c r="K29" s="389"/>
      <c r="L29" s="389"/>
      <c r="M29" s="380"/>
    </row>
    <row r="30" spans="1:13" x14ac:dyDescent="0.2">
      <c r="B30" s="402" t="s">
        <v>378</v>
      </c>
      <c r="C30" s="390" t="s">
        <v>144</v>
      </c>
      <c r="D30" s="187">
        <f>'CERCA VIVA E INERTE'!E13</f>
        <v>14252197</v>
      </c>
      <c r="E30" s="391"/>
      <c r="I30" s="387"/>
      <c r="J30" s="389"/>
      <c r="K30" s="389"/>
      <c r="L30" s="389"/>
      <c r="M30" s="380"/>
    </row>
    <row r="31" spans="1:13" x14ac:dyDescent="0.2">
      <c r="B31" s="402" t="s">
        <v>379</v>
      </c>
      <c r="C31" s="390" t="s">
        <v>144</v>
      </c>
      <c r="D31" s="187">
        <f>'CERCA VIVA E INERTE'!E23</f>
        <v>10398778.75</v>
      </c>
      <c r="E31" s="391"/>
      <c r="I31" s="387"/>
      <c r="J31" s="389"/>
      <c r="K31" s="389"/>
      <c r="L31" s="389"/>
      <c r="M31" s="380"/>
    </row>
    <row r="32" spans="1:13" x14ac:dyDescent="0.2">
      <c r="B32" s="402" t="s">
        <v>380</v>
      </c>
      <c r="C32" s="390" t="s">
        <v>144</v>
      </c>
      <c r="D32" s="187">
        <f>'CERCA VIVA E INERTE'!E33</f>
        <v>8980852</v>
      </c>
      <c r="E32" s="391"/>
      <c r="I32" s="387"/>
      <c r="J32" s="389"/>
      <c r="K32" s="389"/>
      <c r="L32" s="389"/>
      <c r="M32" s="380"/>
    </row>
    <row r="33" spans="2:13" x14ac:dyDescent="0.2">
      <c r="B33" s="392" t="s">
        <v>389</v>
      </c>
      <c r="C33" s="395"/>
      <c r="D33" s="399"/>
      <c r="E33" s="396"/>
      <c r="I33" s="387"/>
      <c r="J33" s="389"/>
      <c r="K33" s="389"/>
      <c r="L33" s="389"/>
      <c r="M33" s="380"/>
    </row>
    <row r="34" spans="2:13" x14ac:dyDescent="0.2">
      <c r="B34" s="402" t="s">
        <v>381</v>
      </c>
      <c r="C34" s="390" t="s">
        <v>144</v>
      </c>
      <c r="D34" s="187">
        <f>'MTO CERCA VARIOS ESTACONES'!O71</f>
        <v>5791202.2999999998</v>
      </c>
      <c r="E34" s="391"/>
      <c r="I34" s="387"/>
      <c r="J34" s="389"/>
      <c r="K34" s="389"/>
      <c r="L34" s="389"/>
      <c r="M34" s="380"/>
    </row>
    <row r="35" spans="2:13" x14ac:dyDescent="0.2">
      <c r="B35" s="402" t="s">
        <v>382</v>
      </c>
      <c r="C35" s="390" t="s">
        <v>144</v>
      </c>
      <c r="D35" s="187">
        <f>'MTO CERCA VARIOS ESTACONES'!O34</f>
        <v>3787548.25</v>
      </c>
      <c r="E35" s="391"/>
      <c r="I35" s="387"/>
      <c r="J35" s="389"/>
      <c r="K35" s="389"/>
      <c r="L35" s="389"/>
      <c r="M35" s="380"/>
    </row>
    <row r="36" spans="2:13" x14ac:dyDescent="0.2">
      <c r="B36" s="402" t="s">
        <v>383</v>
      </c>
      <c r="C36" s="390" t="s">
        <v>375</v>
      </c>
      <c r="D36" s="187">
        <f>'MTO CERCA VARIOS ESTACONES'!F34</f>
        <v>3129386</v>
      </c>
      <c r="E36" s="391"/>
      <c r="I36" s="387"/>
      <c r="J36" s="389"/>
      <c r="K36" s="389"/>
      <c r="L36" s="389"/>
      <c r="M36" s="380"/>
    </row>
    <row r="37" spans="2:13" x14ac:dyDescent="0.2">
      <c r="B37" s="392" t="s">
        <v>390</v>
      </c>
      <c r="C37" s="395"/>
      <c r="D37" s="399"/>
      <c r="E37" s="396"/>
      <c r="I37" s="387"/>
      <c r="J37" s="389"/>
      <c r="K37" s="389"/>
      <c r="L37" s="389"/>
      <c r="M37" s="380"/>
    </row>
    <row r="38" spans="2:13" x14ac:dyDescent="0.2">
      <c r="B38" s="402" t="s">
        <v>392</v>
      </c>
      <c r="C38" s="390" t="s">
        <v>395</v>
      </c>
      <c r="D38" s="187">
        <f>'COSTO talleres'!N26</f>
        <v>753666</v>
      </c>
      <c r="E38" s="391"/>
      <c r="I38" s="387"/>
      <c r="J38" s="389"/>
      <c r="K38" s="389"/>
      <c r="L38" s="389"/>
      <c r="M38" s="380"/>
    </row>
    <row r="39" spans="2:13" x14ac:dyDescent="0.2">
      <c r="B39" s="404" t="s">
        <v>393</v>
      </c>
      <c r="C39" s="390" t="s">
        <v>395</v>
      </c>
      <c r="D39" s="187">
        <f>'COSTO talleres'!F60</f>
        <v>470265</v>
      </c>
      <c r="E39" s="391"/>
      <c r="I39" s="387"/>
      <c r="J39" s="389"/>
      <c r="K39" s="389"/>
      <c r="L39" s="389"/>
      <c r="M39" s="380"/>
    </row>
    <row r="40" spans="2:13" x14ac:dyDescent="0.2">
      <c r="B40" s="404" t="s">
        <v>394</v>
      </c>
      <c r="C40" s="390" t="s">
        <v>395</v>
      </c>
      <c r="D40" s="187">
        <f>'COSTO talleres'!N28</f>
        <v>753666</v>
      </c>
      <c r="E40" s="391"/>
      <c r="I40" s="387"/>
      <c r="J40" s="389"/>
      <c r="K40" s="389"/>
      <c r="L40" s="389"/>
      <c r="M40" s="380"/>
    </row>
    <row r="41" spans="2:13" x14ac:dyDescent="0.2">
      <c r="B41" s="392" t="s">
        <v>396</v>
      </c>
      <c r="C41" s="395"/>
      <c r="D41" s="395"/>
      <c r="E41" s="396"/>
      <c r="I41" s="387"/>
      <c r="J41" s="389"/>
      <c r="K41" s="389"/>
      <c r="L41" s="389"/>
      <c r="M41" s="380"/>
    </row>
    <row r="42" spans="2:13" x14ac:dyDescent="0.2">
      <c r="B42" s="404" t="s">
        <v>123</v>
      </c>
      <c r="C42" s="390" t="s">
        <v>118</v>
      </c>
      <c r="D42" s="187">
        <f>BIOINGENIERIA!F18</f>
        <v>39221</v>
      </c>
      <c r="E42" s="391"/>
      <c r="I42" s="387"/>
      <c r="J42" s="389"/>
      <c r="K42" s="389"/>
      <c r="L42" s="389"/>
      <c r="M42" s="380"/>
    </row>
    <row r="43" spans="2:13" x14ac:dyDescent="0.2">
      <c r="B43" s="404" t="s">
        <v>397</v>
      </c>
      <c r="C43" s="390" t="s">
        <v>117</v>
      </c>
      <c r="D43" s="187">
        <f>BIOINGENIERIA!E23</f>
        <v>12000</v>
      </c>
      <c r="E43" s="391"/>
      <c r="I43" s="387"/>
      <c r="J43" s="389"/>
      <c r="K43" s="389"/>
      <c r="L43" s="389"/>
      <c r="M43" s="380"/>
    </row>
    <row r="44" spans="2:13" x14ac:dyDescent="0.2">
      <c r="B44" s="392" t="s">
        <v>398</v>
      </c>
      <c r="C44" s="395"/>
      <c r="D44" s="395"/>
      <c r="E44" s="396"/>
      <c r="I44" s="387"/>
      <c r="J44" s="389"/>
      <c r="K44" s="389"/>
      <c r="L44" s="389"/>
      <c r="M44" s="380"/>
    </row>
    <row r="45" spans="2:13" x14ac:dyDescent="0.2">
      <c r="B45" s="404" t="s">
        <v>399</v>
      </c>
      <c r="C45" s="390" t="s">
        <v>395</v>
      </c>
      <c r="D45" s="187">
        <f>'BEBEDERO PLASTICO'!F26</f>
        <v>412250</v>
      </c>
      <c r="E45" s="391"/>
      <c r="I45" s="387"/>
      <c r="J45" s="389"/>
      <c r="K45" s="389"/>
      <c r="L45" s="389"/>
      <c r="M45" s="380"/>
    </row>
    <row r="46" spans="2:13" x14ac:dyDescent="0.2">
      <c r="B46" s="392" t="s">
        <v>430</v>
      </c>
      <c r="C46" s="395"/>
      <c r="D46" s="395"/>
      <c r="E46" s="396"/>
      <c r="I46" s="387"/>
      <c r="J46" s="389"/>
      <c r="K46" s="389"/>
      <c r="L46" s="389"/>
      <c r="M46" s="380"/>
    </row>
    <row r="47" spans="2:13" x14ac:dyDescent="0.2">
      <c r="B47" s="410" t="s">
        <v>431</v>
      </c>
      <c r="C47" s="408" t="s">
        <v>432</v>
      </c>
      <c r="D47" s="187">
        <f>'ESTUFA EFICIENTE TIPO HUELLA'!F33</f>
        <v>1398090</v>
      </c>
      <c r="E47" s="409"/>
      <c r="I47" s="387"/>
      <c r="J47" s="389"/>
      <c r="K47" s="389"/>
      <c r="L47" s="389"/>
      <c r="M47" s="380"/>
    </row>
    <row r="48" spans="2:13" x14ac:dyDescent="0.2">
      <c r="B48" s="140" t="s">
        <v>472</v>
      </c>
      <c r="C48" s="390" t="s">
        <v>473</v>
      </c>
      <c r="D48" s="390"/>
      <c r="E48" s="391"/>
      <c r="I48" s="387"/>
      <c r="J48" s="389"/>
      <c r="K48" s="389"/>
      <c r="L48" s="389"/>
      <c r="M48" s="380"/>
    </row>
    <row r="49" spans="2:13" x14ac:dyDescent="0.2">
      <c r="B49" s="593" t="s">
        <v>57</v>
      </c>
      <c r="C49" s="593"/>
      <c r="D49" s="593"/>
      <c r="E49" s="593"/>
      <c r="I49" s="387"/>
      <c r="J49" s="388"/>
      <c r="K49" s="389"/>
      <c r="L49" s="389"/>
      <c r="M49" s="380"/>
    </row>
    <row r="50" spans="2:13" x14ac:dyDescent="0.2">
      <c r="B50" s="381"/>
      <c r="C50" s="381"/>
      <c r="D50" s="381"/>
      <c r="E50" s="381"/>
      <c r="I50" s="387"/>
      <c r="J50" s="388"/>
      <c r="K50" s="389"/>
      <c r="L50" s="389"/>
      <c r="M50" s="380"/>
    </row>
    <row r="51" spans="2:13" x14ac:dyDescent="0.2">
      <c r="B51" s="381"/>
      <c r="C51" s="381"/>
      <c r="D51" s="381"/>
      <c r="E51" s="381"/>
      <c r="I51" s="387"/>
      <c r="J51" s="388"/>
      <c r="K51" s="389"/>
      <c r="L51" s="389"/>
      <c r="M51" s="380"/>
    </row>
    <row r="52" spans="2:13" x14ac:dyDescent="0.2">
      <c r="I52" s="387"/>
      <c r="J52" s="388"/>
      <c r="K52" s="389"/>
      <c r="L52" s="389"/>
      <c r="M52" s="380"/>
    </row>
    <row r="53" spans="2:13" x14ac:dyDescent="0.2">
      <c r="B53" s="90" t="s">
        <v>63</v>
      </c>
      <c r="C53" s="91"/>
      <c r="E53" s="316"/>
      <c r="I53" s="387"/>
      <c r="J53" s="389"/>
      <c r="K53" s="389"/>
      <c r="L53" s="389"/>
      <c r="M53" s="380"/>
    </row>
    <row r="54" spans="2:13" x14ac:dyDescent="0.2">
      <c r="B54" s="90" t="s">
        <v>103</v>
      </c>
      <c r="C54" s="91"/>
      <c r="I54" s="387"/>
      <c r="J54" s="388"/>
      <c r="K54" s="389"/>
      <c r="L54" s="389"/>
      <c r="M54" s="380"/>
    </row>
    <row r="55" spans="2:13" x14ac:dyDescent="0.2">
      <c r="B55" s="90" t="s">
        <v>57</v>
      </c>
      <c r="C55" s="60"/>
      <c r="E55" s="93"/>
      <c r="I55" s="387"/>
      <c r="J55" s="388"/>
      <c r="K55" s="389"/>
      <c r="L55" s="389"/>
      <c r="M55" s="380"/>
    </row>
    <row r="56" spans="2:13" x14ac:dyDescent="0.2">
      <c r="B56" s="34"/>
      <c r="C56" s="34"/>
      <c r="F56" s="382"/>
      <c r="I56" s="387"/>
      <c r="J56" s="388"/>
      <c r="K56" s="389"/>
      <c r="L56" s="389"/>
      <c r="M56" s="380"/>
    </row>
    <row r="57" spans="2:13" x14ac:dyDescent="0.2">
      <c r="I57" s="380"/>
      <c r="J57" s="380"/>
      <c r="K57" s="380"/>
      <c r="L57" s="380"/>
      <c r="M57" s="380"/>
    </row>
  </sheetData>
  <mergeCells count="5">
    <mergeCell ref="B3:E3"/>
    <mergeCell ref="B7:E7"/>
    <mergeCell ref="B9:E9"/>
    <mergeCell ref="B49:E49"/>
    <mergeCell ref="B5:E5"/>
  </mergeCells>
  <phoneticPr fontId="0" type="noConversion"/>
  <hyperlinks>
    <hyperlink ref="B13" location="'COSTOS Revegetalizacion'!A1" display="Revegetalizacion (Reforestación)"/>
    <hyperlink ref="B14" location="'COSTOS RESTAURACION ISLAS '!A1" display="Restauración ISLAS"/>
    <hyperlink ref="B16" location="'COSTOS agroforest caucho'!A1" display="Agroforestería con caucho"/>
    <hyperlink ref="B17" location="'COSTOS agroforest cacao'!A1" display="Agroforestería con cacao"/>
    <hyperlink ref="B21" location="'Mtto Plantaciones UN AÑO Piloto'!A1" display="Intervención Uno"/>
    <hyperlink ref="B22" location="'Mtto Plantaciones UN AÑO Piloto'!A1" display="Intervención Dos"/>
    <hyperlink ref="B23" location="'Mtto Plantaciones UN AÑO Piloto'!A1" display="Intervención Tres"/>
    <hyperlink ref="B25" location="'COSTOSaisla Madera 4 caras'!A1" display="Aislamiento Madera 4 caras"/>
    <hyperlink ref="B26" location="'COSTOSaisla Rollisa o 3 caras'!A1" display="Aislamiento Madera 3 caras o rollisa"/>
    <hyperlink ref="B27" location="'COSTOS aisla Guadua'!A1" display="Aislamiento en guadua"/>
    <hyperlink ref="B29" location="'CERCA VIVA Estacas'!A1" display="Cerca Viva Con Estacas"/>
    <hyperlink ref="B30" location="'CERCA VIVA E INERTE'!A1" display="Cerca viva e inerte (Madera 4 caras)"/>
    <hyperlink ref="B31" location="'CERCA VIVA E INERTE'!A1" display="Cerca viva e inerte (Madera 3 caras)"/>
    <hyperlink ref="B32" location="'CERCA VIVA E INERTE'!A1" display="Cerca viva e inerte (Con guadua)"/>
    <hyperlink ref="B34" location="'MTO CERCA VARIOS ESTACONES'!A1" display="Mantenimiento Cerca Inerte (Madera 4 caras)"/>
    <hyperlink ref="B35" location="'MTO CERCA VARIOS ESTACONES'!A1" display="Mantenimiento Cerca Inerte (Madera 3 caras)"/>
    <hyperlink ref="B36" location="'MTO CERCA VARIOS ESTACONES'!A1" display="Mantenimiento Cerca Inerte (Con guadua)"/>
    <hyperlink ref="B38" location="'COSTO talleres'!A1" display="Taller Tipo Conferencia Zona Urbana (20 personas)"/>
    <hyperlink ref="B39" location="'COSTO talleres'!A1" display="Taller Zona Rural (20 personas)"/>
    <hyperlink ref="B40" location="'COSTO talleres'!A1" display="Taller Zona Rural dificil acceso. (16 personas)"/>
    <hyperlink ref="B42" location="BIOINGENIERIA!A1" display="Trinchos en guadua"/>
    <hyperlink ref="B43" location="BIOINGENIERIA!A1" display="Barreras Vivas"/>
    <hyperlink ref="B45" location="'BEBEDERO PLASTICO'!A1" display="Bebederos Plásticos (250 litros)"/>
    <hyperlink ref="B47" location="'ESTUFA EFICIENTE TIPO HUELLA'!A1" display="Estufas Ecoeficientes"/>
    <hyperlink ref="B19" location="'Mtto Agroforestales'!A1" display="Mantenimiento Agroforestales CAUCHO"/>
    <hyperlink ref="B18" location="'COSTOS agrofor Frutales'!A1" display="Agroforestería con Frutales"/>
  </hyperlinks>
  <pageMargins left="0.75" right="0.75" top="1" bottom="1" header="0" footer="0"/>
  <pageSetup paperSize="9" scale="8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M52"/>
  <sheetViews>
    <sheetView view="pageBreakPreview" topLeftCell="B4" zoomScaleNormal="100" zoomScaleSheetLayoutView="100" workbookViewId="0">
      <selection activeCell="H38" sqref="H38"/>
    </sheetView>
  </sheetViews>
  <sheetFormatPr baseColWidth="10" defaultRowHeight="12.75" x14ac:dyDescent="0.2"/>
  <cols>
    <col min="1" max="1" width="16" customWidth="1"/>
    <col min="2" max="2" width="38.28515625" customWidth="1"/>
    <col min="3" max="3" width="20.85546875" style="142" customWidth="1"/>
    <col min="4" max="4" width="16.140625" style="142" customWidth="1"/>
    <col min="5" max="5" width="13.28515625" style="142" bestFit="1" customWidth="1"/>
    <col min="6" max="6" width="19.140625" style="142" customWidth="1"/>
    <col min="7" max="7" width="17.5703125" style="142" customWidth="1"/>
    <col min="8" max="8" width="16.7109375" style="142" customWidth="1"/>
    <col min="9" max="9" width="14.140625" style="142" customWidth="1"/>
    <col min="10" max="10" width="14.7109375" style="142" bestFit="1" customWidth="1"/>
    <col min="11" max="11" width="13.85546875" style="142" bestFit="1" customWidth="1"/>
    <col min="12" max="12" width="13.140625" style="142" customWidth="1"/>
    <col min="13" max="13" width="12.7109375" bestFit="1" customWidth="1"/>
  </cols>
  <sheetData>
    <row r="1" spans="1:13" x14ac:dyDescent="0.2">
      <c r="I1" s="523"/>
    </row>
    <row r="2" spans="1:13" ht="13.5" thickBot="1" x14ac:dyDescent="0.25">
      <c r="I2" s="523"/>
    </row>
    <row r="3" spans="1:13" ht="15.75" customHeight="1" thickBot="1" x14ac:dyDescent="0.25">
      <c r="A3" s="597" t="s">
        <v>401</v>
      </c>
      <c r="B3" s="598"/>
      <c r="C3" s="598"/>
      <c r="D3" s="598"/>
      <c r="E3" s="598"/>
      <c r="F3" s="598"/>
      <c r="G3" s="598"/>
      <c r="H3" s="599"/>
      <c r="I3" s="523"/>
    </row>
    <row r="4" spans="1:13" x14ac:dyDescent="0.2">
      <c r="B4" s="124"/>
      <c r="C4" s="478"/>
      <c r="D4" s="478"/>
      <c r="E4" s="478"/>
      <c r="F4" s="478"/>
      <c r="I4" s="523"/>
    </row>
    <row r="5" spans="1:13" ht="12.75" customHeight="1" x14ac:dyDescent="0.2">
      <c r="B5" s="591" t="s">
        <v>596</v>
      </c>
      <c r="C5" s="591"/>
      <c r="D5" s="591"/>
      <c r="E5" s="591"/>
      <c r="F5" s="591"/>
      <c r="I5" s="523"/>
    </row>
    <row r="6" spans="1:13" x14ac:dyDescent="0.2">
      <c r="B6" s="384"/>
      <c r="C6" s="478"/>
      <c r="D6" s="478"/>
      <c r="E6" s="478"/>
      <c r="F6" s="478"/>
      <c r="G6" s="600" t="s">
        <v>482</v>
      </c>
      <c r="H6" s="600"/>
      <c r="I6" s="523"/>
    </row>
    <row r="7" spans="1:13" ht="25.5" x14ac:dyDescent="0.2">
      <c r="B7" s="471" t="s">
        <v>100</v>
      </c>
      <c r="C7" s="479" t="s">
        <v>101</v>
      </c>
      <c r="D7" s="479" t="s">
        <v>481</v>
      </c>
      <c r="E7" s="479" t="s">
        <v>70</v>
      </c>
      <c r="F7" s="479" t="s">
        <v>429</v>
      </c>
      <c r="G7" s="572" t="s">
        <v>585</v>
      </c>
      <c r="H7" s="572"/>
      <c r="I7" s="523"/>
      <c r="J7" s="522"/>
      <c r="K7" s="521"/>
      <c r="L7" s="521"/>
      <c r="M7" s="520"/>
    </row>
    <row r="8" spans="1:13" x14ac:dyDescent="0.2">
      <c r="B8" s="471" t="s">
        <v>499</v>
      </c>
      <c r="C8" s="479"/>
      <c r="D8" s="479"/>
      <c r="E8" s="479"/>
      <c r="F8" s="480"/>
      <c r="G8" s="480"/>
      <c r="H8" s="480"/>
      <c r="I8" s="523"/>
      <c r="J8" s="514"/>
      <c r="K8" s="514"/>
      <c r="L8" s="521"/>
      <c r="M8" s="520"/>
    </row>
    <row r="9" spans="1:13" x14ac:dyDescent="0.2">
      <c r="B9" s="397" t="s">
        <v>387</v>
      </c>
      <c r="C9" s="391"/>
      <c r="D9" s="391"/>
      <c r="E9" s="391"/>
      <c r="F9" s="526"/>
      <c r="G9" s="526"/>
      <c r="H9" s="526"/>
      <c r="I9" s="523"/>
      <c r="J9" s="514"/>
      <c r="K9" s="514"/>
      <c r="L9" s="521"/>
      <c r="M9" s="520"/>
    </row>
    <row r="10" spans="1:13" ht="25.5" x14ac:dyDescent="0.2">
      <c r="B10" s="402" t="s">
        <v>598</v>
      </c>
      <c r="C10" s="391" t="s">
        <v>144</v>
      </c>
      <c r="D10" s="391">
        <f>'Listado de Actividades'!D27</f>
        <v>6522003</v>
      </c>
      <c r="E10" s="391">
        <v>5.0999999999999996</v>
      </c>
      <c r="F10" s="526">
        <f>ROUND(D10*E10,0)</f>
        <v>33262215</v>
      </c>
      <c r="G10" s="526">
        <f>F10</f>
        <v>33262215</v>
      </c>
      <c r="I10" s="523"/>
      <c r="J10" s="514"/>
      <c r="K10" s="514"/>
      <c r="L10" s="521"/>
      <c r="M10" s="520"/>
    </row>
    <row r="11" spans="1:13" x14ac:dyDescent="0.2">
      <c r="B11" s="397" t="s">
        <v>594</v>
      </c>
      <c r="C11" s="391"/>
      <c r="D11" s="391"/>
      <c r="E11" s="391"/>
      <c r="F11" s="526"/>
      <c r="G11" s="581"/>
      <c r="I11" s="523"/>
      <c r="J11" s="514"/>
      <c r="K11" s="514"/>
      <c r="L11" s="521"/>
      <c r="M11" s="520"/>
    </row>
    <row r="12" spans="1:13" x14ac:dyDescent="0.2">
      <c r="B12" s="402" t="s">
        <v>597</v>
      </c>
      <c r="C12" s="391" t="s">
        <v>144</v>
      </c>
      <c r="D12" s="391">
        <f>'Listado de Actividades'!D29</f>
        <v>2458849</v>
      </c>
      <c r="E12" s="391">
        <v>1.1000000000000001</v>
      </c>
      <c r="F12" s="526">
        <f>ROUND(E12*D12,0)</f>
        <v>2704734</v>
      </c>
      <c r="G12" s="581">
        <f>F12</f>
        <v>2704734</v>
      </c>
      <c r="I12" s="523"/>
      <c r="J12" s="514"/>
      <c r="K12" s="514"/>
      <c r="L12" s="521"/>
      <c r="M12" s="520"/>
    </row>
    <row r="13" spans="1:13" x14ac:dyDescent="0.2">
      <c r="B13" s="398" t="s">
        <v>133</v>
      </c>
      <c r="C13" s="482"/>
      <c r="D13" s="482"/>
      <c r="E13" s="482"/>
      <c r="F13" s="483"/>
      <c r="G13" s="517"/>
      <c r="H13" s="518"/>
      <c r="I13" s="523"/>
      <c r="J13" s="521"/>
      <c r="K13" s="521"/>
      <c r="L13" s="521"/>
      <c r="M13" s="520"/>
    </row>
    <row r="14" spans="1:13" x14ac:dyDescent="0.2">
      <c r="B14" s="594" t="s">
        <v>502</v>
      </c>
      <c r="C14" s="595"/>
      <c r="D14" s="595"/>
      <c r="E14" s="596"/>
      <c r="F14" s="484">
        <f>SUM(F9:F13)</f>
        <v>35966949</v>
      </c>
      <c r="G14" s="484">
        <f>SUM(G10:G13)</f>
        <v>35966949</v>
      </c>
      <c r="H14" s="484">
        <f>SUM(H8:H13)</f>
        <v>0</v>
      </c>
      <c r="I14" s="523"/>
      <c r="J14" s="521"/>
      <c r="K14" s="521"/>
      <c r="L14" s="521"/>
      <c r="M14" s="520"/>
    </row>
    <row r="15" spans="1:13" x14ac:dyDescent="0.2">
      <c r="B15" s="451" t="s">
        <v>490</v>
      </c>
      <c r="C15" s="391" t="s">
        <v>15</v>
      </c>
      <c r="D15" s="485"/>
      <c r="E15" s="481">
        <v>16.742733999999999</v>
      </c>
      <c r="F15" s="486">
        <f>ROUND($F$14*$E$15/100,0)</f>
        <v>6021851</v>
      </c>
      <c r="G15" s="486">
        <f>ROUND($G$14*$E$15/100,0)</f>
        <v>6021851</v>
      </c>
      <c r="H15" s="486">
        <f>ROUND($H$14*$E$15/100,0)</f>
        <v>0</v>
      </c>
      <c r="I15" s="523"/>
      <c r="J15" s="521"/>
      <c r="K15" s="521"/>
      <c r="L15" s="521"/>
      <c r="M15" s="520"/>
    </row>
    <row r="16" spans="1:13" x14ac:dyDescent="0.2">
      <c r="B16" s="451" t="s">
        <v>491</v>
      </c>
      <c r="C16" s="391" t="s">
        <v>15</v>
      </c>
      <c r="D16" s="485"/>
      <c r="E16" s="481">
        <v>1</v>
      </c>
      <c r="F16" s="486">
        <f>ROUND($F$14*$E$16/100,0)</f>
        <v>359669</v>
      </c>
      <c r="G16" s="486">
        <f>ROUND($G$14*$E$16/100,0)</f>
        <v>359669</v>
      </c>
      <c r="H16" s="486">
        <f>ROUND($H$14*$E$16/100,0)</f>
        <v>0</v>
      </c>
      <c r="I16" s="523"/>
      <c r="J16" s="521"/>
      <c r="K16" s="521"/>
      <c r="L16" s="521"/>
      <c r="M16" s="520"/>
    </row>
    <row r="17" spans="2:13" x14ac:dyDescent="0.2">
      <c r="B17" s="451" t="s">
        <v>492</v>
      </c>
      <c r="C17" s="391" t="s">
        <v>15</v>
      </c>
      <c r="D17" s="485"/>
      <c r="E17" s="481">
        <v>5</v>
      </c>
      <c r="F17" s="486">
        <f>ROUND($F$14*$E$17/100,0)</f>
        <v>1798347</v>
      </c>
      <c r="G17" s="486">
        <f>ROUND($G$14*$E$17/100,0)</f>
        <v>1798347</v>
      </c>
      <c r="H17" s="486">
        <f>ROUND($H$14*$E$17/100,0)</f>
        <v>0</v>
      </c>
      <c r="I17" s="523"/>
      <c r="J17" s="521"/>
      <c r="K17" s="521"/>
      <c r="L17" s="521"/>
      <c r="M17" s="520"/>
    </row>
    <row r="18" spans="2:13" x14ac:dyDescent="0.2">
      <c r="B18" s="451" t="s">
        <v>568</v>
      </c>
      <c r="C18" s="391" t="s">
        <v>15</v>
      </c>
      <c r="D18" s="485"/>
      <c r="E18" s="481">
        <v>19</v>
      </c>
      <c r="F18" s="486">
        <f>ROUND($F$17*$E$18/100,0)</f>
        <v>341686</v>
      </c>
      <c r="G18" s="486">
        <f>F18</f>
        <v>341686</v>
      </c>
      <c r="I18" s="523"/>
      <c r="J18" s="521"/>
      <c r="K18" s="521"/>
      <c r="L18" s="521"/>
      <c r="M18" s="520"/>
    </row>
    <row r="19" spans="2:13" x14ac:dyDescent="0.2">
      <c r="B19" s="92" t="s">
        <v>500</v>
      </c>
      <c r="C19" s="485"/>
      <c r="D19" s="485"/>
      <c r="E19" s="487">
        <f>SUM(E15:E17)</f>
        <v>22.742733999999999</v>
      </c>
      <c r="F19" s="488">
        <f>SUM(F15:F18)</f>
        <v>8521553</v>
      </c>
      <c r="G19" s="484">
        <f>SUM(G15:G18)</f>
        <v>8521553</v>
      </c>
      <c r="H19" s="484">
        <f>SUM(H15:H18)</f>
        <v>0</v>
      </c>
      <c r="I19" s="523"/>
      <c r="J19" s="521"/>
      <c r="K19" s="521"/>
      <c r="L19" s="521"/>
      <c r="M19" s="520"/>
    </row>
    <row r="20" spans="2:13" x14ac:dyDescent="0.2">
      <c r="B20" s="472"/>
      <c r="C20" s="489"/>
      <c r="D20" s="489"/>
      <c r="E20" s="490"/>
      <c r="F20" s="491"/>
      <c r="G20" s="492"/>
      <c r="H20" s="492"/>
      <c r="I20" s="523"/>
      <c r="J20" s="521"/>
      <c r="K20" s="521"/>
      <c r="L20" s="521"/>
      <c r="M20" s="520"/>
    </row>
    <row r="21" spans="2:13" x14ac:dyDescent="0.2">
      <c r="B21" s="473" t="s">
        <v>503</v>
      </c>
      <c r="C21" s="493"/>
      <c r="D21" s="493"/>
      <c r="E21" s="494"/>
      <c r="F21" s="495">
        <f>+F14+F19</f>
        <v>44488502</v>
      </c>
      <c r="G21" s="495">
        <f t="shared" ref="G21:H21" si="0">+G14+G19</f>
        <v>44488502</v>
      </c>
      <c r="H21" s="495">
        <f t="shared" si="0"/>
        <v>0</v>
      </c>
      <c r="I21" s="523"/>
      <c r="J21" s="521"/>
      <c r="K21" s="521"/>
      <c r="L21" s="521"/>
      <c r="M21" s="520"/>
    </row>
    <row r="22" spans="2:13" x14ac:dyDescent="0.2">
      <c r="B22" s="451" t="s">
        <v>501</v>
      </c>
      <c r="C22" s="497"/>
      <c r="D22" s="497"/>
      <c r="E22" s="497"/>
      <c r="F22" s="497"/>
      <c r="G22" s="519"/>
      <c r="H22" s="519"/>
      <c r="I22" s="523"/>
      <c r="J22" s="521"/>
      <c r="K22" s="521"/>
      <c r="L22" s="521"/>
      <c r="M22" s="520"/>
    </row>
    <row r="23" spans="2:13" x14ac:dyDescent="0.2">
      <c r="B23" s="392" t="s">
        <v>592</v>
      </c>
      <c r="C23" s="497"/>
      <c r="D23" s="497"/>
      <c r="E23" s="497"/>
      <c r="F23" s="497"/>
      <c r="G23" s="519"/>
      <c r="H23" s="519"/>
      <c r="I23" s="523"/>
      <c r="J23" s="521"/>
      <c r="K23" s="521"/>
      <c r="L23" s="521"/>
      <c r="M23" s="520"/>
    </row>
    <row r="24" spans="2:13" x14ac:dyDescent="0.2">
      <c r="B24" s="3" t="s">
        <v>133</v>
      </c>
      <c r="C24" s="573"/>
      <c r="D24" s="573"/>
      <c r="E24" s="573"/>
      <c r="G24" s="574"/>
      <c r="I24" s="523"/>
      <c r="J24" s="521"/>
      <c r="K24" s="521"/>
      <c r="L24" s="521"/>
      <c r="M24" s="520"/>
    </row>
    <row r="25" spans="2:13" x14ac:dyDescent="0.2">
      <c r="B25" s="594" t="s">
        <v>504</v>
      </c>
      <c r="C25" s="595"/>
      <c r="D25" s="595"/>
      <c r="E25" s="596"/>
      <c r="F25" s="579"/>
      <c r="G25" s="484"/>
      <c r="H25" s="518">
        <f>F25</f>
        <v>0</v>
      </c>
      <c r="I25" s="523"/>
    </row>
    <row r="26" spans="2:13" x14ac:dyDescent="0.2">
      <c r="B26" s="474"/>
      <c r="C26" s="497"/>
      <c r="D26" s="497"/>
      <c r="E26" s="497"/>
      <c r="F26" s="575"/>
      <c r="G26" s="481"/>
      <c r="H26" s="575"/>
      <c r="I26" s="523"/>
    </row>
    <row r="27" spans="2:13" x14ac:dyDescent="0.2">
      <c r="B27" s="474"/>
      <c r="C27" s="497"/>
      <c r="D27" s="497"/>
      <c r="E27" s="497"/>
      <c r="F27" s="481"/>
      <c r="G27" s="481"/>
      <c r="H27" s="481"/>
      <c r="I27" s="523"/>
    </row>
    <row r="28" spans="2:13" x14ac:dyDescent="0.2">
      <c r="B28" s="473" t="s">
        <v>505</v>
      </c>
      <c r="C28" s="493"/>
      <c r="D28" s="493"/>
      <c r="E28" s="494"/>
      <c r="F28" s="495">
        <f>F25+F26</f>
        <v>0</v>
      </c>
      <c r="G28" s="495">
        <f>+G25+G26</f>
        <v>0</v>
      </c>
      <c r="H28" s="495">
        <f>+H25+H26</f>
        <v>0</v>
      </c>
      <c r="I28" s="523"/>
    </row>
    <row r="29" spans="2:13" ht="13.5" thickBot="1" x14ac:dyDescent="0.25">
      <c r="B29" s="475"/>
      <c r="C29" s="498"/>
      <c r="D29" s="498"/>
      <c r="E29" s="498"/>
      <c r="F29" s="499"/>
      <c r="G29" s="499"/>
      <c r="H29" s="499"/>
      <c r="I29" s="523"/>
    </row>
    <row r="30" spans="2:13" ht="15.75" thickBot="1" x14ac:dyDescent="0.3">
      <c r="B30" s="452" t="s">
        <v>599</v>
      </c>
      <c r="C30" s="500"/>
      <c r="D30" s="500"/>
      <c r="E30" s="500"/>
      <c r="F30" s="501">
        <f>F21-F18</f>
        <v>44146816</v>
      </c>
      <c r="G30" s="501">
        <f>G21-G18</f>
        <v>44146816</v>
      </c>
      <c r="H30" s="501">
        <f>+H21+H28</f>
        <v>0</v>
      </c>
      <c r="I30" s="523"/>
    </row>
    <row r="31" spans="2:13" ht="15.75" thickBot="1" x14ac:dyDescent="0.3">
      <c r="B31" s="584"/>
      <c r="C31" s="585"/>
      <c r="D31" s="585"/>
      <c r="E31" s="585"/>
      <c r="F31" s="586"/>
      <c r="G31" s="586"/>
      <c r="H31" s="586"/>
      <c r="I31" s="523"/>
    </row>
    <row r="32" spans="2:13" ht="16.5" thickBot="1" x14ac:dyDescent="0.3">
      <c r="B32" s="587" t="s">
        <v>600</v>
      </c>
      <c r="C32" s="588"/>
      <c r="D32" s="588"/>
      <c r="E32" s="588"/>
      <c r="F32" s="589">
        <f>F21</f>
        <v>44488502</v>
      </c>
      <c r="G32" s="586">
        <f>G21</f>
        <v>44488502</v>
      </c>
      <c r="H32" s="586"/>
      <c r="I32" s="523"/>
    </row>
    <row r="33" spans="2:9" ht="13.5" thickBot="1" x14ac:dyDescent="0.25">
      <c r="B33" s="381"/>
      <c r="C33" s="496"/>
      <c r="D33" s="496"/>
      <c r="E33" s="496"/>
      <c r="F33" s="502"/>
      <c r="I33" s="523"/>
    </row>
    <row r="34" spans="2:9" x14ac:dyDescent="0.2">
      <c r="B34" s="453"/>
      <c r="C34" s="503"/>
      <c r="D34" s="503"/>
      <c r="E34" s="503"/>
      <c r="F34" s="503"/>
      <c r="G34" s="504"/>
      <c r="I34" s="523"/>
    </row>
    <row r="35" spans="2:9" x14ac:dyDescent="0.2">
      <c r="B35" s="557" t="s">
        <v>493</v>
      </c>
      <c r="C35" s="508"/>
      <c r="D35" s="558" t="s">
        <v>495</v>
      </c>
      <c r="E35" s="506" t="s">
        <v>112</v>
      </c>
      <c r="F35" s="506" t="s">
        <v>587</v>
      </c>
      <c r="G35" s="580" t="s">
        <v>593</v>
      </c>
      <c r="I35" s="523"/>
    </row>
    <row r="36" spans="2:9" x14ac:dyDescent="0.2">
      <c r="B36" s="576" t="s">
        <v>586</v>
      </c>
      <c r="C36" s="508">
        <f>F32</f>
        <v>44488502</v>
      </c>
      <c r="D36" s="508">
        <f>ROUND(C36*1.004,0)</f>
        <v>44666456</v>
      </c>
      <c r="E36" s="506"/>
      <c r="F36" s="577" t="s">
        <v>588</v>
      </c>
      <c r="G36" s="507">
        <f>ROUND(C36*0.3,0)</f>
        <v>13346551</v>
      </c>
      <c r="I36" s="523"/>
    </row>
    <row r="37" spans="2:9" x14ac:dyDescent="0.2">
      <c r="B37" s="559"/>
      <c r="C37" s="508"/>
      <c r="D37" s="508"/>
      <c r="E37" s="506"/>
      <c r="F37" s="577" t="s">
        <v>589</v>
      </c>
      <c r="G37" s="507">
        <f>ROUND(C36*0.4,0)</f>
        <v>17795401</v>
      </c>
      <c r="I37" s="523"/>
    </row>
    <row r="38" spans="2:9" x14ac:dyDescent="0.2">
      <c r="B38" s="559" t="s">
        <v>57</v>
      </c>
      <c r="C38" s="509">
        <f>SUM(C36:C37)</f>
        <v>44488502</v>
      </c>
      <c r="D38" s="560" t="s">
        <v>494</v>
      </c>
      <c r="E38" s="506"/>
      <c r="F38" s="577" t="s">
        <v>590</v>
      </c>
      <c r="G38" s="507">
        <f>ROUND(C36*0.2,0)</f>
        <v>8897700</v>
      </c>
      <c r="I38" s="523"/>
    </row>
    <row r="39" spans="2:9" x14ac:dyDescent="0.2">
      <c r="B39" s="454"/>
      <c r="C39" s="505"/>
      <c r="D39" s="505"/>
      <c r="E39" s="505"/>
      <c r="F39" s="577" t="s">
        <v>591</v>
      </c>
      <c r="G39" s="507">
        <f>ROUND(C36*0.1,0)</f>
        <v>4448850</v>
      </c>
      <c r="I39" s="523"/>
    </row>
    <row r="40" spans="2:9" ht="13.5" thickBot="1" x14ac:dyDescent="0.25">
      <c r="B40" s="455"/>
      <c r="C40" s="510"/>
      <c r="D40" s="583" t="s">
        <v>595</v>
      </c>
      <c r="E40" s="508">
        <f>D36-C36</f>
        <v>177954</v>
      </c>
      <c r="F40" s="510"/>
      <c r="G40" s="511"/>
      <c r="I40" s="523"/>
    </row>
    <row r="41" spans="2:9" x14ac:dyDescent="0.2">
      <c r="I41" s="523"/>
    </row>
    <row r="42" spans="2:9" x14ac:dyDescent="0.2">
      <c r="G42" s="590" t="s">
        <v>601</v>
      </c>
      <c r="H42" s="142">
        <v>44488502</v>
      </c>
      <c r="I42" s="523"/>
    </row>
    <row r="43" spans="2:9" x14ac:dyDescent="0.2">
      <c r="B43" s="64"/>
      <c r="G43" s="590"/>
      <c r="I43" s="523"/>
    </row>
    <row r="44" spans="2:9" x14ac:dyDescent="0.2">
      <c r="B44" s="454"/>
      <c r="C44" s="505"/>
      <c r="D44" s="505"/>
      <c r="E44" s="505"/>
      <c r="F44" s="505"/>
      <c r="G44" s="507"/>
      <c r="I44" s="523"/>
    </row>
    <row r="45" spans="2:9" ht="13.5" thickBot="1" x14ac:dyDescent="0.25">
      <c r="B45" s="455" t="s">
        <v>602</v>
      </c>
      <c r="C45" s="510"/>
      <c r="D45" s="510"/>
      <c r="E45" s="510"/>
      <c r="F45" s="510"/>
      <c r="G45" s="511"/>
      <c r="I45" s="523"/>
    </row>
    <row r="48" spans="2:9" x14ac:dyDescent="0.2">
      <c r="B48" s="37"/>
      <c r="C48" s="512"/>
      <c r="D48" s="513"/>
      <c r="E48" s="513"/>
      <c r="F48" s="513"/>
    </row>
    <row r="49" spans="2:6" x14ac:dyDescent="0.2">
      <c r="B49" s="37"/>
      <c r="C49" s="512"/>
      <c r="D49" s="513"/>
      <c r="E49" s="513"/>
      <c r="F49" s="513"/>
    </row>
    <row r="50" spans="2:6" x14ac:dyDescent="0.2">
      <c r="B50" s="516"/>
      <c r="C50" s="512"/>
      <c r="D50" s="513"/>
      <c r="E50" s="513"/>
      <c r="F50" s="513"/>
    </row>
    <row r="51" spans="2:6" x14ac:dyDescent="0.2">
      <c r="B51" s="37"/>
      <c r="C51" s="515"/>
      <c r="D51" s="513"/>
      <c r="E51" s="513"/>
      <c r="F51" s="513"/>
    </row>
    <row r="52" spans="2:6" x14ac:dyDescent="0.2">
      <c r="C52" s="513"/>
      <c r="D52" s="513"/>
    </row>
  </sheetData>
  <mergeCells count="5">
    <mergeCell ref="B25:E25"/>
    <mergeCell ref="B14:E14"/>
    <mergeCell ref="B5:F5"/>
    <mergeCell ref="A3:H3"/>
    <mergeCell ref="G6:H6"/>
  </mergeCells>
  <pageMargins left="0.7" right="0.7" top="0.75" bottom="0.75" header="0.3" footer="0.3"/>
  <pageSetup paperSize="9" scale="87" orientation="landscape" r:id="rId1"/>
  <colBreaks count="1" manualBreakCount="1">
    <brk id="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I32"/>
  <sheetViews>
    <sheetView topLeftCell="A22" workbookViewId="0">
      <selection activeCell="G29" sqref="G29"/>
    </sheetView>
  </sheetViews>
  <sheetFormatPr baseColWidth="10" defaultRowHeight="12.75" x14ac:dyDescent="0.2"/>
  <cols>
    <col min="1" max="1" width="37.85546875" bestFit="1" customWidth="1"/>
    <col min="5" max="5" width="16.7109375" bestFit="1" customWidth="1"/>
  </cols>
  <sheetData>
    <row r="1" spans="1:9" ht="13.5" thickBot="1" x14ac:dyDescent="0.25"/>
    <row r="2" spans="1:9" ht="17.25" thickBot="1" x14ac:dyDescent="0.35">
      <c r="A2" s="609" t="s">
        <v>235</v>
      </c>
      <c r="B2" s="610"/>
      <c r="C2" s="610"/>
      <c r="D2" s="611"/>
    </row>
    <row r="3" spans="1:9" s="239" customFormat="1" ht="16.5" x14ac:dyDescent="0.3"/>
    <row r="4" spans="1:9" s="239" customFormat="1" ht="16.5" x14ac:dyDescent="0.3">
      <c r="A4" s="604" t="s">
        <v>234</v>
      </c>
      <c r="B4" s="605"/>
    </row>
    <row r="5" spans="1:9" s="239" customFormat="1" ht="16.5" x14ac:dyDescent="0.3">
      <c r="C5" s="614" t="s">
        <v>202</v>
      </c>
      <c r="D5" s="614"/>
    </row>
    <row r="6" spans="1:9" s="239" customFormat="1" ht="16.5" x14ac:dyDescent="0.3">
      <c r="A6" s="240" t="s">
        <v>203</v>
      </c>
      <c r="B6" s="241">
        <v>2019</v>
      </c>
      <c r="C6" s="242" t="s">
        <v>204</v>
      </c>
      <c r="D6" s="243">
        <v>6800</v>
      </c>
    </row>
    <row r="7" spans="1:9" s="239" customFormat="1" ht="16.5" x14ac:dyDescent="0.3">
      <c r="A7" s="244" t="s">
        <v>205</v>
      </c>
      <c r="B7" s="245">
        <v>828116</v>
      </c>
      <c r="C7" s="242" t="s">
        <v>206</v>
      </c>
      <c r="D7" s="243">
        <v>18548</v>
      </c>
    </row>
    <row r="8" spans="1:9" s="239" customFormat="1" ht="16.5" x14ac:dyDescent="0.3">
      <c r="A8" s="240" t="s">
        <v>207</v>
      </c>
      <c r="B8" s="245">
        <v>97032</v>
      </c>
      <c r="C8" s="246" t="s">
        <v>433</v>
      </c>
      <c r="D8" s="243">
        <v>3000</v>
      </c>
    </row>
    <row r="9" spans="1:9" s="239" customFormat="1" ht="27" x14ac:dyDescent="0.3">
      <c r="A9" s="247" t="s">
        <v>208</v>
      </c>
      <c r="B9" s="241">
        <v>30</v>
      </c>
      <c r="C9" s="246" t="s">
        <v>209</v>
      </c>
      <c r="D9" s="243">
        <v>0</v>
      </c>
    </row>
    <row r="10" spans="1:9" s="239" customFormat="1" ht="27" x14ac:dyDescent="0.3">
      <c r="A10" s="248" t="s">
        <v>210</v>
      </c>
      <c r="B10" s="241">
        <v>8</v>
      </c>
      <c r="C10" s="246" t="s">
        <v>211</v>
      </c>
      <c r="D10" s="243">
        <v>0</v>
      </c>
    </row>
    <row r="11" spans="1:9" s="239" customFormat="1" ht="16.5" x14ac:dyDescent="0.3">
      <c r="A11" s="249"/>
      <c r="B11" s="250"/>
      <c r="C11" s="251" t="s">
        <v>57</v>
      </c>
      <c r="D11" s="243">
        <f>SUM(D6:D10)</f>
        <v>28348</v>
      </c>
    </row>
    <row r="12" spans="1:9" s="239" customFormat="1" ht="16.5" x14ac:dyDescent="0.3"/>
    <row r="13" spans="1:9" s="239" customFormat="1" ht="16.5" x14ac:dyDescent="0.3">
      <c r="A13" s="615" t="s">
        <v>212</v>
      </c>
      <c r="B13" s="615"/>
      <c r="C13" s="616" t="s">
        <v>213</v>
      </c>
      <c r="D13" s="617"/>
    </row>
    <row r="14" spans="1:9" s="239" customFormat="1" ht="16.5" x14ac:dyDescent="0.3">
      <c r="A14" s="252" t="s">
        <v>214</v>
      </c>
      <c r="B14" s="253">
        <v>1</v>
      </c>
      <c r="C14" s="607">
        <f>B7</f>
        <v>828116</v>
      </c>
      <c r="D14" s="608"/>
      <c r="G14" s="606"/>
      <c r="H14" s="254"/>
      <c r="I14" s="255"/>
    </row>
    <row r="15" spans="1:9" s="239" customFormat="1" ht="16.5" x14ac:dyDescent="0.3">
      <c r="A15" s="252" t="s">
        <v>215</v>
      </c>
      <c r="B15" s="253">
        <v>8.3299999999999999E-2</v>
      </c>
      <c r="C15" s="607">
        <f>$C$14*B15</f>
        <v>68982.0628</v>
      </c>
      <c r="D15" s="608"/>
      <c r="G15" s="606"/>
      <c r="H15" s="254"/>
      <c r="I15" s="255"/>
    </row>
    <row r="16" spans="1:9" s="239" customFormat="1" ht="16.5" x14ac:dyDescent="0.3">
      <c r="A16" s="252" t="s">
        <v>216</v>
      </c>
      <c r="B16" s="253">
        <v>4.1700000000000001E-2</v>
      </c>
      <c r="C16" s="607">
        <f>$C$14*B16</f>
        <v>34532.4372</v>
      </c>
      <c r="D16" s="608"/>
      <c r="G16" s="606"/>
      <c r="H16" s="254"/>
      <c r="I16" s="255"/>
    </row>
    <row r="17" spans="1:9" s="239" customFormat="1" ht="16.5" x14ac:dyDescent="0.3">
      <c r="A17" s="252" t="s">
        <v>217</v>
      </c>
      <c r="B17" s="253">
        <v>8.3299999999999999E-2</v>
      </c>
      <c r="C17" s="607">
        <f>$C$14*B17</f>
        <v>68982.0628</v>
      </c>
      <c r="D17" s="608"/>
      <c r="G17" s="606"/>
      <c r="H17" s="254"/>
      <c r="I17" s="255"/>
    </row>
    <row r="18" spans="1:9" s="239" customFormat="1" ht="16.5" x14ac:dyDescent="0.3">
      <c r="A18" s="252" t="s">
        <v>218</v>
      </c>
      <c r="B18" s="253">
        <v>0.01</v>
      </c>
      <c r="C18" s="607">
        <f>$C$14*B18</f>
        <v>8281.16</v>
      </c>
      <c r="D18" s="608"/>
      <c r="G18" s="606"/>
      <c r="H18" s="254"/>
      <c r="I18" s="255"/>
    </row>
    <row r="19" spans="1:9" s="239" customFormat="1" ht="16.5" x14ac:dyDescent="0.3">
      <c r="A19" s="252" t="s">
        <v>219</v>
      </c>
      <c r="B19" s="253">
        <f>B8/B7</f>
        <v>0.11717199039748055</v>
      </c>
      <c r="C19" s="607">
        <f>B8</f>
        <v>97032</v>
      </c>
      <c r="D19" s="608"/>
      <c r="G19" s="606"/>
      <c r="H19" s="254"/>
      <c r="I19" s="255"/>
    </row>
    <row r="20" spans="1:9" s="239" customFormat="1" ht="16.5" x14ac:dyDescent="0.3">
      <c r="A20" s="252" t="s">
        <v>220</v>
      </c>
      <c r="B20" s="253">
        <v>8.5000000000000006E-2</v>
      </c>
      <c r="C20" s="607">
        <f t="shared" ref="C20:C25" si="0">$C$14*B20</f>
        <v>70389.86</v>
      </c>
      <c r="D20" s="608"/>
      <c r="G20" s="606"/>
      <c r="H20" s="254"/>
      <c r="I20" s="255"/>
    </row>
    <row r="21" spans="1:9" s="239" customFormat="1" ht="16.5" x14ac:dyDescent="0.3">
      <c r="A21" s="256" t="s">
        <v>221</v>
      </c>
      <c r="B21" s="253">
        <v>6.9599999999999995E-2</v>
      </c>
      <c r="C21" s="607">
        <f t="shared" si="0"/>
        <v>57636.873599999999</v>
      </c>
      <c r="D21" s="608"/>
    </row>
    <row r="22" spans="1:9" s="239" customFormat="1" ht="16.5" x14ac:dyDescent="0.3">
      <c r="A22" s="252" t="s">
        <v>222</v>
      </c>
      <c r="B22" s="257">
        <v>0.12</v>
      </c>
      <c r="C22" s="607">
        <f t="shared" si="0"/>
        <v>99373.92</v>
      </c>
      <c r="D22" s="608"/>
    </row>
    <row r="23" spans="1:9" s="239" customFormat="1" ht="16.5" x14ac:dyDescent="0.3">
      <c r="A23" s="252" t="s">
        <v>223</v>
      </c>
      <c r="B23" s="253">
        <v>0.02</v>
      </c>
      <c r="C23" s="607">
        <f t="shared" si="0"/>
        <v>16562.32</v>
      </c>
      <c r="D23" s="608"/>
    </row>
    <row r="24" spans="1:9" s="239" customFormat="1" ht="16.5" x14ac:dyDescent="0.3">
      <c r="A24" s="252" t="s">
        <v>224</v>
      </c>
      <c r="B24" s="253">
        <v>0.03</v>
      </c>
      <c r="C24" s="607">
        <f t="shared" si="0"/>
        <v>24843.48</v>
      </c>
      <c r="D24" s="608"/>
    </row>
    <row r="25" spans="1:9" s="239" customFormat="1" ht="16.5" x14ac:dyDescent="0.3">
      <c r="A25" s="252" t="s">
        <v>225</v>
      </c>
      <c r="B25" s="253">
        <v>0.04</v>
      </c>
      <c r="C25" s="607">
        <f t="shared" si="0"/>
        <v>33124.639999999999</v>
      </c>
      <c r="D25" s="608"/>
    </row>
    <row r="26" spans="1:9" s="239" customFormat="1" ht="16.5" x14ac:dyDescent="0.3">
      <c r="A26" s="252" t="s">
        <v>226</v>
      </c>
      <c r="B26" s="253">
        <f>C26/C14</f>
        <v>8.5579797999314113E-3</v>
      </c>
      <c r="C26" s="607">
        <f>D11/4</f>
        <v>7087</v>
      </c>
      <c r="D26" s="608"/>
    </row>
    <row r="27" spans="1:9" s="239" customFormat="1" ht="16.5" x14ac:dyDescent="0.3">
      <c r="A27" s="258"/>
      <c r="B27" s="253"/>
      <c r="C27" s="612"/>
      <c r="D27" s="613"/>
    </row>
    <row r="28" spans="1:9" s="239" customFormat="1" ht="16.5" x14ac:dyDescent="0.3">
      <c r="A28" s="259" t="s">
        <v>227</v>
      </c>
      <c r="B28" s="260">
        <f>SUM(B14:B26)</f>
        <v>1.7086299701974119</v>
      </c>
      <c r="C28" s="607">
        <f>SUM(C14:D26)</f>
        <v>1414943.8164000001</v>
      </c>
      <c r="D28" s="608"/>
      <c r="E28" s="578">
        <f>C28</f>
        <v>1414943.8164000001</v>
      </c>
      <c r="G28" s="578">
        <f>ROUND(E28*1.19,0)</f>
        <v>1683783</v>
      </c>
    </row>
    <row r="29" spans="1:9" s="239" customFormat="1" ht="17.25" thickBot="1" x14ac:dyDescent="0.35"/>
    <row r="30" spans="1:9" ht="17.25" thickBot="1" x14ac:dyDescent="0.35">
      <c r="A30" s="601" t="s">
        <v>228</v>
      </c>
      <c r="B30" s="602"/>
      <c r="C30" s="602"/>
      <c r="D30" s="602"/>
      <c r="E30" s="603"/>
    </row>
    <row r="31" spans="1:9" ht="16.5" x14ac:dyDescent="0.3">
      <c r="A31" s="263"/>
      <c r="B31" s="264" t="s">
        <v>113</v>
      </c>
      <c r="C31" s="264" t="s">
        <v>229</v>
      </c>
      <c r="D31" s="264" t="s">
        <v>230</v>
      </c>
      <c r="E31" s="265" t="s">
        <v>233</v>
      </c>
    </row>
    <row r="32" spans="1:9" ht="16.5" x14ac:dyDescent="0.3">
      <c r="A32" s="262" t="s">
        <v>232</v>
      </c>
      <c r="B32" s="261" t="s">
        <v>231</v>
      </c>
      <c r="C32" s="362">
        <f>(B7/B9)*1</f>
        <v>27603.866666666665</v>
      </c>
      <c r="D32" s="260">
        <f>$B$28</f>
        <v>1.7086299701974119</v>
      </c>
      <c r="E32" s="363">
        <f>ROUND(C32*D32,0)</f>
        <v>47165</v>
      </c>
    </row>
  </sheetData>
  <mergeCells count="22">
    <mergeCell ref="A2:D2"/>
    <mergeCell ref="C26:D26"/>
    <mergeCell ref="C27:D27"/>
    <mergeCell ref="C28:D28"/>
    <mergeCell ref="C20:D20"/>
    <mergeCell ref="C21:D21"/>
    <mergeCell ref="C22:D22"/>
    <mergeCell ref="C23:D23"/>
    <mergeCell ref="C5:D5"/>
    <mergeCell ref="A13:B13"/>
    <mergeCell ref="C24:D24"/>
    <mergeCell ref="C25:D25"/>
    <mergeCell ref="C13:D13"/>
    <mergeCell ref="A30:E30"/>
    <mergeCell ref="A4:B4"/>
    <mergeCell ref="G14:G20"/>
    <mergeCell ref="C15:D15"/>
    <mergeCell ref="C16:D16"/>
    <mergeCell ref="C17:D17"/>
    <mergeCell ref="C18:D18"/>
    <mergeCell ref="C19:D19"/>
    <mergeCell ref="C14:D14"/>
  </mergeCells>
  <pageMargins left="0.7" right="0.7" top="0.75" bottom="0.75" header="0.3" footer="0.3"/>
  <ignoredErrors>
    <ignoredError sqref="C19"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2:G55"/>
  <sheetViews>
    <sheetView view="pageBreakPreview" topLeftCell="A13" zoomScaleNormal="80" zoomScaleSheetLayoutView="100" workbookViewId="0">
      <selection activeCell="H33" sqref="H33"/>
    </sheetView>
  </sheetViews>
  <sheetFormatPr baseColWidth="10" defaultRowHeight="12.75" x14ac:dyDescent="0.2"/>
  <cols>
    <col min="1" max="1" width="43.7109375" customWidth="1"/>
    <col min="2" max="2" width="11.85546875" customWidth="1"/>
    <col min="3" max="3" width="9" bestFit="1" customWidth="1"/>
    <col min="4" max="4" width="13.5703125" bestFit="1" customWidth="1"/>
    <col min="5" max="5" width="13.85546875" customWidth="1"/>
    <col min="8" max="8" width="24.42578125" customWidth="1"/>
    <col min="9" max="9" width="14" customWidth="1"/>
  </cols>
  <sheetData>
    <row r="2" spans="1:7" ht="13.5" customHeight="1" x14ac:dyDescent="0.2">
      <c r="A2" s="629" t="s">
        <v>134</v>
      </c>
      <c r="B2" s="629"/>
      <c r="C2" s="629"/>
      <c r="D2" s="629"/>
      <c r="E2" s="629"/>
      <c r="F2" s="144"/>
      <c r="G2" s="144"/>
    </row>
    <row r="3" spans="1:7" ht="13.5" customHeight="1" x14ac:dyDescent="0.2">
      <c r="A3" s="629" t="s">
        <v>182</v>
      </c>
      <c r="B3" s="629"/>
      <c r="C3" s="629"/>
      <c r="D3" s="629"/>
      <c r="E3" s="629"/>
      <c r="F3" s="144"/>
      <c r="G3" s="144"/>
    </row>
    <row r="4" spans="1:7" ht="11.25" customHeight="1" x14ac:dyDescent="0.2">
      <c r="A4" s="629">
        <v>2019</v>
      </c>
      <c r="B4" s="629"/>
      <c r="C4" s="629"/>
      <c r="D4" s="629"/>
      <c r="E4" s="629"/>
      <c r="F4" s="144"/>
      <c r="G4" s="144"/>
    </row>
    <row r="5" spans="1:7" x14ac:dyDescent="0.2">
      <c r="A5" s="629" t="s">
        <v>136</v>
      </c>
      <c r="B5" s="629"/>
      <c r="C5" s="629"/>
      <c r="D5" s="629"/>
      <c r="E5" s="629"/>
      <c r="F5" s="144"/>
      <c r="G5" s="144"/>
    </row>
    <row r="6" spans="1:7" x14ac:dyDescent="0.2">
      <c r="A6" s="15"/>
      <c r="B6" s="15"/>
      <c r="C6" s="15"/>
      <c r="D6" s="15"/>
      <c r="E6" s="15"/>
      <c r="F6" s="144"/>
      <c r="G6" s="144"/>
    </row>
    <row r="7" spans="1:7" x14ac:dyDescent="0.2">
      <c r="A7" s="630" t="s">
        <v>279</v>
      </c>
      <c r="B7" s="630"/>
      <c r="C7" s="144"/>
      <c r="D7" s="144"/>
      <c r="E7" s="144"/>
      <c r="F7" s="144"/>
      <c r="G7" s="144"/>
    </row>
    <row r="8" spans="1:7" ht="25.5" x14ac:dyDescent="0.2">
      <c r="A8" s="8" t="s">
        <v>3</v>
      </c>
      <c r="B8" s="58" t="s">
        <v>0</v>
      </c>
      <c r="C8" s="58" t="s">
        <v>4</v>
      </c>
      <c r="D8" s="58" t="s">
        <v>2</v>
      </c>
      <c r="E8" s="58" t="s">
        <v>11</v>
      </c>
      <c r="F8" s="58" t="s">
        <v>15</v>
      </c>
      <c r="G8" s="283"/>
    </row>
    <row r="9" spans="1:7" x14ac:dyDescent="0.2">
      <c r="A9" s="145" t="s">
        <v>263</v>
      </c>
      <c r="B9" s="58"/>
      <c r="C9" s="58"/>
      <c r="D9" s="58"/>
      <c r="E9" s="58"/>
      <c r="F9" s="58"/>
      <c r="G9" s="283"/>
    </row>
    <row r="10" spans="1:7" x14ac:dyDescent="0.2">
      <c r="A10" s="145" t="s">
        <v>17</v>
      </c>
      <c r="B10" s="146"/>
      <c r="C10" s="146"/>
      <c r="D10" s="146"/>
      <c r="E10" s="146"/>
      <c r="F10" s="146"/>
      <c r="G10" s="284"/>
    </row>
    <row r="11" spans="1:7" x14ac:dyDescent="0.2">
      <c r="A11" s="110" t="s">
        <v>184</v>
      </c>
      <c r="B11" s="104">
        <v>3</v>
      </c>
      <c r="C11" s="104" t="s">
        <v>48</v>
      </c>
      <c r="D11" s="104">
        <f>'Mano de Obra (JORNAL)'!E32</f>
        <v>47165</v>
      </c>
      <c r="E11" s="104">
        <f t="shared" ref="E11:E16" si="0">ROUND(B11*D11,0)</f>
        <v>141495</v>
      </c>
      <c r="F11" s="106"/>
      <c r="G11" s="285"/>
    </row>
    <row r="12" spans="1:7" x14ac:dyDescent="0.2">
      <c r="A12" s="110" t="s">
        <v>21</v>
      </c>
      <c r="B12" s="104">
        <v>10</v>
      </c>
      <c r="C12" s="104" t="s">
        <v>48</v>
      </c>
      <c r="D12" s="104">
        <f>D11</f>
        <v>47165</v>
      </c>
      <c r="E12" s="104">
        <f t="shared" si="0"/>
        <v>471650</v>
      </c>
      <c r="F12" s="106"/>
      <c r="G12" s="285"/>
    </row>
    <row r="13" spans="1:7" x14ac:dyDescent="0.2">
      <c r="A13" s="110" t="s">
        <v>30</v>
      </c>
      <c r="B13" s="104">
        <v>6</v>
      </c>
      <c r="C13" s="104" t="s">
        <v>48</v>
      </c>
      <c r="D13" s="104">
        <f>D12</f>
        <v>47165</v>
      </c>
      <c r="E13" s="104">
        <f t="shared" si="0"/>
        <v>282990</v>
      </c>
      <c r="F13" s="106"/>
      <c r="G13" s="285"/>
    </row>
    <row r="14" spans="1:7" x14ac:dyDescent="0.2">
      <c r="A14" s="110" t="s">
        <v>31</v>
      </c>
      <c r="B14" s="104">
        <v>7</v>
      </c>
      <c r="C14" s="104" t="s">
        <v>48</v>
      </c>
      <c r="D14" s="104">
        <f>D13</f>
        <v>47165</v>
      </c>
      <c r="E14" s="104">
        <f t="shared" si="0"/>
        <v>330155</v>
      </c>
      <c r="F14" s="106"/>
      <c r="G14" s="285"/>
    </row>
    <row r="15" spans="1:7" x14ac:dyDescent="0.2">
      <c r="A15" s="110" t="s">
        <v>59</v>
      </c>
      <c r="B15" s="104">
        <v>4</v>
      </c>
      <c r="C15" s="104" t="s">
        <v>48</v>
      </c>
      <c r="D15" s="104">
        <f>D14</f>
        <v>47165</v>
      </c>
      <c r="E15" s="104">
        <f t="shared" si="0"/>
        <v>188660</v>
      </c>
      <c r="F15" s="106"/>
      <c r="G15" s="285"/>
    </row>
    <row r="16" spans="1:7" x14ac:dyDescent="0.2">
      <c r="A16" s="110" t="s">
        <v>74</v>
      </c>
      <c r="B16" s="104">
        <v>5</v>
      </c>
      <c r="C16" s="104" t="s">
        <v>48</v>
      </c>
      <c r="D16" s="104">
        <f>D15</f>
        <v>47165</v>
      </c>
      <c r="E16" s="104">
        <f t="shared" si="0"/>
        <v>235825</v>
      </c>
      <c r="F16" s="106"/>
      <c r="G16" s="285"/>
    </row>
    <row r="17" spans="1:7" x14ac:dyDescent="0.2">
      <c r="A17" s="111" t="s">
        <v>35</v>
      </c>
      <c r="B17" s="107">
        <f>SUM(B11:B16)</f>
        <v>35</v>
      </c>
      <c r="C17" s="103"/>
      <c r="D17" s="104"/>
      <c r="E17" s="107">
        <f>SUM(E11:E16)</f>
        <v>1650775</v>
      </c>
      <c r="F17" s="108"/>
      <c r="G17" s="157"/>
    </row>
    <row r="18" spans="1:7" x14ac:dyDescent="0.2">
      <c r="A18" s="110"/>
      <c r="B18" s="103"/>
      <c r="C18" s="103"/>
      <c r="D18" s="147"/>
      <c r="E18" s="104"/>
      <c r="F18" s="106"/>
      <c r="G18" s="285"/>
    </row>
    <row r="19" spans="1:7" x14ac:dyDescent="0.2">
      <c r="A19" s="148" t="s">
        <v>51</v>
      </c>
      <c r="B19" s="146"/>
      <c r="C19" s="146"/>
      <c r="D19" s="149"/>
      <c r="E19" s="146"/>
      <c r="F19" s="150"/>
      <c r="G19" s="286"/>
    </row>
    <row r="20" spans="1:7" x14ac:dyDescent="0.2">
      <c r="A20" s="151" t="s">
        <v>139</v>
      </c>
      <c r="B20" s="104">
        <v>433</v>
      </c>
      <c r="C20" s="104" t="s">
        <v>7</v>
      </c>
      <c r="D20" s="114">
        <v>13000</v>
      </c>
      <c r="E20" s="104">
        <f t="shared" ref="E20:E26" si="1">ROUND(B20*D20,0)</f>
        <v>5629000</v>
      </c>
      <c r="F20" s="106"/>
      <c r="G20" s="285"/>
    </row>
    <row r="21" spans="1:7" x14ac:dyDescent="0.2">
      <c r="A21" s="151" t="s">
        <v>183</v>
      </c>
      <c r="B21" s="104">
        <v>10</v>
      </c>
      <c r="C21" s="104" t="s">
        <v>8</v>
      </c>
      <c r="D21" s="104">
        <v>134961</v>
      </c>
      <c r="E21" s="104">
        <f t="shared" si="1"/>
        <v>1349610</v>
      </c>
      <c r="F21" s="106"/>
      <c r="G21" s="285"/>
    </row>
    <row r="22" spans="1:7" x14ac:dyDescent="0.2">
      <c r="A22" s="151" t="s">
        <v>161</v>
      </c>
      <c r="B22" s="104">
        <v>6</v>
      </c>
      <c r="C22" s="104" t="s">
        <v>66</v>
      </c>
      <c r="D22" s="104">
        <v>68029</v>
      </c>
      <c r="E22" s="104">
        <f t="shared" si="1"/>
        <v>408174</v>
      </c>
      <c r="F22" s="106"/>
      <c r="G22" s="285"/>
    </row>
    <row r="23" spans="1:7" x14ac:dyDescent="0.2">
      <c r="A23" s="151" t="s">
        <v>285</v>
      </c>
      <c r="B23" s="289">
        <v>7</v>
      </c>
      <c r="C23" s="104" t="s">
        <v>66</v>
      </c>
      <c r="D23" s="104">
        <v>32917</v>
      </c>
      <c r="E23" s="104">
        <f t="shared" si="1"/>
        <v>230419</v>
      </c>
      <c r="F23" s="106"/>
      <c r="G23" s="285"/>
    </row>
    <row r="24" spans="1:7" x14ac:dyDescent="0.2">
      <c r="A24" s="151" t="s">
        <v>196</v>
      </c>
      <c r="B24" s="289">
        <v>5</v>
      </c>
      <c r="C24" s="104" t="s">
        <v>66</v>
      </c>
      <c r="D24" s="104">
        <v>9000</v>
      </c>
      <c r="E24" s="104">
        <f t="shared" si="1"/>
        <v>45000</v>
      </c>
      <c r="F24" s="106"/>
      <c r="G24" s="285"/>
    </row>
    <row r="25" spans="1:7" x14ac:dyDescent="0.2">
      <c r="A25" s="151" t="s">
        <v>140</v>
      </c>
      <c r="B25" s="104">
        <v>7</v>
      </c>
      <c r="C25" s="104" t="s">
        <v>9</v>
      </c>
      <c r="D25" s="104">
        <v>9405</v>
      </c>
      <c r="E25" s="104">
        <f t="shared" si="1"/>
        <v>65835</v>
      </c>
      <c r="F25" s="106"/>
      <c r="G25" s="285"/>
    </row>
    <row r="26" spans="1:7" x14ac:dyDescent="0.2">
      <c r="A26" s="151" t="s">
        <v>192</v>
      </c>
      <c r="B26" s="104">
        <v>2</v>
      </c>
      <c r="C26" s="104" t="s">
        <v>9</v>
      </c>
      <c r="D26" s="104">
        <v>5225</v>
      </c>
      <c r="E26" s="104">
        <f t="shared" si="1"/>
        <v>10450</v>
      </c>
      <c r="F26" s="106"/>
      <c r="G26" s="285"/>
    </row>
    <row r="27" spans="1:7" x14ac:dyDescent="0.2">
      <c r="A27" s="287" t="s">
        <v>36</v>
      </c>
      <c r="B27" s="104"/>
      <c r="C27" s="104"/>
      <c r="D27" s="104"/>
      <c r="E27" s="107">
        <f>SUM(E20:E26)</f>
        <v>7738488</v>
      </c>
      <c r="F27" s="106"/>
      <c r="G27" s="285"/>
    </row>
    <row r="28" spans="1:7" x14ac:dyDescent="0.2">
      <c r="A28" s="148" t="s">
        <v>260</v>
      </c>
      <c r="B28" s="146"/>
      <c r="C28" s="146"/>
      <c r="D28" s="149"/>
      <c r="E28" s="146"/>
      <c r="F28" s="150"/>
      <c r="G28" s="285"/>
    </row>
    <row r="29" spans="1:7" x14ac:dyDescent="0.2">
      <c r="A29" s="110" t="s">
        <v>137</v>
      </c>
      <c r="B29" s="152">
        <v>0.05</v>
      </c>
      <c r="C29" s="104"/>
      <c r="D29" s="104"/>
      <c r="E29" s="104">
        <f>E17*B29</f>
        <v>82538.75</v>
      </c>
      <c r="F29" s="106"/>
      <c r="G29" s="285"/>
    </row>
    <row r="30" spans="1:7" x14ac:dyDescent="0.2">
      <c r="A30" s="110" t="s">
        <v>141</v>
      </c>
      <c r="B30" s="152">
        <v>0.3</v>
      </c>
      <c r="C30" s="104"/>
      <c r="D30" s="104"/>
      <c r="E30" s="104">
        <f>E27*B30</f>
        <v>2321546.4</v>
      </c>
      <c r="F30" s="106"/>
      <c r="G30" s="285"/>
    </row>
    <row r="31" spans="1:7" x14ac:dyDescent="0.2">
      <c r="A31" s="111" t="s">
        <v>261</v>
      </c>
      <c r="B31" s="104"/>
      <c r="C31" s="104"/>
      <c r="D31" s="107"/>
      <c r="E31" s="107">
        <f>SUM(E29:E30)</f>
        <v>2404085.15</v>
      </c>
      <c r="F31" s="108"/>
      <c r="G31" s="157"/>
    </row>
    <row r="32" spans="1:7" x14ac:dyDescent="0.2">
      <c r="A32" s="288" t="s">
        <v>262</v>
      </c>
      <c r="B32" s="104"/>
      <c r="C32" s="104"/>
      <c r="D32" s="107"/>
      <c r="E32" s="153">
        <f>ROUND(E31+E27+E17,0)</f>
        <v>11793348</v>
      </c>
      <c r="F32" s="108"/>
      <c r="G32" s="157"/>
    </row>
    <row r="33" spans="1:7" x14ac:dyDescent="0.2">
      <c r="A33" s="154"/>
      <c r="B33" s="155"/>
      <c r="C33" s="155"/>
      <c r="D33" s="156"/>
      <c r="E33" s="156"/>
      <c r="F33" s="157"/>
      <c r="G33" s="157"/>
    </row>
    <row r="34" spans="1:7" ht="20.25" customHeight="1" x14ac:dyDescent="0.2">
      <c r="A34" s="97"/>
      <c r="B34" s="97"/>
      <c r="C34" s="97"/>
      <c r="D34" s="99"/>
      <c r="E34" s="153">
        <f>ROUND(E32/1000,0)</f>
        <v>11793</v>
      </c>
      <c r="F34" s="291" t="s">
        <v>264</v>
      </c>
    </row>
    <row r="35" spans="1:7" x14ac:dyDescent="0.2">
      <c r="D35" s="144"/>
    </row>
    <row r="36" spans="1:7" x14ac:dyDescent="0.2">
      <c r="D36" s="44"/>
      <c r="F36" s="46"/>
      <c r="G36" s="46"/>
    </row>
    <row r="37" spans="1:7" x14ac:dyDescent="0.2">
      <c r="E37" s="153">
        <f>E32*1.13</f>
        <v>13326483.239999998</v>
      </c>
      <c r="F37" s="627" t="s">
        <v>180</v>
      </c>
      <c r="G37" s="628"/>
    </row>
    <row r="38" spans="1:7" x14ac:dyDescent="0.2">
      <c r="F38" s="26">
        <v>0.13</v>
      </c>
    </row>
    <row r="39" spans="1:7" ht="19.5" customHeight="1" x14ac:dyDescent="0.2">
      <c r="A39" s="144"/>
      <c r="B39" s="144"/>
      <c r="C39" s="144"/>
      <c r="F39" s="46"/>
      <c r="G39" s="46"/>
    </row>
    <row r="40" spans="1:7" x14ac:dyDescent="0.2">
      <c r="F40" s="46"/>
      <c r="G40" s="46"/>
    </row>
    <row r="41" spans="1:7" x14ac:dyDescent="0.2">
      <c r="A41" s="34"/>
      <c r="F41" s="46"/>
      <c r="G41" s="46"/>
    </row>
    <row r="42" spans="1:7" ht="165.75" x14ac:dyDescent="0.2">
      <c r="A42" s="297" t="s">
        <v>277</v>
      </c>
      <c r="F42" s="46"/>
      <c r="G42" s="46"/>
    </row>
    <row r="43" spans="1:7" x14ac:dyDescent="0.2">
      <c r="F43" s="46"/>
      <c r="G43" s="46"/>
    </row>
    <row r="44" spans="1:7" ht="27" customHeight="1" x14ac:dyDescent="0.2">
      <c r="A44" s="16" t="s">
        <v>37</v>
      </c>
      <c r="B44" s="144"/>
      <c r="C44" s="144"/>
      <c r="D44" s="46"/>
      <c r="E44" s="46"/>
    </row>
    <row r="45" spans="1:7" x14ac:dyDescent="0.2">
      <c r="A45" s="20" t="s">
        <v>38</v>
      </c>
      <c r="B45" s="20" t="s">
        <v>4</v>
      </c>
      <c r="C45" s="20" t="s">
        <v>39</v>
      </c>
      <c r="D45" s="46"/>
      <c r="E45" s="46"/>
    </row>
    <row r="46" spans="1:7" x14ac:dyDescent="0.2">
      <c r="A46" s="158" t="s">
        <v>40</v>
      </c>
      <c r="B46" s="159" t="s">
        <v>42</v>
      </c>
      <c r="C46" s="159">
        <v>400</v>
      </c>
      <c r="D46" s="46"/>
      <c r="E46" s="46"/>
    </row>
    <row r="47" spans="1:7" x14ac:dyDescent="0.2">
      <c r="A47" s="158" t="s">
        <v>41</v>
      </c>
      <c r="B47" s="159" t="s">
        <v>42</v>
      </c>
      <c r="C47" s="159">
        <v>33</v>
      </c>
      <c r="D47" s="46"/>
      <c r="E47" s="46"/>
    </row>
    <row r="48" spans="1:7" x14ac:dyDescent="0.2">
      <c r="A48" s="158" t="s">
        <v>72</v>
      </c>
      <c r="B48" s="159" t="s">
        <v>43</v>
      </c>
      <c r="C48" s="159">
        <v>10</v>
      </c>
      <c r="D48" s="46"/>
      <c r="E48" s="46"/>
    </row>
    <row r="49" spans="1:3" ht="27" customHeight="1" x14ac:dyDescent="0.2">
      <c r="A49" s="160" t="s">
        <v>142</v>
      </c>
      <c r="B49" s="159" t="s">
        <v>44</v>
      </c>
      <c r="C49" s="159">
        <v>433</v>
      </c>
    </row>
    <row r="50" spans="1:3" x14ac:dyDescent="0.2">
      <c r="A50" s="158" t="s">
        <v>276</v>
      </c>
      <c r="B50" s="158"/>
      <c r="C50" s="158"/>
    </row>
    <row r="52" spans="1:3" x14ac:dyDescent="0.2">
      <c r="A52" s="34" t="s">
        <v>582</v>
      </c>
    </row>
    <row r="53" spans="1:3" x14ac:dyDescent="0.2">
      <c r="A53" s="618" t="s">
        <v>583</v>
      </c>
      <c r="B53" s="619"/>
      <c r="C53" s="620"/>
    </row>
    <row r="54" spans="1:3" x14ac:dyDescent="0.2">
      <c r="A54" s="621"/>
      <c r="B54" s="622"/>
      <c r="C54" s="623"/>
    </row>
    <row r="55" spans="1:3" x14ac:dyDescent="0.2">
      <c r="A55" s="624"/>
      <c r="B55" s="625"/>
      <c r="C55" s="626"/>
    </row>
  </sheetData>
  <mergeCells count="7">
    <mergeCell ref="A53:C55"/>
    <mergeCell ref="F37:G37"/>
    <mergeCell ref="A2:E2"/>
    <mergeCell ref="A3:E3"/>
    <mergeCell ref="A4:E4"/>
    <mergeCell ref="A5:E5"/>
    <mergeCell ref="A7:B7"/>
  </mergeCells>
  <phoneticPr fontId="0" type="noConversion"/>
  <printOptions horizontalCentered="1"/>
  <pageMargins left="0.59055118110236227" right="0.59055118110236227" top="0.59055118110236227" bottom="0.59055118110236227" header="0" footer="0"/>
  <pageSetup scale="7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B1:I51"/>
  <sheetViews>
    <sheetView workbookViewId="0"/>
  </sheetViews>
  <sheetFormatPr baseColWidth="10" defaultRowHeight="12.75" x14ac:dyDescent="0.2"/>
  <cols>
    <col min="2" max="2" width="38.7109375" customWidth="1"/>
    <col min="8" max="8" width="14.5703125" customWidth="1"/>
  </cols>
  <sheetData>
    <row r="1" spans="2:8" ht="13.5" thickBot="1" x14ac:dyDescent="0.25"/>
    <row r="2" spans="2:8" ht="13.5" thickBot="1" x14ac:dyDescent="0.25">
      <c r="B2" s="631" t="s">
        <v>440</v>
      </c>
      <c r="C2" s="632"/>
      <c r="D2" s="632"/>
      <c r="E2" s="632"/>
      <c r="F2" s="632"/>
      <c r="G2" s="633"/>
    </row>
    <row r="3" spans="2:8" x14ac:dyDescent="0.2">
      <c r="B3" s="634" t="s">
        <v>246</v>
      </c>
      <c r="C3" s="634"/>
      <c r="D3" s="634"/>
      <c r="E3" s="634"/>
      <c r="F3" s="634"/>
      <c r="G3" s="634"/>
    </row>
    <row r="4" spans="2:8" x14ac:dyDescent="0.2">
      <c r="B4" s="642" t="s">
        <v>307</v>
      </c>
      <c r="C4" s="643"/>
      <c r="D4" s="643"/>
      <c r="E4" s="643"/>
      <c r="F4" s="643"/>
      <c r="G4" s="643"/>
      <c r="H4" s="643"/>
    </row>
    <row r="5" spans="2:8" ht="13.5" thickBot="1" x14ac:dyDescent="0.25">
      <c r="B5" s="16" t="s">
        <v>572</v>
      </c>
      <c r="C5" s="15"/>
      <c r="D5" s="15"/>
      <c r="E5" s="15"/>
      <c r="F5" s="15"/>
      <c r="G5" s="144"/>
    </row>
    <row r="6" spans="2:8" ht="13.5" thickBot="1" x14ac:dyDescent="0.25">
      <c r="B6" s="10" t="s">
        <v>3</v>
      </c>
      <c r="C6" s="17" t="s">
        <v>0</v>
      </c>
      <c r="D6" s="10" t="s">
        <v>4</v>
      </c>
      <c r="E6" s="17" t="s">
        <v>2</v>
      </c>
      <c r="F6" s="10" t="s">
        <v>1</v>
      </c>
      <c r="G6" s="18" t="s">
        <v>15</v>
      </c>
      <c r="H6" s="125" t="s">
        <v>249</v>
      </c>
    </row>
    <row r="7" spans="2:8" x14ac:dyDescent="0.2">
      <c r="B7" s="56" t="s">
        <v>16</v>
      </c>
      <c r="C7" s="170"/>
      <c r="D7" s="170"/>
      <c r="E7" s="170"/>
      <c r="F7" s="170"/>
      <c r="G7" s="185"/>
      <c r="H7" s="40"/>
    </row>
    <row r="8" spans="2:8" x14ac:dyDescent="0.2">
      <c r="B8" s="3" t="s">
        <v>17</v>
      </c>
      <c r="C8" s="158"/>
      <c r="D8" s="158"/>
      <c r="E8" s="158"/>
      <c r="F8" s="158"/>
      <c r="G8" s="158"/>
      <c r="H8" s="40"/>
    </row>
    <row r="9" spans="2:8" x14ac:dyDescent="0.2">
      <c r="B9" s="158" t="s">
        <v>439</v>
      </c>
      <c r="C9" s="175">
        <v>4</v>
      </c>
      <c r="D9" s="175" t="s">
        <v>48</v>
      </c>
      <c r="E9" s="176">
        <f>'Mano de Obra (JORNAL)'!E32</f>
        <v>47165</v>
      </c>
      <c r="F9" s="176">
        <f>C9*E9</f>
        <v>188660</v>
      </c>
      <c r="G9" s="181">
        <f>F9/F27</f>
        <v>0.14542525382067931</v>
      </c>
      <c r="H9" s="40"/>
    </row>
    <row r="10" spans="2:8" x14ac:dyDescent="0.2">
      <c r="B10" s="158" t="s">
        <v>23</v>
      </c>
      <c r="C10" s="175">
        <v>3</v>
      </c>
      <c r="D10" s="175" t="s">
        <v>48</v>
      </c>
      <c r="E10" s="176">
        <f>E9</f>
        <v>47165</v>
      </c>
      <c r="F10" s="176">
        <f>C10*E10</f>
        <v>141495</v>
      </c>
      <c r="G10" s="181">
        <f>F10/F27</f>
        <v>0.10906894036550949</v>
      </c>
      <c r="H10" s="40"/>
    </row>
    <row r="11" spans="2:8" x14ac:dyDescent="0.2">
      <c r="B11" s="186" t="s">
        <v>441</v>
      </c>
      <c r="C11" s="175">
        <v>5</v>
      </c>
      <c r="D11" s="175" t="s">
        <v>48</v>
      </c>
      <c r="E11" s="176">
        <f>E10</f>
        <v>47165</v>
      </c>
      <c r="F11" s="176">
        <f>C11*E11</f>
        <v>235825</v>
      </c>
      <c r="G11" s="181">
        <f>+F11/F27</f>
        <v>0.18178156727584915</v>
      </c>
      <c r="H11" s="40"/>
    </row>
    <row r="12" spans="2:8" x14ac:dyDescent="0.2">
      <c r="B12" s="158" t="s">
        <v>26</v>
      </c>
      <c r="C12" s="175">
        <v>2</v>
      </c>
      <c r="D12" s="175" t="s">
        <v>48</v>
      </c>
      <c r="E12" s="176">
        <f>E9</f>
        <v>47165</v>
      </c>
      <c r="F12" s="176">
        <f>C12*E12</f>
        <v>94330</v>
      </c>
      <c r="G12" s="181">
        <f>F12/F27</f>
        <v>7.2712626910339653E-2</v>
      </c>
      <c r="H12" s="40"/>
    </row>
    <row r="13" spans="2:8" x14ac:dyDescent="0.2">
      <c r="B13" s="186" t="s">
        <v>153</v>
      </c>
      <c r="C13" s="175">
        <v>1</v>
      </c>
      <c r="D13" s="175" t="s">
        <v>48</v>
      </c>
      <c r="E13" s="176">
        <f>E9</f>
        <v>47165</v>
      </c>
      <c r="F13" s="176">
        <f>C13*E13</f>
        <v>47165</v>
      </c>
      <c r="G13" s="181">
        <f>F13/F27</f>
        <v>3.6356313455169827E-2</v>
      </c>
      <c r="H13" s="40"/>
    </row>
    <row r="14" spans="2:8" x14ac:dyDescent="0.2">
      <c r="B14" s="8" t="s">
        <v>6</v>
      </c>
      <c r="C14" s="4">
        <f>SUM(C9:C13)</f>
        <v>15</v>
      </c>
      <c r="D14" s="158"/>
      <c r="E14" s="158"/>
      <c r="F14" s="4">
        <f>SUM(F9:F13)</f>
        <v>707475</v>
      </c>
      <c r="G14" s="5">
        <f>F14/F27</f>
        <v>0.54534470182754746</v>
      </c>
      <c r="H14" s="40"/>
    </row>
    <row r="15" spans="2:8" x14ac:dyDescent="0.2">
      <c r="B15" s="3" t="s">
        <v>18</v>
      </c>
      <c r="C15" s="158"/>
      <c r="D15" s="158"/>
      <c r="E15" s="158"/>
      <c r="F15" s="166"/>
      <c r="G15" s="182"/>
      <c r="H15" s="40"/>
    </row>
    <row r="16" spans="2:8" x14ac:dyDescent="0.2">
      <c r="B16" s="158" t="s">
        <v>157</v>
      </c>
      <c r="C16" s="166">
        <f>550*0.1</f>
        <v>55</v>
      </c>
      <c r="D16" s="158" t="s">
        <v>5</v>
      </c>
      <c r="E16" s="175">
        <f>'COSTOS agroforest caucho'!E22</f>
        <v>4500</v>
      </c>
      <c r="F16" s="175">
        <f>E16*C16</f>
        <v>247500</v>
      </c>
      <c r="G16" s="181">
        <f>F16/F27</f>
        <v>0.19078103636498531</v>
      </c>
      <c r="H16" s="40"/>
    </row>
    <row r="17" spans="2:8" x14ac:dyDescent="0.2">
      <c r="B17" s="158" t="s">
        <v>250</v>
      </c>
      <c r="C17" s="175">
        <f>550*50/1000</f>
        <v>27.5</v>
      </c>
      <c r="D17" s="175" t="s">
        <v>77</v>
      </c>
      <c r="E17" s="187">
        <v>1600</v>
      </c>
      <c r="F17" s="175">
        <f>C17*E17</f>
        <v>44000</v>
      </c>
      <c r="G17" s="181">
        <f>F17/F27</f>
        <v>3.3916628687108499E-2</v>
      </c>
      <c r="H17" s="216" t="s">
        <v>255</v>
      </c>
    </row>
    <row r="18" spans="2:8" x14ac:dyDescent="0.2">
      <c r="B18" s="158" t="s">
        <v>110</v>
      </c>
      <c r="C18" s="175">
        <v>3</v>
      </c>
      <c r="D18" s="175" t="s">
        <v>54</v>
      </c>
      <c r="E18" s="175">
        <v>45000</v>
      </c>
      <c r="F18" s="175">
        <f>C18*E18</f>
        <v>135000</v>
      </c>
      <c r="G18" s="181">
        <f>F18/F27</f>
        <v>0.10406238347181017</v>
      </c>
    </row>
    <row r="19" spans="2:8" x14ac:dyDescent="0.2">
      <c r="B19" s="8" t="s">
        <v>13</v>
      </c>
      <c r="C19" s="175"/>
      <c r="D19" s="175"/>
      <c r="E19" s="175"/>
      <c r="F19" s="4">
        <f>SUM(F16:F18)</f>
        <v>426500</v>
      </c>
      <c r="G19" s="5">
        <f>F19/F27</f>
        <v>0.328760048523904</v>
      </c>
      <c r="H19" s="40"/>
    </row>
    <row r="20" spans="2:8" x14ac:dyDescent="0.2">
      <c r="B20" s="3" t="s">
        <v>20</v>
      </c>
      <c r="C20" s="175"/>
      <c r="D20" s="175"/>
      <c r="E20" s="175"/>
      <c r="F20" s="4">
        <f>F14+F19</f>
        <v>1133975</v>
      </c>
      <c r="G20" s="5">
        <f>F20/F27</f>
        <v>0.87410475035145141</v>
      </c>
      <c r="H20" s="40"/>
    </row>
    <row r="21" spans="2:8" ht="13.5" thickBot="1" x14ac:dyDescent="0.25">
      <c r="B21" s="6"/>
      <c r="C21" s="188"/>
      <c r="D21" s="188"/>
      <c r="E21" s="188"/>
      <c r="F21" s="7"/>
      <c r="G21" s="11"/>
      <c r="H21" s="40"/>
    </row>
    <row r="22" spans="2:8" x14ac:dyDescent="0.2">
      <c r="B22" s="56" t="s">
        <v>19</v>
      </c>
      <c r="C22" s="170"/>
      <c r="D22" s="170"/>
      <c r="E22" s="170"/>
      <c r="F22" s="189"/>
      <c r="G22" s="190"/>
      <c r="H22" s="40"/>
    </row>
    <row r="23" spans="2:8" x14ac:dyDescent="0.2">
      <c r="B23" s="158" t="s">
        <v>46</v>
      </c>
      <c r="C23" s="20"/>
      <c r="D23" s="20"/>
      <c r="E23" s="20"/>
      <c r="F23" s="175">
        <f>F14*0.05</f>
        <v>35373.75</v>
      </c>
      <c r="G23" s="181">
        <f>F23/F27</f>
        <v>2.7267235091377372E-2</v>
      </c>
      <c r="H23" s="40"/>
    </row>
    <row r="24" spans="2:8" x14ac:dyDescent="0.2">
      <c r="B24" s="158" t="s">
        <v>150</v>
      </c>
      <c r="C24" s="20"/>
      <c r="D24" s="20"/>
      <c r="E24" s="20"/>
      <c r="F24" s="175">
        <f>F19*0.3</f>
        <v>127950</v>
      </c>
      <c r="G24" s="181">
        <f>F24/F27</f>
        <v>9.8628014557171198E-2</v>
      </c>
      <c r="H24" s="40"/>
    </row>
    <row r="25" spans="2:8" x14ac:dyDescent="0.2">
      <c r="B25" s="3" t="s">
        <v>14</v>
      </c>
      <c r="C25" s="175"/>
      <c r="D25" s="175"/>
      <c r="E25" s="175"/>
      <c r="F25" s="4">
        <f>SUM(F23:F24)</f>
        <v>163323.75</v>
      </c>
      <c r="G25" s="5">
        <f>F25/F27</f>
        <v>0.12589524964854856</v>
      </c>
      <c r="H25" s="40"/>
    </row>
    <row r="26" spans="2:8" ht="13.5" thickBot="1" x14ac:dyDescent="0.25">
      <c r="B26" s="144"/>
      <c r="C26" s="144"/>
      <c r="D26" s="144"/>
      <c r="E26" s="144"/>
      <c r="F26" s="191"/>
      <c r="G26" s="192"/>
      <c r="H26" s="40"/>
    </row>
    <row r="27" spans="2:8" ht="13.5" thickBot="1" x14ac:dyDescent="0.25">
      <c r="B27" s="631" t="s">
        <v>363</v>
      </c>
      <c r="C27" s="632"/>
      <c r="D27" s="193"/>
      <c r="E27" s="193"/>
      <c r="F27" s="194">
        <f>F14+F19+F25</f>
        <v>1297298.75</v>
      </c>
      <c r="G27" s="24">
        <f>G20+G25</f>
        <v>1</v>
      </c>
      <c r="H27" s="40"/>
    </row>
    <row r="28" spans="2:8" ht="13.5" thickBot="1" x14ac:dyDescent="0.25"/>
    <row r="29" spans="2:8" ht="13.5" thickBot="1" x14ac:dyDescent="0.25">
      <c r="F29" s="282">
        <f>ROUND(F27/550,0)</f>
        <v>2359</v>
      </c>
      <c r="G29" s="635" t="s">
        <v>361</v>
      </c>
      <c r="H29" s="635"/>
    </row>
    <row r="32" spans="2:8" ht="13.5" thickBot="1" x14ac:dyDescent="0.25"/>
    <row r="33" spans="2:9" ht="13.5" customHeight="1" thickBot="1" x14ac:dyDescent="0.25">
      <c r="B33" s="636" t="s">
        <v>362</v>
      </c>
      <c r="C33" s="637"/>
      <c r="F33" s="194">
        <f>F27*1.13</f>
        <v>1465947.5874999999</v>
      </c>
      <c r="G33" s="644" t="s">
        <v>180</v>
      </c>
      <c r="H33" s="644"/>
      <c r="I33" s="644"/>
    </row>
    <row r="34" spans="2:9" x14ac:dyDescent="0.2">
      <c r="B34" s="638"/>
      <c r="C34" s="639"/>
      <c r="G34" s="379">
        <v>0.13</v>
      </c>
    </row>
    <row r="35" spans="2:9" x14ac:dyDescent="0.2">
      <c r="B35" s="638"/>
      <c r="C35" s="639"/>
    </row>
    <row r="36" spans="2:9" x14ac:dyDescent="0.2">
      <c r="B36" s="638"/>
      <c r="C36" s="639"/>
      <c r="F36" s="1"/>
    </row>
    <row r="37" spans="2:9" x14ac:dyDescent="0.2">
      <c r="B37" s="638"/>
      <c r="C37" s="639"/>
    </row>
    <row r="38" spans="2:9" x14ac:dyDescent="0.2">
      <c r="B38" s="638"/>
      <c r="C38" s="639"/>
    </row>
    <row r="39" spans="2:9" x14ac:dyDescent="0.2">
      <c r="B39" s="638"/>
      <c r="C39" s="639"/>
    </row>
    <row r="40" spans="2:9" x14ac:dyDescent="0.2">
      <c r="B40" s="638"/>
      <c r="C40" s="639"/>
    </row>
    <row r="41" spans="2:9" x14ac:dyDescent="0.2">
      <c r="B41" s="638"/>
      <c r="C41" s="639"/>
    </row>
    <row r="42" spans="2:9" x14ac:dyDescent="0.2">
      <c r="B42" s="638"/>
      <c r="C42" s="639"/>
    </row>
    <row r="43" spans="2:9" x14ac:dyDescent="0.2">
      <c r="B43" s="638"/>
      <c r="C43" s="639"/>
    </row>
    <row r="44" spans="2:9" x14ac:dyDescent="0.2">
      <c r="B44" s="638"/>
      <c r="C44" s="639"/>
    </row>
    <row r="45" spans="2:9" x14ac:dyDescent="0.2">
      <c r="B45" s="638"/>
      <c r="C45" s="639"/>
    </row>
    <row r="46" spans="2:9" x14ac:dyDescent="0.2">
      <c r="B46" s="638"/>
      <c r="C46" s="639"/>
    </row>
    <row r="47" spans="2:9" x14ac:dyDescent="0.2">
      <c r="B47" s="638"/>
      <c r="C47" s="639"/>
    </row>
    <row r="48" spans="2:9" x14ac:dyDescent="0.2">
      <c r="B48" s="638"/>
      <c r="C48" s="639"/>
    </row>
    <row r="49" spans="2:3" x14ac:dyDescent="0.2">
      <c r="B49" s="638"/>
      <c r="C49" s="639"/>
    </row>
    <row r="50" spans="2:3" x14ac:dyDescent="0.2">
      <c r="B50" s="638"/>
      <c r="C50" s="639"/>
    </row>
    <row r="51" spans="2:3" x14ac:dyDescent="0.2">
      <c r="B51" s="640"/>
      <c r="C51" s="641"/>
    </row>
  </sheetData>
  <mergeCells count="7">
    <mergeCell ref="B2:G2"/>
    <mergeCell ref="B3:G3"/>
    <mergeCell ref="B27:C27"/>
    <mergeCell ref="G29:H29"/>
    <mergeCell ref="B33:C51"/>
    <mergeCell ref="B4:H4"/>
    <mergeCell ref="G33:I3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B3:J35"/>
  <sheetViews>
    <sheetView tabSelected="1" topLeftCell="A22" workbookViewId="0">
      <selection activeCell="J39" sqref="J39"/>
    </sheetView>
  </sheetViews>
  <sheetFormatPr baseColWidth="10" defaultRowHeight="12.75" x14ac:dyDescent="0.2"/>
  <cols>
    <col min="2" max="2" width="24" customWidth="1"/>
    <col min="7" max="7" width="18.28515625" customWidth="1"/>
    <col min="10" max="10" width="15.42578125" customWidth="1"/>
  </cols>
  <sheetData>
    <row r="3" spans="2:10" x14ac:dyDescent="0.2">
      <c r="B3" s="645" t="s">
        <v>58</v>
      </c>
      <c r="C3" s="629"/>
      <c r="D3" s="629"/>
      <c r="E3" s="629"/>
      <c r="F3" s="629"/>
      <c r="G3" s="15"/>
    </row>
    <row r="4" spans="2:10" x14ac:dyDescent="0.2">
      <c r="B4" s="144"/>
      <c r="C4" s="15"/>
      <c r="D4" s="15"/>
      <c r="E4" s="15"/>
      <c r="F4" s="15"/>
      <c r="G4" s="144"/>
    </row>
    <row r="5" spans="2:10" x14ac:dyDescent="0.2">
      <c r="B5" s="629" t="s">
        <v>63</v>
      </c>
      <c r="C5" s="629"/>
      <c r="D5" s="629"/>
      <c r="E5" s="629"/>
      <c r="F5" s="629"/>
      <c r="G5" s="629"/>
    </row>
    <row r="6" spans="2:10" x14ac:dyDescent="0.2">
      <c r="B6" s="646" t="s">
        <v>336</v>
      </c>
      <c r="C6" s="646"/>
      <c r="D6" s="646"/>
      <c r="E6" s="646"/>
      <c r="F6" s="646"/>
      <c r="G6" s="646"/>
    </row>
    <row r="7" spans="2:10" x14ac:dyDescent="0.2">
      <c r="B7" s="629" t="s">
        <v>335</v>
      </c>
      <c r="C7" s="629"/>
      <c r="D7" s="629"/>
      <c r="E7" s="629"/>
      <c r="F7" s="629"/>
      <c r="G7" s="629"/>
    </row>
    <row r="8" spans="2:10" x14ac:dyDescent="0.2">
      <c r="B8" s="629"/>
      <c r="C8" s="629"/>
      <c r="D8" s="629"/>
      <c r="E8" s="629"/>
      <c r="F8" s="629"/>
      <c r="G8" s="629"/>
    </row>
    <row r="9" spans="2:10" ht="13.5" thickBot="1" x14ac:dyDescent="0.25">
      <c r="B9" s="570" t="s">
        <v>577</v>
      </c>
    </row>
    <row r="10" spans="2:10" ht="13.5" thickBot="1" x14ac:dyDescent="0.25">
      <c r="B10" s="10" t="s">
        <v>3</v>
      </c>
      <c r="C10" s="17" t="s">
        <v>0</v>
      </c>
      <c r="D10" s="10" t="s">
        <v>4</v>
      </c>
      <c r="E10" s="17" t="s">
        <v>2</v>
      </c>
      <c r="F10" s="10" t="s">
        <v>1</v>
      </c>
      <c r="G10" s="18" t="s">
        <v>15</v>
      </c>
    </row>
    <row r="11" spans="2:10" x14ac:dyDescent="0.2">
      <c r="B11" s="56" t="s">
        <v>16</v>
      </c>
      <c r="C11" s="170"/>
      <c r="D11" s="170"/>
      <c r="E11" s="170"/>
      <c r="F11" s="170"/>
      <c r="G11" s="185"/>
    </row>
    <row r="12" spans="2:10" x14ac:dyDescent="0.2">
      <c r="B12" s="3" t="s">
        <v>17</v>
      </c>
      <c r="C12" s="158"/>
      <c r="D12" s="166"/>
      <c r="E12" s="158"/>
      <c r="F12" s="158"/>
      <c r="G12" s="158"/>
    </row>
    <row r="13" spans="2:10" ht="25.5" x14ac:dyDescent="0.2">
      <c r="B13" s="220" t="s">
        <v>64</v>
      </c>
      <c r="C13" s="175">
        <v>1</v>
      </c>
      <c r="D13" s="175" t="s">
        <v>447</v>
      </c>
      <c r="E13" s="175">
        <v>80000</v>
      </c>
      <c r="F13" s="175">
        <f>C13*E13</f>
        <v>80000</v>
      </c>
      <c r="G13" s="181">
        <f>F13/F26</f>
        <v>0.19405700424499697</v>
      </c>
    </row>
    <row r="14" spans="2:10" x14ac:dyDescent="0.2">
      <c r="B14" s="219" t="s">
        <v>6</v>
      </c>
      <c r="C14" s="4">
        <f>SUM(C13:C13)</f>
        <v>1</v>
      </c>
      <c r="D14" s="175"/>
      <c r="E14" s="175"/>
      <c r="F14" s="4">
        <f>SUM(F13:F13)</f>
        <v>80000</v>
      </c>
      <c r="G14" s="181">
        <f>F14/F26</f>
        <v>0.19405700424499697</v>
      </c>
    </row>
    <row r="15" spans="2:10" x14ac:dyDescent="0.2">
      <c r="B15" s="45" t="s">
        <v>18</v>
      </c>
      <c r="C15" s="158"/>
      <c r="D15" s="166"/>
      <c r="E15" s="158"/>
      <c r="F15" s="166"/>
      <c r="G15" s="182"/>
    </row>
    <row r="16" spans="2:10" ht="38.25" x14ac:dyDescent="0.2">
      <c r="B16" s="220" t="s">
        <v>337</v>
      </c>
      <c r="C16" s="175">
        <v>1</v>
      </c>
      <c r="D16" s="221" t="s">
        <v>75</v>
      </c>
      <c r="E16" s="175">
        <v>198350</v>
      </c>
      <c r="F16" s="175">
        <f>C16*E16</f>
        <v>198350</v>
      </c>
      <c r="G16" s="181">
        <f>F16/F26</f>
        <v>0.48114008489993937</v>
      </c>
      <c r="I16" s="175">
        <v>190350</v>
      </c>
      <c r="J16" s="216" t="s">
        <v>334</v>
      </c>
    </row>
    <row r="17" spans="2:10" x14ac:dyDescent="0.2">
      <c r="B17" s="220" t="s">
        <v>176</v>
      </c>
      <c r="C17" s="166">
        <v>1</v>
      </c>
      <c r="D17" s="222" t="s">
        <v>78</v>
      </c>
      <c r="E17" s="175">
        <v>64250</v>
      </c>
      <c r="F17" s="175">
        <f>C17*E17</f>
        <v>64250</v>
      </c>
      <c r="G17" s="181">
        <f>F17/F26</f>
        <v>0.15585203153426319</v>
      </c>
      <c r="I17" s="175">
        <v>59250</v>
      </c>
      <c r="J17" s="216" t="s">
        <v>332</v>
      </c>
    </row>
    <row r="18" spans="2:10" x14ac:dyDescent="0.2">
      <c r="B18" s="219" t="s">
        <v>13</v>
      </c>
      <c r="C18" s="175"/>
      <c r="D18" s="175"/>
      <c r="E18" s="175"/>
      <c r="F18" s="4">
        <f>SUM(F16:F17)</f>
        <v>262600</v>
      </c>
      <c r="G18" s="181">
        <f>F18/F26</f>
        <v>0.6369921164342025</v>
      </c>
    </row>
    <row r="19" spans="2:10" x14ac:dyDescent="0.2">
      <c r="B19" s="45" t="s">
        <v>20</v>
      </c>
      <c r="C19" s="175"/>
      <c r="D19" s="175"/>
      <c r="E19" s="175"/>
      <c r="F19" s="4">
        <f>F14+F18</f>
        <v>342600</v>
      </c>
      <c r="G19" s="181">
        <f>F19/F26</f>
        <v>0.83104912067919956</v>
      </c>
    </row>
    <row r="20" spans="2:10" x14ac:dyDescent="0.2">
      <c r="B20" s="45" t="s">
        <v>19</v>
      </c>
      <c r="C20" s="158"/>
      <c r="D20" s="158"/>
      <c r="E20" s="158"/>
      <c r="F20" s="166"/>
      <c r="G20" s="182"/>
    </row>
    <row r="21" spans="2:10" x14ac:dyDescent="0.2">
      <c r="B21" s="220" t="s">
        <v>292</v>
      </c>
      <c r="C21" s="330">
        <v>0.05</v>
      </c>
      <c r="D21" s="158"/>
      <c r="E21" s="158"/>
      <c r="F21" s="175">
        <f>F14*C21</f>
        <v>4000</v>
      </c>
      <c r="G21" s="182"/>
    </row>
    <row r="22" spans="2:10" x14ac:dyDescent="0.2">
      <c r="B22" s="223" t="s">
        <v>141</v>
      </c>
      <c r="C22" s="328">
        <v>0.3</v>
      </c>
      <c r="D22" s="20"/>
      <c r="E22" s="20"/>
      <c r="F22" s="175">
        <f>F18*0.25</f>
        <v>65650</v>
      </c>
      <c r="G22" s="181">
        <f>F22/F26</f>
        <v>0.15924802910855063</v>
      </c>
    </row>
    <row r="23" spans="2:10" x14ac:dyDescent="0.2">
      <c r="B23" s="224"/>
      <c r="C23" s="20"/>
      <c r="D23" s="20"/>
      <c r="E23" s="20"/>
      <c r="F23" s="175"/>
      <c r="G23" s="225"/>
    </row>
    <row r="24" spans="2:10" x14ac:dyDescent="0.2">
      <c r="B24" s="3" t="s">
        <v>14</v>
      </c>
      <c r="C24" s="175"/>
      <c r="D24" s="175"/>
      <c r="E24" s="175"/>
      <c r="F24" s="4">
        <f>SUM(F21:F22)</f>
        <v>69650</v>
      </c>
      <c r="G24" s="181">
        <f>F24/F26</f>
        <v>0.1689508793208005</v>
      </c>
    </row>
    <row r="25" spans="2:10" ht="13.5" thickBot="1" x14ac:dyDescent="0.25">
      <c r="C25" s="144"/>
      <c r="D25" s="144"/>
      <c r="E25" s="144"/>
      <c r="F25" s="191"/>
      <c r="G25" s="192"/>
    </row>
    <row r="26" spans="2:10" ht="13.5" thickBot="1" x14ac:dyDescent="0.25">
      <c r="B26" s="28" t="s">
        <v>76</v>
      </c>
      <c r="C26" s="29"/>
      <c r="D26" s="29"/>
      <c r="E26" s="30"/>
      <c r="F26" s="23">
        <f>ROUND(F19+F24,0)</f>
        <v>412250</v>
      </c>
      <c r="G26" s="24">
        <f>G14+G18+G24</f>
        <v>1</v>
      </c>
    </row>
    <row r="27" spans="2:10" ht="13.5" thickBot="1" x14ac:dyDescent="0.25"/>
    <row r="28" spans="2:10" ht="13.5" thickBot="1" x14ac:dyDescent="0.25">
      <c r="F28" s="194">
        <f>F26</f>
        <v>412250</v>
      </c>
      <c r="G28" s="401" t="s">
        <v>400</v>
      </c>
    </row>
    <row r="29" spans="2:10" x14ac:dyDescent="0.2">
      <c r="I29" s="400"/>
    </row>
    <row r="30" spans="2:10" x14ac:dyDescent="0.2">
      <c r="B30" s="329" t="s">
        <v>333</v>
      </c>
    </row>
    <row r="31" spans="2:10" ht="13.5" thickBot="1" x14ac:dyDescent="0.25"/>
    <row r="32" spans="2:10" ht="13.5" thickBot="1" x14ac:dyDescent="0.25">
      <c r="F32" s="194"/>
      <c r="G32" s="26"/>
    </row>
    <row r="33" spans="6:7" x14ac:dyDescent="0.2">
      <c r="G33" s="26"/>
    </row>
    <row r="34" spans="6:7" ht="13.5" thickBot="1" x14ac:dyDescent="0.25"/>
    <row r="35" spans="6:7" ht="13.5" thickBot="1" x14ac:dyDescent="0.25">
      <c r="F35" s="194"/>
      <c r="G35" s="124" t="s">
        <v>458</v>
      </c>
    </row>
  </sheetData>
  <mergeCells count="5">
    <mergeCell ref="B3:F3"/>
    <mergeCell ref="B5:G5"/>
    <mergeCell ref="B6:G6"/>
    <mergeCell ref="B7:G7"/>
    <mergeCell ref="B8:G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52"/>
  <sheetViews>
    <sheetView topLeftCell="A40" workbookViewId="0">
      <selection activeCell="E12" sqref="E12"/>
    </sheetView>
  </sheetViews>
  <sheetFormatPr baseColWidth="10" defaultRowHeight="12.75" x14ac:dyDescent="0.2"/>
  <cols>
    <col min="1" max="1" width="5.5703125" customWidth="1"/>
    <col min="2" max="2" width="52.140625" customWidth="1"/>
    <col min="3" max="3" width="8.5703125" customWidth="1"/>
    <col min="4" max="4" width="10.42578125" customWidth="1"/>
    <col min="5" max="5" width="9.140625" customWidth="1"/>
    <col min="6" max="6" width="11.85546875" customWidth="1"/>
    <col min="7" max="7" width="0" hidden="1" customWidth="1"/>
    <col min="8" max="8" width="15.85546875" customWidth="1"/>
    <col min="9" max="9" width="9.5703125" hidden="1" customWidth="1"/>
    <col min="10" max="10" width="22.7109375" hidden="1" customWidth="1"/>
    <col min="11" max="12" width="0" hidden="1" customWidth="1"/>
    <col min="13" max="13" width="16.42578125" hidden="1" customWidth="1"/>
    <col min="14" max="14" width="21" hidden="1" customWidth="1"/>
    <col min="15" max="15" width="19" customWidth="1"/>
  </cols>
  <sheetData>
    <row r="1" spans="1:16" ht="18.75" customHeight="1" x14ac:dyDescent="0.2">
      <c r="A1" s="144"/>
      <c r="B1" s="645" t="s">
        <v>58</v>
      </c>
      <c r="C1" s="629"/>
      <c r="D1" s="629"/>
      <c r="E1" s="629"/>
      <c r="F1" s="629"/>
      <c r="G1" s="629"/>
      <c r="H1" s="629"/>
    </row>
    <row r="2" spans="1:16" x14ac:dyDescent="0.2">
      <c r="A2" s="144"/>
      <c r="B2" s="650" t="s">
        <v>242</v>
      </c>
      <c r="C2" s="646"/>
      <c r="D2" s="646"/>
      <c r="E2" s="646"/>
      <c r="F2" s="646"/>
      <c r="G2" s="646"/>
      <c r="H2" s="646"/>
      <c r="I2" s="2"/>
    </row>
    <row r="3" spans="1:16" x14ac:dyDescent="0.2">
      <c r="A3" s="144"/>
      <c r="B3" s="629" t="s">
        <v>243</v>
      </c>
      <c r="C3" s="629"/>
      <c r="D3" s="629"/>
      <c r="E3" s="629"/>
      <c r="F3" s="629"/>
      <c r="G3" s="629"/>
      <c r="H3" s="629"/>
      <c r="I3" s="2"/>
    </row>
    <row r="4" spans="1:16" x14ac:dyDescent="0.2">
      <c r="A4" s="144"/>
      <c r="B4" s="642" t="s">
        <v>165</v>
      </c>
      <c r="C4" s="642"/>
      <c r="D4" s="642"/>
      <c r="E4" s="642"/>
      <c r="F4" s="642"/>
      <c r="G4" s="642"/>
      <c r="H4" s="642"/>
      <c r="I4" s="2"/>
    </row>
    <row r="5" spans="1:16" x14ac:dyDescent="0.2">
      <c r="A5" s="144"/>
      <c r="B5" s="236"/>
      <c r="C5" s="236"/>
      <c r="D5" s="236"/>
      <c r="E5" s="236"/>
      <c r="F5" s="236"/>
      <c r="G5" s="236"/>
      <c r="H5" s="236"/>
      <c r="I5" s="2"/>
    </row>
    <row r="6" spans="1:16" ht="13.5" thickBot="1" x14ac:dyDescent="0.25">
      <c r="A6" s="144"/>
      <c r="B6" s="16" t="s">
        <v>572</v>
      </c>
      <c r="C6" s="15"/>
      <c r="D6" s="15"/>
      <c r="E6" s="15"/>
      <c r="F6" s="15"/>
      <c r="G6" s="144"/>
      <c r="H6" s="144"/>
      <c r="I6" s="2"/>
    </row>
    <row r="7" spans="1:16" ht="22.5" customHeight="1" thickBot="1" x14ac:dyDescent="0.25">
      <c r="A7" s="144"/>
      <c r="B7" s="10" t="s">
        <v>3</v>
      </c>
      <c r="C7" s="57" t="s">
        <v>0</v>
      </c>
      <c r="D7" s="10" t="s">
        <v>4</v>
      </c>
      <c r="E7" s="57" t="s">
        <v>2</v>
      </c>
      <c r="F7" s="10" t="s">
        <v>1</v>
      </c>
      <c r="G7" s="17" t="s">
        <v>15</v>
      </c>
      <c r="H7" s="10" t="s">
        <v>15</v>
      </c>
      <c r="J7" s="10" t="s">
        <v>166</v>
      </c>
      <c r="O7" s="271" t="s">
        <v>122</v>
      </c>
    </row>
    <row r="8" spans="1:16" x14ac:dyDescent="0.2">
      <c r="A8" s="144"/>
      <c r="B8" s="56" t="s">
        <v>16</v>
      </c>
      <c r="C8" s="170"/>
      <c r="D8" s="170"/>
      <c r="E8" s="170"/>
      <c r="F8" s="170"/>
      <c r="G8" s="171"/>
      <c r="H8" s="172"/>
      <c r="O8" s="40"/>
      <c r="P8" s="647" t="s">
        <v>240</v>
      </c>
    </row>
    <row r="9" spans="1:16" x14ac:dyDescent="0.2">
      <c r="A9" s="144"/>
      <c r="B9" s="3" t="s">
        <v>17</v>
      </c>
      <c r="C9" s="158"/>
      <c r="D9" s="158"/>
      <c r="E9" s="158"/>
      <c r="F9" s="158"/>
      <c r="G9" s="173"/>
      <c r="H9" s="174"/>
      <c r="J9" s="217"/>
      <c r="M9" s="216" t="s">
        <v>167</v>
      </c>
      <c r="N9" s="269" t="s">
        <v>168</v>
      </c>
      <c r="O9" s="40"/>
      <c r="P9" s="647"/>
    </row>
    <row r="10" spans="1:16" x14ac:dyDescent="0.2">
      <c r="A10" s="144"/>
      <c r="B10" s="158" t="s">
        <v>55</v>
      </c>
      <c r="C10" s="175">
        <v>5</v>
      </c>
      <c r="D10" s="175" t="s">
        <v>52</v>
      </c>
      <c r="E10" s="176">
        <f>'Mano de Obra (JORNAL)'!E32</f>
        <v>47165</v>
      </c>
      <c r="F10" s="176">
        <f t="shared" ref="F10:F18" si="0">C10*E10</f>
        <v>235825</v>
      </c>
      <c r="G10" s="177" t="e">
        <f>#REF!/#REF!*100</f>
        <v>#REF!</v>
      </c>
      <c r="H10" s="178">
        <f>F10/F32</f>
        <v>6.3167044119833232E-2</v>
      </c>
      <c r="J10" s="65">
        <v>5</v>
      </c>
      <c r="M10" s="40">
        <v>10000</v>
      </c>
      <c r="N10" s="270">
        <v>18</v>
      </c>
      <c r="O10" s="40"/>
      <c r="P10" s="175">
        <v>5</v>
      </c>
    </row>
    <row r="11" spans="1:16" x14ac:dyDescent="0.2">
      <c r="A11" s="144"/>
      <c r="B11" s="158" t="s">
        <v>238</v>
      </c>
      <c r="C11" s="175">
        <v>1</v>
      </c>
      <c r="D11" s="175" t="s">
        <v>52</v>
      </c>
      <c r="E11" s="176">
        <f>E10</f>
        <v>47165</v>
      </c>
      <c r="F11" s="176">
        <f t="shared" si="0"/>
        <v>47165</v>
      </c>
      <c r="G11" s="177" t="e">
        <f>#REF!/#REF!*100</f>
        <v>#REF!</v>
      </c>
      <c r="H11" s="178">
        <f>F11/F32</f>
        <v>1.2633408823966647E-2</v>
      </c>
      <c r="J11" s="65">
        <v>3</v>
      </c>
      <c r="O11" s="40"/>
      <c r="P11" s="175">
        <v>3</v>
      </c>
    </row>
    <row r="12" spans="1:16" x14ac:dyDescent="0.2">
      <c r="A12" s="144"/>
      <c r="B12" s="158" t="s">
        <v>21</v>
      </c>
      <c r="C12" s="175">
        <v>6</v>
      </c>
      <c r="D12" s="175" t="s">
        <v>52</v>
      </c>
      <c r="E12" s="176">
        <f>E10</f>
        <v>47165</v>
      </c>
      <c r="F12" s="176">
        <f t="shared" si="0"/>
        <v>282990</v>
      </c>
      <c r="G12" s="177" t="e">
        <f>#REF!/#REF!*100</f>
        <v>#REF!</v>
      </c>
      <c r="H12" s="178">
        <f>F12/F32</f>
        <v>7.5800452943799876E-2</v>
      </c>
      <c r="J12" s="65">
        <v>7</v>
      </c>
      <c r="N12" s="270">
        <f>M10/N10</f>
        <v>555.55555555555554</v>
      </c>
      <c r="O12" s="40"/>
      <c r="P12" s="175">
        <v>5</v>
      </c>
    </row>
    <row r="13" spans="1:16" x14ac:dyDescent="0.2">
      <c r="A13" s="144"/>
      <c r="B13" s="158" t="s">
        <v>434</v>
      </c>
      <c r="C13" s="175">
        <v>3</v>
      </c>
      <c r="D13" s="175" t="s">
        <v>52</v>
      </c>
      <c r="E13" s="176">
        <f>E10</f>
        <v>47165</v>
      </c>
      <c r="F13" s="176">
        <f t="shared" si="0"/>
        <v>141495</v>
      </c>
      <c r="G13" s="177" t="e">
        <f>#REF!/#REF!*100</f>
        <v>#REF!</v>
      </c>
      <c r="H13" s="178">
        <f>F13/F32</f>
        <v>3.7900226471899938E-2</v>
      </c>
      <c r="J13" s="65">
        <v>5</v>
      </c>
      <c r="O13" s="40"/>
      <c r="P13" s="175">
        <v>3</v>
      </c>
    </row>
    <row r="14" spans="1:16" x14ac:dyDescent="0.2">
      <c r="A14" s="144"/>
      <c r="B14" s="158" t="s">
        <v>23</v>
      </c>
      <c r="C14" s="175">
        <v>1</v>
      </c>
      <c r="D14" s="175" t="s">
        <v>52</v>
      </c>
      <c r="E14" s="176">
        <f>E10</f>
        <v>47165</v>
      </c>
      <c r="F14" s="176">
        <f t="shared" si="0"/>
        <v>47165</v>
      </c>
      <c r="G14" s="177" t="e">
        <f>#REF!/#REF!*100</f>
        <v>#REF!</v>
      </c>
      <c r="H14" s="178">
        <f>F14/F32</f>
        <v>1.2633408823966647E-2</v>
      </c>
      <c r="J14" s="65">
        <v>2</v>
      </c>
      <c r="O14" s="40"/>
      <c r="P14" s="175">
        <v>3</v>
      </c>
    </row>
    <row r="15" spans="1:16" x14ac:dyDescent="0.2">
      <c r="A15" s="144"/>
      <c r="B15" s="158" t="s">
        <v>24</v>
      </c>
      <c r="C15" s="175">
        <v>6</v>
      </c>
      <c r="D15" s="175" t="s">
        <v>52</v>
      </c>
      <c r="E15" s="176">
        <f>E10</f>
        <v>47165</v>
      </c>
      <c r="F15" s="176">
        <f t="shared" si="0"/>
        <v>282990</v>
      </c>
      <c r="G15" s="177" t="e">
        <f>#REF!/#REF!*100</f>
        <v>#REF!</v>
      </c>
      <c r="H15" s="178">
        <f>F15/F32</f>
        <v>7.5800452943799876E-2</v>
      </c>
      <c r="J15" s="65">
        <v>6</v>
      </c>
      <c r="O15" s="40"/>
      <c r="P15" s="175">
        <v>8</v>
      </c>
    </row>
    <row r="16" spans="1:16" x14ac:dyDescent="0.2">
      <c r="A16" s="144"/>
      <c r="B16" s="158" t="s">
        <v>25</v>
      </c>
      <c r="C16" s="175">
        <v>2</v>
      </c>
      <c r="D16" s="175" t="s">
        <v>52</v>
      </c>
      <c r="E16" s="176">
        <f>E10</f>
        <v>47165</v>
      </c>
      <c r="F16" s="176">
        <f t="shared" si="0"/>
        <v>94330</v>
      </c>
      <c r="G16" s="177" t="e">
        <f>#REF!/#REF!*100</f>
        <v>#REF!</v>
      </c>
      <c r="H16" s="178">
        <f>F16/F32</f>
        <v>2.5266817647933294E-2</v>
      </c>
      <c r="J16" s="65">
        <v>2</v>
      </c>
      <c r="O16" s="40"/>
      <c r="P16" s="175">
        <v>2</v>
      </c>
    </row>
    <row r="17" spans="1:16" x14ac:dyDescent="0.2">
      <c r="A17" s="144"/>
      <c r="B17" s="158" t="s">
        <v>59</v>
      </c>
      <c r="C17" s="175">
        <v>4</v>
      </c>
      <c r="D17" s="175" t="s">
        <v>52</v>
      </c>
      <c r="E17" s="176">
        <f>E10</f>
        <v>47165</v>
      </c>
      <c r="F17" s="176">
        <f t="shared" si="0"/>
        <v>188660</v>
      </c>
      <c r="G17" s="177" t="e">
        <f>#REF!/#REF!*100</f>
        <v>#REF!</v>
      </c>
      <c r="H17" s="178">
        <f>F17/F32</f>
        <v>5.0533635295866589E-2</v>
      </c>
      <c r="J17" s="65">
        <v>3</v>
      </c>
      <c r="O17" s="40"/>
      <c r="P17" s="175">
        <v>4</v>
      </c>
    </row>
    <row r="18" spans="1:16" x14ac:dyDescent="0.2">
      <c r="A18" s="144"/>
      <c r="B18" s="158" t="s">
        <v>26</v>
      </c>
      <c r="C18" s="175">
        <v>1</v>
      </c>
      <c r="D18" s="175" t="s">
        <v>52</v>
      </c>
      <c r="E18" s="176">
        <f>E10</f>
        <v>47165</v>
      </c>
      <c r="F18" s="176">
        <f t="shared" si="0"/>
        <v>47165</v>
      </c>
      <c r="G18" s="177" t="e">
        <f>#REF!/#REF!*100</f>
        <v>#REF!</v>
      </c>
      <c r="H18" s="178">
        <f>F18/F32</f>
        <v>1.2633408823966647E-2</v>
      </c>
      <c r="J18" s="65">
        <v>3</v>
      </c>
      <c r="O18" s="40"/>
      <c r="P18" s="175">
        <v>2</v>
      </c>
    </row>
    <row r="19" spans="1:16" x14ac:dyDescent="0.2">
      <c r="A19" s="144"/>
      <c r="B19" s="8" t="s">
        <v>6</v>
      </c>
      <c r="C19" s="4">
        <f>SUM(C10:C18)</f>
        <v>29</v>
      </c>
      <c r="D19" s="175"/>
      <c r="E19" s="176"/>
      <c r="F19" s="4">
        <f>SUM(F10:F18)</f>
        <v>1367785</v>
      </c>
      <c r="G19" s="177" t="e">
        <f>#REF!/#REF!*100</f>
        <v>#REF!</v>
      </c>
      <c r="H19" s="62">
        <f>F19/F32</f>
        <v>0.36636885589503276</v>
      </c>
      <c r="J19" s="65">
        <v>6</v>
      </c>
      <c r="K19" s="64" t="s">
        <v>145</v>
      </c>
      <c r="O19" s="40"/>
      <c r="P19" s="4">
        <f>SUM(P10:P18)</f>
        <v>35</v>
      </c>
    </row>
    <row r="20" spans="1:16" x14ac:dyDescent="0.2">
      <c r="A20" s="144"/>
      <c r="B20" s="3" t="s">
        <v>18</v>
      </c>
      <c r="C20" s="158"/>
      <c r="D20" s="158"/>
      <c r="E20" s="272"/>
      <c r="F20" s="166"/>
      <c r="G20" s="177" t="e">
        <f>#REF!/#REF!*100</f>
        <v>#REF!</v>
      </c>
      <c r="H20" s="180"/>
      <c r="J20" s="217"/>
      <c r="O20" s="40"/>
    </row>
    <row r="21" spans="1:16" x14ac:dyDescent="0.2">
      <c r="A21" s="144"/>
      <c r="B21" s="158" t="s">
        <v>53</v>
      </c>
      <c r="C21" s="176">
        <v>610</v>
      </c>
      <c r="D21" s="175" t="s">
        <v>5</v>
      </c>
      <c r="E21" s="176">
        <v>2500</v>
      </c>
      <c r="F21" s="175">
        <f>C21*E21</f>
        <v>1525000</v>
      </c>
      <c r="G21" s="177" t="e">
        <f>#REF!/#REF!*100</f>
        <v>#REF!</v>
      </c>
      <c r="H21" s="178">
        <f>F21/F32</f>
        <v>0.40847977221560766</v>
      </c>
      <c r="J21" s="65">
        <f>SUM(J10:J20)</f>
        <v>42</v>
      </c>
      <c r="K21" s="64" t="s">
        <v>57</v>
      </c>
      <c r="O21" s="40"/>
    </row>
    <row r="22" spans="1:16" x14ac:dyDescent="0.2">
      <c r="A22" s="144"/>
      <c r="B22" s="158" t="s">
        <v>178</v>
      </c>
      <c r="C22" s="176">
        <f>C21*50/1000</f>
        <v>30.5</v>
      </c>
      <c r="D22" s="175" t="s">
        <v>50</v>
      </c>
      <c r="E22" s="176">
        <v>1600</v>
      </c>
      <c r="F22" s="175">
        <f>C22*E22</f>
        <v>48800</v>
      </c>
      <c r="G22" s="177" t="e">
        <f>#REF!/#REF!*100</f>
        <v>#REF!</v>
      </c>
      <c r="H22" s="178">
        <f>F22/F32</f>
        <v>1.3071352710899445E-2</v>
      </c>
      <c r="J22" s="179"/>
      <c r="M22">
        <v>150</v>
      </c>
      <c r="O22" s="216" t="s">
        <v>236</v>
      </c>
    </row>
    <row r="23" spans="1:16" x14ac:dyDescent="0.2">
      <c r="A23" s="144"/>
      <c r="B23" s="40" t="s">
        <v>172</v>
      </c>
      <c r="C23" s="176">
        <v>2</v>
      </c>
      <c r="D23" s="175" t="s">
        <v>50</v>
      </c>
      <c r="E23" s="176">
        <v>51200</v>
      </c>
      <c r="F23" s="175">
        <f>C23*E23</f>
        <v>102400</v>
      </c>
      <c r="G23" s="177"/>
      <c r="H23" s="178">
        <f>F23/F32</f>
        <v>2.7428412245821789E-2</v>
      </c>
      <c r="J23" s="179"/>
      <c r="O23" s="40"/>
    </row>
    <row r="24" spans="1:16" x14ac:dyDescent="0.2">
      <c r="A24" s="144"/>
      <c r="B24" s="40" t="s">
        <v>173</v>
      </c>
      <c r="C24" s="176">
        <v>2</v>
      </c>
      <c r="D24" s="175" t="s">
        <v>175</v>
      </c>
      <c r="E24" s="176">
        <v>16700</v>
      </c>
      <c r="F24" s="175">
        <f>C24*E24</f>
        <v>33400</v>
      </c>
      <c r="G24" s="177"/>
      <c r="H24" s="178">
        <f>F24/F34</f>
        <v>8.9463766504926535E-3</v>
      </c>
      <c r="J24" s="179"/>
      <c r="O24" s="40"/>
    </row>
    <row r="25" spans="1:16" x14ac:dyDescent="0.2">
      <c r="A25" s="144"/>
      <c r="B25" s="227" t="s">
        <v>27</v>
      </c>
      <c r="C25" s="176">
        <f>300*C21/1000</f>
        <v>183</v>
      </c>
      <c r="D25" s="175" t="s">
        <v>50</v>
      </c>
      <c r="E25" s="176">
        <v>314</v>
      </c>
      <c r="F25" s="228">
        <f>C25*E25</f>
        <v>57462</v>
      </c>
      <c r="G25" s="177" t="e">
        <f>#REF!/#REF!*100</f>
        <v>#REF!</v>
      </c>
      <c r="H25" s="178">
        <f>F25/F32</f>
        <v>1.5391517817084097E-2</v>
      </c>
      <c r="J25" s="179"/>
      <c r="M25">
        <v>9</v>
      </c>
      <c r="O25" s="216" t="s">
        <v>237</v>
      </c>
    </row>
    <row r="26" spans="1:16" x14ac:dyDescent="0.2">
      <c r="A26" s="144"/>
      <c r="B26" s="8" t="s">
        <v>13</v>
      </c>
      <c r="C26" s="176"/>
      <c r="D26" s="175"/>
      <c r="E26" s="175"/>
      <c r="F26" s="4">
        <f>SUM(F21:F25)</f>
        <v>1767062</v>
      </c>
      <c r="G26" s="177" t="e">
        <f>#REF!/#REF!*100</f>
        <v>#REF!</v>
      </c>
      <c r="H26" s="62">
        <f>F26/F32</f>
        <v>0.47331743163990564</v>
      </c>
      <c r="J26" s="179"/>
      <c r="O26" s="40"/>
    </row>
    <row r="27" spans="1:16" ht="16.5" customHeight="1" x14ac:dyDescent="0.2">
      <c r="A27" s="144"/>
      <c r="B27" s="3" t="s">
        <v>20</v>
      </c>
      <c r="C27" s="175"/>
      <c r="D27" s="175"/>
      <c r="E27" s="175"/>
      <c r="F27" s="4">
        <f>F19+F26</f>
        <v>3134847</v>
      </c>
      <c r="G27" s="177"/>
      <c r="H27" s="62">
        <f>F27/F32</f>
        <v>0.83968628753493846</v>
      </c>
      <c r="O27" s="40"/>
    </row>
    <row r="28" spans="1:16" x14ac:dyDescent="0.2">
      <c r="A28" s="144"/>
      <c r="B28" s="3" t="s">
        <v>19</v>
      </c>
      <c r="C28" s="158"/>
      <c r="D28" s="158"/>
      <c r="E28" s="158"/>
      <c r="F28" s="166"/>
      <c r="G28" s="177" t="e">
        <f>#REF!/#REF!*100</f>
        <v>#REF!</v>
      </c>
      <c r="H28" s="180"/>
      <c r="O28" s="40"/>
    </row>
    <row r="29" spans="1:16" x14ac:dyDescent="0.2">
      <c r="A29" s="144"/>
      <c r="B29" s="53" t="s">
        <v>49</v>
      </c>
      <c r="C29" s="20"/>
      <c r="D29" s="20"/>
      <c r="E29" s="20"/>
      <c r="F29" s="175">
        <f>F19*0.05</f>
        <v>68389.25</v>
      </c>
      <c r="G29" s="177" t="e">
        <f>#REF!/#REF!*100</f>
        <v>#REF!</v>
      </c>
      <c r="H29" s="178">
        <f>F29/F32</f>
        <v>1.8318442794751637E-2</v>
      </c>
      <c r="K29">
        <v>50</v>
      </c>
      <c r="L29">
        <f>K29*K30</f>
        <v>800</v>
      </c>
      <c r="O29" s="40"/>
    </row>
    <row r="30" spans="1:16" x14ac:dyDescent="0.2">
      <c r="A30" s="144"/>
      <c r="B30" s="53" t="s">
        <v>244</v>
      </c>
      <c r="C30" s="20"/>
      <c r="D30" s="20"/>
      <c r="E30" s="20"/>
      <c r="F30" s="175">
        <f>F26*0.3</f>
        <v>530118.6</v>
      </c>
      <c r="G30" s="177" t="e">
        <f>#REF!/#REF!*100</f>
        <v>#REF!</v>
      </c>
      <c r="H30" s="178">
        <f>F30/F32</f>
        <v>0.14199522949197169</v>
      </c>
      <c r="K30">
        <v>16</v>
      </c>
      <c r="L30" t="s">
        <v>169</v>
      </c>
      <c r="O30" s="40"/>
    </row>
    <row r="31" spans="1:16" ht="13.5" thickBot="1" x14ac:dyDescent="0.25">
      <c r="A31" s="144"/>
      <c r="B31" s="3" t="s">
        <v>14</v>
      </c>
      <c r="C31" s="175"/>
      <c r="D31" s="175"/>
      <c r="E31" s="175"/>
      <c r="F31" s="4">
        <f>SUM(F29:F30)</f>
        <v>598507.85</v>
      </c>
      <c r="G31" s="61" t="e">
        <f>#REF!/#REF!*100</f>
        <v>#REF!</v>
      </c>
      <c r="H31" s="63">
        <f>F31/F32</f>
        <v>0.16031367228672333</v>
      </c>
      <c r="J31" s="1"/>
      <c r="K31">
        <v>100</v>
      </c>
      <c r="L31" t="s">
        <v>170</v>
      </c>
      <c r="O31" s="40"/>
    </row>
    <row r="32" spans="1:16" ht="18.75" customHeight="1" thickBot="1" x14ac:dyDescent="0.25">
      <c r="A32" s="144"/>
      <c r="B32" s="28" t="s">
        <v>241</v>
      </c>
      <c r="C32" s="29"/>
      <c r="D32" s="29"/>
      <c r="E32" s="30"/>
      <c r="F32" s="23">
        <f>ROUND(F27+F31,0)</f>
        <v>3733355</v>
      </c>
      <c r="G32" s="144"/>
      <c r="H32" s="24">
        <f>H27+H31</f>
        <v>0.99999995982166179</v>
      </c>
      <c r="K32">
        <v>1760</v>
      </c>
      <c r="L32">
        <v>1640</v>
      </c>
      <c r="M32" s="218">
        <f>K32*L32</f>
        <v>2886400</v>
      </c>
      <c r="O32" s="40"/>
    </row>
    <row r="33" spans="1:17" ht="13.5" thickBot="1" x14ac:dyDescent="0.25">
      <c r="A33" s="144"/>
      <c r="B33" s="144"/>
      <c r="C33" s="144"/>
      <c r="D33" s="144"/>
      <c r="E33" s="31"/>
      <c r="F33" s="25">
        <v>0</v>
      </c>
      <c r="G33" s="144"/>
      <c r="H33" s="26"/>
      <c r="J33" s="1"/>
    </row>
    <row r="34" spans="1:17" ht="16.5" thickBot="1" x14ac:dyDescent="0.3">
      <c r="A34" s="144"/>
      <c r="B34" s="144"/>
      <c r="C34" s="54" t="s">
        <v>98</v>
      </c>
      <c r="D34" s="144"/>
      <c r="E34" s="31"/>
      <c r="F34" s="94">
        <f>ROUND(SUM(F32:F33),0)</f>
        <v>3733355</v>
      </c>
      <c r="G34" s="144"/>
      <c r="I34" s="1"/>
      <c r="J34" s="1"/>
    </row>
    <row r="35" spans="1:17" ht="15.75" x14ac:dyDescent="0.25">
      <c r="A35" s="144"/>
      <c r="B35" s="144"/>
      <c r="C35" s="54"/>
      <c r="D35" s="144"/>
      <c r="E35" s="31"/>
      <c r="F35" s="477"/>
      <c r="G35" s="144"/>
      <c r="I35" s="1"/>
      <c r="J35" s="1"/>
    </row>
    <row r="36" spans="1:17" ht="15.75" x14ac:dyDescent="0.25">
      <c r="A36" s="144"/>
      <c r="B36" s="144"/>
      <c r="C36" s="54"/>
      <c r="D36" s="144"/>
      <c r="E36" s="31"/>
      <c r="F36" s="477"/>
      <c r="G36" s="144"/>
      <c r="I36" s="1"/>
      <c r="J36" s="1"/>
    </row>
    <row r="37" spans="1:17" ht="13.5" thickBot="1" x14ac:dyDescent="0.25">
      <c r="A37" s="144"/>
      <c r="B37" s="144"/>
      <c r="C37" s="54"/>
      <c r="D37" s="144"/>
      <c r="E37" s="31"/>
    </row>
    <row r="38" spans="1:17" ht="18" x14ac:dyDescent="0.25">
      <c r="A38" s="144"/>
      <c r="B38" s="144"/>
      <c r="C38" s="54"/>
      <c r="D38" s="651" t="s">
        <v>97</v>
      </c>
      <c r="E38" s="652"/>
    </row>
    <row r="39" spans="1:17" ht="18.75" thickBot="1" x14ac:dyDescent="0.3">
      <c r="A39" s="144"/>
      <c r="B39" s="144"/>
      <c r="C39" s="54"/>
      <c r="D39" s="648">
        <f>F34/C21</f>
        <v>6120.2540983606559</v>
      </c>
      <c r="E39" s="649"/>
      <c r="F39" s="1"/>
      <c r="G39" s="144"/>
      <c r="H39" s="26"/>
      <c r="I39" s="1"/>
      <c r="J39" s="1"/>
    </row>
    <row r="40" spans="1:17" ht="18" x14ac:dyDescent="0.25">
      <c r="A40" s="144"/>
      <c r="B40" s="144"/>
      <c r="C40" s="54"/>
      <c r="D40" s="123"/>
      <c r="E40" s="123"/>
      <c r="F40" s="1"/>
      <c r="G40" s="144"/>
      <c r="H40" s="26"/>
      <c r="I40" s="1"/>
      <c r="J40" s="1"/>
      <c r="Q40" t="s">
        <v>97</v>
      </c>
    </row>
    <row r="41" spans="1:17" ht="18" customHeight="1" x14ac:dyDescent="0.25">
      <c r="A41" s="144"/>
      <c r="C41" s="359"/>
      <c r="D41" s="123"/>
      <c r="E41" s="123"/>
      <c r="F41" s="231"/>
      <c r="G41" s="144"/>
      <c r="H41" s="26"/>
      <c r="I41" s="1"/>
      <c r="J41" s="1"/>
      <c r="Q41">
        <v>6337.7591995630628</v>
      </c>
    </row>
    <row r="42" spans="1:17" ht="318.75" x14ac:dyDescent="0.25">
      <c r="A42" s="144"/>
      <c r="B42" s="416" t="s">
        <v>435</v>
      </c>
      <c r="C42" s="359"/>
      <c r="D42" s="123"/>
      <c r="E42" s="123"/>
      <c r="F42" s="1"/>
      <c r="G42" s="144"/>
      <c r="H42" s="26">
        <v>0.13</v>
      </c>
      <c r="I42" s="1"/>
      <c r="J42" s="1"/>
    </row>
    <row r="43" spans="1:17" ht="18" x14ac:dyDescent="0.25">
      <c r="A43" s="144"/>
      <c r="B43" s="359"/>
      <c r="C43" s="359"/>
      <c r="D43" s="123"/>
      <c r="E43" s="123"/>
      <c r="F43" s="1"/>
      <c r="G43" s="144"/>
      <c r="H43" s="26"/>
      <c r="I43" s="1"/>
      <c r="J43" s="1"/>
    </row>
    <row r="44" spans="1:17" x14ac:dyDescent="0.2">
      <c r="A44" s="144"/>
      <c r="B44" s="359"/>
      <c r="C44" s="359"/>
      <c r="D44" s="144"/>
      <c r="E44" s="31"/>
      <c r="F44" s="25"/>
      <c r="G44" s="144"/>
      <c r="H44" s="26"/>
      <c r="I44" s="1"/>
    </row>
    <row r="45" spans="1:17" x14ac:dyDescent="0.2">
      <c r="A45" s="144"/>
      <c r="B45" s="359"/>
      <c r="C45" s="359"/>
      <c r="D45" s="144"/>
      <c r="E45" s="31"/>
      <c r="F45" s="25"/>
      <c r="G45" s="144"/>
      <c r="H45" s="26"/>
      <c r="I45" s="1"/>
    </row>
    <row r="46" spans="1:17" x14ac:dyDescent="0.2">
      <c r="A46" s="144"/>
      <c r="B46" s="359"/>
      <c r="C46" s="359"/>
      <c r="D46" s="144"/>
      <c r="E46" s="31"/>
      <c r="F46" s="25"/>
      <c r="G46" s="144"/>
      <c r="H46" s="26"/>
      <c r="I46" s="1"/>
    </row>
    <row r="47" spans="1:17" x14ac:dyDescent="0.2">
      <c r="A47" s="144"/>
      <c r="B47" s="359"/>
      <c r="C47" s="359"/>
      <c r="D47" s="144"/>
      <c r="E47" s="31"/>
      <c r="F47" s="25"/>
      <c r="G47" s="144"/>
      <c r="H47" s="26"/>
      <c r="I47" s="1"/>
    </row>
    <row r="48" spans="1:17" x14ac:dyDescent="0.2">
      <c r="B48" s="359"/>
      <c r="C48" s="359"/>
    </row>
    <row r="49" spans="2:3" x14ac:dyDescent="0.2">
      <c r="B49" s="359"/>
      <c r="C49" s="359"/>
    </row>
    <row r="50" spans="2:3" x14ac:dyDescent="0.2">
      <c r="B50" s="359"/>
      <c r="C50" s="359"/>
    </row>
    <row r="51" spans="2:3" x14ac:dyDescent="0.2">
      <c r="B51" s="359"/>
      <c r="C51" s="359"/>
    </row>
    <row r="52" spans="2:3" x14ac:dyDescent="0.2">
      <c r="B52" s="359"/>
      <c r="C52" s="359"/>
    </row>
  </sheetData>
  <mergeCells count="7">
    <mergeCell ref="P8:P9"/>
    <mergeCell ref="D39:E39"/>
    <mergeCell ref="B1:H1"/>
    <mergeCell ref="B2:H2"/>
    <mergeCell ref="B4:H4"/>
    <mergeCell ref="B3:H3"/>
    <mergeCell ref="D38:E38"/>
  </mergeCells>
  <phoneticPr fontId="0" type="noConversion"/>
  <pageMargins left="0.78740157480314965" right="0.59055118110236227" top="0.59055118110236227" bottom="0.59055118110236227" header="0" footer="0"/>
  <pageSetup scale="85" orientation="portrait" horizontalDpi="300" verticalDpi="300" r:id="rId1"/>
  <headerFooter alignWithMargins="0"/>
  <ignoredErrors>
    <ignoredError sqref="H23" formula="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2:G49"/>
  <sheetViews>
    <sheetView view="pageBreakPreview" topLeftCell="A16" zoomScaleNormal="100" zoomScaleSheetLayoutView="100" workbookViewId="0">
      <selection activeCell="D20" sqref="D20"/>
    </sheetView>
  </sheetViews>
  <sheetFormatPr baseColWidth="10" defaultRowHeight="12.75" x14ac:dyDescent="0.2"/>
  <cols>
    <col min="1" max="1" width="41.140625" customWidth="1"/>
    <col min="2" max="2" width="11.85546875" customWidth="1"/>
    <col min="3" max="3" width="9" bestFit="1" customWidth="1"/>
    <col min="4" max="4" width="13.5703125" bestFit="1" customWidth="1"/>
    <col min="5" max="5" width="12.28515625" bestFit="1" customWidth="1"/>
    <col min="7" max="7" width="14.85546875" customWidth="1"/>
  </cols>
  <sheetData>
    <row r="2" spans="1:6" x14ac:dyDescent="0.2">
      <c r="A2" s="655" t="s">
        <v>134</v>
      </c>
      <c r="B2" s="655"/>
      <c r="C2" s="655"/>
      <c r="D2" s="655"/>
      <c r="E2" s="655"/>
      <c r="F2" s="655"/>
    </row>
    <row r="3" spans="1:6" x14ac:dyDescent="0.2">
      <c r="A3" s="655" t="s">
        <v>182</v>
      </c>
      <c r="B3" s="655"/>
      <c r="C3" s="655"/>
      <c r="D3" s="655"/>
      <c r="E3" s="655"/>
      <c r="F3" s="655"/>
    </row>
    <row r="4" spans="1:6" x14ac:dyDescent="0.2">
      <c r="A4" s="655">
        <v>2019</v>
      </c>
      <c r="B4" s="655"/>
      <c r="C4" s="655"/>
      <c r="D4" s="655"/>
      <c r="E4" s="655"/>
      <c r="F4" s="655"/>
    </row>
    <row r="5" spans="1:6" x14ac:dyDescent="0.2">
      <c r="A5" s="655" t="s">
        <v>136</v>
      </c>
      <c r="B5" s="655"/>
      <c r="C5" s="655"/>
      <c r="D5" s="655"/>
      <c r="E5" s="655"/>
      <c r="F5" s="655"/>
    </row>
    <row r="6" spans="1:6" x14ac:dyDescent="0.2">
      <c r="A6" s="15"/>
      <c r="B6" s="15"/>
      <c r="C6" s="15"/>
      <c r="D6" s="15"/>
      <c r="E6" s="15"/>
      <c r="F6" s="144"/>
    </row>
    <row r="7" spans="1:6" x14ac:dyDescent="0.2">
      <c r="A7" s="653" t="s">
        <v>281</v>
      </c>
      <c r="B7" s="654"/>
      <c r="C7" s="654"/>
      <c r="D7" s="654"/>
      <c r="E7" s="654"/>
      <c r="F7" s="654"/>
    </row>
    <row r="8" spans="1:6" ht="25.5" x14ac:dyDescent="0.2">
      <c r="A8" s="8" t="s">
        <v>3</v>
      </c>
      <c r="B8" s="58" t="s">
        <v>0</v>
      </c>
      <c r="C8" s="58" t="s">
        <v>4</v>
      </c>
      <c r="D8" s="58" t="s">
        <v>2</v>
      </c>
      <c r="E8" s="58" t="s">
        <v>11</v>
      </c>
      <c r="F8" s="58" t="s">
        <v>15</v>
      </c>
    </row>
    <row r="9" spans="1:6" x14ac:dyDescent="0.2">
      <c r="A9" s="145" t="s">
        <v>29</v>
      </c>
      <c r="B9" s="146"/>
      <c r="C9" s="146"/>
      <c r="D9" s="146"/>
      <c r="E9" s="146"/>
      <c r="F9" s="146"/>
    </row>
    <row r="10" spans="1:6" x14ac:dyDescent="0.2">
      <c r="A10" s="110" t="s">
        <v>283</v>
      </c>
      <c r="B10" s="104">
        <v>3</v>
      </c>
      <c r="C10" s="104" t="s">
        <v>48</v>
      </c>
      <c r="D10" s="104">
        <f>'Mano de Obra (JORNAL)'!E32</f>
        <v>47165</v>
      </c>
      <c r="E10" s="104">
        <f t="shared" ref="E10:E15" si="0">ROUND(B10*D10,0)</f>
        <v>141495</v>
      </c>
      <c r="F10" s="106">
        <f>E10/E30</f>
        <v>2.1695022219401002E-2</v>
      </c>
    </row>
    <row r="11" spans="1:6" x14ac:dyDescent="0.2">
      <c r="A11" s="110" t="s">
        <v>21</v>
      </c>
      <c r="B11" s="104">
        <v>10</v>
      </c>
      <c r="C11" s="104" t="s">
        <v>48</v>
      </c>
      <c r="D11" s="104">
        <f>D10</f>
        <v>47165</v>
      </c>
      <c r="E11" s="104">
        <f t="shared" si="0"/>
        <v>471650</v>
      </c>
      <c r="F11" s="106">
        <f>E11/E30</f>
        <v>7.2316740731336676E-2</v>
      </c>
    </row>
    <row r="12" spans="1:6" x14ac:dyDescent="0.2">
      <c r="A12" s="110" t="s">
        <v>30</v>
      </c>
      <c r="B12" s="104">
        <v>6</v>
      </c>
      <c r="C12" s="104" t="s">
        <v>48</v>
      </c>
      <c r="D12" s="104">
        <f>D11</f>
        <v>47165</v>
      </c>
      <c r="E12" s="104">
        <f t="shared" si="0"/>
        <v>282990</v>
      </c>
      <c r="F12" s="106">
        <f>E12/E30</f>
        <v>4.3390044438802004E-2</v>
      </c>
    </row>
    <row r="13" spans="1:6" x14ac:dyDescent="0.2">
      <c r="A13" s="110" t="s">
        <v>31</v>
      </c>
      <c r="B13" s="104">
        <v>7</v>
      </c>
      <c r="C13" s="104" t="s">
        <v>48</v>
      </c>
      <c r="D13" s="104">
        <f>D12</f>
        <v>47165</v>
      </c>
      <c r="E13" s="104">
        <f t="shared" si="0"/>
        <v>330155</v>
      </c>
      <c r="F13" s="106">
        <f>E13/E30</f>
        <v>5.0621718511935671E-2</v>
      </c>
    </row>
    <row r="14" spans="1:6" x14ac:dyDescent="0.2">
      <c r="A14" s="110" t="s">
        <v>59</v>
      </c>
      <c r="B14" s="104">
        <v>4</v>
      </c>
      <c r="C14" s="104" t="s">
        <v>48</v>
      </c>
      <c r="D14" s="104">
        <f>D13</f>
        <v>47165</v>
      </c>
      <c r="E14" s="104">
        <f t="shared" si="0"/>
        <v>188660</v>
      </c>
      <c r="F14" s="106">
        <f>E14/E30</f>
        <v>2.8926696292534672E-2</v>
      </c>
    </row>
    <row r="15" spans="1:6" x14ac:dyDescent="0.2">
      <c r="A15" s="110" t="s">
        <v>74</v>
      </c>
      <c r="B15" s="104">
        <v>5</v>
      </c>
      <c r="C15" s="104" t="s">
        <v>48</v>
      </c>
      <c r="D15" s="104">
        <f>D14</f>
        <v>47165</v>
      </c>
      <c r="E15" s="104">
        <f t="shared" si="0"/>
        <v>235825</v>
      </c>
      <c r="F15" s="106">
        <f>E15/E30</f>
        <v>3.6158370365668338E-2</v>
      </c>
    </row>
    <row r="16" spans="1:6" x14ac:dyDescent="0.2">
      <c r="A16" s="111" t="s">
        <v>35</v>
      </c>
      <c r="B16" s="107">
        <f>SUM(B10:B15)</f>
        <v>35</v>
      </c>
      <c r="C16" s="103"/>
      <c r="D16" s="104"/>
      <c r="E16" s="107">
        <f>SUM(E10:E15)</f>
        <v>1650775</v>
      </c>
      <c r="F16" s="108">
        <f>SUM(F10:F15)</f>
        <v>0.25310859255967838</v>
      </c>
    </row>
    <row r="17" spans="1:7" x14ac:dyDescent="0.2">
      <c r="A17" s="148" t="s">
        <v>51</v>
      </c>
      <c r="B17" s="146"/>
      <c r="C17" s="146"/>
      <c r="D17" s="149"/>
      <c r="E17" s="146"/>
      <c r="F17" s="150"/>
      <c r="G17" t="s">
        <v>570</v>
      </c>
    </row>
    <row r="18" spans="1:7" x14ac:dyDescent="0.2">
      <c r="A18" s="151" t="s">
        <v>284</v>
      </c>
      <c r="B18" s="104">
        <v>433</v>
      </c>
      <c r="C18" s="104" t="s">
        <v>7</v>
      </c>
      <c r="D18" s="114">
        <v>3800</v>
      </c>
      <c r="E18" s="104">
        <f t="shared" ref="E18:E24" si="1">ROUND(B18*D18,0)</f>
        <v>1645400</v>
      </c>
      <c r="F18" s="106">
        <f>E18/E30</f>
        <v>0.25228445923744591</v>
      </c>
      <c r="G18" s="104">
        <v>3500</v>
      </c>
    </row>
    <row r="19" spans="1:7" x14ac:dyDescent="0.2">
      <c r="A19" s="151" t="s">
        <v>183</v>
      </c>
      <c r="B19" s="104">
        <v>10</v>
      </c>
      <c r="C19" s="104" t="s">
        <v>8</v>
      </c>
      <c r="D19" s="104">
        <v>140359</v>
      </c>
      <c r="E19" s="104">
        <f t="shared" si="1"/>
        <v>1403590</v>
      </c>
      <c r="F19" s="106">
        <f>E19/E30</f>
        <v>0.21520842600041737</v>
      </c>
      <c r="G19" s="104">
        <v>134961</v>
      </c>
    </row>
    <row r="20" spans="1:7" x14ac:dyDescent="0.2">
      <c r="A20" s="151" t="s">
        <v>161</v>
      </c>
      <c r="B20" s="104">
        <v>6</v>
      </c>
      <c r="C20" s="104" t="s">
        <v>66</v>
      </c>
      <c r="D20" s="104">
        <v>70750</v>
      </c>
      <c r="E20" s="104">
        <f>ROUND(B20*D20,0)</f>
        <v>424500</v>
      </c>
      <c r="F20" s="106">
        <f>E20/E30</f>
        <v>6.5087366565148769E-2</v>
      </c>
      <c r="G20" s="104">
        <v>68029</v>
      </c>
    </row>
    <row r="21" spans="1:7" x14ac:dyDescent="0.2">
      <c r="A21" s="151" t="s">
        <v>285</v>
      </c>
      <c r="B21" s="104">
        <v>3</v>
      </c>
      <c r="C21" s="104" t="s">
        <v>66</v>
      </c>
      <c r="D21" s="104">
        <v>34234</v>
      </c>
      <c r="E21" s="104">
        <f t="shared" si="1"/>
        <v>102702</v>
      </c>
      <c r="F21" s="106">
        <f>E21/E30</f>
        <v>1.5747002876263627E-2</v>
      </c>
      <c r="G21" s="104">
        <v>32917</v>
      </c>
    </row>
    <row r="22" spans="1:7" x14ac:dyDescent="0.2">
      <c r="A22" s="151" t="s">
        <v>196</v>
      </c>
      <c r="B22" s="104">
        <v>3</v>
      </c>
      <c r="C22" s="104" t="s">
        <v>66</v>
      </c>
      <c r="D22" s="104">
        <v>9360</v>
      </c>
      <c r="E22" s="104">
        <f>D22*B22</f>
        <v>28080</v>
      </c>
      <c r="F22" s="106">
        <f>E22/E30</f>
        <v>4.3054258024720323E-3</v>
      </c>
      <c r="G22" s="104">
        <v>9000</v>
      </c>
    </row>
    <row r="23" spans="1:7" x14ac:dyDescent="0.2">
      <c r="A23" s="151" t="s">
        <v>140</v>
      </c>
      <c r="B23" s="104">
        <v>7</v>
      </c>
      <c r="C23" s="104" t="s">
        <v>9</v>
      </c>
      <c r="D23" s="104">
        <v>9781</v>
      </c>
      <c r="E23" s="104">
        <f t="shared" si="1"/>
        <v>68467</v>
      </c>
      <c r="F23" s="106">
        <f>E23/E30</f>
        <v>1.0497848590379366E-2</v>
      </c>
      <c r="G23" s="104">
        <v>9405</v>
      </c>
    </row>
    <row r="24" spans="1:7" x14ac:dyDescent="0.2">
      <c r="A24" s="151" t="s">
        <v>286</v>
      </c>
      <c r="B24" s="104">
        <v>2</v>
      </c>
      <c r="C24" s="104" t="s">
        <v>9</v>
      </c>
      <c r="D24" s="104">
        <v>5434</v>
      </c>
      <c r="E24" s="104">
        <f t="shared" si="1"/>
        <v>10868</v>
      </c>
      <c r="F24" s="106">
        <f>E24/E30</f>
        <v>1.6663592457715828E-3</v>
      </c>
      <c r="G24" s="104">
        <v>5225</v>
      </c>
    </row>
    <row r="25" spans="1:7" x14ac:dyDescent="0.2">
      <c r="A25" s="111" t="s">
        <v>36</v>
      </c>
      <c r="B25" s="104"/>
      <c r="C25" s="104"/>
      <c r="D25" s="107"/>
      <c r="E25" s="107">
        <f>SUM(E18:E24)</f>
        <v>3683607</v>
      </c>
      <c r="F25" s="108">
        <f>SUM(F18:F24)</f>
        <v>0.56479688831789876</v>
      </c>
    </row>
    <row r="26" spans="1:7" x14ac:dyDescent="0.2">
      <c r="A26" s="148" t="s">
        <v>260</v>
      </c>
      <c r="B26" s="104"/>
      <c r="C26" s="104"/>
      <c r="D26" s="107"/>
      <c r="E26" s="107"/>
      <c r="F26" s="108"/>
    </row>
    <row r="27" spans="1:7" x14ac:dyDescent="0.2">
      <c r="A27" s="110" t="s">
        <v>141</v>
      </c>
      <c r="B27" s="152">
        <v>0.3</v>
      </c>
      <c r="C27" s="104"/>
      <c r="D27" s="104"/>
      <c r="E27" s="104">
        <f>E25*B27</f>
        <v>1105082.0999999999</v>
      </c>
      <c r="F27" s="106">
        <f>E27/E30</f>
        <v>0.16943906649536958</v>
      </c>
    </row>
    <row r="28" spans="1:7" x14ac:dyDescent="0.2">
      <c r="A28" s="110" t="s">
        <v>288</v>
      </c>
      <c r="B28" s="152">
        <v>0.05</v>
      </c>
      <c r="C28" s="104"/>
      <c r="D28" s="104"/>
      <c r="E28" s="104">
        <f>E16*B28</f>
        <v>82538.75</v>
      </c>
      <c r="F28" s="106">
        <f>E28/E30</f>
        <v>1.2655429627983918E-2</v>
      </c>
    </row>
    <row r="29" spans="1:7" x14ac:dyDescent="0.2">
      <c r="A29" s="111" t="s">
        <v>287</v>
      </c>
      <c r="B29" s="104"/>
      <c r="C29" s="104"/>
      <c r="D29" s="107"/>
      <c r="E29" s="107">
        <f>SUM(E27:E28)</f>
        <v>1187620.8499999999</v>
      </c>
      <c r="F29" s="108">
        <f>SUM(F27:F28)</f>
        <v>0.18209449612335349</v>
      </c>
    </row>
    <row r="30" spans="1:7" x14ac:dyDescent="0.2">
      <c r="A30" s="111" t="s">
        <v>262</v>
      </c>
      <c r="B30" s="104"/>
      <c r="C30" s="104"/>
      <c r="D30" s="107"/>
      <c r="E30" s="107">
        <f>ROUND(E16+E25+E29,0)</f>
        <v>6522003</v>
      </c>
      <c r="F30" s="108">
        <f>F16+F25+F29</f>
        <v>0.99999997700093068</v>
      </c>
    </row>
    <row r="31" spans="1:7" x14ac:dyDescent="0.2">
      <c r="A31" s="111"/>
      <c r="B31" s="104"/>
      <c r="C31" s="104"/>
      <c r="D31" s="107"/>
      <c r="E31" s="107">
        <f>E30</f>
        <v>6522003</v>
      </c>
      <c r="F31" s="315"/>
    </row>
    <row r="32" spans="1:7" x14ac:dyDescent="0.2">
      <c r="A32" s="154"/>
      <c r="B32" s="155"/>
      <c r="C32" s="155"/>
      <c r="D32" s="156"/>
      <c r="E32" s="156"/>
      <c r="F32" s="157"/>
    </row>
    <row r="33" spans="1:7" x14ac:dyDescent="0.2">
      <c r="A33" s="154"/>
      <c r="B33" s="155"/>
      <c r="C33" s="155"/>
      <c r="D33" s="156"/>
      <c r="E33" s="156"/>
      <c r="F33" s="157"/>
    </row>
    <row r="34" spans="1:7" x14ac:dyDescent="0.2">
      <c r="A34" s="154"/>
      <c r="B34" s="155"/>
      <c r="C34" s="155"/>
      <c r="D34" s="156"/>
      <c r="E34" s="156"/>
      <c r="F34" s="157"/>
    </row>
    <row r="35" spans="1:7" x14ac:dyDescent="0.2">
      <c r="A35" s="154"/>
      <c r="B35" s="155"/>
      <c r="C35" s="155"/>
      <c r="D35" s="156"/>
      <c r="E35" s="153">
        <f>E30/1000</f>
        <v>6522.0029999999997</v>
      </c>
      <c r="F35" s="291" t="s">
        <v>264</v>
      </c>
    </row>
    <row r="36" spans="1:7" x14ac:dyDescent="0.2">
      <c r="A36" s="154"/>
      <c r="B36" s="155"/>
      <c r="C36" s="155"/>
      <c r="D36" s="156"/>
      <c r="E36" s="156"/>
      <c r="F36" s="157"/>
    </row>
    <row r="37" spans="1:7" x14ac:dyDescent="0.2">
      <c r="A37" s="154"/>
      <c r="B37" s="155"/>
      <c r="C37" s="155"/>
      <c r="D37" s="156"/>
      <c r="E37" s="156"/>
      <c r="F37" s="157"/>
    </row>
    <row r="38" spans="1:7" x14ac:dyDescent="0.2">
      <c r="A38" s="97"/>
      <c r="B38" s="97"/>
      <c r="C38" s="97"/>
      <c r="D38" s="99"/>
      <c r="E38" s="153"/>
      <c r="F38" s="627"/>
      <c r="G38" s="628"/>
    </row>
    <row r="39" spans="1:7" x14ac:dyDescent="0.2">
      <c r="A39" s="144"/>
      <c r="B39" s="144"/>
      <c r="C39" s="144"/>
      <c r="F39" s="298"/>
    </row>
    <row r="40" spans="1:7" ht="178.5" x14ac:dyDescent="0.2">
      <c r="A40" s="294" t="s">
        <v>443</v>
      </c>
      <c r="F40" s="46"/>
    </row>
    <row r="41" spans="1:7" x14ac:dyDescent="0.2">
      <c r="A41" s="292"/>
      <c r="F41" s="46"/>
    </row>
    <row r="42" spans="1:7" x14ac:dyDescent="0.2">
      <c r="A42" s="64"/>
      <c r="F42" s="46"/>
    </row>
    <row r="43" spans="1:7" x14ac:dyDescent="0.2">
      <c r="A43" s="16" t="s">
        <v>37</v>
      </c>
      <c r="B43" s="144"/>
      <c r="C43" s="144"/>
      <c r="D43" s="144"/>
    </row>
    <row r="44" spans="1:7" x14ac:dyDescent="0.2">
      <c r="A44" s="20" t="s">
        <v>38</v>
      </c>
      <c r="B44" s="20" t="s">
        <v>4</v>
      </c>
      <c r="C44" s="20" t="s">
        <v>39</v>
      </c>
      <c r="D44" s="44"/>
      <c r="F44" s="46"/>
    </row>
    <row r="45" spans="1:7" x14ac:dyDescent="0.2">
      <c r="A45" s="158" t="s">
        <v>40</v>
      </c>
      <c r="B45" s="159" t="s">
        <v>42</v>
      </c>
      <c r="C45" s="159">
        <v>400</v>
      </c>
      <c r="F45" s="46"/>
    </row>
    <row r="46" spans="1:7" x14ac:dyDescent="0.2">
      <c r="A46" s="158" t="s">
        <v>41</v>
      </c>
      <c r="B46" s="159" t="s">
        <v>42</v>
      </c>
      <c r="C46" s="159">
        <v>33</v>
      </c>
      <c r="F46" s="46"/>
    </row>
    <row r="47" spans="1:7" x14ac:dyDescent="0.2">
      <c r="A47" s="158" t="s">
        <v>289</v>
      </c>
      <c r="B47" s="159" t="s">
        <v>43</v>
      </c>
      <c r="C47" s="159">
        <v>10</v>
      </c>
      <c r="F47" s="46"/>
    </row>
    <row r="48" spans="1:7" ht="25.5" x14ac:dyDescent="0.2">
      <c r="A48" s="160" t="s">
        <v>142</v>
      </c>
      <c r="B48" s="159" t="s">
        <v>44</v>
      </c>
      <c r="C48" s="159">
        <v>433</v>
      </c>
      <c r="F48" s="46"/>
    </row>
    <row r="49" spans="1:6" x14ac:dyDescent="0.2">
      <c r="A49" s="158" t="s">
        <v>45</v>
      </c>
      <c r="B49" s="158"/>
      <c r="C49" s="158"/>
      <c r="F49" s="46"/>
    </row>
  </sheetData>
  <mergeCells count="6">
    <mergeCell ref="F38:G38"/>
    <mergeCell ref="A7:F7"/>
    <mergeCell ref="A2:F2"/>
    <mergeCell ref="A3:F3"/>
    <mergeCell ref="A4:F4"/>
    <mergeCell ref="A5:F5"/>
  </mergeCells>
  <pageMargins left="0.7" right="0.7" top="0.75" bottom="0.75" header="0.3" footer="0.3"/>
  <pageSetup paperSize="9" scale="80" orientation="portrait" r:id="rId1"/>
  <ignoredErrors>
    <ignoredError sqref="E22" formula="1"/>
  </ignoredError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116"/>
  <sheetViews>
    <sheetView view="pageBreakPreview" topLeftCell="A97" zoomScale="90" zoomScaleNormal="100" zoomScaleSheetLayoutView="90" workbookViewId="0">
      <selection activeCell="B68" sqref="B68"/>
    </sheetView>
  </sheetViews>
  <sheetFormatPr baseColWidth="10" defaultRowHeight="12.75" x14ac:dyDescent="0.2"/>
  <cols>
    <col min="1" max="1" width="3" customWidth="1"/>
    <col min="2" max="2" width="39.28515625" customWidth="1"/>
    <col min="3" max="3" width="9.5703125" customWidth="1"/>
    <col min="4" max="4" width="10.140625" customWidth="1"/>
    <col min="5" max="5" width="11.5703125" customWidth="1"/>
    <col min="6" max="6" width="13.7109375" bestFit="1" customWidth="1"/>
    <col min="7" max="7" width="10.42578125" customWidth="1"/>
    <col min="8" max="8" width="16.7109375" bestFit="1" customWidth="1"/>
    <col min="9" max="9" width="12.7109375" bestFit="1" customWidth="1"/>
    <col min="12" max="12" width="12.28515625" bestFit="1" customWidth="1"/>
  </cols>
  <sheetData>
    <row r="1" spans="1:8" x14ac:dyDescent="0.2">
      <c r="A1" s="37"/>
      <c r="B1" s="655" t="s">
        <v>58</v>
      </c>
      <c r="C1" s="655"/>
      <c r="D1" s="655"/>
      <c r="E1" s="655"/>
      <c r="F1" s="655"/>
      <c r="G1" s="655"/>
      <c r="H1" s="655"/>
    </row>
    <row r="2" spans="1:8" x14ac:dyDescent="0.2">
      <c r="A2" s="37"/>
      <c r="B2" s="629" t="s">
        <v>569</v>
      </c>
      <c r="C2" s="629"/>
      <c r="D2" s="629"/>
      <c r="E2" s="629"/>
      <c r="F2" s="629"/>
      <c r="G2" s="629"/>
      <c r="H2" s="629"/>
    </row>
    <row r="3" spans="1:8" x14ac:dyDescent="0.2">
      <c r="A3" s="37"/>
      <c r="B3" s="655" t="s">
        <v>63</v>
      </c>
      <c r="C3" s="655"/>
      <c r="D3" s="655"/>
      <c r="E3" s="655"/>
      <c r="F3" s="655"/>
      <c r="G3" s="655"/>
      <c r="H3" s="655"/>
    </row>
    <row r="4" spans="1:8" x14ac:dyDescent="0.2">
      <c r="A4" s="459"/>
      <c r="B4" s="561"/>
      <c r="C4" s="561"/>
      <c r="D4" s="561"/>
      <c r="E4" s="561"/>
      <c r="F4" s="561"/>
      <c r="G4" s="459"/>
      <c r="H4" s="37"/>
    </row>
    <row r="5" spans="1:8" x14ac:dyDescent="0.2">
      <c r="A5" s="459"/>
      <c r="B5" s="655" t="s">
        <v>107</v>
      </c>
      <c r="C5" s="655"/>
      <c r="D5" s="655"/>
      <c r="E5" s="655"/>
      <c r="F5" s="655"/>
      <c r="G5" s="655"/>
      <c r="H5" s="655"/>
    </row>
    <row r="6" spans="1:8" x14ac:dyDescent="0.2">
      <c r="A6" s="459"/>
      <c r="B6" s="655" t="s">
        <v>147</v>
      </c>
      <c r="C6" s="655"/>
      <c r="D6" s="655"/>
      <c r="E6" s="655"/>
      <c r="F6" s="655"/>
      <c r="G6" s="655"/>
      <c r="H6" s="655"/>
    </row>
    <row r="7" spans="1:8" x14ac:dyDescent="0.2">
      <c r="A7" s="459"/>
      <c r="B7" s="642"/>
      <c r="C7" s="642"/>
      <c r="D7" s="642"/>
      <c r="E7" s="642"/>
      <c r="F7" s="642"/>
      <c r="G7" s="642"/>
      <c r="H7" s="46"/>
    </row>
    <row r="8" spans="1:8" x14ac:dyDescent="0.2">
      <c r="A8" s="144"/>
      <c r="B8" s="16"/>
      <c r="C8" s="561"/>
      <c r="D8" s="561"/>
      <c r="E8" s="561"/>
      <c r="F8" s="561"/>
      <c r="G8" s="144"/>
      <c r="H8" s="520"/>
    </row>
    <row r="9" spans="1:8" x14ac:dyDescent="0.2">
      <c r="A9" s="144"/>
      <c r="B9" s="125" t="s">
        <v>3</v>
      </c>
      <c r="C9" s="125" t="s">
        <v>0</v>
      </c>
      <c r="D9" s="125" t="s">
        <v>4</v>
      </c>
      <c r="E9" s="125" t="s">
        <v>2</v>
      </c>
      <c r="F9" s="125" t="s">
        <v>1</v>
      </c>
      <c r="G9" s="125" t="s">
        <v>15</v>
      </c>
      <c r="H9" s="125" t="s">
        <v>249</v>
      </c>
    </row>
    <row r="10" spans="1:8" x14ac:dyDescent="0.2">
      <c r="A10" s="144"/>
      <c r="B10" s="3" t="s">
        <v>16</v>
      </c>
      <c r="C10" s="158"/>
      <c r="D10" s="158"/>
      <c r="E10" s="158"/>
      <c r="F10" s="158"/>
      <c r="G10" s="158"/>
      <c r="H10" s="568"/>
    </row>
    <row r="11" spans="1:8" x14ac:dyDescent="0.2">
      <c r="A11" s="144"/>
      <c r="B11" s="3" t="s">
        <v>17</v>
      </c>
      <c r="C11" s="158"/>
      <c r="D11" s="158"/>
      <c r="E11" s="158"/>
      <c r="F11" s="158"/>
      <c r="G11" s="158"/>
      <c r="H11" s="568"/>
    </row>
    <row r="12" spans="1:8" x14ac:dyDescent="0.2">
      <c r="A12" s="144"/>
      <c r="B12" s="158" t="s">
        <v>22</v>
      </c>
      <c r="C12" s="175">
        <v>5</v>
      </c>
      <c r="D12" s="175" t="s">
        <v>48</v>
      </c>
      <c r="E12" s="176">
        <f>'Mano de Obra (JORNAL)'!E32</f>
        <v>47165</v>
      </c>
      <c r="F12" s="176">
        <f>C12*E12</f>
        <v>235825</v>
      </c>
      <c r="G12" s="181">
        <f>F12/F29</f>
        <v>0.145389788898897</v>
      </c>
      <c r="H12" s="568"/>
    </row>
    <row r="13" spans="1:8" x14ac:dyDescent="0.2">
      <c r="A13" s="144"/>
      <c r="B13" s="158" t="s">
        <v>23</v>
      </c>
      <c r="C13" s="175">
        <v>3</v>
      </c>
      <c r="D13" s="175" t="s">
        <v>48</v>
      </c>
      <c r="E13" s="176">
        <f>E12</f>
        <v>47165</v>
      </c>
      <c r="F13" s="176">
        <f>C13*E13</f>
        <v>141495</v>
      </c>
      <c r="G13" s="181">
        <f>F13/F29</f>
        <v>8.72338733393382E-2</v>
      </c>
      <c r="H13" s="568"/>
    </row>
    <row r="14" spans="1:8" x14ac:dyDescent="0.2">
      <c r="A14" s="144"/>
      <c r="B14" s="158" t="s">
        <v>25</v>
      </c>
      <c r="C14" s="175">
        <v>2</v>
      </c>
      <c r="D14" s="175" t="s">
        <v>48</v>
      </c>
      <c r="E14" s="176">
        <f>E12</f>
        <v>47165</v>
      </c>
      <c r="F14" s="176">
        <f>C14*E14</f>
        <v>94330</v>
      </c>
      <c r="G14" s="181">
        <f>F14/F29</f>
        <v>5.8155915559558798E-2</v>
      </c>
      <c r="H14" s="568"/>
    </row>
    <row r="15" spans="1:8" x14ac:dyDescent="0.2">
      <c r="A15" s="144"/>
      <c r="B15" s="158" t="s">
        <v>26</v>
      </c>
      <c r="C15" s="175">
        <v>2</v>
      </c>
      <c r="D15" s="175" t="s">
        <v>48</v>
      </c>
      <c r="E15" s="176">
        <f>E12</f>
        <v>47165</v>
      </c>
      <c r="F15" s="176">
        <f>C15*E15</f>
        <v>94330</v>
      </c>
      <c r="G15" s="181">
        <f>F15/F29</f>
        <v>5.8155915559558798E-2</v>
      </c>
      <c r="H15" s="568"/>
    </row>
    <row r="16" spans="1:8" x14ac:dyDescent="0.2">
      <c r="A16" s="144"/>
      <c r="B16" s="158" t="s">
        <v>109</v>
      </c>
      <c r="C16" s="175">
        <v>6</v>
      </c>
      <c r="D16" s="175" t="s">
        <v>48</v>
      </c>
      <c r="E16" s="176">
        <f>E12</f>
        <v>47165</v>
      </c>
      <c r="F16" s="176">
        <f>C16*E16</f>
        <v>282990</v>
      </c>
      <c r="G16" s="181">
        <f>F16/F29</f>
        <v>0.1744677466786764</v>
      </c>
      <c r="H16" s="568"/>
    </row>
    <row r="17" spans="1:8" x14ac:dyDescent="0.2">
      <c r="A17" s="144"/>
      <c r="B17" s="8" t="s">
        <v>6</v>
      </c>
      <c r="C17" s="4">
        <f>SUM(C12:C16)</f>
        <v>18</v>
      </c>
      <c r="D17" s="158"/>
      <c r="E17" s="158"/>
      <c r="F17" s="4">
        <f>SUM(F12:F16)</f>
        <v>848970</v>
      </c>
      <c r="G17" s="5">
        <f>F17/F29</f>
        <v>0.52340324003602912</v>
      </c>
      <c r="H17" s="568"/>
    </row>
    <row r="18" spans="1:8" x14ac:dyDescent="0.2">
      <c r="A18" s="144"/>
      <c r="B18" s="3" t="s">
        <v>18</v>
      </c>
      <c r="C18" s="158"/>
      <c r="D18" s="158"/>
      <c r="E18" s="158"/>
      <c r="F18" s="166"/>
      <c r="G18" s="182"/>
      <c r="H18" s="568"/>
    </row>
    <row r="19" spans="1:8" x14ac:dyDescent="0.2">
      <c r="A19" s="144"/>
      <c r="B19" s="158" t="s">
        <v>148</v>
      </c>
      <c r="C19" s="175">
        <v>165</v>
      </c>
      <c r="D19" s="175" t="s">
        <v>5</v>
      </c>
      <c r="E19" s="175">
        <v>2500</v>
      </c>
      <c r="F19" s="175">
        <f>C19*E19</f>
        <v>412500</v>
      </c>
      <c r="G19" s="181">
        <f>F19/F29</f>
        <v>0.25431268067759993</v>
      </c>
      <c r="H19" s="568"/>
    </row>
    <row r="20" spans="1:8" x14ac:dyDescent="0.2">
      <c r="A20" s="144"/>
      <c r="B20" s="158" t="s">
        <v>250</v>
      </c>
      <c r="C20" s="175">
        <v>17</v>
      </c>
      <c r="D20" s="175" t="s">
        <v>77</v>
      </c>
      <c r="E20" s="4">
        <v>3500</v>
      </c>
      <c r="F20" s="175">
        <f>C20*E20</f>
        <v>59500</v>
      </c>
      <c r="G20" s="181">
        <f>F20/F29</f>
        <v>3.6682677576526539E-2</v>
      </c>
      <c r="H20" s="158" t="s">
        <v>251</v>
      </c>
    </row>
    <row r="21" spans="1:8" x14ac:dyDescent="0.2">
      <c r="A21" s="144"/>
      <c r="B21" s="158" t="s">
        <v>149</v>
      </c>
      <c r="C21" s="175">
        <v>2</v>
      </c>
      <c r="D21" s="175" t="s">
        <v>54</v>
      </c>
      <c r="E21" s="175">
        <v>45000</v>
      </c>
      <c r="F21" s="175">
        <f>C21*E21</f>
        <v>90000</v>
      </c>
      <c r="G21" s="181">
        <f>F21/F29</f>
        <v>5.5486403056930901E-2</v>
      </c>
      <c r="H21" s="568"/>
    </row>
    <row r="22" spans="1:8" x14ac:dyDescent="0.2">
      <c r="A22" s="144"/>
      <c r="B22" s="8" t="s">
        <v>13</v>
      </c>
      <c r="C22" s="175"/>
      <c r="D22" s="175"/>
      <c r="E22" s="175"/>
      <c r="F22" s="4">
        <f>SUM(F19:F21)</f>
        <v>562000</v>
      </c>
      <c r="G22" s="5">
        <f>F22/F29</f>
        <v>0.3464817613110574</v>
      </c>
      <c r="H22" s="568"/>
    </row>
    <row r="23" spans="1:8" x14ac:dyDescent="0.2">
      <c r="A23" s="144"/>
      <c r="B23" s="3" t="s">
        <v>20</v>
      </c>
      <c r="C23" s="175"/>
      <c r="D23" s="175"/>
      <c r="E23" s="175"/>
      <c r="F23" s="4">
        <f>F17+F22</f>
        <v>1410970</v>
      </c>
      <c r="G23" s="5">
        <f>F23/F29</f>
        <v>0.86988500134708657</v>
      </c>
      <c r="H23" s="568"/>
    </row>
    <row r="24" spans="1:8" x14ac:dyDescent="0.2">
      <c r="A24" s="144"/>
      <c r="B24" s="3" t="s">
        <v>19</v>
      </c>
      <c r="C24" s="158"/>
      <c r="D24" s="158"/>
      <c r="E24" s="158"/>
      <c r="F24" s="166"/>
      <c r="G24" s="182"/>
      <c r="H24" s="568"/>
    </row>
    <row r="25" spans="1:8" x14ac:dyDescent="0.2">
      <c r="A25" s="144"/>
      <c r="B25" s="53" t="s">
        <v>46</v>
      </c>
      <c r="C25" s="20"/>
      <c r="D25" s="20"/>
      <c r="E25" s="20"/>
      <c r="F25" s="175">
        <f>F17*0.05</f>
        <v>42448.5</v>
      </c>
      <c r="G25" s="181">
        <f>F25/F29</f>
        <v>2.6170162001801459E-2</v>
      </c>
      <c r="H25" s="568"/>
    </row>
    <row r="26" spans="1:8" x14ac:dyDescent="0.2">
      <c r="A26" s="144"/>
      <c r="B26" s="53" t="s">
        <v>150</v>
      </c>
      <c r="C26" s="20"/>
      <c r="D26" s="20"/>
      <c r="E26" s="20"/>
      <c r="F26" s="175">
        <f>F22*0.3</f>
        <v>168600</v>
      </c>
      <c r="G26" s="181">
        <f>F26/F29</f>
        <v>0.10394452839331722</v>
      </c>
      <c r="H26" s="568"/>
    </row>
    <row r="27" spans="1:8" x14ac:dyDescent="0.2">
      <c r="A27" s="144"/>
      <c r="B27" s="3" t="s">
        <v>14</v>
      </c>
      <c r="C27" s="175"/>
      <c r="D27" s="175"/>
      <c r="E27" s="175"/>
      <c r="F27" s="4">
        <f>SUM(F25:F26)</f>
        <v>211048.5</v>
      </c>
      <c r="G27" s="5">
        <f>F27/F29</f>
        <v>0.13011469039511867</v>
      </c>
      <c r="H27" s="568"/>
    </row>
    <row r="28" spans="1:8" x14ac:dyDescent="0.2">
      <c r="A28" s="144"/>
      <c r="B28" s="158"/>
      <c r="C28" s="158"/>
      <c r="D28" s="158"/>
      <c r="E28" s="158"/>
      <c r="F28" s="166"/>
      <c r="G28" s="182"/>
      <c r="H28" s="568"/>
    </row>
    <row r="29" spans="1:8" x14ac:dyDescent="0.2">
      <c r="A29" s="144"/>
      <c r="B29" s="658" t="s">
        <v>151</v>
      </c>
      <c r="C29" s="658"/>
      <c r="D29" s="158"/>
      <c r="E29" s="158"/>
      <c r="F29" s="4">
        <f>ROUND(F17+F22+F27,0)</f>
        <v>1622019</v>
      </c>
      <c r="G29" s="5">
        <f>G23+G27</f>
        <v>0.99999969174220527</v>
      </c>
      <c r="H29" s="568"/>
    </row>
    <row r="30" spans="1:8" x14ac:dyDescent="0.2">
      <c r="A30" s="144"/>
      <c r="B30" s="569"/>
      <c r="C30" s="8"/>
      <c r="D30" s="158"/>
      <c r="E30" s="158"/>
      <c r="F30" s="4">
        <f>F29</f>
        <v>1622019</v>
      </c>
      <c r="G30" s="5"/>
      <c r="H30" s="568"/>
    </row>
    <row r="31" spans="1:8" x14ac:dyDescent="0.2">
      <c r="A31" s="144"/>
      <c r="B31" s="561"/>
      <c r="C31" s="561"/>
      <c r="D31" s="459"/>
      <c r="E31" s="459"/>
      <c r="F31" s="25"/>
      <c r="G31" s="562"/>
      <c r="H31" s="46"/>
    </row>
    <row r="32" spans="1:8" x14ac:dyDescent="0.2">
      <c r="A32" s="144"/>
      <c r="B32" s="561"/>
      <c r="C32" s="561"/>
      <c r="D32" s="459"/>
      <c r="E32" s="459"/>
      <c r="F32" s="25"/>
      <c r="G32" s="562"/>
      <c r="H32" s="46"/>
    </row>
    <row r="33" spans="1:12" x14ac:dyDescent="0.2">
      <c r="A33" s="144"/>
      <c r="B33" s="144"/>
      <c r="C33" s="144"/>
      <c r="D33" s="144"/>
      <c r="E33" s="144"/>
      <c r="F33" s="144"/>
      <c r="G33" s="144"/>
      <c r="J33" s="432" t="s">
        <v>456</v>
      </c>
      <c r="K33" t="s">
        <v>457</v>
      </c>
      <c r="L33">
        <v>4.8</v>
      </c>
    </row>
    <row r="34" spans="1:12" x14ac:dyDescent="0.2">
      <c r="A34" s="144"/>
      <c r="B34" s="144"/>
      <c r="C34" s="144"/>
      <c r="D34" s="144"/>
      <c r="E34" s="144"/>
      <c r="F34" s="184">
        <f>ROUND(F29/550,0)</f>
        <v>2949</v>
      </c>
      <c r="G34" s="635" t="s">
        <v>253</v>
      </c>
      <c r="H34" s="635"/>
      <c r="J34" s="431">
        <f>ROUND(F29*1.13,0)</f>
        <v>1832881</v>
      </c>
      <c r="K34" s="175">
        <f>ROUND(J34*1.004,0)</f>
        <v>1840213</v>
      </c>
      <c r="L34" s="175">
        <f>ROUND(J34*4.8,0)</f>
        <v>8797829</v>
      </c>
    </row>
    <row r="35" spans="1:12" x14ac:dyDescent="0.2">
      <c r="J35" s="175"/>
      <c r="K35" s="175"/>
      <c r="L35" s="175"/>
    </row>
    <row r="36" spans="1:12" x14ac:dyDescent="0.2">
      <c r="A36" s="37"/>
      <c r="B36" s="629" t="s">
        <v>107</v>
      </c>
      <c r="C36" s="629"/>
      <c r="D36" s="629"/>
      <c r="E36" s="629"/>
      <c r="F36" s="629"/>
      <c r="G36" s="629"/>
      <c r="J36" s="175"/>
      <c r="K36" s="175"/>
      <c r="L36" s="175">
        <f>ROUND(L34*1.004,0)</f>
        <v>8833020</v>
      </c>
    </row>
    <row r="37" spans="1:12" x14ac:dyDescent="0.2">
      <c r="B37" s="657" t="s">
        <v>152</v>
      </c>
      <c r="C37" s="657"/>
      <c r="D37" s="657"/>
      <c r="E37" s="657"/>
      <c r="F37" s="657"/>
      <c r="G37" s="657"/>
    </row>
    <row r="38" spans="1:12" x14ac:dyDescent="0.2">
      <c r="B38" s="642" t="s">
        <v>112</v>
      </c>
      <c r="C38" s="642"/>
      <c r="D38" s="642"/>
      <c r="E38" s="642"/>
      <c r="F38" s="642"/>
      <c r="G38" s="642"/>
    </row>
    <row r="39" spans="1:12" ht="13.5" thickBot="1" x14ac:dyDescent="0.25">
      <c r="B39" s="16" t="s">
        <v>572</v>
      </c>
      <c r="C39" s="15"/>
      <c r="D39" s="15"/>
      <c r="E39" s="15"/>
      <c r="F39" s="15"/>
      <c r="G39" s="144"/>
    </row>
    <row r="40" spans="1:12" ht="13.5" thickBot="1" x14ac:dyDescent="0.25">
      <c r="B40" s="10" t="s">
        <v>3</v>
      </c>
      <c r="C40" s="17" t="s">
        <v>0</v>
      </c>
      <c r="D40" s="10" t="s">
        <v>4</v>
      </c>
      <c r="E40" s="17" t="s">
        <v>2</v>
      </c>
      <c r="F40" s="10" t="s">
        <v>1</v>
      </c>
      <c r="G40" s="18" t="s">
        <v>15</v>
      </c>
      <c r="H40" s="125" t="s">
        <v>249</v>
      </c>
    </row>
    <row r="41" spans="1:12" x14ac:dyDescent="0.2">
      <c r="B41" s="56" t="s">
        <v>16</v>
      </c>
      <c r="C41" s="170"/>
      <c r="D41" s="170"/>
      <c r="E41" s="170"/>
      <c r="F41" s="170"/>
      <c r="G41" s="185"/>
      <c r="H41" s="40"/>
    </row>
    <row r="42" spans="1:12" x14ac:dyDescent="0.2">
      <c r="B42" s="3" t="s">
        <v>17</v>
      </c>
      <c r="C42" s="158"/>
      <c r="D42" s="158"/>
      <c r="E42" s="158"/>
      <c r="F42" s="158"/>
      <c r="G42" s="158"/>
      <c r="H42" s="40"/>
    </row>
    <row r="43" spans="1:12" x14ac:dyDescent="0.2">
      <c r="B43" s="158" t="s">
        <v>22</v>
      </c>
      <c r="C43" s="175">
        <v>4</v>
      </c>
      <c r="D43" s="175" t="s">
        <v>48</v>
      </c>
      <c r="E43" s="176">
        <f>E12</f>
        <v>47165</v>
      </c>
      <c r="F43" s="176">
        <f>C43*E43</f>
        <v>188660</v>
      </c>
      <c r="G43" s="181">
        <f>F43/F61</f>
        <v>0.14879423120680196</v>
      </c>
      <c r="H43" s="40"/>
    </row>
    <row r="44" spans="1:12" x14ac:dyDescent="0.2">
      <c r="B44" s="158" t="s">
        <v>23</v>
      </c>
      <c r="C44" s="175">
        <v>3</v>
      </c>
      <c r="D44" s="175" t="s">
        <v>48</v>
      </c>
      <c r="E44" s="176">
        <f>E12</f>
        <v>47165</v>
      </c>
      <c r="F44" s="176">
        <f>C44*E44</f>
        <v>141495</v>
      </c>
      <c r="G44" s="181">
        <f>F44/F61</f>
        <v>0.11159567340510149</v>
      </c>
      <c r="H44" s="40"/>
    </row>
    <row r="45" spans="1:12" x14ac:dyDescent="0.2">
      <c r="B45" s="158" t="s">
        <v>26</v>
      </c>
      <c r="C45" s="175">
        <v>2</v>
      </c>
      <c r="D45" s="175" t="s">
        <v>48</v>
      </c>
      <c r="E45" s="176">
        <f>E12</f>
        <v>47165</v>
      </c>
      <c r="F45" s="176">
        <f>C45*E45</f>
        <v>94330</v>
      </c>
      <c r="G45" s="181">
        <f>F45/F61</f>
        <v>7.4397115603400982E-2</v>
      </c>
      <c r="H45" s="40"/>
    </row>
    <row r="46" spans="1:12" x14ac:dyDescent="0.2">
      <c r="B46" s="186" t="s">
        <v>153</v>
      </c>
      <c r="C46" s="175">
        <v>2</v>
      </c>
      <c r="D46" s="175" t="s">
        <v>48</v>
      </c>
      <c r="E46" s="176">
        <f>E43</f>
        <v>47165</v>
      </c>
      <c r="F46" s="176">
        <f>E46*C46</f>
        <v>94330</v>
      </c>
      <c r="G46" s="181">
        <f>F46/F61</f>
        <v>7.4397115603400982E-2</v>
      </c>
      <c r="H46" s="40"/>
    </row>
    <row r="47" spans="1:12" x14ac:dyDescent="0.2">
      <c r="B47" s="158" t="s">
        <v>109</v>
      </c>
      <c r="C47" s="175">
        <v>3</v>
      </c>
      <c r="D47" s="175" t="s">
        <v>48</v>
      </c>
      <c r="E47" s="176">
        <f>E12</f>
        <v>47165</v>
      </c>
      <c r="F47" s="176">
        <f>C47*E47</f>
        <v>141495</v>
      </c>
      <c r="G47" s="181">
        <f>F47/F61</f>
        <v>0.11159567340510149</v>
      </c>
      <c r="H47" s="40"/>
    </row>
    <row r="48" spans="1:12" x14ac:dyDescent="0.2">
      <c r="B48" s="8" t="s">
        <v>6</v>
      </c>
      <c r="C48" s="4">
        <f>SUM(C43:C47)</f>
        <v>14</v>
      </c>
      <c r="D48" s="158"/>
      <c r="E48" s="158"/>
      <c r="F48" s="4">
        <f>SUM(F43:F47)</f>
        <v>660310</v>
      </c>
      <c r="G48" s="5">
        <f>F48/F61</f>
        <v>0.52077980922380696</v>
      </c>
      <c r="H48" s="40"/>
    </row>
    <row r="49" spans="2:9" x14ac:dyDescent="0.2">
      <c r="B49" s="3" t="s">
        <v>18</v>
      </c>
      <c r="C49" s="158"/>
      <c r="D49" s="158"/>
      <c r="E49" s="158"/>
      <c r="F49" s="166"/>
      <c r="G49" s="5"/>
      <c r="H49" s="40"/>
    </row>
    <row r="50" spans="2:9" x14ac:dyDescent="0.2">
      <c r="B50" s="158" t="s">
        <v>154</v>
      </c>
      <c r="C50" s="166">
        <f>550*0.2</f>
        <v>110</v>
      </c>
      <c r="D50" s="158" t="s">
        <v>5</v>
      </c>
      <c r="E50" s="175">
        <f>E19</f>
        <v>2500</v>
      </c>
      <c r="F50" s="166">
        <f>E50*C50</f>
        <v>275000</v>
      </c>
      <c r="G50" s="5"/>
      <c r="H50" s="40"/>
    </row>
    <row r="51" spans="2:9" x14ac:dyDescent="0.2">
      <c r="B51" s="158" t="s">
        <v>250</v>
      </c>
      <c r="C51" s="175">
        <v>22</v>
      </c>
      <c r="D51" s="175" t="s">
        <v>77</v>
      </c>
      <c r="E51" s="187">
        <f>E20</f>
        <v>3500</v>
      </c>
      <c r="F51" s="175">
        <f>C51*E51</f>
        <v>77000</v>
      </c>
      <c r="G51" s="181">
        <f>F51/F61</f>
        <v>6.0729120125748715E-2</v>
      </c>
      <c r="H51" s="216" t="s">
        <v>252</v>
      </c>
    </row>
    <row r="52" spans="2:9" x14ac:dyDescent="0.2">
      <c r="B52" s="183" t="s">
        <v>149</v>
      </c>
      <c r="C52" s="175">
        <v>2</v>
      </c>
      <c r="D52" s="175" t="s">
        <v>54</v>
      </c>
      <c r="E52" s="175">
        <v>45000</v>
      </c>
      <c r="F52" s="175">
        <f>C52*E52</f>
        <v>90000</v>
      </c>
      <c r="G52" s="181">
        <f>F52/F61</f>
        <v>7.0982088458667325E-2</v>
      </c>
      <c r="H52" s="40"/>
    </row>
    <row r="53" spans="2:9" x14ac:dyDescent="0.2">
      <c r="B53" s="8" t="s">
        <v>13</v>
      </c>
      <c r="C53" s="175"/>
      <c r="D53" s="175"/>
      <c r="E53" s="175"/>
      <c r="F53" s="4">
        <f>SUM(F50:F52)</f>
        <v>442000</v>
      </c>
      <c r="G53" s="5">
        <f>F53/F61</f>
        <v>0.34860092331923287</v>
      </c>
      <c r="H53" s="40"/>
    </row>
    <row r="54" spans="2:9" x14ac:dyDescent="0.2">
      <c r="B54" s="3" t="s">
        <v>20</v>
      </c>
      <c r="C54" s="175"/>
      <c r="D54" s="175"/>
      <c r="E54" s="175"/>
      <c r="F54" s="4">
        <f>F48+F53</f>
        <v>1102310</v>
      </c>
      <c r="G54" s="5">
        <f>F54/F61</f>
        <v>0.86938073254303982</v>
      </c>
      <c r="H54" s="40"/>
    </row>
    <row r="55" spans="2:9" ht="13.5" thickBot="1" x14ac:dyDescent="0.25">
      <c r="B55" s="6"/>
      <c r="C55" s="188"/>
      <c r="D55" s="188"/>
      <c r="E55" s="188"/>
      <c r="F55" s="7"/>
      <c r="G55" s="11"/>
      <c r="H55" s="40"/>
    </row>
    <row r="56" spans="2:9" x14ac:dyDescent="0.2">
      <c r="B56" s="56" t="s">
        <v>19</v>
      </c>
      <c r="C56" s="170"/>
      <c r="D56" s="170"/>
      <c r="E56" s="170"/>
      <c r="F56" s="189"/>
      <c r="G56" s="190"/>
      <c r="H56" s="40"/>
    </row>
    <row r="57" spans="2:9" x14ac:dyDescent="0.2">
      <c r="B57" s="158" t="s">
        <v>46</v>
      </c>
      <c r="C57" s="20"/>
      <c r="D57" s="20"/>
      <c r="E57" s="20"/>
      <c r="F57" s="175">
        <f>F48*0.05</f>
        <v>33015.5</v>
      </c>
      <c r="G57" s="181">
        <f>F57/F61</f>
        <v>2.6038990461190344E-2</v>
      </c>
      <c r="H57" s="40"/>
    </row>
    <row r="58" spans="2:9" x14ac:dyDescent="0.2">
      <c r="B58" s="158" t="s">
        <v>150</v>
      </c>
      <c r="C58" s="20"/>
      <c r="D58" s="20"/>
      <c r="E58" s="20"/>
      <c r="F58" s="175">
        <f>F53*0.3</f>
        <v>132600</v>
      </c>
      <c r="G58" s="181">
        <f>F58/F61</f>
        <v>0.10458027699576986</v>
      </c>
      <c r="H58" s="40"/>
    </row>
    <row r="59" spans="2:9" x14ac:dyDescent="0.2">
      <c r="B59" s="3" t="s">
        <v>14</v>
      </c>
      <c r="C59" s="175"/>
      <c r="D59" s="175"/>
      <c r="E59" s="175"/>
      <c r="F59" s="4">
        <f>SUM(F57:F58)</f>
        <v>165615.5</v>
      </c>
      <c r="G59" s="5">
        <f>F59/F61</f>
        <v>0.1306192674569602</v>
      </c>
      <c r="H59" s="40"/>
    </row>
    <row r="60" spans="2:9" ht="13.5" thickBot="1" x14ac:dyDescent="0.25">
      <c r="B60" s="144"/>
      <c r="C60" s="144"/>
      <c r="D60" s="144"/>
      <c r="E60" s="144"/>
      <c r="F60" s="191"/>
      <c r="G60" s="192"/>
      <c r="H60" s="40"/>
    </row>
    <row r="61" spans="2:9" ht="13.5" thickBot="1" x14ac:dyDescent="0.25">
      <c r="B61" s="631" t="s">
        <v>155</v>
      </c>
      <c r="C61" s="632"/>
      <c r="D61" s="193"/>
      <c r="E61" s="193"/>
      <c r="F61" s="194">
        <f>F48+F53+F59</f>
        <v>1267925.5</v>
      </c>
      <c r="G61" s="24">
        <f>G54+G59</f>
        <v>1</v>
      </c>
    </row>
    <row r="62" spans="2:9" ht="13.5" thickBot="1" x14ac:dyDescent="0.25">
      <c r="B62" s="144"/>
      <c r="C62" s="144"/>
      <c r="D62" s="144"/>
      <c r="E62" s="144"/>
      <c r="F62" s="144"/>
      <c r="G62" s="144"/>
      <c r="I62" s="142"/>
    </row>
    <row r="63" spans="2:9" ht="13.5" thickBot="1" x14ac:dyDescent="0.25">
      <c r="F63" s="282">
        <f>F61/550</f>
        <v>2305.3190909090908</v>
      </c>
      <c r="G63" s="635" t="s">
        <v>254</v>
      </c>
      <c r="H63" s="635"/>
    </row>
    <row r="64" spans="2:9" x14ac:dyDescent="0.2">
      <c r="I64" s="142"/>
    </row>
    <row r="65" spans="1:9" x14ac:dyDescent="0.2">
      <c r="A65" s="37"/>
      <c r="B65" s="629" t="s">
        <v>107</v>
      </c>
      <c r="C65" s="629"/>
      <c r="D65" s="629"/>
      <c r="E65" s="629"/>
      <c r="F65" s="629"/>
      <c r="G65" s="629"/>
      <c r="I65" s="142"/>
    </row>
    <row r="66" spans="1:9" x14ac:dyDescent="0.2">
      <c r="B66" s="659" t="s">
        <v>156</v>
      </c>
      <c r="C66" s="659"/>
      <c r="D66" s="659"/>
      <c r="E66" s="659"/>
      <c r="F66" s="659"/>
      <c r="G66" s="659"/>
      <c r="I66" s="142"/>
    </row>
    <row r="67" spans="1:9" x14ac:dyDescent="0.2">
      <c r="B67" s="642" t="s">
        <v>112</v>
      </c>
      <c r="C67" s="642"/>
      <c r="D67" s="642"/>
      <c r="E67" s="642"/>
      <c r="F67" s="642"/>
      <c r="G67" s="642"/>
      <c r="I67" s="142"/>
    </row>
    <row r="68" spans="1:9" ht="13.5" thickBot="1" x14ac:dyDescent="0.25">
      <c r="B68" s="16" t="s">
        <v>572</v>
      </c>
      <c r="C68" s="15"/>
      <c r="D68" s="15"/>
      <c r="E68" s="15"/>
      <c r="F68" s="15"/>
      <c r="G68" s="144"/>
      <c r="I68" s="142"/>
    </row>
    <row r="69" spans="1:9" ht="13.5" thickBot="1" x14ac:dyDescent="0.25">
      <c r="B69" s="10" t="s">
        <v>3</v>
      </c>
      <c r="C69" s="17" t="s">
        <v>0</v>
      </c>
      <c r="D69" s="10" t="s">
        <v>4</v>
      </c>
      <c r="E69" s="17" t="s">
        <v>2</v>
      </c>
      <c r="F69" s="10" t="s">
        <v>1</v>
      </c>
      <c r="G69" s="18" t="s">
        <v>15</v>
      </c>
      <c r="H69" s="125" t="s">
        <v>249</v>
      </c>
    </row>
    <row r="70" spans="1:9" x14ac:dyDescent="0.2">
      <c r="B70" s="56" t="s">
        <v>16</v>
      </c>
      <c r="C70" s="170"/>
      <c r="D70" s="170"/>
      <c r="E70" s="170"/>
      <c r="F70" s="170"/>
      <c r="G70" s="185"/>
      <c r="H70" s="40"/>
    </row>
    <row r="71" spans="1:9" x14ac:dyDescent="0.2">
      <c r="B71" s="3" t="s">
        <v>17</v>
      </c>
      <c r="C71" s="158"/>
      <c r="D71" s="158"/>
      <c r="E71" s="158"/>
      <c r="F71" s="158"/>
      <c r="G71" s="158"/>
      <c r="H71" s="40"/>
    </row>
    <row r="72" spans="1:9" x14ac:dyDescent="0.2">
      <c r="B72" s="158" t="s">
        <v>22</v>
      </c>
      <c r="C72" s="175">
        <v>4</v>
      </c>
      <c r="D72" s="175" t="s">
        <v>48</v>
      </c>
      <c r="E72" s="176">
        <f>E12</f>
        <v>47165</v>
      </c>
      <c r="F72" s="176">
        <f>C72*E72</f>
        <v>188660</v>
      </c>
      <c r="G72" s="181">
        <f>F72/F89</f>
        <v>0.19357536238947473</v>
      </c>
      <c r="H72" s="40"/>
    </row>
    <row r="73" spans="1:9" x14ac:dyDescent="0.2">
      <c r="B73" s="158" t="s">
        <v>23</v>
      </c>
      <c r="C73" s="175">
        <v>3</v>
      </c>
      <c r="D73" s="175" t="s">
        <v>48</v>
      </c>
      <c r="E73" s="176">
        <f>E13</f>
        <v>47165</v>
      </c>
      <c r="F73" s="176">
        <f>C73*E73</f>
        <v>141495</v>
      </c>
      <c r="G73" s="181">
        <f>F73/F89</f>
        <v>0.14518152179210606</v>
      </c>
      <c r="H73" s="40"/>
    </row>
    <row r="74" spans="1:9" x14ac:dyDescent="0.2">
      <c r="B74" s="158" t="s">
        <v>26</v>
      </c>
      <c r="C74" s="175">
        <v>2</v>
      </c>
      <c r="D74" s="175" t="s">
        <v>48</v>
      </c>
      <c r="E74" s="176">
        <f>E14</f>
        <v>47165</v>
      </c>
      <c r="F74" s="176">
        <f>C74*E74</f>
        <v>94330</v>
      </c>
      <c r="G74" s="181">
        <f>F74/F89</f>
        <v>9.6787681194737366E-2</v>
      </c>
      <c r="H74" s="40"/>
    </row>
    <row r="75" spans="1:9" x14ac:dyDescent="0.2">
      <c r="B75" s="186" t="s">
        <v>153</v>
      </c>
      <c r="C75" s="175">
        <v>1</v>
      </c>
      <c r="D75" s="175" t="s">
        <v>48</v>
      </c>
      <c r="E75" s="176">
        <f>E15</f>
        <v>47165</v>
      </c>
      <c r="F75" s="176">
        <f>C75*E75</f>
        <v>47165</v>
      </c>
      <c r="G75" s="181">
        <f>F75/F89</f>
        <v>4.8393840597368683E-2</v>
      </c>
      <c r="H75" s="40"/>
    </row>
    <row r="76" spans="1:9" x14ac:dyDescent="0.2">
      <c r="B76" s="8" t="s">
        <v>6</v>
      </c>
      <c r="C76" s="4">
        <f>SUM(C72:C75)</f>
        <v>10</v>
      </c>
      <c r="D76" s="158"/>
      <c r="E76" s="158"/>
      <c r="F76" s="4">
        <f>SUM(F72:F75)</f>
        <v>471650</v>
      </c>
      <c r="G76" s="5">
        <f>F76/F89</f>
        <v>0.48393840597368687</v>
      </c>
      <c r="H76" s="40"/>
    </row>
    <row r="77" spans="1:9" x14ac:dyDescent="0.2">
      <c r="B77" s="3" t="s">
        <v>18</v>
      </c>
      <c r="C77" s="158"/>
      <c r="D77" s="158"/>
      <c r="E77" s="158"/>
      <c r="F77" s="166"/>
      <c r="G77" s="182"/>
      <c r="H77" s="40"/>
    </row>
    <row r="78" spans="1:9" x14ac:dyDescent="0.2">
      <c r="B78" s="158" t="s">
        <v>157</v>
      </c>
      <c r="C78" s="166">
        <f>550*0.1</f>
        <v>55</v>
      </c>
      <c r="D78" s="158" t="s">
        <v>5</v>
      </c>
      <c r="E78" s="175">
        <f>E19</f>
        <v>2500</v>
      </c>
      <c r="F78" s="175">
        <f>E78*C78</f>
        <v>137500</v>
      </c>
      <c r="G78" s="181">
        <f>F78/F89</f>
        <v>0.14108243574977619</v>
      </c>
      <c r="H78" s="40"/>
    </row>
    <row r="79" spans="1:9" x14ac:dyDescent="0.2">
      <c r="B79" s="158" t="s">
        <v>250</v>
      </c>
      <c r="C79" s="175">
        <f>550*50/1000</f>
        <v>27.5</v>
      </c>
      <c r="D79" s="175" t="s">
        <v>77</v>
      </c>
      <c r="E79" s="187">
        <f>E20</f>
        <v>3500</v>
      </c>
      <c r="F79" s="175">
        <f>C79*E79</f>
        <v>96250</v>
      </c>
      <c r="G79" s="181">
        <f>F79/F89</f>
        <v>9.8757705024843337E-2</v>
      </c>
      <c r="H79" s="216" t="s">
        <v>255</v>
      </c>
    </row>
    <row r="80" spans="1:9" x14ac:dyDescent="0.2">
      <c r="B80" s="158" t="s">
        <v>110</v>
      </c>
      <c r="C80" s="175">
        <v>3</v>
      </c>
      <c r="D80" s="175" t="s">
        <v>54</v>
      </c>
      <c r="E80" s="175">
        <v>45000</v>
      </c>
      <c r="F80" s="175">
        <f>C80*E80</f>
        <v>135000</v>
      </c>
      <c r="G80" s="181">
        <f>F80/F89</f>
        <v>0.13851730055432571</v>
      </c>
    </row>
    <row r="81" spans="2:8" x14ac:dyDescent="0.2">
      <c r="B81" s="8" t="s">
        <v>13</v>
      </c>
      <c r="C81" s="175"/>
      <c r="D81" s="175"/>
      <c r="E81" s="175"/>
      <c r="F81" s="4">
        <f>SUM(F78:F80)</f>
        <v>368750</v>
      </c>
      <c r="G81" s="5">
        <f>F81/F89</f>
        <v>0.37835744132894522</v>
      </c>
      <c r="H81" s="40"/>
    </row>
    <row r="82" spans="2:8" x14ac:dyDescent="0.2">
      <c r="B82" s="3" t="s">
        <v>20</v>
      </c>
      <c r="C82" s="175"/>
      <c r="D82" s="175"/>
      <c r="E82" s="175"/>
      <c r="F82" s="4">
        <f>F76+F81</f>
        <v>840400</v>
      </c>
      <c r="G82" s="5">
        <f>F82/F89</f>
        <v>0.86229584730263209</v>
      </c>
      <c r="H82" s="40"/>
    </row>
    <row r="83" spans="2:8" ht="13.5" thickBot="1" x14ac:dyDescent="0.25">
      <c r="B83" s="6"/>
      <c r="C83" s="188"/>
      <c r="D83" s="188"/>
      <c r="E83" s="188"/>
      <c r="F83" s="7"/>
      <c r="G83" s="11"/>
      <c r="H83" s="40"/>
    </row>
    <row r="84" spans="2:8" x14ac:dyDescent="0.2">
      <c r="B84" s="56" t="s">
        <v>19</v>
      </c>
      <c r="C84" s="170"/>
      <c r="D84" s="170"/>
      <c r="E84" s="170"/>
      <c r="F84" s="189"/>
      <c r="G84" s="190"/>
      <c r="H84" s="40"/>
    </row>
    <row r="85" spans="2:8" x14ac:dyDescent="0.2">
      <c r="B85" s="158" t="s">
        <v>46</v>
      </c>
      <c r="C85" s="20"/>
      <c r="D85" s="20"/>
      <c r="E85" s="20"/>
      <c r="F85" s="175">
        <f>F76*0.05</f>
        <v>23582.5</v>
      </c>
      <c r="G85" s="181">
        <f>F85/F89</f>
        <v>2.4196920298684341E-2</v>
      </c>
      <c r="H85" s="40"/>
    </row>
    <row r="86" spans="2:8" x14ac:dyDescent="0.2">
      <c r="B86" s="158" t="s">
        <v>150</v>
      </c>
      <c r="C86" s="20"/>
      <c r="D86" s="20"/>
      <c r="E86" s="20"/>
      <c r="F86" s="175">
        <f>F81*0.3</f>
        <v>110625</v>
      </c>
      <c r="G86" s="181">
        <f>F86/F89</f>
        <v>0.11350723239868357</v>
      </c>
      <c r="H86" s="40"/>
    </row>
    <row r="87" spans="2:8" x14ac:dyDescent="0.2">
      <c r="B87" s="3" t="s">
        <v>14</v>
      </c>
      <c r="C87" s="175"/>
      <c r="D87" s="175"/>
      <c r="E87" s="175"/>
      <c r="F87" s="4">
        <f>SUM(F85:F86)</f>
        <v>134207.5</v>
      </c>
      <c r="G87" s="5">
        <f>F87/F89</f>
        <v>0.13770415269736791</v>
      </c>
      <c r="H87" s="40"/>
    </row>
    <row r="88" spans="2:8" ht="13.5" thickBot="1" x14ac:dyDescent="0.25">
      <c r="B88" s="144"/>
      <c r="C88" s="144"/>
      <c r="D88" s="144"/>
      <c r="E88" s="144"/>
      <c r="F88" s="191"/>
      <c r="G88" s="192"/>
      <c r="H88" s="40"/>
    </row>
    <row r="89" spans="2:8" ht="13.5" thickBot="1" x14ac:dyDescent="0.25">
      <c r="B89" s="631" t="s">
        <v>158</v>
      </c>
      <c r="C89" s="632"/>
      <c r="D89" s="193"/>
      <c r="E89" s="193"/>
      <c r="F89" s="194">
        <f>F76+F81+F87</f>
        <v>974607.5</v>
      </c>
      <c r="G89" s="24">
        <f>G82+G87</f>
        <v>1</v>
      </c>
      <c r="H89" s="40"/>
    </row>
    <row r="90" spans="2:8" ht="13.5" thickBot="1" x14ac:dyDescent="0.25"/>
    <row r="91" spans="2:8" ht="13.5" thickBot="1" x14ac:dyDescent="0.25">
      <c r="F91" s="282">
        <f>F89/550</f>
        <v>1772.0136363636364</v>
      </c>
      <c r="G91" s="635" t="s">
        <v>256</v>
      </c>
      <c r="H91" s="635"/>
    </row>
    <row r="93" spans="2:8" ht="13.5" thickBot="1" x14ac:dyDescent="0.25"/>
    <row r="94" spans="2:8" x14ac:dyDescent="0.2">
      <c r="B94" s="197"/>
      <c r="C94" s="36"/>
      <c r="D94" s="36"/>
      <c r="E94" s="36"/>
      <c r="F94" s="198" t="s">
        <v>159</v>
      </c>
      <c r="G94" s="39"/>
    </row>
    <row r="95" spans="2:8" ht="18.75" thickBot="1" x14ac:dyDescent="0.3">
      <c r="B95" s="199" t="s">
        <v>258</v>
      </c>
      <c r="C95" s="38"/>
      <c r="D95" s="38"/>
      <c r="E95" s="38"/>
      <c r="F95" s="200">
        <f>F89+F61+F29</f>
        <v>3864552</v>
      </c>
      <c r="G95" s="139"/>
    </row>
    <row r="97" spans="2:8" ht="13.5" thickBot="1" x14ac:dyDescent="0.25"/>
    <row r="98" spans="2:8" ht="13.5" customHeight="1" thickBot="1" x14ac:dyDescent="0.25">
      <c r="B98" s="656" t="s">
        <v>259</v>
      </c>
      <c r="C98" s="656"/>
      <c r="F98" s="282">
        <f>F95/550</f>
        <v>7026.4581818181814</v>
      </c>
      <c r="G98" s="635" t="s">
        <v>257</v>
      </c>
      <c r="H98" s="635"/>
    </row>
    <row r="99" spans="2:8" x14ac:dyDescent="0.2">
      <c r="B99" s="656"/>
      <c r="C99" s="656"/>
    </row>
    <row r="100" spans="2:8" x14ac:dyDescent="0.2">
      <c r="B100" s="656"/>
      <c r="C100" s="656"/>
    </row>
    <row r="101" spans="2:8" x14ac:dyDescent="0.2">
      <c r="B101" s="656"/>
      <c r="C101" s="656"/>
      <c r="F101" s="1"/>
    </row>
    <row r="102" spans="2:8" x14ac:dyDescent="0.2">
      <c r="B102" s="656"/>
      <c r="C102" s="656"/>
    </row>
    <row r="103" spans="2:8" x14ac:dyDescent="0.2">
      <c r="B103" s="656"/>
      <c r="C103" s="656"/>
    </row>
    <row r="104" spans="2:8" x14ac:dyDescent="0.2">
      <c r="B104" s="656"/>
      <c r="C104" s="656"/>
    </row>
    <row r="105" spans="2:8" x14ac:dyDescent="0.2">
      <c r="B105" s="656"/>
      <c r="C105" s="656"/>
    </row>
    <row r="106" spans="2:8" x14ac:dyDescent="0.2">
      <c r="B106" s="656"/>
      <c r="C106" s="656"/>
    </row>
    <row r="107" spans="2:8" x14ac:dyDescent="0.2">
      <c r="B107" s="656"/>
      <c r="C107" s="656"/>
    </row>
    <row r="108" spans="2:8" x14ac:dyDescent="0.2">
      <c r="B108" s="656"/>
      <c r="C108" s="656"/>
    </row>
    <row r="109" spans="2:8" x14ac:dyDescent="0.2">
      <c r="B109" s="656"/>
      <c r="C109" s="656"/>
    </row>
    <row r="110" spans="2:8" x14ac:dyDescent="0.2">
      <c r="B110" s="656"/>
      <c r="C110" s="656"/>
    </row>
    <row r="111" spans="2:8" x14ac:dyDescent="0.2">
      <c r="B111" s="656"/>
      <c r="C111" s="656"/>
    </row>
    <row r="112" spans="2:8" x14ac:dyDescent="0.2">
      <c r="B112" s="656"/>
      <c r="C112" s="656"/>
    </row>
    <row r="113" spans="2:3" x14ac:dyDescent="0.2">
      <c r="B113" s="656"/>
      <c r="C113" s="656"/>
    </row>
    <row r="114" spans="2:3" x14ac:dyDescent="0.2">
      <c r="B114" s="656"/>
      <c r="C114" s="656"/>
    </row>
    <row r="115" spans="2:3" x14ac:dyDescent="0.2">
      <c r="B115" s="656"/>
      <c r="C115" s="656"/>
    </row>
    <row r="116" spans="2:3" x14ac:dyDescent="0.2">
      <c r="B116" s="656"/>
      <c r="C116" s="656"/>
    </row>
  </sheetData>
  <mergeCells count="20">
    <mergeCell ref="G98:H98"/>
    <mergeCell ref="B89:C89"/>
    <mergeCell ref="B98:C116"/>
    <mergeCell ref="B37:G37"/>
    <mergeCell ref="B29:C29"/>
    <mergeCell ref="G34:H34"/>
    <mergeCell ref="G63:H63"/>
    <mergeCell ref="B61:C61"/>
    <mergeCell ref="G91:H91"/>
    <mergeCell ref="B38:G38"/>
    <mergeCell ref="B65:G65"/>
    <mergeCell ref="B66:G66"/>
    <mergeCell ref="B67:G67"/>
    <mergeCell ref="B36:G36"/>
    <mergeCell ref="B7:G7"/>
    <mergeCell ref="B1:H1"/>
    <mergeCell ref="B2:H2"/>
    <mergeCell ref="B3:H3"/>
    <mergeCell ref="B5:H5"/>
    <mergeCell ref="B6:H6"/>
  </mergeCells>
  <pageMargins left="0.7" right="0.7" top="0.75" bottom="0.75" header="0.3" footer="0.3"/>
  <pageSetup paperSize="9" scale="55" orientation="portrait" r:id="rId1"/>
  <ignoredErrors>
    <ignoredError sqref="E46:F46"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37"/>
  <sheetViews>
    <sheetView view="pageBreakPreview" topLeftCell="A28" zoomScaleNormal="100" zoomScaleSheetLayoutView="100" workbookViewId="0"/>
  </sheetViews>
  <sheetFormatPr baseColWidth="10" defaultRowHeight="12.75" x14ac:dyDescent="0.2"/>
  <cols>
    <col min="2" max="2" width="38.7109375" customWidth="1"/>
    <col min="6" max="6" width="15" customWidth="1"/>
  </cols>
  <sheetData>
    <row r="1" spans="2:8" x14ac:dyDescent="0.2">
      <c r="B1" s="663" t="s">
        <v>58</v>
      </c>
      <c r="C1" s="655"/>
      <c r="D1" s="655"/>
      <c r="E1" s="655"/>
      <c r="F1" s="655"/>
      <c r="G1" s="566"/>
      <c r="H1" s="566"/>
    </row>
    <row r="2" spans="2:8" x14ac:dyDescent="0.2">
      <c r="B2" s="655" t="s">
        <v>569</v>
      </c>
      <c r="C2" s="655"/>
      <c r="D2" s="655"/>
      <c r="E2" s="655"/>
      <c r="F2" s="655"/>
      <c r="G2" s="144"/>
      <c r="H2" s="144"/>
    </row>
    <row r="3" spans="2:8" x14ac:dyDescent="0.2">
      <c r="B3" s="663" t="s">
        <v>193</v>
      </c>
      <c r="C3" s="655"/>
      <c r="D3" s="655"/>
      <c r="E3" s="655"/>
      <c r="F3" s="655"/>
      <c r="G3" s="566"/>
      <c r="H3" s="566"/>
    </row>
    <row r="4" spans="2:8" x14ac:dyDescent="0.2">
      <c r="B4" s="655" t="s">
        <v>194</v>
      </c>
      <c r="C4" s="655"/>
      <c r="D4" s="655"/>
      <c r="E4" s="655"/>
      <c r="F4" s="655"/>
      <c r="G4" s="566"/>
      <c r="H4" s="566"/>
    </row>
    <row r="5" spans="2:8" x14ac:dyDescent="0.2">
      <c r="B5" s="664" t="s">
        <v>198</v>
      </c>
      <c r="C5" s="664"/>
      <c r="D5" s="664"/>
      <c r="E5" s="664"/>
      <c r="F5" s="664"/>
      <c r="G5" s="567"/>
      <c r="H5" s="567"/>
    </row>
    <row r="6" spans="2:8" x14ac:dyDescent="0.2">
      <c r="B6" s="236"/>
      <c r="C6" s="236"/>
      <c r="D6" s="236"/>
      <c r="E6" s="236"/>
      <c r="F6" s="236"/>
      <c r="G6" s="236"/>
      <c r="H6" s="236"/>
    </row>
    <row r="7" spans="2:8" x14ac:dyDescent="0.2">
      <c r="B7" s="236"/>
      <c r="C7" s="236"/>
      <c r="D7" s="236"/>
      <c r="E7" s="236"/>
      <c r="F7" s="236"/>
      <c r="G7" s="236"/>
      <c r="H7" s="236"/>
    </row>
    <row r="8" spans="2:8" x14ac:dyDescent="0.2">
      <c r="B8" s="660" t="s">
        <v>282</v>
      </c>
      <c r="C8" s="661"/>
      <c r="D8" s="661"/>
      <c r="E8" s="661"/>
      <c r="F8" s="662"/>
      <c r="G8" s="144"/>
      <c r="H8" s="144"/>
    </row>
    <row r="9" spans="2:8" x14ac:dyDescent="0.2">
      <c r="B9" s="125" t="s">
        <v>3</v>
      </c>
      <c r="C9" s="564" t="s">
        <v>0</v>
      </c>
      <c r="D9" s="125" t="s">
        <v>4</v>
      </c>
      <c r="E9" s="564" t="s">
        <v>2</v>
      </c>
      <c r="F9" s="125" t="s">
        <v>1</v>
      </c>
    </row>
    <row r="10" spans="2:8" x14ac:dyDescent="0.2">
      <c r="B10" s="3" t="s">
        <v>16</v>
      </c>
      <c r="C10" s="158"/>
      <c r="D10" s="158"/>
      <c r="E10" s="158"/>
      <c r="F10" s="158"/>
    </row>
    <row r="11" spans="2:8" x14ac:dyDescent="0.2">
      <c r="B11" s="3" t="s">
        <v>17</v>
      </c>
      <c r="C11" s="158"/>
      <c r="D11" s="158"/>
      <c r="E11" s="158"/>
      <c r="F11" s="158"/>
    </row>
    <row r="12" spans="2:8" x14ac:dyDescent="0.2">
      <c r="B12" s="158" t="s">
        <v>199</v>
      </c>
      <c r="C12" s="175">
        <v>4</v>
      </c>
      <c r="D12" s="175" t="s">
        <v>52</v>
      </c>
      <c r="E12" s="176">
        <f>'Mano de Obra (JORNAL)'!E32</f>
        <v>47165</v>
      </c>
      <c r="F12" s="176">
        <f t="shared" ref="F12:F17" si="0">C12*E12</f>
        <v>188660</v>
      </c>
      <c r="G12" s="563"/>
    </row>
    <row r="13" spans="2:8" x14ac:dyDescent="0.2">
      <c r="B13" s="158" t="s">
        <v>23</v>
      </c>
      <c r="C13" s="281">
        <v>0</v>
      </c>
      <c r="D13" s="175" t="s">
        <v>52</v>
      </c>
      <c r="E13" s="176">
        <f t="shared" ref="E13:E18" si="1">E12</f>
        <v>47165</v>
      </c>
      <c r="F13" s="176">
        <f t="shared" si="0"/>
        <v>0</v>
      </c>
      <c r="G13" s="563"/>
    </row>
    <row r="14" spans="2:8" x14ac:dyDescent="0.2">
      <c r="B14" s="158" t="s">
        <v>24</v>
      </c>
      <c r="C14" s="175">
        <v>4</v>
      </c>
      <c r="D14" s="175" t="s">
        <v>52</v>
      </c>
      <c r="E14" s="176">
        <f t="shared" si="1"/>
        <v>47165</v>
      </c>
      <c r="F14" s="176">
        <f t="shared" si="0"/>
        <v>188660</v>
      </c>
      <c r="G14" s="563"/>
    </row>
    <row r="15" spans="2:8" x14ac:dyDescent="0.2">
      <c r="B15" s="158" t="s">
        <v>25</v>
      </c>
      <c r="C15" s="175">
        <v>1</v>
      </c>
      <c r="D15" s="175" t="s">
        <v>52</v>
      </c>
      <c r="E15" s="176">
        <f t="shared" si="1"/>
        <v>47165</v>
      </c>
      <c r="F15" s="176">
        <f t="shared" si="0"/>
        <v>47165</v>
      </c>
      <c r="G15" s="563"/>
    </row>
    <row r="16" spans="2:8" x14ac:dyDescent="0.2">
      <c r="B16" s="158" t="s">
        <v>200</v>
      </c>
      <c r="C16" s="175">
        <v>6</v>
      </c>
      <c r="D16" s="175" t="s">
        <v>52</v>
      </c>
      <c r="E16" s="176">
        <f t="shared" si="1"/>
        <v>47165</v>
      </c>
      <c r="F16" s="176">
        <f t="shared" si="0"/>
        <v>282990</v>
      </c>
      <c r="G16" s="563"/>
    </row>
    <row r="17" spans="2:8" x14ac:dyDescent="0.2">
      <c r="B17" s="158" t="s">
        <v>26</v>
      </c>
      <c r="C17" s="281">
        <v>0</v>
      </c>
      <c r="D17" s="175" t="s">
        <v>52</v>
      </c>
      <c r="E17" s="176">
        <f t="shared" si="1"/>
        <v>47165</v>
      </c>
      <c r="F17" s="176">
        <f t="shared" si="0"/>
        <v>0</v>
      </c>
      <c r="G17" s="563"/>
    </row>
    <row r="18" spans="2:8" x14ac:dyDescent="0.2">
      <c r="B18" s="8" t="s">
        <v>6</v>
      </c>
      <c r="C18" s="4">
        <f>SUM(C12:C17)</f>
        <v>15</v>
      </c>
      <c r="D18" s="175" t="s">
        <v>52</v>
      </c>
      <c r="E18" s="176">
        <f t="shared" si="1"/>
        <v>47165</v>
      </c>
      <c r="F18" s="4">
        <f>SUM(F12:F17)</f>
        <v>707475</v>
      </c>
      <c r="G18" s="25"/>
    </row>
    <row r="19" spans="2:8" x14ac:dyDescent="0.2">
      <c r="B19" s="3" t="s">
        <v>18</v>
      </c>
      <c r="C19" s="158"/>
      <c r="D19" s="158"/>
      <c r="E19" s="176"/>
      <c r="F19" s="166"/>
      <c r="G19" s="37"/>
    </row>
    <row r="20" spans="2:8" x14ac:dyDescent="0.2">
      <c r="B20" s="158" t="s">
        <v>53</v>
      </c>
      <c r="C20" s="175">
        <v>440</v>
      </c>
      <c r="D20" s="175" t="s">
        <v>197</v>
      </c>
      <c r="E20" s="175">
        <v>3000</v>
      </c>
      <c r="F20" s="175">
        <f>C20*E20</f>
        <v>1320000</v>
      </c>
      <c r="G20" s="563"/>
      <c r="H20" s="64"/>
    </row>
    <row r="21" spans="2:8" x14ac:dyDescent="0.2">
      <c r="B21" s="158" t="s">
        <v>56</v>
      </c>
      <c r="C21" s="175">
        <v>0</v>
      </c>
      <c r="D21" s="175" t="s">
        <v>50</v>
      </c>
      <c r="E21" s="175">
        <v>3500</v>
      </c>
      <c r="F21" s="175">
        <f>C21*E21</f>
        <v>0</v>
      </c>
      <c r="G21" s="563"/>
    </row>
    <row r="22" spans="2:8" x14ac:dyDescent="0.2">
      <c r="B22" s="8" t="s">
        <v>13</v>
      </c>
      <c r="C22" s="175"/>
      <c r="D22" s="175"/>
      <c r="E22" s="175"/>
      <c r="F22" s="4">
        <f>SUM(F20:F21)</f>
        <v>1320000</v>
      </c>
    </row>
    <row r="23" spans="2:8" x14ac:dyDescent="0.2">
      <c r="B23" s="3" t="s">
        <v>20</v>
      </c>
      <c r="C23" s="175"/>
      <c r="D23" s="175"/>
      <c r="E23" s="175"/>
      <c r="F23" s="4">
        <f>F18+F22</f>
        <v>2027475</v>
      </c>
    </row>
    <row r="24" spans="2:8" x14ac:dyDescent="0.2">
      <c r="B24" s="3" t="s">
        <v>19</v>
      </c>
      <c r="C24" s="158"/>
      <c r="D24" s="158"/>
      <c r="E24" s="158"/>
      <c r="F24" s="166"/>
    </row>
    <row r="25" spans="2:8" x14ac:dyDescent="0.2">
      <c r="B25" s="53" t="s">
        <v>49</v>
      </c>
      <c r="C25" s="20"/>
      <c r="D25" s="20"/>
      <c r="E25" s="20"/>
      <c r="F25" s="175">
        <f>F18*0.05</f>
        <v>35373.75</v>
      </c>
    </row>
    <row r="26" spans="2:8" x14ac:dyDescent="0.2">
      <c r="B26" s="53" t="s">
        <v>146</v>
      </c>
      <c r="C26" s="20"/>
      <c r="D26" s="20"/>
      <c r="E26" s="20"/>
      <c r="F26" s="175">
        <f>F22*0.3</f>
        <v>396000</v>
      </c>
    </row>
    <row r="27" spans="2:8" x14ac:dyDescent="0.2">
      <c r="B27" s="3" t="s">
        <v>14</v>
      </c>
      <c r="C27" s="175"/>
      <c r="D27" s="175"/>
      <c r="E27" s="175"/>
      <c r="F27" s="4">
        <f>SUM(F25:F26)</f>
        <v>431373.75</v>
      </c>
    </row>
    <row r="28" spans="2:8" x14ac:dyDescent="0.2">
      <c r="B28" s="3" t="s">
        <v>241</v>
      </c>
      <c r="C28" s="3"/>
      <c r="D28" s="3"/>
      <c r="E28" s="3"/>
      <c r="F28" s="4">
        <f>ROUND(F23+F27,0)</f>
        <v>2458849</v>
      </c>
    </row>
    <row r="29" spans="2:8" x14ac:dyDescent="0.2">
      <c r="B29" s="3"/>
      <c r="C29" s="40"/>
      <c r="D29" s="40"/>
      <c r="E29" s="40"/>
      <c r="F29" s="565">
        <f>F28</f>
        <v>2458849</v>
      </c>
    </row>
    <row r="30" spans="2:8" ht="13.5" thickBot="1" x14ac:dyDescent="0.25"/>
    <row r="31" spans="2:8" ht="13.5" thickBot="1" x14ac:dyDescent="0.25">
      <c r="D31" s="201" t="s">
        <v>160</v>
      </c>
      <c r="E31" s="194">
        <f>F28/C20</f>
        <v>5588.2931818181814</v>
      </c>
    </row>
    <row r="32" spans="2:8" ht="13.5" thickBot="1" x14ac:dyDescent="0.25"/>
    <row r="33" spans="2:6" ht="13.5" thickBot="1" x14ac:dyDescent="0.25">
      <c r="E33" s="194">
        <f>E31*1.13</f>
        <v>6314.7712954545441</v>
      </c>
      <c r="F33" s="26" t="s">
        <v>180</v>
      </c>
    </row>
    <row r="34" spans="2:6" x14ac:dyDescent="0.2">
      <c r="F34" s="26">
        <v>0.13</v>
      </c>
    </row>
    <row r="36" spans="2:6" ht="178.5" x14ac:dyDescent="0.2">
      <c r="B36" s="294" t="s">
        <v>442</v>
      </c>
      <c r="C36" s="35"/>
      <c r="D36" s="35"/>
      <c r="E36" s="35"/>
    </row>
    <row r="37" spans="2:6" x14ac:dyDescent="0.2">
      <c r="B37" s="35"/>
      <c r="C37" s="35"/>
      <c r="D37" s="35"/>
      <c r="E37" s="296"/>
    </row>
  </sheetData>
  <mergeCells count="6">
    <mergeCell ref="B8:F8"/>
    <mergeCell ref="B1:F1"/>
    <mergeCell ref="B2:F2"/>
    <mergeCell ref="B3:F3"/>
    <mergeCell ref="B4:F4"/>
    <mergeCell ref="B5:F5"/>
  </mergeCells>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R80"/>
  <sheetViews>
    <sheetView view="pageBreakPreview" topLeftCell="A43" zoomScaleNormal="115" zoomScaleSheetLayoutView="100" workbookViewId="0">
      <selection activeCell="F61" sqref="F61"/>
    </sheetView>
  </sheetViews>
  <sheetFormatPr baseColWidth="10" defaultRowHeight="12.75" x14ac:dyDescent="0.2"/>
  <cols>
    <col min="1" max="1" width="4.5703125" customWidth="1"/>
    <col min="2" max="2" width="37.42578125" customWidth="1"/>
    <col min="3" max="3" width="8.42578125" customWidth="1"/>
    <col min="4" max="4" width="8.7109375" customWidth="1"/>
    <col min="5" max="5" width="10.85546875" customWidth="1"/>
    <col min="6" max="6" width="12.28515625" customWidth="1"/>
    <col min="7" max="7" width="15.140625" customWidth="1"/>
    <col min="8" max="8" width="7.28515625" customWidth="1"/>
    <col min="9" max="9" width="28" customWidth="1"/>
    <col min="10" max="10" width="35.42578125" customWidth="1"/>
    <col min="11" max="11" width="8" customWidth="1"/>
    <col min="15" max="15" width="13.28515625" customWidth="1"/>
    <col min="17" max="17" width="14.7109375" bestFit="1" customWidth="1"/>
  </cols>
  <sheetData>
    <row r="2" spans="2:18" x14ac:dyDescent="0.2">
      <c r="B2" s="645" t="s">
        <v>58</v>
      </c>
      <c r="C2" s="629"/>
      <c r="D2" s="629"/>
      <c r="E2" s="629"/>
      <c r="F2" s="629"/>
      <c r="G2" s="629"/>
      <c r="H2" s="629"/>
      <c r="J2" s="645" t="s">
        <v>58</v>
      </c>
      <c r="K2" s="629"/>
      <c r="L2" s="629"/>
      <c r="M2" s="629"/>
      <c r="N2" s="629"/>
      <c r="O2" s="629"/>
      <c r="P2" s="629"/>
    </row>
    <row r="3" spans="2:18" x14ac:dyDescent="0.2">
      <c r="B3" s="15"/>
      <c r="C3" s="15"/>
      <c r="D3" s="15"/>
      <c r="E3" s="15"/>
      <c r="F3" s="15"/>
      <c r="G3" s="13"/>
      <c r="H3" s="13"/>
    </row>
    <row r="4" spans="2:18" ht="20.25" customHeight="1" x14ac:dyDescent="0.2">
      <c r="B4" s="665" t="s">
        <v>341</v>
      </c>
      <c r="C4" s="665"/>
      <c r="D4" s="665"/>
      <c r="E4" s="665"/>
      <c r="F4" s="665"/>
      <c r="G4" s="665"/>
      <c r="H4" s="15"/>
      <c r="J4" s="665" t="s">
        <v>391</v>
      </c>
      <c r="K4" s="665"/>
      <c r="L4" s="665"/>
      <c r="M4" s="665"/>
      <c r="N4" s="665"/>
      <c r="O4" s="665"/>
    </row>
    <row r="5" spans="2:18" x14ac:dyDescent="0.2">
      <c r="B5" s="642" t="s">
        <v>135</v>
      </c>
      <c r="C5" s="643"/>
      <c r="D5" s="643"/>
      <c r="E5" s="643"/>
      <c r="F5" s="643"/>
      <c r="G5" s="643"/>
      <c r="H5" s="15"/>
      <c r="J5" s="642" t="s">
        <v>177</v>
      </c>
      <c r="K5" s="643"/>
      <c r="L5" s="643"/>
      <c r="M5" s="643"/>
      <c r="N5" s="643"/>
      <c r="O5" s="643"/>
    </row>
    <row r="7" spans="2:18" ht="13.5" thickBot="1" x14ac:dyDescent="0.25">
      <c r="B7" s="16" t="s">
        <v>572</v>
      </c>
      <c r="C7" s="15"/>
      <c r="D7" s="15"/>
      <c r="E7" s="15"/>
      <c r="F7" s="15"/>
      <c r="G7" s="13"/>
      <c r="J7" s="16" t="s">
        <v>572</v>
      </c>
      <c r="K7" s="15"/>
      <c r="L7" s="15"/>
      <c r="M7" s="15"/>
      <c r="N7" s="15"/>
      <c r="O7" s="13"/>
    </row>
    <row r="8" spans="2:18" ht="13.5" thickBot="1" x14ac:dyDescent="0.25">
      <c r="B8" s="10" t="s">
        <v>3</v>
      </c>
      <c r="C8" s="17" t="s">
        <v>79</v>
      </c>
      <c r="D8" s="10" t="s">
        <v>4</v>
      </c>
      <c r="E8" s="17" t="s">
        <v>2</v>
      </c>
      <c r="F8" s="10" t="s">
        <v>1</v>
      </c>
      <c r="G8" s="66" t="s">
        <v>15</v>
      </c>
      <c r="J8" s="10" t="s">
        <v>3</v>
      </c>
      <c r="K8" s="17" t="s">
        <v>79</v>
      </c>
      <c r="L8" s="10" t="s">
        <v>4</v>
      </c>
      <c r="M8" s="17" t="s">
        <v>2</v>
      </c>
      <c r="N8" s="10" t="s">
        <v>1</v>
      </c>
      <c r="O8" s="66" t="s">
        <v>15</v>
      </c>
    </row>
    <row r="9" spans="2:18" x14ac:dyDescent="0.2">
      <c r="B9" s="56" t="s">
        <v>16</v>
      </c>
      <c r="C9" s="48"/>
      <c r="D9" s="48"/>
      <c r="E9" s="50"/>
      <c r="F9" s="67"/>
      <c r="G9" s="67"/>
      <c r="J9" s="56" t="s">
        <v>16</v>
      </c>
      <c r="K9" s="48"/>
      <c r="L9" s="48"/>
      <c r="M9" s="50"/>
      <c r="N9" s="67"/>
      <c r="O9" s="67"/>
    </row>
    <row r="10" spans="2:18" x14ac:dyDescent="0.2">
      <c r="B10" s="74" t="s">
        <v>81</v>
      </c>
      <c r="C10" s="12"/>
      <c r="D10" s="19"/>
      <c r="E10" s="75"/>
      <c r="F10" s="80"/>
      <c r="G10" s="68"/>
      <c r="J10" s="74" t="s">
        <v>81</v>
      </c>
      <c r="K10" s="12"/>
      <c r="L10" s="19"/>
      <c r="M10" s="75"/>
      <c r="N10" s="80"/>
      <c r="O10" s="68"/>
    </row>
    <row r="11" spans="2:18" x14ac:dyDescent="0.2">
      <c r="B11" s="364" t="s">
        <v>342</v>
      </c>
      <c r="C11" s="14">
        <v>1</v>
      </c>
      <c r="D11" s="14" t="s">
        <v>82</v>
      </c>
      <c r="E11" s="77">
        <v>120000</v>
      </c>
      <c r="F11" s="81">
        <f>C11*E11</f>
        <v>120000</v>
      </c>
      <c r="G11" s="69">
        <f>F11/F26</f>
        <v>0.15981567924993176</v>
      </c>
      <c r="I11">
        <f>105000*1.045</f>
        <v>109724.99999999999</v>
      </c>
      <c r="J11" s="76" t="s">
        <v>95</v>
      </c>
      <c r="K11" s="14">
        <v>1</v>
      </c>
      <c r="L11" s="14" t="s">
        <v>82</v>
      </c>
      <c r="M11" s="77">
        <v>196501</v>
      </c>
      <c r="N11" s="81">
        <f>K11*M11</f>
        <v>196501</v>
      </c>
      <c r="O11" s="69">
        <f>N11/N26</f>
        <v>0.26072690024493611</v>
      </c>
      <c r="Q11">
        <v>60000</v>
      </c>
    </row>
    <row r="12" spans="2:18" x14ac:dyDescent="0.2">
      <c r="B12" s="364" t="s">
        <v>340</v>
      </c>
      <c r="C12" s="14">
        <v>1</v>
      </c>
      <c r="D12" s="14" t="s">
        <v>82</v>
      </c>
      <c r="E12" s="59">
        <f>'Mano de Obra (JORNAL)'!E32</f>
        <v>47165</v>
      </c>
      <c r="F12" s="59">
        <f>C12*E12</f>
        <v>47165</v>
      </c>
      <c r="G12" s="69">
        <f>F12/F26</f>
        <v>6.2814220931858594E-2</v>
      </c>
      <c r="J12" s="76" t="s">
        <v>90</v>
      </c>
      <c r="K12" s="14">
        <v>1</v>
      </c>
      <c r="L12" s="14" t="s">
        <v>82</v>
      </c>
      <c r="M12" s="59">
        <f>E12</f>
        <v>47165</v>
      </c>
      <c r="N12" s="81">
        <f>K12*M12</f>
        <v>47165</v>
      </c>
      <c r="O12" s="69">
        <f>N12/N26</f>
        <v>6.2580771853845071E-2</v>
      </c>
      <c r="Q12">
        <v>32000</v>
      </c>
    </row>
    <row r="13" spans="2:18" x14ac:dyDescent="0.2">
      <c r="B13" s="78" t="s">
        <v>83</v>
      </c>
      <c r="C13" s="4">
        <f>SUM(C11:C12)</f>
        <v>2</v>
      </c>
      <c r="D13" s="19"/>
      <c r="E13" s="77"/>
      <c r="F13" s="82">
        <f>SUM(F11:F12)</f>
        <v>167165</v>
      </c>
      <c r="G13" s="70">
        <f>F13/F26</f>
        <v>0.22262990018179032</v>
      </c>
      <c r="J13" s="78" t="s">
        <v>83</v>
      </c>
      <c r="K13" s="4">
        <f>SUM(K11:K12)</f>
        <v>2</v>
      </c>
      <c r="L13" s="19"/>
      <c r="M13" s="77"/>
      <c r="N13" s="82">
        <f>SUM(N11:N12)</f>
        <v>243666</v>
      </c>
      <c r="O13" s="70">
        <f>N13/N26</f>
        <v>0.32330767209878114</v>
      </c>
      <c r="Q13">
        <f>SUM(Q11:Q12)</f>
        <v>92000</v>
      </c>
      <c r="R13" s="64" t="s">
        <v>344</v>
      </c>
    </row>
    <row r="14" spans="2:18" x14ac:dyDescent="0.2">
      <c r="B14" s="74" t="s">
        <v>84</v>
      </c>
      <c r="C14" s="12"/>
      <c r="D14" s="19"/>
      <c r="E14" s="77"/>
      <c r="F14" s="83"/>
      <c r="G14" s="71"/>
      <c r="J14" s="74" t="s">
        <v>84</v>
      </c>
      <c r="K14" s="12"/>
      <c r="L14" s="19"/>
      <c r="M14" s="77"/>
      <c r="N14" s="83"/>
      <c r="O14" s="71"/>
      <c r="Q14">
        <v>104501</v>
      </c>
      <c r="R14" s="64" t="s">
        <v>345</v>
      </c>
    </row>
    <row r="15" spans="2:18" x14ac:dyDescent="0.2">
      <c r="B15" s="76" t="s">
        <v>85</v>
      </c>
      <c r="C15" s="14">
        <v>1</v>
      </c>
      <c r="D15" s="14" t="s">
        <v>86</v>
      </c>
      <c r="E15" s="77">
        <v>110500</v>
      </c>
      <c r="F15" s="81">
        <f>C15*E15</f>
        <v>110500</v>
      </c>
      <c r="G15" s="69">
        <f>F15/F26</f>
        <v>0.1471636046426455</v>
      </c>
      <c r="I15">
        <v>104500</v>
      </c>
      <c r="J15" s="76" t="s">
        <v>85</v>
      </c>
      <c r="K15" s="14">
        <v>1</v>
      </c>
      <c r="L15" s="14" t="s">
        <v>86</v>
      </c>
      <c r="M15" s="77">
        <v>80000</v>
      </c>
      <c r="N15" s="81">
        <f>K15*M15</f>
        <v>80000</v>
      </c>
      <c r="O15" s="69">
        <f>N15/N26</f>
        <v>0.10614781614136766</v>
      </c>
      <c r="Q15" s="226">
        <f>SUM(Q13:Q14)</f>
        <v>196501</v>
      </c>
    </row>
    <row r="16" spans="2:18" x14ac:dyDescent="0.2">
      <c r="B16" s="76" t="s">
        <v>104</v>
      </c>
      <c r="C16" s="14">
        <v>20</v>
      </c>
      <c r="D16" s="14" t="s">
        <v>92</v>
      </c>
      <c r="E16" s="77">
        <v>4500</v>
      </c>
      <c r="F16" s="81">
        <f>C16*E16</f>
        <v>90000</v>
      </c>
      <c r="G16" s="69">
        <f>F16/F26</f>
        <v>0.11986175943744881</v>
      </c>
      <c r="I16">
        <f>4000*1.045</f>
        <v>4180</v>
      </c>
      <c r="J16" s="76" t="s">
        <v>104</v>
      </c>
      <c r="K16" s="14">
        <v>16</v>
      </c>
      <c r="L16" s="14" t="s">
        <v>92</v>
      </c>
      <c r="M16" s="77">
        <v>4500</v>
      </c>
      <c r="N16" s="81">
        <f>K16*M16</f>
        <v>72000</v>
      </c>
      <c r="O16" s="69">
        <f>N16/N26</f>
        <v>9.5533034527230901E-2</v>
      </c>
    </row>
    <row r="17" spans="2:15" x14ac:dyDescent="0.2">
      <c r="B17" s="76" t="s">
        <v>91</v>
      </c>
      <c r="C17" s="14" t="s">
        <v>93</v>
      </c>
      <c r="D17" s="14" t="s">
        <v>93</v>
      </c>
      <c r="E17" s="77">
        <v>66200</v>
      </c>
      <c r="F17" s="81">
        <f>E17</f>
        <v>66200</v>
      </c>
      <c r="G17" s="69">
        <f>F17/F26</f>
        <v>8.8164983052879009E-2</v>
      </c>
      <c r="I17">
        <f>60000*1.045</f>
        <v>62699.999999999993</v>
      </c>
      <c r="J17" s="76" t="s">
        <v>91</v>
      </c>
      <c r="K17" s="14" t="s">
        <v>93</v>
      </c>
      <c r="L17" s="14" t="s">
        <v>93</v>
      </c>
      <c r="M17" s="77">
        <v>40000</v>
      </c>
      <c r="N17" s="81">
        <f>M17</f>
        <v>40000</v>
      </c>
      <c r="O17" s="69">
        <f>N17/N26</f>
        <v>5.307390807068383E-2</v>
      </c>
    </row>
    <row r="18" spans="2:15" x14ac:dyDescent="0.2">
      <c r="B18" s="76" t="s">
        <v>87</v>
      </c>
      <c r="C18" s="14">
        <v>1</v>
      </c>
      <c r="D18" s="14" t="s">
        <v>86</v>
      </c>
      <c r="E18" s="77">
        <v>66200</v>
      </c>
      <c r="F18" s="81">
        <f>E18</f>
        <v>66200</v>
      </c>
      <c r="G18" s="69">
        <f>F18/F26</f>
        <v>8.8164983052879009E-2</v>
      </c>
      <c r="J18" s="76" t="s">
        <v>87</v>
      </c>
      <c r="K18" s="14">
        <v>1</v>
      </c>
      <c r="L18" s="14" t="s">
        <v>86</v>
      </c>
      <c r="M18" s="77">
        <v>40000</v>
      </c>
      <c r="N18" s="81">
        <f>K18*M18</f>
        <v>40000</v>
      </c>
      <c r="O18" s="69">
        <f>N18/N26</f>
        <v>5.307390807068383E-2</v>
      </c>
    </row>
    <row r="19" spans="2:15" x14ac:dyDescent="0.2">
      <c r="B19" s="78" t="s">
        <v>13</v>
      </c>
      <c r="C19" s="14"/>
      <c r="D19" s="14"/>
      <c r="E19" s="77"/>
      <c r="F19" s="82">
        <f>SUM(F15:F18)</f>
        <v>332900</v>
      </c>
      <c r="G19" s="70">
        <f>F19/F26</f>
        <v>0.44335533018585233</v>
      </c>
      <c r="I19">
        <f>62700*1.055</f>
        <v>66148.5</v>
      </c>
      <c r="J19" s="78" t="s">
        <v>13</v>
      </c>
      <c r="K19" s="14"/>
      <c r="L19" s="14"/>
      <c r="M19" s="77"/>
      <c r="N19" s="82">
        <f>SUM(N15:N18)</f>
        <v>232000</v>
      </c>
      <c r="O19" s="70">
        <f>N19/N26</f>
        <v>0.30782866680996623</v>
      </c>
    </row>
    <row r="20" spans="2:15" ht="13.5" thickBot="1" x14ac:dyDescent="0.25">
      <c r="B20" s="74" t="s">
        <v>20</v>
      </c>
      <c r="C20" s="14"/>
      <c r="D20" s="14"/>
      <c r="E20" s="77"/>
      <c r="F20" s="82">
        <f>F13+F19</f>
        <v>500065</v>
      </c>
      <c r="G20" s="70">
        <f>F20/F26</f>
        <v>0.66598523036764268</v>
      </c>
      <c r="J20" s="74" t="s">
        <v>20</v>
      </c>
      <c r="K20" s="14"/>
      <c r="L20" s="14"/>
      <c r="M20" s="77"/>
      <c r="N20" s="82">
        <f>N13+N19</f>
        <v>475666</v>
      </c>
      <c r="O20" s="70">
        <f>N20/N26</f>
        <v>0.63113633890874743</v>
      </c>
    </row>
    <row r="21" spans="2:15" x14ac:dyDescent="0.2">
      <c r="B21" s="56" t="s">
        <v>19</v>
      </c>
      <c r="C21" s="48"/>
      <c r="D21" s="48"/>
      <c r="E21" s="50"/>
      <c r="F21" s="84"/>
      <c r="G21" s="72"/>
      <c r="J21" s="56" t="s">
        <v>19</v>
      </c>
      <c r="K21" s="48"/>
      <c r="L21" s="48"/>
      <c r="M21" s="50"/>
      <c r="N21" s="84"/>
      <c r="O21" s="72"/>
    </row>
    <row r="22" spans="2:15" x14ac:dyDescent="0.2">
      <c r="B22" s="74" t="s">
        <v>96</v>
      </c>
      <c r="C22" s="4"/>
      <c r="D22" s="19"/>
      <c r="E22" s="77"/>
      <c r="F22" s="82"/>
      <c r="G22" s="70"/>
      <c r="J22" s="74" t="s">
        <v>96</v>
      </c>
      <c r="K22" s="4"/>
      <c r="L22" s="19"/>
      <c r="M22" s="77"/>
      <c r="N22" s="82"/>
      <c r="O22" s="70"/>
    </row>
    <row r="23" spans="2:15" x14ac:dyDescent="0.2">
      <c r="B23" s="76" t="s">
        <v>94</v>
      </c>
      <c r="C23" s="14">
        <v>1</v>
      </c>
      <c r="D23" s="19" t="s">
        <v>80</v>
      </c>
      <c r="E23" s="77">
        <v>140000</v>
      </c>
      <c r="F23" s="81">
        <v>146300</v>
      </c>
      <c r="G23" s="69">
        <f>F23/F26</f>
        <v>0.19484194895220847</v>
      </c>
      <c r="I23">
        <f>140000*1.045</f>
        <v>146300</v>
      </c>
      <c r="J23" s="76" t="s">
        <v>106</v>
      </c>
      <c r="K23" s="14">
        <v>1</v>
      </c>
      <c r="L23" s="19" t="s">
        <v>80</v>
      </c>
      <c r="M23" s="77">
        <v>150000</v>
      </c>
      <c r="N23" s="81">
        <f>K23*M23</f>
        <v>150000</v>
      </c>
      <c r="O23" s="69">
        <f>N23/N26</f>
        <v>0.19902715526506437</v>
      </c>
    </row>
    <row r="24" spans="2:15" x14ac:dyDescent="0.2">
      <c r="B24" s="79" t="s">
        <v>88</v>
      </c>
      <c r="C24" s="14">
        <v>20</v>
      </c>
      <c r="D24" s="14" t="s">
        <v>89</v>
      </c>
      <c r="E24" s="77">
        <v>4000</v>
      </c>
      <c r="F24" s="81">
        <v>104500</v>
      </c>
      <c r="G24" s="69">
        <f>F24/F26</f>
        <v>0.13917282068014888</v>
      </c>
      <c r="J24" s="76" t="s">
        <v>88</v>
      </c>
      <c r="K24" s="14">
        <v>16</v>
      </c>
      <c r="L24" s="14" t="s">
        <v>89</v>
      </c>
      <c r="M24" s="77">
        <v>8000</v>
      </c>
      <c r="N24" s="81">
        <f>K24*M24</f>
        <v>128000</v>
      </c>
      <c r="O24" s="69">
        <f>N24/N26</f>
        <v>0.16983650582618826</v>
      </c>
    </row>
    <row r="25" spans="2:15" ht="13.5" thickBot="1" x14ac:dyDescent="0.25">
      <c r="B25" s="85" t="s">
        <v>14</v>
      </c>
      <c r="C25" s="86"/>
      <c r="D25" s="86"/>
      <c r="E25" s="87"/>
      <c r="F25" s="82">
        <f>F23+F24</f>
        <v>250800</v>
      </c>
      <c r="G25" s="69">
        <f>F25/F26</f>
        <v>0.33401476963235732</v>
      </c>
      <c r="J25" s="85" t="s">
        <v>14</v>
      </c>
      <c r="K25" s="86"/>
      <c r="L25" s="86"/>
      <c r="M25" s="87"/>
      <c r="N25" s="82">
        <f>N23+N24</f>
        <v>278000</v>
      </c>
      <c r="O25" s="69">
        <f>N25/N26</f>
        <v>0.36886366109125263</v>
      </c>
    </row>
    <row r="26" spans="2:15" ht="13.5" thickBot="1" x14ac:dyDescent="0.25">
      <c r="B26" s="666" t="s">
        <v>105</v>
      </c>
      <c r="C26" s="667"/>
      <c r="D26" s="667"/>
      <c r="E26" s="668"/>
      <c r="F26" s="95">
        <f>F13+F19+F25</f>
        <v>750865</v>
      </c>
      <c r="G26" s="73">
        <f>G20+G25</f>
        <v>1</v>
      </c>
      <c r="J26" s="666" t="s">
        <v>105</v>
      </c>
      <c r="K26" s="667"/>
      <c r="L26" s="667"/>
      <c r="M26" s="668"/>
      <c r="N26" s="95">
        <f>N13+N19+N25</f>
        <v>753666</v>
      </c>
      <c r="O26" s="73">
        <f>O20+O25</f>
        <v>1</v>
      </c>
    </row>
    <row r="27" spans="2:15" ht="13.5" thickBot="1" x14ac:dyDescent="0.25">
      <c r="I27">
        <f>I15*1.055</f>
        <v>110247.5</v>
      </c>
    </row>
    <row r="28" spans="2:15" ht="13.5" thickBot="1" x14ac:dyDescent="0.25">
      <c r="F28" s="365">
        <f>F26</f>
        <v>750865</v>
      </c>
      <c r="G28" s="365" t="s">
        <v>346</v>
      </c>
      <c r="N28" s="365">
        <f>N26</f>
        <v>753666</v>
      </c>
      <c r="O28" s="291" t="s">
        <v>346</v>
      </c>
    </row>
    <row r="29" spans="2:15" ht="13.5" thickBot="1" x14ac:dyDescent="0.25"/>
    <row r="30" spans="2:15" ht="13.5" thickBot="1" x14ac:dyDescent="0.25">
      <c r="F30" s="233"/>
      <c r="G30" s="366"/>
      <c r="N30" s="365">
        <f>N28*1.13</f>
        <v>851642.58</v>
      </c>
      <c r="O30" s="366" t="s">
        <v>347</v>
      </c>
    </row>
    <row r="31" spans="2:15" ht="192" thickBot="1" x14ac:dyDescent="0.25">
      <c r="B31" s="368" t="s">
        <v>349</v>
      </c>
      <c r="C31" s="292"/>
      <c r="G31" s="26"/>
      <c r="J31" s="367" t="s">
        <v>350</v>
      </c>
      <c r="N31" s="1"/>
    </row>
    <row r="34" spans="2:9" x14ac:dyDescent="0.2">
      <c r="B34" s="655" t="s">
        <v>58</v>
      </c>
      <c r="C34" s="655"/>
      <c r="D34" s="655"/>
      <c r="E34" s="655"/>
      <c r="F34" s="655"/>
      <c r="G34" s="655"/>
      <c r="H34" s="566"/>
    </row>
    <row r="35" spans="2:9" x14ac:dyDescent="0.2">
      <c r="B35" s="655">
        <v>2019</v>
      </c>
      <c r="C35" s="655"/>
      <c r="D35" s="655"/>
      <c r="E35" s="655"/>
      <c r="F35" s="655"/>
      <c r="G35" s="655"/>
      <c r="H35" s="13"/>
    </row>
    <row r="36" spans="2:9" x14ac:dyDescent="0.2">
      <c r="B36" s="629" t="s">
        <v>115</v>
      </c>
      <c r="C36" s="629"/>
      <c r="D36" s="629"/>
      <c r="E36" s="629"/>
      <c r="F36" s="629"/>
      <c r="G36" s="629"/>
      <c r="H36" s="15"/>
    </row>
    <row r="37" spans="2:9" x14ac:dyDescent="0.2">
      <c r="B37" s="642" t="s">
        <v>135</v>
      </c>
      <c r="C37" s="643"/>
      <c r="D37" s="643"/>
      <c r="E37" s="643"/>
      <c r="F37" s="643"/>
      <c r="G37" s="643"/>
      <c r="H37" s="15"/>
    </row>
    <row r="38" spans="2:9" x14ac:dyDescent="0.2">
      <c r="B38" s="37"/>
      <c r="C38" s="37"/>
      <c r="D38" s="37"/>
      <c r="E38" s="37"/>
      <c r="F38" s="37"/>
      <c r="G38" s="37"/>
    </row>
    <row r="39" spans="2:9" x14ac:dyDescent="0.2">
      <c r="B39" s="16"/>
      <c r="C39" s="561"/>
      <c r="D39" s="561"/>
      <c r="E39" s="561"/>
      <c r="F39" s="561"/>
      <c r="G39" s="32"/>
    </row>
    <row r="40" spans="2:9" x14ac:dyDescent="0.2">
      <c r="B40" s="125" t="s">
        <v>3</v>
      </c>
      <c r="C40" s="125" t="s">
        <v>79</v>
      </c>
      <c r="D40" s="125" t="s">
        <v>4</v>
      </c>
      <c r="E40" s="125" t="s">
        <v>2</v>
      </c>
      <c r="F40" s="125" t="s">
        <v>57</v>
      </c>
      <c r="G40" s="125" t="s">
        <v>15</v>
      </c>
    </row>
    <row r="41" spans="2:9" x14ac:dyDescent="0.2">
      <c r="B41" s="3" t="s">
        <v>16</v>
      </c>
      <c r="C41" s="12"/>
      <c r="D41" s="12"/>
      <c r="E41" s="12"/>
      <c r="F41" s="12"/>
      <c r="G41" s="12"/>
    </row>
    <row r="42" spans="2:9" x14ac:dyDescent="0.2">
      <c r="B42" s="3" t="s">
        <v>81</v>
      </c>
      <c r="C42" s="12"/>
      <c r="D42" s="19"/>
      <c r="E42" s="12"/>
      <c r="F42" s="12"/>
      <c r="G42" s="12"/>
    </row>
    <row r="43" spans="2:9" x14ac:dyDescent="0.2">
      <c r="B43" s="158" t="s">
        <v>342</v>
      </c>
      <c r="C43" s="14">
        <v>1</v>
      </c>
      <c r="D43" s="14" t="s">
        <v>82</v>
      </c>
      <c r="E43" s="14">
        <v>120000</v>
      </c>
      <c r="F43" s="14">
        <f>C43*E43</f>
        <v>120000</v>
      </c>
      <c r="G43" s="27">
        <f>F43/F56</f>
        <v>0.25517527351599628</v>
      </c>
      <c r="I43">
        <f>105000*1.045</f>
        <v>109724.99999999999</v>
      </c>
    </row>
    <row r="44" spans="2:9" x14ac:dyDescent="0.2">
      <c r="B44" s="12" t="s">
        <v>90</v>
      </c>
      <c r="C44" s="14">
        <v>1</v>
      </c>
      <c r="D44" s="14" t="s">
        <v>82</v>
      </c>
      <c r="E44" s="59">
        <f>'Mano de Obra (JORNAL)'!E32</f>
        <v>47165</v>
      </c>
      <c r="F44" s="59">
        <f>C44*E44</f>
        <v>47165</v>
      </c>
      <c r="G44" s="27">
        <f>F44/F56</f>
        <v>0.10029451479484972</v>
      </c>
    </row>
    <row r="45" spans="2:9" x14ac:dyDescent="0.2">
      <c r="B45" s="8" t="s">
        <v>83</v>
      </c>
      <c r="C45" s="4">
        <f>SUM(C43:C44)</f>
        <v>2</v>
      </c>
      <c r="D45" s="19"/>
      <c r="E45" s="14"/>
      <c r="F45" s="4">
        <f>SUM(F43:F44)</f>
        <v>167165</v>
      </c>
      <c r="G45" s="5">
        <f>F45/F56</f>
        <v>0.35546978831084602</v>
      </c>
    </row>
    <row r="46" spans="2:9" x14ac:dyDescent="0.2">
      <c r="B46" s="3" t="s">
        <v>84</v>
      </c>
      <c r="C46" s="12"/>
      <c r="D46" s="19"/>
      <c r="E46" s="14"/>
      <c r="F46" s="19"/>
      <c r="G46" s="52"/>
    </row>
    <row r="47" spans="2:9" x14ac:dyDescent="0.2">
      <c r="B47" s="12" t="s">
        <v>104</v>
      </c>
      <c r="C47" s="14">
        <v>20</v>
      </c>
      <c r="D47" s="14" t="s">
        <v>92</v>
      </c>
      <c r="E47" s="14">
        <v>4500</v>
      </c>
      <c r="F47" s="14">
        <f>C47*E47</f>
        <v>90000</v>
      </c>
      <c r="G47" s="27">
        <f>F47/F56</f>
        <v>0.19138145513699722</v>
      </c>
      <c r="I47">
        <f>4000*1.045</f>
        <v>4180</v>
      </c>
    </row>
    <row r="48" spans="2:9" x14ac:dyDescent="0.2">
      <c r="B48" s="12" t="s">
        <v>91</v>
      </c>
      <c r="C48" s="14" t="s">
        <v>93</v>
      </c>
      <c r="D48" s="14" t="s">
        <v>93</v>
      </c>
      <c r="E48" s="14">
        <v>33100</v>
      </c>
      <c r="F48" s="14">
        <f>E48</f>
        <v>33100</v>
      </c>
      <c r="G48" s="27">
        <f>F48/F56</f>
        <v>7.0385846278162315E-2</v>
      </c>
      <c r="I48">
        <f>20000*1.045</f>
        <v>20900</v>
      </c>
    </row>
    <row r="49" spans="2:16" x14ac:dyDescent="0.2">
      <c r="B49" s="8" t="s">
        <v>13</v>
      </c>
      <c r="C49" s="14"/>
      <c r="D49" s="14"/>
      <c r="E49" s="14"/>
      <c r="F49" s="4">
        <f>SUM(F47:F48)</f>
        <v>123100</v>
      </c>
      <c r="G49" s="5">
        <f>F49/F56</f>
        <v>0.26176730141515953</v>
      </c>
      <c r="I49">
        <f>I48*1.055</f>
        <v>22049.5</v>
      </c>
    </row>
    <row r="50" spans="2:16" x14ac:dyDescent="0.2">
      <c r="B50" s="3" t="s">
        <v>20</v>
      </c>
      <c r="C50" s="14"/>
      <c r="D50" s="14"/>
      <c r="E50" s="14"/>
      <c r="F50" s="4">
        <f>F45+F49</f>
        <v>290265</v>
      </c>
      <c r="G50" s="5">
        <f>F50/F56</f>
        <v>0.61723708972600555</v>
      </c>
    </row>
    <row r="51" spans="2:16" x14ac:dyDescent="0.2">
      <c r="B51" s="3" t="s">
        <v>19</v>
      </c>
      <c r="C51" s="12"/>
      <c r="D51" s="12"/>
      <c r="E51" s="12"/>
      <c r="F51" s="19"/>
      <c r="G51" s="52"/>
    </row>
    <row r="52" spans="2:16" x14ac:dyDescent="0.2">
      <c r="B52" s="3" t="s">
        <v>96</v>
      </c>
      <c r="C52" s="4"/>
      <c r="D52" s="19"/>
      <c r="E52" s="14"/>
      <c r="F52" s="4"/>
      <c r="G52" s="5"/>
    </row>
    <row r="53" spans="2:16" x14ac:dyDescent="0.2">
      <c r="B53" s="158" t="s">
        <v>343</v>
      </c>
      <c r="C53" s="14">
        <v>1</v>
      </c>
      <c r="D53" s="19" t="s">
        <v>80</v>
      </c>
      <c r="E53" s="14">
        <v>90000</v>
      </c>
      <c r="F53" s="14">
        <f>E53*C53</f>
        <v>90000</v>
      </c>
      <c r="G53" s="27">
        <f>F53/F56</f>
        <v>0.19138145513699722</v>
      </c>
      <c r="I53">
        <f>80000*1.045</f>
        <v>83600</v>
      </c>
    </row>
    <row r="54" spans="2:16" x14ac:dyDescent="0.2">
      <c r="B54" s="110" t="s">
        <v>88</v>
      </c>
      <c r="C54" s="14">
        <v>20</v>
      </c>
      <c r="D54" s="14" t="s">
        <v>89</v>
      </c>
      <c r="E54" s="14">
        <v>4500</v>
      </c>
      <c r="F54" s="14">
        <f>C54*E54</f>
        <v>90000</v>
      </c>
      <c r="G54" s="27">
        <f>F54/F56</f>
        <v>0.19138145513699722</v>
      </c>
      <c r="I54">
        <f>3000*1.045</f>
        <v>3135</v>
      </c>
    </row>
    <row r="55" spans="2:16" x14ac:dyDescent="0.2">
      <c r="B55" s="3" t="s">
        <v>14</v>
      </c>
      <c r="C55" s="14"/>
      <c r="D55" s="14"/>
      <c r="E55" s="14"/>
      <c r="F55" s="4">
        <f>F53+F54</f>
        <v>180000</v>
      </c>
      <c r="G55" s="27">
        <f>F55/F56</f>
        <v>0.38276291027399445</v>
      </c>
    </row>
    <row r="56" spans="2:16" x14ac:dyDescent="0.2">
      <c r="B56" s="658" t="s">
        <v>105</v>
      </c>
      <c r="C56" s="658"/>
      <c r="D56" s="658"/>
      <c r="E56" s="658"/>
      <c r="F56" s="4">
        <f>ROUND(F45+F49+F55,0)</f>
        <v>470265</v>
      </c>
      <c r="G56" s="5">
        <f>G50+G55</f>
        <v>1</v>
      </c>
    </row>
    <row r="57" spans="2:16" x14ac:dyDescent="0.2">
      <c r="B57" s="569"/>
      <c r="C57" s="8"/>
      <c r="D57" s="8"/>
      <c r="E57" s="8"/>
      <c r="F57" s="4">
        <f>F56</f>
        <v>470265</v>
      </c>
      <c r="G57" s="5"/>
    </row>
    <row r="58" spans="2:16" x14ac:dyDescent="0.2">
      <c r="B58" s="524"/>
      <c r="C58" s="524"/>
      <c r="D58" s="524"/>
      <c r="E58" s="524"/>
      <c r="F58" s="25"/>
      <c r="G58" s="525"/>
    </row>
    <row r="59" spans="2:16" ht="13.5" thickBot="1" x14ac:dyDescent="0.25">
      <c r="I59">
        <f>I53*1.055</f>
        <v>88198</v>
      </c>
    </row>
    <row r="60" spans="2:16" ht="13.5" thickBot="1" x14ac:dyDescent="0.25">
      <c r="F60" s="233">
        <f>F56</f>
        <v>470265</v>
      </c>
      <c r="G60" s="291" t="s">
        <v>346</v>
      </c>
    </row>
    <row r="61" spans="2:16" ht="13.5" thickBot="1" x14ac:dyDescent="0.25"/>
    <row r="62" spans="2:16" ht="13.5" thickBot="1" x14ac:dyDescent="0.25">
      <c r="B62" s="64"/>
      <c r="F62" s="233"/>
      <c r="G62" s="26" t="s">
        <v>180</v>
      </c>
    </row>
    <row r="63" spans="2:16" ht="13.5" thickBot="1" x14ac:dyDescent="0.25">
      <c r="G63" s="26">
        <v>0.13</v>
      </c>
    </row>
    <row r="64" spans="2:16" ht="115.5" thickBot="1" x14ac:dyDescent="0.25">
      <c r="B64" s="367" t="s">
        <v>348</v>
      </c>
      <c r="K64" s="132"/>
      <c r="L64" s="132"/>
      <c r="M64" s="132"/>
      <c r="N64" s="132"/>
      <c r="O64" s="132"/>
      <c r="P64" s="132"/>
    </row>
    <row r="65" spans="11:16" x14ac:dyDescent="0.2">
      <c r="K65" s="55"/>
      <c r="L65" s="32"/>
      <c r="M65" s="32"/>
      <c r="N65" s="32"/>
      <c r="O65" s="32"/>
      <c r="P65" s="32"/>
    </row>
    <row r="66" spans="11:16" x14ac:dyDescent="0.2">
      <c r="K66" s="55"/>
      <c r="L66" s="32"/>
      <c r="M66" s="131"/>
      <c r="N66" s="32"/>
      <c r="O66" s="32"/>
      <c r="P66" s="32"/>
    </row>
    <row r="67" spans="11:16" x14ac:dyDescent="0.2">
      <c r="K67" s="32"/>
      <c r="L67" s="133"/>
      <c r="M67" s="133"/>
      <c r="N67" s="133"/>
      <c r="O67" s="133"/>
      <c r="P67" s="134"/>
    </row>
    <row r="68" spans="11:16" x14ac:dyDescent="0.2">
      <c r="K68" s="32"/>
      <c r="L68" s="133"/>
      <c r="M68" s="133"/>
      <c r="N68" s="135"/>
      <c r="O68" s="135"/>
      <c r="P68" s="134"/>
    </row>
    <row r="69" spans="11:16" x14ac:dyDescent="0.2">
      <c r="K69" s="15"/>
      <c r="L69" s="25"/>
      <c r="M69" s="131"/>
      <c r="N69" s="133"/>
      <c r="O69" s="25"/>
      <c r="P69" s="26"/>
    </row>
    <row r="70" spans="11:16" x14ac:dyDescent="0.2">
      <c r="K70" s="55"/>
      <c r="L70" s="32"/>
      <c r="M70" s="131"/>
      <c r="N70" s="133"/>
      <c r="O70" s="131"/>
      <c r="P70" s="136"/>
    </row>
    <row r="71" spans="11:16" x14ac:dyDescent="0.2">
      <c r="K71" s="32"/>
      <c r="L71" s="133"/>
      <c r="M71" s="133"/>
      <c r="N71" s="133"/>
      <c r="O71" s="133"/>
      <c r="P71" s="134"/>
    </row>
    <row r="72" spans="11:16" x14ac:dyDescent="0.2">
      <c r="K72" s="32"/>
      <c r="L72" s="133"/>
      <c r="M72" s="133"/>
      <c r="N72" s="133"/>
      <c r="O72" s="133"/>
      <c r="P72" s="134"/>
    </row>
    <row r="73" spans="11:16" x14ac:dyDescent="0.2">
      <c r="K73" s="15"/>
      <c r="L73" s="133"/>
      <c r="M73" s="133"/>
      <c r="N73" s="133"/>
      <c r="O73" s="25"/>
      <c r="P73" s="26"/>
    </row>
    <row r="74" spans="11:16" x14ac:dyDescent="0.2">
      <c r="K74" s="55"/>
      <c r="L74" s="133"/>
      <c r="M74" s="133"/>
      <c r="N74" s="133"/>
      <c r="O74" s="25"/>
      <c r="P74" s="26"/>
    </row>
    <row r="75" spans="11:16" x14ac:dyDescent="0.2">
      <c r="K75" s="55"/>
      <c r="L75" s="32"/>
      <c r="M75" s="32"/>
      <c r="N75" s="32"/>
      <c r="O75" s="131"/>
      <c r="P75" s="136"/>
    </row>
    <row r="76" spans="11:16" x14ac:dyDescent="0.2">
      <c r="K76" s="55"/>
      <c r="L76" s="25"/>
      <c r="M76" s="131"/>
      <c r="N76" s="133"/>
      <c r="O76" s="25"/>
      <c r="P76" s="26"/>
    </row>
    <row r="77" spans="11:16" x14ac:dyDescent="0.2">
      <c r="K77" s="32"/>
      <c r="L77" s="133"/>
      <c r="M77" s="131"/>
      <c r="N77" s="133"/>
      <c r="O77" s="133"/>
      <c r="P77" s="134"/>
    </row>
    <row r="78" spans="11:16" x14ac:dyDescent="0.2">
      <c r="K78" s="137"/>
      <c r="L78" s="133"/>
      <c r="M78" s="133"/>
      <c r="N78" s="133"/>
      <c r="O78" s="133"/>
      <c r="P78" s="134"/>
    </row>
    <row r="79" spans="11:16" x14ac:dyDescent="0.2">
      <c r="K79" s="55"/>
      <c r="L79" s="133"/>
      <c r="M79" s="133"/>
      <c r="N79" s="133"/>
      <c r="O79" s="25"/>
      <c r="P79" s="134"/>
    </row>
    <row r="80" spans="11:16" x14ac:dyDescent="0.2">
      <c r="K80" s="629"/>
      <c r="L80" s="629"/>
      <c r="M80" s="629"/>
      <c r="N80" s="629"/>
      <c r="O80" s="138"/>
      <c r="P80" s="26"/>
    </row>
  </sheetData>
  <mergeCells count="14">
    <mergeCell ref="K80:N80"/>
    <mergeCell ref="B36:G36"/>
    <mergeCell ref="B37:G37"/>
    <mergeCell ref="B56:E56"/>
    <mergeCell ref="B34:G34"/>
    <mergeCell ref="B35:G35"/>
    <mergeCell ref="B2:H2"/>
    <mergeCell ref="J2:P2"/>
    <mergeCell ref="J4:O4"/>
    <mergeCell ref="J5:O5"/>
    <mergeCell ref="B26:E26"/>
    <mergeCell ref="B5:G5"/>
    <mergeCell ref="B4:G4"/>
    <mergeCell ref="J26:M26"/>
  </mergeCells>
  <phoneticPr fontId="0" type="noConversion"/>
  <pageMargins left="0.75" right="0.75" top="1" bottom="1" header="0" footer="0"/>
  <pageSetup scale="93" orientation="portrait" horizontalDpi="4294967294" r:id="rId1"/>
  <headerFooter alignWithMargins="0"/>
  <rowBreaks count="1" manualBreakCount="1">
    <brk id="33" max="16383" man="1"/>
  </rowBreaks>
  <colBreaks count="1" manualBreakCount="1">
    <brk id="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32"/>
  <sheetViews>
    <sheetView topLeftCell="A40" workbookViewId="0">
      <selection activeCell="E5" sqref="E5"/>
    </sheetView>
  </sheetViews>
  <sheetFormatPr baseColWidth="10" defaultRowHeight="12.75" x14ac:dyDescent="0.2"/>
  <cols>
    <col min="1" max="1" width="33.5703125" customWidth="1"/>
    <col min="2" max="2" width="15.5703125" customWidth="1"/>
    <col min="5" max="5" width="22.28515625" customWidth="1"/>
    <col min="7" max="7" width="35.7109375" bestFit="1" customWidth="1"/>
    <col min="11" max="11" width="18" customWidth="1"/>
  </cols>
  <sheetData>
    <row r="1" spans="1:11" ht="13.5" thickBot="1" x14ac:dyDescent="0.25"/>
    <row r="2" spans="1:11" ht="17.25" thickBot="1" x14ac:dyDescent="0.35">
      <c r="A2" s="609" t="s">
        <v>575</v>
      </c>
      <c r="B2" s="610"/>
      <c r="C2" s="610"/>
      <c r="D2" s="611"/>
      <c r="G2" s="609" t="s">
        <v>576</v>
      </c>
      <c r="H2" s="610"/>
      <c r="I2" s="610"/>
      <c r="J2" s="611"/>
    </row>
    <row r="3" spans="1:11" ht="16.5" x14ac:dyDescent="0.3">
      <c r="A3" s="239"/>
      <c r="B3" s="239"/>
      <c r="C3" s="239"/>
      <c r="D3" s="239"/>
      <c r="E3" s="239"/>
      <c r="G3" s="239"/>
      <c r="H3" s="239"/>
      <c r="I3" s="239"/>
      <c r="J3" s="239"/>
      <c r="K3" s="239"/>
    </row>
    <row r="4" spans="1:11" ht="16.5" x14ac:dyDescent="0.3">
      <c r="A4" s="604" t="s">
        <v>234</v>
      </c>
      <c r="B4" s="605"/>
      <c r="C4" s="239"/>
      <c r="D4" s="239"/>
      <c r="E4" s="239"/>
      <c r="G4" s="605" t="s">
        <v>234</v>
      </c>
      <c r="H4" s="605"/>
      <c r="I4" s="239"/>
      <c r="J4" s="239"/>
      <c r="K4" s="239"/>
    </row>
    <row r="5" spans="1:11" ht="16.5" x14ac:dyDescent="0.3">
      <c r="A5" s="239"/>
      <c r="B5" s="239"/>
      <c r="C5" s="614" t="s">
        <v>202</v>
      </c>
      <c r="D5" s="614"/>
      <c r="E5" s="239"/>
      <c r="G5" s="239"/>
      <c r="H5" s="239"/>
      <c r="I5" s="614" t="s">
        <v>202</v>
      </c>
      <c r="J5" s="614"/>
      <c r="K5" s="239"/>
    </row>
    <row r="6" spans="1:11" ht="16.5" x14ac:dyDescent="0.3">
      <c r="A6" s="240" t="s">
        <v>483</v>
      </c>
      <c r="B6" s="241">
        <v>2019</v>
      </c>
      <c r="C6" s="242" t="s">
        <v>204</v>
      </c>
      <c r="D6" s="243"/>
      <c r="E6" s="239"/>
      <c r="G6" s="240" t="s">
        <v>483</v>
      </c>
      <c r="H6" s="241">
        <v>2019</v>
      </c>
      <c r="I6" s="242" t="s">
        <v>204</v>
      </c>
      <c r="J6" s="243"/>
      <c r="K6" s="239"/>
    </row>
    <row r="7" spans="1:11" ht="16.5" x14ac:dyDescent="0.3">
      <c r="A7" s="244" t="s">
        <v>573</v>
      </c>
      <c r="B7" s="245">
        <v>2477825</v>
      </c>
      <c r="C7" s="242" t="s">
        <v>206</v>
      </c>
      <c r="D7" s="243"/>
      <c r="E7" s="239"/>
      <c r="G7" s="244" t="s">
        <v>574</v>
      </c>
      <c r="H7" s="245">
        <v>3101867</v>
      </c>
      <c r="I7" s="242" t="s">
        <v>206</v>
      </c>
      <c r="J7" s="243"/>
      <c r="K7" s="239"/>
    </row>
    <row r="8" spans="1:11" ht="16.5" x14ac:dyDescent="0.3">
      <c r="A8" s="240" t="s">
        <v>207</v>
      </c>
      <c r="B8" s="245">
        <v>300000</v>
      </c>
      <c r="C8" s="246" t="s">
        <v>433</v>
      </c>
      <c r="D8" s="243"/>
      <c r="E8" s="239"/>
      <c r="G8" s="240" t="s">
        <v>207</v>
      </c>
      <c r="H8" s="245">
        <v>0</v>
      </c>
      <c r="I8" s="246" t="s">
        <v>433</v>
      </c>
      <c r="J8" s="243"/>
      <c r="K8" s="239"/>
    </row>
    <row r="9" spans="1:11" ht="16.5" x14ac:dyDescent="0.3">
      <c r="A9" s="247" t="s">
        <v>208</v>
      </c>
      <c r="B9" s="241">
        <v>30</v>
      </c>
      <c r="C9" s="246" t="s">
        <v>475</v>
      </c>
      <c r="D9" s="243">
        <v>40000</v>
      </c>
      <c r="E9" s="239"/>
      <c r="G9" s="247" t="s">
        <v>208</v>
      </c>
      <c r="H9" s="241">
        <v>30</v>
      </c>
      <c r="I9" s="246" t="s">
        <v>475</v>
      </c>
      <c r="J9" s="243">
        <v>40000</v>
      </c>
      <c r="K9" s="239"/>
    </row>
    <row r="10" spans="1:11" ht="27" x14ac:dyDescent="0.3">
      <c r="A10" s="248" t="s">
        <v>210</v>
      </c>
      <c r="B10" s="241">
        <v>8</v>
      </c>
      <c r="C10" s="246" t="s">
        <v>211</v>
      </c>
      <c r="D10" s="243">
        <v>0</v>
      </c>
      <c r="E10" s="239"/>
      <c r="G10" s="248" t="s">
        <v>210</v>
      </c>
      <c r="H10" s="241">
        <v>8</v>
      </c>
      <c r="I10" s="246" t="s">
        <v>211</v>
      </c>
      <c r="J10" s="243">
        <v>0</v>
      </c>
      <c r="K10" s="239"/>
    </row>
    <row r="11" spans="1:11" ht="16.5" x14ac:dyDescent="0.3">
      <c r="A11" s="249"/>
      <c r="B11" s="250"/>
      <c r="C11" s="251" t="s">
        <v>57</v>
      </c>
      <c r="D11" s="243">
        <f>SUM(D6:D10)</f>
        <v>40000</v>
      </c>
      <c r="E11" s="239"/>
      <c r="G11" s="249"/>
      <c r="H11" s="250"/>
      <c r="I11" s="251" t="s">
        <v>57</v>
      </c>
      <c r="J11" s="243">
        <f>SUM(J6:J10)</f>
        <v>40000</v>
      </c>
      <c r="K11" s="239"/>
    </row>
    <row r="12" spans="1:11" ht="16.5" x14ac:dyDescent="0.3">
      <c r="A12" s="239"/>
      <c r="B12" s="239"/>
      <c r="C12" s="239"/>
      <c r="D12" s="239"/>
      <c r="E12" s="239"/>
      <c r="G12" s="239"/>
      <c r="H12" s="239"/>
      <c r="I12" s="239"/>
      <c r="J12" s="239"/>
      <c r="K12" s="239"/>
    </row>
    <row r="13" spans="1:11" ht="16.5" x14ac:dyDescent="0.3">
      <c r="A13" s="615" t="s">
        <v>212</v>
      </c>
      <c r="B13" s="615"/>
      <c r="C13" s="616" t="s">
        <v>213</v>
      </c>
      <c r="D13" s="617"/>
      <c r="E13" s="239"/>
      <c r="G13" s="615" t="s">
        <v>212</v>
      </c>
      <c r="H13" s="615"/>
      <c r="I13" s="616" t="s">
        <v>213</v>
      </c>
      <c r="J13" s="617"/>
      <c r="K13" s="239"/>
    </row>
    <row r="14" spans="1:11" ht="16.5" x14ac:dyDescent="0.3">
      <c r="A14" s="252" t="s">
        <v>214</v>
      </c>
      <c r="B14" s="253">
        <v>1</v>
      </c>
      <c r="C14" s="607">
        <f>B7</f>
        <v>2477825</v>
      </c>
      <c r="D14" s="608"/>
      <c r="E14" s="239"/>
      <c r="G14" s="252" t="s">
        <v>214</v>
      </c>
      <c r="H14" s="253">
        <v>1</v>
      </c>
      <c r="I14" s="607">
        <f>H7</f>
        <v>3101867</v>
      </c>
      <c r="J14" s="608"/>
      <c r="K14" s="239"/>
    </row>
    <row r="15" spans="1:11" ht="16.5" x14ac:dyDescent="0.3">
      <c r="A15" s="252" t="s">
        <v>215</v>
      </c>
      <c r="B15" s="253">
        <v>8.3299999999999999E-2</v>
      </c>
      <c r="C15" s="607">
        <f>$C$14*B15</f>
        <v>206402.82250000001</v>
      </c>
      <c r="D15" s="608"/>
      <c r="E15" s="239"/>
      <c r="G15" s="252" t="s">
        <v>215</v>
      </c>
      <c r="H15" s="253">
        <v>8.3299999999999999E-2</v>
      </c>
      <c r="I15" s="607">
        <f>$C$14*H15</f>
        <v>206402.82250000001</v>
      </c>
      <c r="J15" s="608"/>
      <c r="K15" s="239"/>
    </row>
    <row r="16" spans="1:11" ht="16.5" x14ac:dyDescent="0.3">
      <c r="A16" s="252" t="s">
        <v>216</v>
      </c>
      <c r="B16" s="253">
        <v>4.1700000000000001E-2</v>
      </c>
      <c r="C16" s="607">
        <f>$C$14*B16</f>
        <v>103325.30250000001</v>
      </c>
      <c r="D16" s="608"/>
      <c r="E16" s="239"/>
      <c r="G16" s="252" t="s">
        <v>216</v>
      </c>
      <c r="H16" s="253">
        <v>4.1700000000000001E-2</v>
      </c>
      <c r="I16" s="607">
        <f>$C$14*H16</f>
        <v>103325.30250000001</v>
      </c>
      <c r="J16" s="608"/>
      <c r="K16" s="239"/>
    </row>
    <row r="17" spans="1:11" ht="16.5" x14ac:dyDescent="0.3">
      <c r="A17" s="252" t="s">
        <v>217</v>
      </c>
      <c r="B17" s="253">
        <v>8.3299999999999999E-2</v>
      </c>
      <c r="C17" s="607">
        <f>$C$14*B17</f>
        <v>206402.82250000001</v>
      </c>
      <c r="D17" s="608"/>
      <c r="E17" s="239"/>
      <c r="G17" s="252" t="s">
        <v>217</v>
      </c>
      <c r="H17" s="253">
        <v>8.3299999999999999E-2</v>
      </c>
      <c r="I17" s="607">
        <f>$C$14*H17</f>
        <v>206402.82250000001</v>
      </c>
      <c r="J17" s="608"/>
      <c r="K17" s="239"/>
    </row>
    <row r="18" spans="1:11" ht="16.5" x14ac:dyDescent="0.3">
      <c r="A18" s="252" t="s">
        <v>218</v>
      </c>
      <c r="B18" s="253">
        <v>0.01</v>
      </c>
      <c r="C18" s="607">
        <f>$C$14*B18</f>
        <v>24778.25</v>
      </c>
      <c r="D18" s="608"/>
      <c r="E18" s="239"/>
      <c r="G18" s="252" t="s">
        <v>218</v>
      </c>
      <c r="H18" s="253">
        <v>0.01</v>
      </c>
      <c r="I18" s="607">
        <f>$C$14*H18</f>
        <v>24778.25</v>
      </c>
      <c r="J18" s="608"/>
      <c r="K18" s="239"/>
    </row>
    <row r="19" spans="1:11" ht="16.5" x14ac:dyDescent="0.3">
      <c r="A19" s="252" t="s">
        <v>219</v>
      </c>
      <c r="B19" s="253">
        <f>B8/B7</f>
        <v>0.12107392572114657</v>
      </c>
      <c r="C19" s="607">
        <f>B8</f>
        <v>300000</v>
      </c>
      <c r="D19" s="608"/>
      <c r="E19" s="239"/>
      <c r="G19" s="252" t="s">
        <v>219</v>
      </c>
      <c r="H19" s="253">
        <f>H8/H7</f>
        <v>0</v>
      </c>
      <c r="I19" s="607">
        <f>H8</f>
        <v>0</v>
      </c>
      <c r="J19" s="608"/>
      <c r="K19" s="239"/>
    </row>
    <row r="20" spans="1:11" ht="16.5" x14ac:dyDescent="0.3">
      <c r="A20" s="252" t="s">
        <v>220</v>
      </c>
      <c r="B20" s="253">
        <v>8.5000000000000006E-2</v>
      </c>
      <c r="C20" s="607">
        <f t="shared" ref="C20:C25" si="0">$C$14*B20</f>
        <v>210615.12500000003</v>
      </c>
      <c r="D20" s="608"/>
      <c r="E20" s="239"/>
      <c r="G20" s="252" t="s">
        <v>220</v>
      </c>
      <c r="H20" s="253">
        <v>8.5000000000000006E-2</v>
      </c>
      <c r="I20" s="607">
        <f t="shared" ref="I20:I25" si="1">$C$14*H20</f>
        <v>210615.12500000003</v>
      </c>
      <c r="J20" s="608"/>
      <c r="K20" s="239"/>
    </row>
    <row r="21" spans="1:11" ht="16.5" x14ac:dyDescent="0.3">
      <c r="A21" s="256" t="s">
        <v>221</v>
      </c>
      <c r="B21" s="253">
        <v>6.9599999999999995E-2</v>
      </c>
      <c r="C21" s="607">
        <f t="shared" si="0"/>
        <v>172456.62</v>
      </c>
      <c r="D21" s="608"/>
      <c r="E21" s="239"/>
      <c r="G21" s="256" t="s">
        <v>221</v>
      </c>
      <c r="H21" s="253">
        <v>6.9599999999999995E-2</v>
      </c>
      <c r="I21" s="607">
        <f t="shared" si="1"/>
        <v>172456.62</v>
      </c>
      <c r="J21" s="608"/>
      <c r="K21" s="239"/>
    </row>
    <row r="22" spans="1:11" ht="16.5" x14ac:dyDescent="0.3">
      <c r="A22" s="252" t="s">
        <v>222</v>
      </c>
      <c r="B22" s="257">
        <v>0.12</v>
      </c>
      <c r="C22" s="607">
        <f t="shared" si="0"/>
        <v>297339</v>
      </c>
      <c r="D22" s="608"/>
      <c r="E22" s="239"/>
      <c r="G22" s="252" t="s">
        <v>222</v>
      </c>
      <c r="H22" s="257">
        <v>0.12</v>
      </c>
      <c r="I22" s="607">
        <f t="shared" si="1"/>
        <v>297339</v>
      </c>
      <c r="J22" s="608"/>
      <c r="K22" s="239"/>
    </row>
    <row r="23" spans="1:11" ht="16.5" x14ac:dyDescent="0.3">
      <c r="A23" s="252" t="s">
        <v>223</v>
      </c>
      <c r="B23" s="253">
        <v>0.02</v>
      </c>
      <c r="C23" s="607">
        <f t="shared" si="0"/>
        <v>49556.5</v>
      </c>
      <c r="D23" s="608"/>
      <c r="E23" s="239"/>
      <c r="G23" s="252" t="s">
        <v>223</v>
      </c>
      <c r="H23" s="253">
        <v>0.02</v>
      </c>
      <c r="I23" s="607">
        <f t="shared" si="1"/>
        <v>49556.5</v>
      </c>
      <c r="J23" s="608"/>
      <c r="K23" s="239"/>
    </row>
    <row r="24" spans="1:11" ht="16.5" x14ac:dyDescent="0.3">
      <c r="A24" s="252" t="s">
        <v>224</v>
      </c>
      <c r="B24" s="253">
        <v>0.03</v>
      </c>
      <c r="C24" s="607">
        <f t="shared" si="0"/>
        <v>74334.75</v>
      </c>
      <c r="D24" s="608"/>
      <c r="E24" s="239"/>
      <c r="G24" s="252" t="s">
        <v>224</v>
      </c>
      <c r="H24" s="253">
        <v>0.03</v>
      </c>
      <c r="I24" s="607">
        <f t="shared" si="1"/>
        <v>74334.75</v>
      </c>
      <c r="J24" s="608"/>
      <c r="K24" s="239"/>
    </row>
    <row r="25" spans="1:11" ht="16.5" x14ac:dyDescent="0.3">
      <c r="A25" s="252" t="s">
        <v>225</v>
      </c>
      <c r="B25" s="253">
        <v>0.04</v>
      </c>
      <c r="C25" s="607">
        <f t="shared" si="0"/>
        <v>99113</v>
      </c>
      <c r="D25" s="608"/>
      <c r="E25" s="239"/>
      <c r="G25" s="252" t="s">
        <v>225</v>
      </c>
      <c r="H25" s="253">
        <v>0.04</v>
      </c>
      <c r="I25" s="607">
        <f t="shared" si="1"/>
        <v>99113</v>
      </c>
      <c r="J25" s="608"/>
      <c r="K25" s="239"/>
    </row>
    <row r="26" spans="1:11" ht="16.5" x14ac:dyDescent="0.3">
      <c r="A26" s="252" t="s">
        <v>226</v>
      </c>
      <c r="B26" s="253">
        <f>C26/C14</f>
        <v>5.3810633653842924E-3</v>
      </c>
      <c r="C26" s="607">
        <f>D11/3</f>
        <v>13333.333333333334</v>
      </c>
      <c r="D26" s="608"/>
      <c r="E26" s="239"/>
      <c r="G26" s="252" t="s">
        <v>226</v>
      </c>
      <c r="H26" s="253">
        <f>I26/I14</f>
        <v>4.2984864706750274E-3</v>
      </c>
      <c r="I26" s="607">
        <f>J11/3</f>
        <v>13333.333333333334</v>
      </c>
      <c r="J26" s="608"/>
      <c r="K26" s="239"/>
    </row>
    <row r="27" spans="1:11" ht="16.5" x14ac:dyDescent="0.3">
      <c r="A27" s="258"/>
      <c r="B27" s="253"/>
      <c r="C27" s="612"/>
      <c r="D27" s="613"/>
      <c r="E27" s="239"/>
      <c r="G27" s="258"/>
      <c r="H27" s="253"/>
      <c r="I27" s="612"/>
      <c r="J27" s="613"/>
      <c r="K27" s="239"/>
    </row>
    <row r="28" spans="1:11" ht="16.5" x14ac:dyDescent="0.3">
      <c r="A28" s="449" t="s">
        <v>227</v>
      </c>
      <c r="B28" s="450">
        <f>SUM(B14:B26)</f>
        <v>1.7093549890865309</v>
      </c>
      <c r="C28" s="669">
        <f>ROUND(SUM(C14:D26),0)</f>
        <v>4235483</v>
      </c>
      <c r="D28" s="670"/>
      <c r="E28" s="239"/>
      <c r="G28" s="449" t="s">
        <v>227</v>
      </c>
      <c r="H28" s="450">
        <f>SUM(H14:H26)</f>
        <v>1.5871984864706752</v>
      </c>
      <c r="I28" s="669">
        <f>ROUND(SUM(I14:J26),0)</f>
        <v>4559525</v>
      </c>
      <c r="J28" s="670"/>
      <c r="K28" s="239"/>
    </row>
    <row r="29" spans="1:11" ht="17.25" thickBot="1" x14ac:dyDescent="0.35">
      <c r="A29" s="239"/>
      <c r="B29" s="239"/>
      <c r="C29" s="239"/>
      <c r="D29" s="239"/>
      <c r="E29" s="239"/>
      <c r="G29" s="239"/>
      <c r="H29" s="239"/>
      <c r="I29" s="239"/>
      <c r="J29" s="239"/>
      <c r="K29" s="239"/>
    </row>
    <row r="30" spans="1:11" ht="17.25" thickBot="1" x14ac:dyDescent="0.35">
      <c r="A30" s="601" t="s">
        <v>484</v>
      </c>
      <c r="B30" s="602"/>
      <c r="C30" s="602"/>
      <c r="D30" s="602"/>
      <c r="E30" s="603"/>
      <c r="G30" s="601" t="s">
        <v>484</v>
      </c>
      <c r="H30" s="602"/>
      <c r="I30" s="602"/>
      <c r="J30" s="602"/>
      <c r="K30" s="603"/>
    </row>
    <row r="31" spans="1:11" ht="16.5" x14ac:dyDescent="0.3">
      <c r="A31" s="263"/>
      <c r="B31" s="264" t="s">
        <v>113</v>
      </c>
      <c r="C31" s="264"/>
      <c r="D31" s="264" t="s">
        <v>230</v>
      </c>
      <c r="E31" s="265" t="s">
        <v>487</v>
      </c>
      <c r="G31" s="263"/>
      <c r="H31" s="264" t="s">
        <v>113</v>
      </c>
      <c r="I31" s="264"/>
      <c r="J31" s="264" t="s">
        <v>230</v>
      </c>
      <c r="K31" s="265" t="s">
        <v>487</v>
      </c>
    </row>
    <row r="32" spans="1:11" ht="16.5" x14ac:dyDescent="0.3">
      <c r="A32" s="262" t="s">
        <v>486</v>
      </c>
      <c r="B32" s="261" t="s">
        <v>485</v>
      </c>
      <c r="C32" s="362"/>
      <c r="D32" s="260">
        <f>$B$28</f>
        <v>1.7093549890865309</v>
      </c>
      <c r="E32" s="363">
        <f>C28</f>
        <v>4235483</v>
      </c>
      <c r="G32" s="262" t="s">
        <v>486</v>
      </c>
      <c r="H32" s="261" t="s">
        <v>485</v>
      </c>
      <c r="I32" s="362"/>
      <c r="J32" s="260">
        <f>$B$28</f>
        <v>1.7093549890865309</v>
      </c>
      <c r="K32" s="363">
        <f>I28</f>
        <v>4559525</v>
      </c>
    </row>
  </sheetData>
  <mergeCells count="42">
    <mergeCell ref="I28:J28"/>
    <mergeCell ref="G30:K30"/>
    <mergeCell ref="I21:J21"/>
    <mergeCell ref="I22:J22"/>
    <mergeCell ref="I23:J23"/>
    <mergeCell ref="I24:J24"/>
    <mergeCell ref="I25:J25"/>
    <mergeCell ref="I26:J26"/>
    <mergeCell ref="I19:J19"/>
    <mergeCell ref="C16:D16"/>
    <mergeCell ref="C17:D17"/>
    <mergeCell ref="I20:J20"/>
    <mergeCell ref="I27:J27"/>
    <mergeCell ref="C18:D18"/>
    <mergeCell ref="C20:D20"/>
    <mergeCell ref="C21:D21"/>
    <mergeCell ref="I14:J14"/>
    <mergeCell ref="I15:J15"/>
    <mergeCell ref="I16:J16"/>
    <mergeCell ref="I17:J17"/>
    <mergeCell ref="I18:J18"/>
    <mergeCell ref="G2:J2"/>
    <mergeCell ref="G4:H4"/>
    <mergeCell ref="I5:J5"/>
    <mergeCell ref="G13:H13"/>
    <mergeCell ref="I13:J13"/>
    <mergeCell ref="A2:D2"/>
    <mergeCell ref="A4:B4"/>
    <mergeCell ref="C5:D5"/>
    <mergeCell ref="A13:B13"/>
    <mergeCell ref="C13:D13"/>
    <mergeCell ref="C14:D14"/>
    <mergeCell ref="C15:D15"/>
    <mergeCell ref="C19:D19"/>
    <mergeCell ref="A30:E30"/>
    <mergeCell ref="C22:D22"/>
    <mergeCell ref="C23:D23"/>
    <mergeCell ref="C24:D24"/>
    <mergeCell ref="C25:D25"/>
    <mergeCell ref="C26:D26"/>
    <mergeCell ref="C27:D27"/>
    <mergeCell ref="C28:D28"/>
  </mergeCells>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44"/>
  <sheetViews>
    <sheetView workbookViewId="0">
      <selection activeCell="F9" sqref="F9"/>
    </sheetView>
  </sheetViews>
  <sheetFormatPr baseColWidth="10" defaultRowHeight="12.75" x14ac:dyDescent="0.2"/>
  <cols>
    <col min="1" max="1" width="37.85546875" bestFit="1" customWidth="1"/>
    <col min="5" max="5" width="16.7109375" bestFit="1" customWidth="1"/>
  </cols>
  <sheetData>
    <row r="1" spans="1:9" ht="13.5" thickBot="1" x14ac:dyDescent="0.25"/>
    <row r="2" spans="1:9" ht="17.25" thickBot="1" x14ac:dyDescent="0.35">
      <c r="A2" s="609" t="s">
        <v>474</v>
      </c>
      <c r="B2" s="610"/>
      <c r="C2" s="610"/>
      <c r="D2" s="611"/>
    </row>
    <row r="3" spans="1:9" s="239" customFormat="1" ht="16.5" x14ac:dyDescent="0.3"/>
    <row r="4" spans="1:9" s="239" customFormat="1" ht="16.5" x14ac:dyDescent="0.3">
      <c r="A4" s="604" t="s">
        <v>234</v>
      </c>
      <c r="B4" s="605"/>
    </row>
    <row r="5" spans="1:9" s="239" customFormat="1" ht="16.5" x14ac:dyDescent="0.3">
      <c r="C5" s="614" t="s">
        <v>202</v>
      </c>
      <c r="D5" s="614"/>
    </row>
    <row r="6" spans="1:9" s="239" customFormat="1" ht="16.5" x14ac:dyDescent="0.3">
      <c r="A6" s="240" t="s">
        <v>203</v>
      </c>
      <c r="B6" s="241">
        <v>2019</v>
      </c>
      <c r="C6" s="242" t="s">
        <v>204</v>
      </c>
      <c r="D6" s="243">
        <v>6800</v>
      </c>
    </row>
    <row r="7" spans="1:9" s="239" customFormat="1" ht="16.5" x14ac:dyDescent="0.3">
      <c r="A7" s="244" t="s">
        <v>205</v>
      </c>
      <c r="B7" s="245">
        <f>'Mano de Obra (JORNAL)'!B7</f>
        <v>828116</v>
      </c>
      <c r="C7" s="242" t="s">
        <v>206</v>
      </c>
      <c r="D7" s="243">
        <v>18548</v>
      </c>
    </row>
    <row r="8" spans="1:9" s="239" customFormat="1" ht="16.5" x14ac:dyDescent="0.3">
      <c r="A8" s="240" t="s">
        <v>207</v>
      </c>
      <c r="B8" s="245">
        <v>250000</v>
      </c>
      <c r="C8" s="246" t="s">
        <v>433</v>
      </c>
      <c r="D8" s="243">
        <v>6000</v>
      </c>
    </row>
    <row r="9" spans="1:9" s="239" customFormat="1" ht="16.5" x14ac:dyDescent="0.3">
      <c r="A9" s="247" t="s">
        <v>208</v>
      </c>
      <c r="B9" s="241">
        <v>20</v>
      </c>
      <c r="C9" s="246" t="s">
        <v>475</v>
      </c>
      <c r="D9" s="243">
        <v>40000</v>
      </c>
    </row>
    <row r="10" spans="1:9" s="239" customFormat="1" ht="16.5" x14ac:dyDescent="0.3">
      <c r="A10" s="248" t="s">
        <v>210</v>
      </c>
      <c r="B10" s="241">
        <v>8</v>
      </c>
      <c r="C10" s="246" t="s">
        <v>476</v>
      </c>
      <c r="D10" s="243">
        <v>20000</v>
      </c>
    </row>
    <row r="11" spans="1:9" s="239" customFormat="1" ht="16.5" x14ac:dyDescent="0.3">
      <c r="A11" s="249"/>
      <c r="B11" s="250"/>
      <c r="C11" s="251" t="s">
        <v>57</v>
      </c>
      <c r="D11" s="243">
        <f>SUM(D6:D10)</f>
        <v>91348</v>
      </c>
    </row>
    <row r="12" spans="1:9" s="239" customFormat="1" ht="16.5" x14ac:dyDescent="0.3"/>
    <row r="13" spans="1:9" s="239" customFormat="1" ht="16.5" x14ac:dyDescent="0.3">
      <c r="A13" s="615" t="s">
        <v>212</v>
      </c>
      <c r="B13" s="615"/>
      <c r="C13" s="616" t="s">
        <v>213</v>
      </c>
      <c r="D13" s="617"/>
    </row>
    <row r="14" spans="1:9" s="239" customFormat="1" ht="16.5" x14ac:dyDescent="0.3">
      <c r="A14" s="252" t="s">
        <v>214</v>
      </c>
      <c r="B14" s="253">
        <v>1</v>
      </c>
      <c r="C14" s="607">
        <f>B7</f>
        <v>828116</v>
      </c>
      <c r="D14" s="608"/>
      <c r="G14" s="606"/>
      <c r="H14" s="254"/>
      <c r="I14" s="255"/>
    </row>
    <row r="15" spans="1:9" s="239" customFormat="1" ht="16.5" x14ac:dyDescent="0.3">
      <c r="A15" s="252" t="s">
        <v>215</v>
      </c>
      <c r="B15" s="253">
        <v>8.3299999999999999E-2</v>
      </c>
      <c r="C15" s="607">
        <f>$C$14*B15</f>
        <v>68982.0628</v>
      </c>
      <c r="D15" s="608"/>
      <c r="G15" s="606"/>
      <c r="H15" s="254"/>
      <c r="I15" s="255"/>
    </row>
    <row r="16" spans="1:9" s="239" customFormat="1" ht="16.5" x14ac:dyDescent="0.3">
      <c r="A16" s="252" t="s">
        <v>216</v>
      </c>
      <c r="B16" s="253">
        <v>4.1700000000000001E-2</v>
      </c>
      <c r="C16" s="607">
        <f>$C$14*B16</f>
        <v>34532.4372</v>
      </c>
      <c r="D16" s="608"/>
      <c r="G16" s="606"/>
      <c r="H16" s="254"/>
      <c r="I16" s="255"/>
    </row>
    <row r="17" spans="1:9" s="239" customFormat="1" ht="16.5" x14ac:dyDescent="0.3">
      <c r="A17" s="252" t="s">
        <v>217</v>
      </c>
      <c r="B17" s="253">
        <v>8.3299999999999999E-2</v>
      </c>
      <c r="C17" s="607">
        <f>$C$14*B17</f>
        <v>68982.0628</v>
      </c>
      <c r="D17" s="608"/>
      <c r="G17" s="606"/>
      <c r="H17" s="254"/>
      <c r="I17" s="255"/>
    </row>
    <row r="18" spans="1:9" s="239" customFormat="1" ht="16.5" x14ac:dyDescent="0.3">
      <c r="A18" s="252" t="s">
        <v>218</v>
      </c>
      <c r="B18" s="253">
        <v>0.01</v>
      </c>
      <c r="C18" s="607">
        <f>$C$14*B18</f>
        <v>8281.16</v>
      </c>
      <c r="D18" s="608"/>
      <c r="G18" s="606"/>
      <c r="H18" s="254"/>
      <c r="I18" s="255"/>
    </row>
    <row r="19" spans="1:9" s="239" customFormat="1" ht="16.5" x14ac:dyDescent="0.3">
      <c r="A19" s="252" t="s">
        <v>219</v>
      </c>
      <c r="B19" s="253">
        <f>B8/B7</f>
        <v>0.30189007337136342</v>
      </c>
      <c r="C19" s="607">
        <f>B8</f>
        <v>250000</v>
      </c>
      <c r="D19" s="608"/>
      <c r="G19" s="606"/>
      <c r="H19" s="254"/>
      <c r="I19" s="255"/>
    </row>
    <row r="20" spans="1:9" s="239" customFormat="1" ht="16.5" x14ac:dyDescent="0.3">
      <c r="A20" s="252" t="s">
        <v>220</v>
      </c>
      <c r="B20" s="253">
        <v>8.5000000000000006E-2</v>
      </c>
      <c r="C20" s="607">
        <f t="shared" ref="C20:C25" si="0">$C$14*B20</f>
        <v>70389.86</v>
      </c>
      <c r="D20" s="608"/>
      <c r="G20" s="606"/>
      <c r="H20" s="254"/>
      <c r="I20" s="255"/>
    </row>
    <row r="21" spans="1:9" s="239" customFormat="1" ht="16.5" x14ac:dyDescent="0.3">
      <c r="A21" s="256" t="s">
        <v>221</v>
      </c>
      <c r="B21" s="253">
        <v>6.9599999999999995E-2</v>
      </c>
      <c r="C21" s="607">
        <f t="shared" si="0"/>
        <v>57636.873599999999</v>
      </c>
      <c r="D21" s="608"/>
    </row>
    <row r="22" spans="1:9" s="239" customFormat="1" ht="16.5" x14ac:dyDescent="0.3">
      <c r="A22" s="252" t="s">
        <v>222</v>
      </c>
      <c r="B22" s="257">
        <v>0.12</v>
      </c>
      <c r="C22" s="607">
        <f t="shared" si="0"/>
        <v>99373.92</v>
      </c>
      <c r="D22" s="608"/>
    </row>
    <row r="23" spans="1:9" s="239" customFormat="1" ht="16.5" x14ac:dyDescent="0.3">
      <c r="A23" s="252" t="s">
        <v>223</v>
      </c>
      <c r="B23" s="253">
        <v>0.02</v>
      </c>
      <c r="C23" s="607">
        <f t="shared" si="0"/>
        <v>16562.32</v>
      </c>
      <c r="D23" s="608"/>
    </row>
    <row r="24" spans="1:9" s="239" customFormat="1" ht="16.5" x14ac:dyDescent="0.3">
      <c r="A24" s="252" t="s">
        <v>224</v>
      </c>
      <c r="B24" s="253">
        <v>0.03</v>
      </c>
      <c r="C24" s="607">
        <f t="shared" si="0"/>
        <v>24843.48</v>
      </c>
      <c r="D24" s="608"/>
    </row>
    <row r="25" spans="1:9" s="239" customFormat="1" ht="16.5" x14ac:dyDescent="0.3">
      <c r="A25" s="252" t="s">
        <v>225</v>
      </c>
      <c r="B25" s="253">
        <v>0.04</v>
      </c>
      <c r="C25" s="607">
        <f t="shared" si="0"/>
        <v>33124.639999999999</v>
      </c>
      <c r="D25" s="608"/>
    </row>
    <row r="26" spans="1:9" s="239" customFormat="1" ht="16.5" x14ac:dyDescent="0.3">
      <c r="A26" s="252" t="s">
        <v>226</v>
      </c>
      <c r="B26" s="253">
        <f>C26/C14</f>
        <v>3.6769405896436409E-2</v>
      </c>
      <c r="C26" s="607">
        <f>D11/3</f>
        <v>30449.333333333332</v>
      </c>
      <c r="D26" s="608"/>
    </row>
    <row r="27" spans="1:9" s="239" customFormat="1" ht="16.5" x14ac:dyDescent="0.3">
      <c r="A27" s="258"/>
      <c r="B27" s="253"/>
      <c r="C27" s="612"/>
      <c r="D27" s="613"/>
    </row>
    <row r="28" spans="1:9" s="239" customFormat="1" ht="16.5" x14ac:dyDescent="0.3">
      <c r="A28" s="441" t="s">
        <v>227</v>
      </c>
      <c r="B28" s="260">
        <f>SUM(B14:B26)</f>
        <v>1.9215594792678001</v>
      </c>
      <c r="C28" s="671">
        <f>ROUND(SUM(C14:D26),0)</f>
        <v>1591274</v>
      </c>
      <c r="D28" s="672"/>
    </row>
    <row r="29" spans="1:9" s="239" customFormat="1" ht="16.5" x14ac:dyDescent="0.3"/>
    <row r="31" spans="1:9" x14ac:dyDescent="0.2">
      <c r="B31" s="64" t="s">
        <v>477</v>
      </c>
      <c r="D31" s="442">
        <f>C28</f>
        <v>1591274</v>
      </c>
    </row>
    <row r="33" spans="1:4" ht="13.5" thickBot="1" x14ac:dyDescent="0.25">
      <c r="B33" s="64"/>
      <c r="D33" s="442"/>
    </row>
    <row r="34" spans="1:4" ht="12.75" customHeight="1" x14ac:dyDescent="0.2">
      <c r="A34" s="673" t="s">
        <v>478</v>
      </c>
    </row>
    <row r="35" spans="1:4" x14ac:dyDescent="0.2">
      <c r="A35" s="674"/>
    </row>
    <row r="36" spans="1:4" x14ac:dyDescent="0.2">
      <c r="A36" s="674"/>
    </row>
    <row r="37" spans="1:4" x14ac:dyDescent="0.2">
      <c r="A37" s="674"/>
    </row>
    <row r="38" spans="1:4" x14ac:dyDescent="0.2">
      <c r="A38" s="674"/>
    </row>
    <row r="39" spans="1:4" x14ac:dyDescent="0.2">
      <c r="A39" s="674"/>
    </row>
    <row r="40" spans="1:4" x14ac:dyDescent="0.2">
      <c r="A40" s="674"/>
    </row>
    <row r="41" spans="1:4" x14ac:dyDescent="0.2">
      <c r="A41" s="674"/>
    </row>
    <row r="42" spans="1:4" x14ac:dyDescent="0.2">
      <c r="A42" s="674"/>
    </row>
    <row r="43" spans="1:4" x14ac:dyDescent="0.2">
      <c r="A43" s="674"/>
    </row>
    <row r="44" spans="1:4" ht="13.5" thickBot="1" x14ac:dyDescent="0.25">
      <c r="A44" s="675"/>
    </row>
  </sheetData>
  <mergeCells count="22">
    <mergeCell ref="A2:D2"/>
    <mergeCell ref="A4:B4"/>
    <mergeCell ref="C5:D5"/>
    <mergeCell ref="A13:B13"/>
    <mergeCell ref="C13:D13"/>
    <mergeCell ref="C14:D14"/>
    <mergeCell ref="G14:G20"/>
    <mergeCell ref="C15:D15"/>
    <mergeCell ref="C16:D16"/>
    <mergeCell ref="C17:D17"/>
    <mergeCell ref="C18:D18"/>
    <mergeCell ref="C19:D19"/>
    <mergeCell ref="C20:D20"/>
    <mergeCell ref="C27:D27"/>
    <mergeCell ref="C28:D28"/>
    <mergeCell ref="A34:A44"/>
    <mergeCell ref="C21:D21"/>
    <mergeCell ref="C22:D22"/>
    <mergeCell ref="C23:D23"/>
    <mergeCell ref="C24:D24"/>
    <mergeCell ref="C25:D25"/>
    <mergeCell ref="C26:D26"/>
  </mergeCells>
  <pageMargins left="0.7" right="0.7" top="0.75" bottom="0.75" header="0.3" footer="0.3"/>
  <ignoredErrors>
    <ignoredError sqref="C19" 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45"/>
  <sheetViews>
    <sheetView topLeftCell="A19" workbookViewId="0">
      <selection activeCell="I7" sqref="I7"/>
    </sheetView>
  </sheetViews>
  <sheetFormatPr baseColWidth="10" defaultRowHeight="12.75" x14ac:dyDescent="0.2"/>
  <cols>
    <col min="1" max="1" width="4.28515625" customWidth="1"/>
    <col min="2" max="2" width="52.28515625" customWidth="1"/>
    <col min="3" max="3" width="9" customWidth="1"/>
    <col min="4" max="4" width="14.28515625" customWidth="1"/>
    <col min="5" max="5" width="12.85546875" customWidth="1"/>
    <col min="6" max="6" width="13.7109375" customWidth="1"/>
    <col min="7" max="7" width="0" hidden="1" customWidth="1"/>
    <col min="8" max="9" width="21.5703125" customWidth="1"/>
    <col min="10" max="10" width="16.5703125" customWidth="1"/>
    <col min="11" max="11" width="21.5703125" customWidth="1"/>
    <col min="12" max="12" width="16.140625" customWidth="1"/>
    <col min="13" max="13" width="22.140625" customWidth="1"/>
    <col min="14" max="14" width="29" bestFit="1" customWidth="1"/>
    <col min="15" max="15" width="12.7109375" customWidth="1"/>
    <col min="16" max="16" width="15" customWidth="1"/>
  </cols>
  <sheetData>
    <row r="1" spans="1:10" ht="18.75" customHeight="1" x14ac:dyDescent="0.2">
      <c r="A1" s="13"/>
      <c r="B1" s="645" t="s">
        <v>58</v>
      </c>
      <c r="C1" s="629"/>
      <c r="D1" s="629"/>
      <c r="E1" s="629"/>
      <c r="F1" s="629"/>
      <c r="G1" s="629"/>
      <c r="H1" s="629"/>
      <c r="I1" s="15"/>
    </row>
    <row r="2" spans="1:10" ht="5.25" customHeight="1" x14ac:dyDescent="0.2">
      <c r="A2" s="13"/>
      <c r="B2" s="15"/>
      <c r="C2" s="15"/>
      <c r="D2" s="15"/>
      <c r="E2" s="15"/>
      <c r="F2" s="15"/>
      <c r="G2" s="13"/>
      <c r="H2" s="13"/>
      <c r="I2" s="13"/>
      <c r="J2" s="2"/>
    </row>
    <row r="3" spans="1:10" x14ac:dyDescent="0.2">
      <c r="A3" s="13"/>
      <c r="B3" s="650" t="s">
        <v>489</v>
      </c>
      <c r="C3" s="646"/>
      <c r="D3" s="646"/>
      <c r="E3" s="646"/>
      <c r="F3" s="646"/>
      <c r="G3" s="646"/>
      <c r="H3" s="646"/>
      <c r="I3" s="15"/>
      <c r="J3" s="2"/>
    </row>
    <row r="4" spans="1:10" x14ac:dyDescent="0.2">
      <c r="A4" s="13"/>
      <c r="B4" s="629" t="s">
        <v>243</v>
      </c>
      <c r="C4" s="629"/>
      <c r="D4" s="629"/>
      <c r="E4" s="629"/>
      <c r="F4" s="629"/>
      <c r="G4" s="629"/>
      <c r="H4" s="629"/>
      <c r="I4" s="15"/>
      <c r="J4" s="2"/>
    </row>
    <row r="5" spans="1:10" x14ac:dyDescent="0.2">
      <c r="A5" s="13"/>
      <c r="B5" s="642" t="s">
        <v>437</v>
      </c>
      <c r="C5" s="643"/>
      <c r="D5" s="643"/>
      <c r="E5" s="643"/>
      <c r="F5" s="643"/>
      <c r="G5" s="643"/>
      <c r="H5" s="643"/>
      <c r="I5" s="131"/>
      <c r="J5" s="2"/>
    </row>
    <row r="6" spans="1:10" ht="13.5" thickBot="1" x14ac:dyDescent="0.25">
      <c r="A6" s="13"/>
      <c r="B6" s="16" t="s">
        <v>572</v>
      </c>
      <c r="C6" s="15"/>
      <c r="D6" s="15"/>
      <c r="E6" s="15"/>
      <c r="F6" s="15"/>
      <c r="G6" s="13"/>
      <c r="H6" s="13"/>
      <c r="I6" s="13"/>
      <c r="J6" s="2"/>
    </row>
    <row r="7" spans="1:10" ht="22.5" customHeight="1" thickBot="1" x14ac:dyDescent="0.25">
      <c r="A7" s="13"/>
      <c r="B7" s="10" t="s">
        <v>3</v>
      </c>
      <c r="C7" s="17" t="s">
        <v>0</v>
      </c>
      <c r="D7" s="10" t="s">
        <v>4</v>
      </c>
      <c r="E7" s="17" t="s">
        <v>2</v>
      </c>
      <c r="F7" s="10" t="s">
        <v>1</v>
      </c>
      <c r="G7" s="9" t="s">
        <v>15</v>
      </c>
      <c r="H7" s="18" t="s">
        <v>15</v>
      </c>
      <c r="I7" s="132"/>
    </row>
    <row r="8" spans="1:10" x14ac:dyDescent="0.2">
      <c r="A8" s="13"/>
      <c r="B8" s="56" t="s">
        <v>16</v>
      </c>
      <c r="C8" s="48"/>
      <c r="D8" s="48"/>
      <c r="E8" s="48"/>
      <c r="F8" s="48"/>
      <c r="G8" s="49"/>
      <c r="H8" s="50"/>
      <c r="I8" s="32"/>
    </row>
    <row r="9" spans="1:10" x14ac:dyDescent="0.2">
      <c r="A9" s="13"/>
      <c r="B9" s="3" t="s">
        <v>17</v>
      </c>
      <c r="C9" s="12"/>
      <c r="D9" s="12"/>
      <c r="E9" s="12"/>
      <c r="F9" s="12"/>
      <c r="G9" s="12"/>
      <c r="H9" s="12"/>
      <c r="I9" s="32"/>
      <c r="J9" s="678" t="s">
        <v>304</v>
      </c>
    </row>
    <row r="10" spans="1:10" x14ac:dyDescent="0.2">
      <c r="A10" s="13"/>
      <c r="B10" s="12"/>
      <c r="C10" s="14"/>
      <c r="D10" s="14"/>
      <c r="E10" s="14"/>
      <c r="F10" s="14"/>
      <c r="G10" s="51"/>
      <c r="H10" s="27"/>
      <c r="I10" s="134"/>
      <c r="J10" s="679"/>
    </row>
    <row r="11" spans="1:10" x14ac:dyDescent="0.2">
      <c r="A11" s="13"/>
      <c r="B11" s="158" t="s">
        <v>184</v>
      </c>
      <c r="C11" s="14">
        <v>2</v>
      </c>
      <c r="D11" s="14" t="s">
        <v>52</v>
      </c>
      <c r="E11" s="59">
        <f>'Mano de Obra (JORNAL)'!E32</f>
        <v>47165</v>
      </c>
      <c r="F11" s="59">
        <f t="shared" ref="F11:F19" si="0">C11*E11</f>
        <v>94330</v>
      </c>
      <c r="G11" s="51" t="e">
        <f>#REF!/#REF!*100</f>
        <v>#REF!</v>
      </c>
      <c r="H11" s="27">
        <f>F11/F34</f>
        <v>2.0410491795094812E-2</v>
      </c>
      <c r="I11" s="134"/>
      <c r="J11" s="14">
        <v>3</v>
      </c>
    </row>
    <row r="12" spans="1:10" x14ac:dyDescent="0.2">
      <c r="A12" s="13"/>
      <c r="B12" s="12" t="s">
        <v>21</v>
      </c>
      <c r="C12" s="14">
        <v>3</v>
      </c>
      <c r="D12" s="14" t="s">
        <v>52</v>
      </c>
      <c r="E12" s="59">
        <f>E11</f>
        <v>47165</v>
      </c>
      <c r="F12" s="59">
        <f t="shared" si="0"/>
        <v>141495</v>
      </c>
      <c r="G12" s="51" t="e">
        <f>#REF!/#REF!*100</f>
        <v>#REF!</v>
      </c>
      <c r="H12" s="27">
        <f>F12/F34</f>
        <v>3.0615737692642222E-2</v>
      </c>
      <c r="I12" s="134"/>
      <c r="J12" s="14">
        <v>6</v>
      </c>
    </row>
    <row r="13" spans="1:10" x14ac:dyDescent="0.2">
      <c r="A13" s="13"/>
      <c r="B13" s="12" t="s">
        <v>22</v>
      </c>
      <c r="C13" s="14">
        <v>2</v>
      </c>
      <c r="D13" s="14" t="s">
        <v>52</v>
      </c>
      <c r="E13" s="59">
        <f>E11</f>
        <v>47165</v>
      </c>
      <c r="F13" s="59">
        <f t="shared" si="0"/>
        <v>94330</v>
      </c>
      <c r="G13" s="51" t="e">
        <f>#REF!/#REF!*100</f>
        <v>#REF!</v>
      </c>
      <c r="H13" s="27">
        <f>F13/F34</f>
        <v>2.0410491795094812E-2</v>
      </c>
      <c r="I13" s="134"/>
      <c r="J13" s="14">
        <v>4</v>
      </c>
    </row>
    <row r="14" spans="1:10" x14ac:dyDescent="0.2">
      <c r="A14" s="13"/>
      <c r="B14" s="12" t="s">
        <v>23</v>
      </c>
      <c r="C14" s="14">
        <v>1</v>
      </c>
      <c r="D14" s="14" t="s">
        <v>52</v>
      </c>
      <c r="E14" s="59">
        <f>E11</f>
        <v>47165</v>
      </c>
      <c r="F14" s="59">
        <f t="shared" si="0"/>
        <v>47165</v>
      </c>
      <c r="G14" s="51" t="e">
        <f>#REF!/#REF!*100</f>
        <v>#REF!</v>
      </c>
      <c r="H14" s="27">
        <f>F14/F34</f>
        <v>1.0205245897547406E-2</v>
      </c>
      <c r="I14" s="134"/>
      <c r="J14" s="14">
        <v>2</v>
      </c>
    </row>
    <row r="15" spans="1:10" x14ac:dyDescent="0.2">
      <c r="A15" s="13"/>
      <c r="B15" s="12" t="s">
        <v>24</v>
      </c>
      <c r="C15" s="14">
        <v>3</v>
      </c>
      <c r="D15" s="14" t="s">
        <v>52</v>
      </c>
      <c r="E15" s="59">
        <f>E11</f>
        <v>47165</v>
      </c>
      <c r="F15" s="59">
        <f t="shared" si="0"/>
        <v>141495</v>
      </c>
      <c r="G15" s="51" t="e">
        <f>#REF!/#REF!*100</f>
        <v>#REF!</v>
      </c>
      <c r="H15" s="27">
        <f>F15/F34</f>
        <v>3.0615737692642222E-2</v>
      </c>
      <c r="I15" s="134"/>
      <c r="J15" s="14">
        <v>5</v>
      </c>
    </row>
    <row r="16" spans="1:10" x14ac:dyDescent="0.2">
      <c r="A16" s="13"/>
      <c r="B16" s="12" t="s">
        <v>25</v>
      </c>
      <c r="C16" s="14">
        <v>1</v>
      </c>
      <c r="D16" s="14" t="s">
        <v>52</v>
      </c>
      <c r="E16" s="59">
        <f>E11</f>
        <v>47165</v>
      </c>
      <c r="F16" s="59">
        <f t="shared" si="0"/>
        <v>47165</v>
      </c>
      <c r="G16" s="51" t="e">
        <f>#REF!/#REF!*100</f>
        <v>#REF!</v>
      </c>
      <c r="H16" s="27">
        <f>F16/F34</f>
        <v>1.0205245897547406E-2</v>
      </c>
      <c r="I16" s="134"/>
      <c r="J16" s="14">
        <v>2</v>
      </c>
    </row>
    <row r="17" spans="1:16" x14ac:dyDescent="0.2">
      <c r="A17" s="13"/>
      <c r="B17" s="158" t="s">
        <v>108</v>
      </c>
      <c r="C17" s="14">
        <v>3</v>
      </c>
      <c r="D17" s="14" t="s">
        <v>52</v>
      </c>
      <c r="E17" s="59">
        <f>E11</f>
        <v>47165</v>
      </c>
      <c r="F17" s="59">
        <f t="shared" si="0"/>
        <v>141495</v>
      </c>
      <c r="G17" s="51" t="e">
        <f>#REF!/#REF!*100</f>
        <v>#REF!</v>
      </c>
      <c r="H17" s="27">
        <f>F17/F34</f>
        <v>3.0615737692642222E-2</v>
      </c>
      <c r="I17" s="134"/>
      <c r="J17" s="14">
        <v>4</v>
      </c>
      <c r="K17" s="361"/>
      <c r="L17" s="361"/>
    </row>
    <row r="18" spans="1:16" ht="13.5" customHeight="1" x14ac:dyDescent="0.2">
      <c r="A18" s="13"/>
      <c r="B18" s="12" t="s">
        <v>26</v>
      </c>
      <c r="C18" s="14">
        <v>1</v>
      </c>
      <c r="D18" s="14" t="s">
        <v>52</v>
      </c>
      <c r="E18" s="176">
        <f>E11</f>
        <v>47165</v>
      </c>
      <c r="F18" s="59">
        <f t="shared" si="0"/>
        <v>47165</v>
      </c>
      <c r="G18" s="51" t="e">
        <f>#REF!/#REF!*100</f>
        <v>#REF!</v>
      </c>
      <c r="H18" s="27">
        <f>F18/F34</f>
        <v>1.0205245897547406E-2</v>
      </c>
      <c r="I18" s="134"/>
      <c r="J18" s="14">
        <v>2</v>
      </c>
      <c r="K18" s="676"/>
      <c r="L18" s="361"/>
    </row>
    <row r="19" spans="1:16" x14ac:dyDescent="0.2">
      <c r="A19" s="13"/>
      <c r="B19" s="158" t="s">
        <v>320</v>
      </c>
      <c r="C19" s="14">
        <v>4</v>
      </c>
      <c r="D19" s="14" t="s">
        <v>52</v>
      </c>
      <c r="E19" s="59">
        <f>E11</f>
        <v>47165</v>
      </c>
      <c r="F19" s="59">
        <f t="shared" si="0"/>
        <v>188660</v>
      </c>
      <c r="G19" s="51" t="e">
        <f>#REF!/#REF!*100</f>
        <v>#REF!</v>
      </c>
      <c r="H19" s="27">
        <f>F19/F34</f>
        <v>4.0820983590189625E-2</v>
      </c>
      <c r="I19" s="134"/>
      <c r="J19" s="14">
        <v>6</v>
      </c>
      <c r="K19" s="676"/>
      <c r="L19" s="361"/>
    </row>
    <row r="20" spans="1:16" x14ac:dyDescent="0.2">
      <c r="A20" s="13"/>
      <c r="B20" s="8" t="s">
        <v>6</v>
      </c>
      <c r="C20" s="4">
        <f>SUM(C10:C19)</f>
        <v>20</v>
      </c>
      <c r="D20" s="14"/>
      <c r="E20" s="59"/>
      <c r="F20" s="4">
        <f>SUM(F10:F19)</f>
        <v>943300</v>
      </c>
      <c r="G20" s="51" t="e">
        <f>#REF!/#REF!*100</f>
        <v>#REF!</v>
      </c>
      <c r="H20" s="5">
        <f>F20/F34</f>
        <v>0.20410491795094815</v>
      </c>
      <c r="I20" s="26"/>
      <c r="J20" s="4">
        <f>SUM(J9:J19)</f>
        <v>34</v>
      </c>
      <c r="K20" s="361"/>
      <c r="L20" s="361"/>
    </row>
    <row r="21" spans="1:16" x14ac:dyDescent="0.2">
      <c r="A21" s="13"/>
      <c r="B21" s="3" t="s">
        <v>18</v>
      </c>
      <c r="C21" s="12"/>
      <c r="D21" s="12"/>
      <c r="E21" s="12"/>
      <c r="F21" s="19"/>
      <c r="G21" s="51" t="e">
        <f>#REF!/#REF!*100</f>
        <v>#REF!</v>
      </c>
      <c r="H21" s="52"/>
      <c r="I21" s="136"/>
      <c r="K21" s="676"/>
      <c r="L21" s="361"/>
    </row>
    <row r="22" spans="1:16" x14ac:dyDescent="0.2">
      <c r="A22" s="13"/>
      <c r="B22" s="12" t="s">
        <v>53</v>
      </c>
      <c r="C22" s="14">
        <f>238+24</f>
        <v>262</v>
      </c>
      <c r="D22" s="221" t="s">
        <v>461</v>
      </c>
      <c r="E22" s="14">
        <v>10000</v>
      </c>
      <c r="F22" s="14">
        <f>C22*E22</f>
        <v>2620000</v>
      </c>
      <c r="G22" s="51" t="e">
        <f>#REF!/#REF!*100</f>
        <v>#REF!</v>
      </c>
      <c r="H22" s="27">
        <f>F22/F34</f>
        <v>0.56689800172954963</v>
      </c>
      <c r="I22" s="134"/>
      <c r="K22" s="676"/>
      <c r="L22" s="360"/>
    </row>
    <row r="23" spans="1:16" x14ac:dyDescent="0.2">
      <c r="A23" s="13"/>
      <c r="B23" s="158" t="s">
        <v>311</v>
      </c>
      <c r="C23" s="14">
        <f>C22*50/1000</f>
        <v>13.1</v>
      </c>
      <c r="D23" s="14" t="s">
        <v>50</v>
      </c>
      <c r="E23" s="14">
        <v>1600</v>
      </c>
      <c r="F23" s="14">
        <f>C23*E23</f>
        <v>20960</v>
      </c>
      <c r="G23" s="51" t="e">
        <f>#REF!/#REF!*100</f>
        <v>#REF!</v>
      </c>
      <c r="H23" s="27">
        <f>F23/F34</f>
        <v>4.5351840138363967E-3</v>
      </c>
      <c r="I23" s="134"/>
      <c r="K23" s="361"/>
      <c r="L23" s="360"/>
    </row>
    <row r="24" spans="1:16" x14ac:dyDescent="0.2">
      <c r="A24" s="13"/>
      <c r="B24" s="12" t="s">
        <v>27</v>
      </c>
      <c r="C24" s="14">
        <f>200*C22/1000</f>
        <v>52.4</v>
      </c>
      <c r="D24" s="14" t="s">
        <v>50</v>
      </c>
      <c r="E24" s="14">
        <v>314</v>
      </c>
      <c r="F24" s="14">
        <f>C24*E24</f>
        <v>16453.599999999999</v>
      </c>
      <c r="G24" s="51" t="e">
        <f>#REF!/#REF!*100</f>
        <v>#REF!</v>
      </c>
      <c r="H24" s="27">
        <f>F24/F34</f>
        <v>3.5601194508615712E-3</v>
      </c>
      <c r="I24" s="134"/>
      <c r="O24" s="64"/>
      <c r="P24" s="64"/>
    </row>
    <row r="25" spans="1:16" x14ac:dyDescent="0.2">
      <c r="A25" s="144"/>
      <c r="B25" s="40" t="s">
        <v>172</v>
      </c>
      <c r="C25" s="176">
        <v>2</v>
      </c>
      <c r="D25" s="175" t="s">
        <v>50</v>
      </c>
      <c r="E25" s="176">
        <v>51200</v>
      </c>
      <c r="F25" s="175">
        <f>C25*E25</f>
        <v>102400</v>
      </c>
      <c r="G25" s="177"/>
      <c r="H25" s="178">
        <f>F25/F32</f>
        <v>0.1156893410393883</v>
      </c>
      <c r="J25" s="322"/>
      <c r="K25" s="323"/>
      <c r="L25" s="324"/>
      <c r="M25" s="324"/>
      <c r="N25" s="325"/>
      <c r="O25" s="325"/>
      <c r="P25" s="184"/>
    </row>
    <row r="26" spans="1:16" x14ac:dyDescent="0.2">
      <c r="A26" s="144"/>
      <c r="B26" s="40" t="s">
        <v>173</v>
      </c>
      <c r="C26" s="176">
        <v>2</v>
      </c>
      <c r="D26" s="175" t="s">
        <v>175</v>
      </c>
      <c r="E26" s="176">
        <v>16700</v>
      </c>
      <c r="F26" s="175">
        <f>C26*E26</f>
        <v>33400</v>
      </c>
      <c r="G26" s="177"/>
      <c r="H26" s="178">
        <f>F26/F34</f>
        <v>7.2268676556362429E-3</v>
      </c>
      <c r="J26" s="326"/>
      <c r="K26" s="321"/>
      <c r="L26" s="19"/>
      <c r="M26" s="8"/>
      <c r="N26" s="4"/>
      <c r="O26" s="40"/>
      <c r="P26" s="40"/>
    </row>
    <row r="27" spans="1:16" x14ac:dyDescent="0.2">
      <c r="A27" s="13"/>
      <c r="B27" s="8" t="s">
        <v>13</v>
      </c>
      <c r="C27" s="14"/>
      <c r="D27" s="14"/>
      <c r="E27" s="14"/>
      <c r="F27" s="4">
        <f>SUM(F22:F26)</f>
        <v>2793213.6</v>
      </c>
      <c r="G27" s="51" t="e">
        <f>#REF!/#REF!*100</f>
        <v>#REF!</v>
      </c>
      <c r="H27" s="5">
        <f>F27/F34</f>
        <v>0.60437679703961888</v>
      </c>
      <c r="J27" s="326"/>
      <c r="K27" s="166"/>
      <c r="L27" s="19"/>
      <c r="M27" s="8"/>
      <c r="N27" s="4"/>
      <c r="O27" s="40"/>
      <c r="P27" s="40"/>
    </row>
    <row r="28" spans="1:16" ht="16.5" customHeight="1" x14ac:dyDescent="0.2">
      <c r="A28" s="13"/>
      <c r="B28" s="3" t="s">
        <v>20</v>
      </c>
      <c r="C28" s="14"/>
      <c r="D28" s="14"/>
      <c r="E28" s="14"/>
      <c r="F28" s="4">
        <f>F20+F27</f>
        <v>3736513.6</v>
      </c>
      <c r="G28" s="51"/>
      <c r="H28" s="5">
        <f>F28/F34</f>
        <v>0.80848171499056698</v>
      </c>
      <c r="J28" s="326"/>
      <c r="K28" s="166"/>
      <c r="L28" s="19"/>
      <c r="M28" s="8"/>
      <c r="N28" s="4"/>
      <c r="O28" s="40"/>
      <c r="P28" s="40"/>
    </row>
    <row r="29" spans="1:16" x14ac:dyDescent="0.2">
      <c r="A29" s="13"/>
      <c r="B29" s="3" t="s">
        <v>19</v>
      </c>
      <c r="C29" s="12"/>
      <c r="D29" s="12"/>
      <c r="E29" s="12"/>
      <c r="F29" s="19"/>
      <c r="G29" s="51" t="e">
        <f>#REF!/#REF!*100</f>
        <v>#REF!</v>
      </c>
      <c r="H29" s="52"/>
      <c r="J29" s="136"/>
    </row>
    <row r="30" spans="1:16" x14ac:dyDescent="0.2">
      <c r="A30" s="13"/>
      <c r="B30" s="53" t="s">
        <v>321</v>
      </c>
      <c r="C30" s="328">
        <v>0.05</v>
      </c>
      <c r="D30" s="20"/>
      <c r="E30" s="20"/>
      <c r="F30" s="14">
        <f>F20*C30</f>
        <v>47165</v>
      </c>
      <c r="G30" s="51" t="e">
        <f>#REF!/#REF!*100</f>
        <v>#REF!</v>
      </c>
      <c r="H30" s="27">
        <f>F30/F34</f>
        <v>1.0205245897547406E-2</v>
      </c>
      <c r="J30" s="134"/>
    </row>
    <row r="31" spans="1:16" x14ac:dyDescent="0.2">
      <c r="A31" s="13"/>
      <c r="B31" s="53" t="s">
        <v>141</v>
      </c>
      <c r="C31" s="328">
        <v>0.3</v>
      </c>
      <c r="D31" s="20"/>
      <c r="E31" s="20"/>
      <c r="F31" s="14">
        <f>F27*C31</f>
        <v>837964.08</v>
      </c>
      <c r="G31" s="89"/>
      <c r="H31" s="88">
        <f>F31/F34</f>
        <v>0.18131303911188565</v>
      </c>
      <c r="J31" s="319"/>
    </row>
    <row r="32" spans="1:16" x14ac:dyDescent="0.2">
      <c r="A32" s="13"/>
      <c r="B32" s="3" t="s">
        <v>14</v>
      </c>
      <c r="C32" s="14"/>
      <c r="D32" s="14"/>
      <c r="E32" s="14"/>
      <c r="F32" s="4">
        <f>SUM(F30:F31)</f>
        <v>885129.08</v>
      </c>
      <c r="G32" s="51" t="e">
        <f>#REF!/#REF!*100</f>
        <v>#REF!</v>
      </c>
      <c r="H32" s="5">
        <f>F32/F34</f>
        <v>0.19151828500943305</v>
      </c>
      <c r="I32" s="26"/>
    </row>
    <row r="33" spans="1:11" ht="13.5" thickBot="1" x14ac:dyDescent="0.25">
      <c r="A33" s="13"/>
      <c r="B33" s="13"/>
      <c r="C33" s="13"/>
      <c r="D33" s="13"/>
      <c r="E33" s="13"/>
      <c r="F33" s="21"/>
      <c r="G33" s="13"/>
      <c r="H33" s="22"/>
      <c r="I33" s="22"/>
    </row>
    <row r="34" spans="1:11" ht="18.75" customHeight="1" thickBot="1" x14ac:dyDescent="0.25">
      <c r="A34" s="13"/>
      <c r="B34" s="28" t="s">
        <v>322</v>
      </c>
      <c r="C34" s="29"/>
      <c r="D34" s="29"/>
      <c r="E34" s="30"/>
      <c r="F34" s="23">
        <f>F28+F32</f>
        <v>4621642.68</v>
      </c>
      <c r="G34" s="13"/>
      <c r="H34" s="24">
        <f>H20+H27+H32</f>
        <v>1</v>
      </c>
      <c r="I34" s="26"/>
    </row>
    <row r="35" spans="1:11" x14ac:dyDescent="0.2">
      <c r="A35" s="13"/>
      <c r="B35" s="13"/>
      <c r="C35" s="13"/>
      <c r="D35" s="13"/>
      <c r="E35" s="31"/>
      <c r="F35" s="25"/>
      <c r="G35" s="13"/>
      <c r="H35" s="26"/>
      <c r="I35" s="26"/>
      <c r="K35" s="229"/>
    </row>
    <row r="36" spans="1:11" ht="18.75" thickBot="1" x14ac:dyDescent="0.3">
      <c r="A36" s="13"/>
      <c r="B36" s="677"/>
      <c r="C36" s="677"/>
      <c r="D36" s="677"/>
      <c r="E36" s="677"/>
      <c r="F36" s="123"/>
      <c r="G36" s="13"/>
      <c r="H36" s="26"/>
      <c r="I36" s="26"/>
      <c r="J36" s="1"/>
      <c r="K36" s="14"/>
    </row>
    <row r="37" spans="1:11" ht="18.75" thickBot="1" x14ac:dyDescent="0.3">
      <c r="A37" s="13"/>
      <c r="F37" s="234">
        <f>F34/C22</f>
        <v>17639.857557251908</v>
      </c>
      <c r="G37" s="320"/>
      <c r="H37" s="327" t="s">
        <v>323</v>
      </c>
      <c r="J37" s="26"/>
    </row>
    <row r="38" spans="1:11" x14ac:dyDescent="0.2">
      <c r="A38" s="13"/>
      <c r="B38" s="13"/>
      <c r="G38" s="13"/>
      <c r="H38" s="26"/>
      <c r="I38" s="26"/>
      <c r="J38" s="26"/>
    </row>
    <row r="39" spans="1:11" x14ac:dyDescent="0.2">
      <c r="A39" s="13"/>
      <c r="G39" s="13"/>
      <c r="H39" s="26"/>
      <c r="I39" s="26"/>
      <c r="J39" s="1"/>
    </row>
    <row r="40" spans="1:11" ht="204" x14ac:dyDescent="0.2">
      <c r="A40" s="13"/>
      <c r="B40" s="294" t="s">
        <v>488</v>
      </c>
      <c r="G40" s="13"/>
      <c r="H40" s="26"/>
      <c r="I40" s="26"/>
      <c r="J40" s="1"/>
    </row>
    <row r="41" spans="1:11" x14ac:dyDescent="0.2">
      <c r="A41" s="13"/>
      <c r="B41" s="13"/>
      <c r="G41" s="13"/>
      <c r="H41" s="26"/>
      <c r="I41" s="26"/>
      <c r="J41" s="1"/>
    </row>
    <row r="42" spans="1:11" x14ac:dyDescent="0.2">
      <c r="A42" s="13"/>
      <c r="B42" s="13"/>
      <c r="C42" s="13"/>
      <c r="D42" s="13"/>
      <c r="E42" s="31"/>
      <c r="F42" s="25"/>
      <c r="G42" s="13"/>
      <c r="H42" s="26"/>
      <c r="I42" s="26"/>
      <c r="J42" s="1"/>
    </row>
    <row r="43" spans="1:11" x14ac:dyDescent="0.2">
      <c r="A43" s="13"/>
      <c r="B43" s="13"/>
      <c r="C43" s="13"/>
      <c r="D43" s="13"/>
      <c r="E43" s="31"/>
      <c r="F43" s="25"/>
      <c r="G43" s="13"/>
      <c r="H43" s="26"/>
      <c r="I43" s="26"/>
      <c r="J43" s="1"/>
    </row>
    <row r="44" spans="1:11" x14ac:dyDescent="0.2">
      <c r="A44" s="13"/>
      <c r="B44" s="13"/>
      <c r="C44" s="13"/>
      <c r="D44" s="13"/>
      <c r="E44" s="31"/>
      <c r="F44" s="25"/>
      <c r="G44" s="13"/>
      <c r="H44" s="26"/>
      <c r="I44" s="26"/>
      <c r="J44" s="1"/>
    </row>
    <row r="45" spans="1:11" x14ac:dyDescent="0.2">
      <c r="B45" s="35"/>
      <c r="H45" s="64"/>
    </row>
  </sheetData>
  <mergeCells count="8">
    <mergeCell ref="K21:K22"/>
    <mergeCell ref="B36:E36"/>
    <mergeCell ref="B1:H1"/>
    <mergeCell ref="B3:H3"/>
    <mergeCell ref="B4:H4"/>
    <mergeCell ref="B5:H5"/>
    <mergeCell ref="J9:J10"/>
    <mergeCell ref="K18:K19"/>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51"/>
  <sheetViews>
    <sheetView topLeftCell="A25" workbookViewId="0">
      <selection activeCell="M5" sqref="M5"/>
    </sheetView>
  </sheetViews>
  <sheetFormatPr baseColWidth="10" defaultRowHeight="12.75" x14ac:dyDescent="0.2"/>
  <cols>
    <col min="1" max="1" width="5.5703125" customWidth="1"/>
    <col min="2" max="2" width="45.5703125" customWidth="1"/>
    <col min="3" max="3" width="8.5703125" customWidth="1"/>
    <col min="4" max="4" width="10.42578125" customWidth="1"/>
    <col min="5" max="5" width="9.140625" customWidth="1"/>
    <col min="6" max="6" width="11.85546875" customWidth="1"/>
    <col min="7" max="7" width="0" hidden="1" customWidth="1"/>
    <col min="8" max="8" width="15.28515625" customWidth="1"/>
    <col min="9" max="9" width="17.28515625" customWidth="1"/>
    <col min="10" max="10" width="9.5703125" customWidth="1"/>
    <col min="11" max="11" width="13.85546875" customWidth="1"/>
    <col min="14" max="14" width="16.42578125" bestFit="1" customWidth="1"/>
    <col min="15" max="15" width="21" customWidth="1"/>
  </cols>
  <sheetData>
    <row r="1" spans="1:15" ht="18.75" customHeight="1" x14ac:dyDescent="0.2">
      <c r="A1" s="144"/>
      <c r="B1" s="645" t="s">
        <v>58</v>
      </c>
      <c r="C1" s="629"/>
      <c r="D1" s="629"/>
      <c r="E1" s="629"/>
      <c r="F1" s="629"/>
      <c r="G1" s="629"/>
      <c r="H1" s="629"/>
      <c r="I1" s="15"/>
    </row>
    <row r="2" spans="1:15" x14ac:dyDescent="0.2">
      <c r="A2" s="144"/>
      <c r="B2" s="15"/>
      <c r="C2" s="15"/>
      <c r="D2" s="15"/>
      <c r="E2" s="15"/>
      <c r="F2" s="15"/>
      <c r="G2" s="144"/>
      <c r="H2" s="144"/>
      <c r="I2" s="144"/>
      <c r="J2" s="2"/>
    </row>
    <row r="3" spans="1:15" x14ac:dyDescent="0.2">
      <c r="A3" s="144"/>
      <c r="B3" s="665" t="s">
        <v>245</v>
      </c>
      <c r="C3" s="665"/>
      <c r="D3" s="665"/>
      <c r="E3" s="665"/>
      <c r="F3" s="665"/>
      <c r="G3" s="665"/>
      <c r="H3" s="665"/>
      <c r="I3" s="15"/>
      <c r="J3" s="2"/>
    </row>
    <row r="4" spans="1:15" x14ac:dyDescent="0.2">
      <c r="A4" s="144"/>
      <c r="B4" s="629" t="s">
        <v>246</v>
      </c>
      <c r="C4" s="629"/>
      <c r="D4" s="629"/>
      <c r="E4" s="629"/>
      <c r="F4" s="629"/>
      <c r="G4" s="629"/>
      <c r="H4" s="629"/>
      <c r="I4" s="15"/>
      <c r="J4" s="2"/>
    </row>
    <row r="5" spans="1:15" x14ac:dyDescent="0.2">
      <c r="A5" s="144"/>
      <c r="B5" s="642" t="s">
        <v>201</v>
      </c>
      <c r="C5" s="642"/>
      <c r="D5" s="642"/>
      <c r="E5" s="642"/>
      <c r="F5" s="642"/>
      <c r="G5" s="642"/>
      <c r="H5" s="642"/>
      <c r="I5" s="236"/>
      <c r="J5" s="2"/>
    </row>
    <row r="6" spans="1:15" x14ac:dyDescent="0.2">
      <c r="A6" s="144"/>
      <c r="B6" s="236"/>
      <c r="C6" s="236"/>
      <c r="D6" s="236"/>
      <c r="E6" s="236"/>
      <c r="F6" s="236"/>
      <c r="G6" s="236"/>
      <c r="H6" s="236"/>
      <c r="I6" s="236"/>
      <c r="J6" s="2"/>
    </row>
    <row r="7" spans="1:15" x14ac:dyDescent="0.2">
      <c r="A7" s="144"/>
      <c r="B7" s="236"/>
      <c r="C7" s="236"/>
      <c r="D7" s="236"/>
      <c r="E7" s="236"/>
      <c r="F7" s="236"/>
      <c r="G7" s="236"/>
      <c r="H7" s="236"/>
      <c r="I7" s="236"/>
      <c r="J7" s="2"/>
    </row>
    <row r="8" spans="1:15" ht="13.5" thickBot="1" x14ac:dyDescent="0.25">
      <c r="A8" s="144"/>
      <c r="B8" s="16" t="s">
        <v>572</v>
      </c>
      <c r="C8" s="15"/>
      <c r="D8" s="15"/>
      <c r="E8" s="15"/>
      <c r="F8" s="15"/>
      <c r="G8" s="144"/>
      <c r="H8" s="144"/>
      <c r="I8" s="144"/>
      <c r="J8" s="2"/>
    </row>
    <row r="9" spans="1:15" ht="22.5" customHeight="1" thickBot="1" x14ac:dyDescent="0.25">
      <c r="A9" s="144"/>
      <c r="B9" s="10" t="s">
        <v>3</v>
      </c>
      <c r="C9" s="57" t="s">
        <v>0</v>
      </c>
      <c r="D9" s="10" t="s">
        <v>4</v>
      </c>
      <c r="E9" s="57" t="s">
        <v>2</v>
      </c>
      <c r="F9" s="10" t="s">
        <v>1</v>
      </c>
      <c r="G9" s="17" t="s">
        <v>15</v>
      </c>
      <c r="H9" s="273" t="s">
        <v>15</v>
      </c>
      <c r="I9" s="125" t="s">
        <v>247</v>
      </c>
      <c r="K9" s="680" t="s">
        <v>248</v>
      </c>
    </row>
    <row r="10" spans="1:15" x14ac:dyDescent="0.2">
      <c r="A10" s="144"/>
      <c r="B10" s="56" t="s">
        <v>16</v>
      </c>
      <c r="C10" s="170"/>
      <c r="D10" s="170"/>
      <c r="E10" s="170"/>
      <c r="F10" s="170"/>
      <c r="G10" s="171"/>
      <c r="H10" s="274"/>
      <c r="I10" s="158"/>
      <c r="K10" s="681"/>
    </row>
    <row r="11" spans="1:15" x14ac:dyDescent="0.2">
      <c r="A11" s="144"/>
      <c r="B11" s="3" t="s">
        <v>17</v>
      </c>
      <c r="C11" s="158"/>
      <c r="D11" s="158"/>
      <c r="E11" s="158"/>
      <c r="F11" s="158"/>
      <c r="G11" s="173"/>
      <c r="H11" s="275"/>
      <c r="I11" s="158"/>
      <c r="K11" s="217"/>
      <c r="N11" s="216" t="s">
        <v>167</v>
      </c>
      <c r="O11" s="216" t="s">
        <v>168</v>
      </c>
    </row>
    <row r="12" spans="1:15" x14ac:dyDescent="0.2">
      <c r="A12" s="144"/>
      <c r="B12" s="158" t="s">
        <v>55</v>
      </c>
      <c r="C12" s="175">
        <v>5</v>
      </c>
      <c r="D12" s="175" t="s">
        <v>52</v>
      </c>
      <c r="E12" s="176">
        <f>'Mano de Obra (JORNAL)'!E32</f>
        <v>47165</v>
      </c>
      <c r="F12" s="176">
        <f t="shared" ref="F12:F20" si="0">C12*E12</f>
        <v>235825</v>
      </c>
      <c r="G12" s="177" t="e">
        <f>#REF!/#REF!*100</f>
        <v>#REF!</v>
      </c>
      <c r="H12" s="276">
        <f>F12/F34</f>
        <v>4.6080195700094903E-2</v>
      </c>
      <c r="I12" s="181"/>
      <c r="K12" s="65">
        <v>5</v>
      </c>
      <c r="N12" s="40">
        <v>10000</v>
      </c>
      <c r="O12" s="40">
        <v>18</v>
      </c>
    </row>
    <row r="13" spans="1:15" x14ac:dyDescent="0.2">
      <c r="A13" s="144"/>
      <c r="B13" s="158" t="s">
        <v>239</v>
      </c>
      <c r="C13" s="175">
        <v>3</v>
      </c>
      <c r="D13" s="175" t="s">
        <v>52</v>
      </c>
      <c r="E13" s="176">
        <f>E12</f>
        <v>47165</v>
      </c>
      <c r="F13" s="176">
        <f t="shared" si="0"/>
        <v>141495</v>
      </c>
      <c r="G13" s="177" t="e">
        <f>#REF!/#REF!*100</f>
        <v>#REF!</v>
      </c>
      <c r="H13" s="276">
        <f>F13/F34</f>
        <v>2.7648117420056944E-2</v>
      </c>
      <c r="I13" s="181"/>
      <c r="K13" s="65">
        <v>3</v>
      </c>
    </row>
    <row r="14" spans="1:15" x14ac:dyDescent="0.2">
      <c r="A14" s="144"/>
      <c r="B14" s="158" t="s">
        <v>21</v>
      </c>
      <c r="C14" s="175">
        <v>8</v>
      </c>
      <c r="D14" s="175" t="s">
        <v>52</v>
      </c>
      <c r="E14" s="176">
        <f>E12</f>
        <v>47165</v>
      </c>
      <c r="F14" s="176">
        <f t="shared" si="0"/>
        <v>377320</v>
      </c>
      <c r="G14" s="177" t="e">
        <f>#REF!/#REF!*100</f>
        <v>#REF!</v>
      </c>
      <c r="H14" s="276">
        <f>F14/F34</f>
        <v>7.372831312015185E-2</v>
      </c>
      <c r="I14" s="181"/>
      <c r="K14" s="65">
        <v>7</v>
      </c>
      <c r="O14" s="40">
        <f>N12/O12</f>
        <v>555.55555555555554</v>
      </c>
    </row>
    <row r="15" spans="1:15" x14ac:dyDescent="0.2">
      <c r="A15" s="144"/>
      <c r="B15" s="158" t="s">
        <v>22</v>
      </c>
      <c r="C15" s="175">
        <v>4</v>
      </c>
      <c r="D15" s="175" t="s">
        <v>52</v>
      </c>
      <c r="E15" s="176">
        <f>E12</f>
        <v>47165</v>
      </c>
      <c r="F15" s="176">
        <f t="shared" si="0"/>
        <v>188660</v>
      </c>
      <c r="G15" s="177" t="e">
        <f>#REF!/#REF!*100</f>
        <v>#REF!</v>
      </c>
      <c r="H15" s="276">
        <f>F15/F34</f>
        <v>3.6864156560075925E-2</v>
      </c>
      <c r="I15" s="181"/>
      <c r="K15" s="65">
        <v>5</v>
      </c>
    </row>
    <row r="16" spans="1:15" x14ac:dyDescent="0.2">
      <c r="A16" s="144"/>
      <c r="B16" s="158" t="s">
        <v>23</v>
      </c>
      <c r="C16" s="175">
        <v>2</v>
      </c>
      <c r="D16" s="175" t="s">
        <v>52</v>
      </c>
      <c r="E16" s="176">
        <f>E12</f>
        <v>47165</v>
      </c>
      <c r="F16" s="176">
        <f t="shared" si="0"/>
        <v>94330</v>
      </c>
      <c r="G16" s="177" t="e">
        <f>#REF!/#REF!*100</f>
        <v>#REF!</v>
      </c>
      <c r="H16" s="276">
        <f>F16/F34</f>
        <v>1.8432078280037963E-2</v>
      </c>
      <c r="I16" s="181"/>
      <c r="K16" s="65">
        <v>2</v>
      </c>
    </row>
    <row r="17" spans="1:14" x14ac:dyDescent="0.2">
      <c r="A17" s="144"/>
      <c r="B17" s="158" t="s">
        <v>24</v>
      </c>
      <c r="C17" s="175">
        <v>8</v>
      </c>
      <c r="D17" s="175" t="s">
        <v>52</v>
      </c>
      <c r="E17" s="176">
        <f>E12</f>
        <v>47165</v>
      </c>
      <c r="F17" s="176">
        <f t="shared" si="0"/>
        <v>377320</v>
      </c>
      <c r="G17" s="177" t="e">
        <f>#REF!/#REF!*100</f>
        <v>#REF!</v>
      </c>
      <c r="H17" s="276">
        <f>F17/F34</f>
        <v>7.372831312015185E-2</v>
      </c>
      <c r="I17" s="181"/>
      <c r="K17" s="65">
        <v>6</v>
      </c>
    </row>
    <row r="18" spans="1:14" x14ac:dyDescent="0.2">
      <c r="A18" s="144"/>
      <c r="B18" s="158" t="s">
        <v>25</v>
      </c>
      <c r="C18" s="175">
        <v>2</v>
      </c>
      <c r="D18" s="175" t="s">
        <v>52</v>
      </c>
      <c r="E18" s="176">
        <f>E12</f>
        <v>47165</v>
      </c>
      <c r="F18" s="176">
        <f t="shared" si="0"/>
        <v>94330</v>
      </c>
      <c r="G18" s="177" t="e">
        <f>#REF!/#REF!*100</f>
        <v>#REF!</v>
      </c>
      <c r="H18" s="276">
        <f>F18/F34</f>
        <v>1.8432078280037963E-2</v>
      </c>
      <c r="I18" s="181"/>
      <c r="K18" s="65">
        <v>2</v>
      </c>
    </row>
    <row r="19" spans="1:14" x14ac:dyDescent="0.2">
      <c r="A19" s="144"/>
      <c r="B19" s="158" t="s">
        <v>59</v>
      </c>
      <c r="C19" s="175">
        <v>4</v>
      </c>
      <c r="D19" s="175" t="s">
        <v>52</v>
      </c>
      <c r="E19" s="176">
        <f>E12</f>
        <v>47165</v>
      </c>
      <c r="F19" s="176">
        <f t="shared" si="0"/>
        <v>188660</v>
      </c>
      <c r="G19" s="177" t="e">
        <f>#REF!/#REF!*100</f>
        <v>#REF!</v>
      </c>
      <c r="H19" s="276">
        <f>F19/F34</f>
        <v>3.6864156560075925E-2</v>
      </c>
      <c r="I19" s="181"/>
      <c r="K19" s="65">
        <v>3</v>
      </c>
    </row>
    <row r="20" spans="1:14" x14ac:dyDescent="0.2">
      <c r="A20" s="144"/>
      <c r="B20" s="158" t="s">
        <v>174</v>
      </c>
      <c r="C20" s="175">
        <v>2</v>
      </c>
      <c r="D20" s="175" t="s">
        <v>52</v>
      </c>
      <c r="E20" s="176">
        <f>E12</f>
        <v>47165</v>
      </c>
      <c r="F20" s="176">
        <f t="shared" si="0"/>
        <v>94330</v>
      </c>
      <c r="G20" s="177" t="e">
        <f>#REF!/#REF!*100</f>
        <v>#REF!</v>
      </c>
      <c r="H20" s="276">
        <f>F20/F34</f>
        <v>1.8432078280037963E-2</v>
      </c>
      <c r="I20" s="181"/>
      <c r="K20" s="65">
        <v>3</v>
      </c>
    </row>
    <row r="21" spans="1:14" x14ac:dyDescent="0.2">
      <c r="A21" s="144"/>
      <c r="B21" s="8" t="s">
        <v>6</v>
      </c>
      <c r="C21" s="4">
        <f>SUM(C12:C20)</f>
        <v>38</v>
      </c>
      <c r="D21" s="175" t="s">
        <v>52</v>
      </c>
      <c r="E21" s="176"/>
      <c r="F21" s="4">
        <f>SUM(F12:F20)</f>
        <v>1792270</v>
      </c>
      <c r="G21" s="177" t="e">
        <f>#REF!/#REF!*100</f>
        <v>#REF!</v>
      </c>
      <c r="H21" s="277">
        <f>F21/F34</f>
        <v>0.35020948732072127</v>
      </c>
      <c r="I21" s="5"/>
      <c r="K21" s="65">
        <v>6</v>
      </c>
      <c r="L21" s="64" t="s">
        <v>145</v>
      </c>
    </row>
    <row r="22" spans="1:14" x14ac:dyDescent="0.2">
      <c r="A22" s="144"/>
      <c r="B22" s="3" t="s">
        <v>18</v>
      </c>
      <c r="C22" s="158"/>
      <c r="D22" s="158"/>
      <c r="E22" s="158"/>
      <c r="F22" s="166"/>
      <c r="G22" s="177" t="e">
        <f>#REF!/#REF!*100</f>
        <v>#REF!</v>
      </c>
      <c r="H22" s="278"/>
      <c r="I22" s="182"/>
      <c r="K22" s="217"/>
    </row>
    <row r="23" spans="1:14" x14ac:dyDescent="0.2">
      <c r="A23" s="144"/>
      <c r="B23" s="158" t="s">
        <v>53</v>
      </c>
      <c r="C23" s="175">
        <v>880</v>
      </c>
      <c r="D23" s="175" t="s">
        <v>5</v>
      </c>
      <c r="E23" s="175">
        <v>2500</v>
      </c>
      <c r="F23" s="175">
        <f>C23*E23</f>
        <v>2200000</v>
      </c>
      <c r="G23" s="177" t="e">
        <f>#REF!/#REF!*100</f>
        <v>#REF!</v>
      </c>
      <c r="H23" s="276">
        <f>F23/F34</f>
        <v>0.42987991324163594</v>
      </c>
      <c r="I23" s="181"/>
      <c r="K23" s="65">
        <f>SUM(K12:K22)</f>
        <v>42</v>
      </c>
      <c r="L23" s="64" t="s">
        <v>57</v>
      </c>
    </row>
    <row r="24" spans="1:14" x14ac:dyDescent="0.2">
      <c r="A24" s="144"/>
      <c r="B24" s="158" t="s">
        <v>171</v>
      </c>
      <c r="C24" s="175">
        <f>C23*50/1000</f>
        <v>44</v>
      </c>
      <c r="D24" s="175" t="s">
        <v>50</v>
      </c>
      <c r="E24" s="175">
        <v>1600</v>
      </c>
      <c r="F24" s="175">
        <f>C24*E24</f>
        <v>70400</v>
      </c>
      <c r="G24" s="177" t="e">
        <f>#REF!/#REF!*100</f>
        <v>#REF!</v>
      </c>
      <c r="H24" s="276">
        <f>F24/F34</f>
        <v>1.375615722373235E-2</v>
      </c>
      <c r="I24" s="216" t="s">
        <v>236</v>
      </c>
      <c r="K24" s="179"/>
      <c r="N24">
        <v>150</v>
      </c>
    </row>
    <row r="25" spans="1:14" x14ac:dyDescent="0.2">
      <c r="A25" s="144"/>
      <c r="B25" s="158" t="s">
        <v>172</v>
      </c>
      <c r="C25" s="175">
        <v>2</v>
      </c>
      <c r="D25" s="175" t="s">
        <v>50</v>
      </c>
      <c r="E25" s="175">
        <v>51200</v>
      </c>
      <c r="F25" s="175">
        <f>C25*E25</f>
        <v>102400</v>
      </c>
      <c r="G25" s="177"/>
      <c r="H25" s="276">
        <f>F25/F34</f>
        <v>2.0008955961792509E-2</v>
      </c>
      <c r="I25" s="40"/>
      <c r="K25" s="179"/>
    </row>
    <row r="26" spans="1:14" x14ac:dyDescent="0.2">
      <c r="A26" s="144"/>
      <c r="B26" s="158" t="s">
        <v>173</v>
      </c>
      <c r="C26" s="175">
        <v>2</v>
      </c>
      <c r="D26" s="175" t="s">
        <v>175</v>
      </c>
      <c r="E26" s="175">
        <v>16700</v>
      </c>
      <c r="F26" s="175">
        <f>C26*E26</f>
        <v>33400</v>
      </c>
      <c r="G26" s="177"/>
      <c r="H26" s="276">
        <f>F26/F34</f>
        <v>6.5263586828502905E-3</v>
      </c>
      <c r="I26" s="40"/>
      <c r="K26" s="179"/>
    </row>
    <row r="27" spans="1:14" x14ac:dyDescent="0.2">
      <c r="A27" s="144"/>
      <c r="B27" s="158" t="s">
        <v>27</v>
      </c>
      <c r="C27" s="175">
        <f>300*C23/1000</f>
        <v>264</v>
      </c>
      <c r="D27" s="175" t="s">
        <v>50</v>
      </c>
      <c r="E27" s="175">
        <v>314</v>
      </c>
      <c r="F27" s="175">
        <f>C27*E27</f>
        <v>82896</v>
      </c>
      <c r="G27" s="177" t="e">
        <f>#REF!/#REF!*100</f>
        <v>#REF!</v>
      </c>
      <c r="H27" s="276">
        <f>F27/F34</f>
        <v>1.6197875130944842E-2</v>
      </c>
      <c r="I27" s="216" t="s">
        <v>237</v>
      </c>
      <c r="K27" s="179"/>
    </row>
    <row r="28" spans="1:14" x14ac:dyDescent="0.2">
      <c r="A28" s="144"/>
      <c r="B28" s="8" t="s">
        <v>13</v>
      </c>
      <c r="C28" s="175"/>
      <c r="D28" s="175"/>
      <c r="E28" s="175"/>
      <c r="F28" s="4">
        <f>SUM(F23:F27)</f>
        <v>2489096</v>
      </c>
      <c r="G28" s="177" t="e">
        <f>#REF!/#REF!*100</f>
        <v>#REF!</v>
      </c>
      <c r="H28" s="277">
        <f>F28/F34</f>
        <v>0.48636926024095589</v>
      </c>
      <c r="I28" s="5"/>
      <c r="K28" s="266">
        <f>2.5*2.5</f>
        <v>6.25</v>
      </c>
    </row>
    <row r="29" spans="1:14" ht="16.5" customHeight="1" x14ac:dyDescent="0.2">
      <c r="A29" s="144"/>
      <c r="B29" s="3" t="s">
        <v>20</v>
      </c>
      <c r="C29" s="175"/>
      <c r="D29" s="175"/>
      <c r="E29" s="175"/>
      <c r="F29" s="4">
        <f>F21+F28</f>
        <v>4281366</v>
      </c>
      <c r="G29" s="177"/>
      <c r="H29" s="277">
        <f>F29/F34</f>
        <v>0.83657874756167716</v>
      </c>
      <c r="I29" s="5"/>
      <c r="K29" s="229">
        <f>K28*20</f>
        <v>125</v>
      </c>
    </row>
    <row r="30" spans="1:14" x14ac:dyDescent="0.2">
      <c r="A30" s="144"/>
      <c r="B30" s="3" t="s">
        <v>19</v>
      </c>
      <c r="C30" s="158"/>
      <c r="D30" s="158"/>
      <c r="E30" s="158"/>
      <c r="F30" s="166"/>
      <c r="G30" s="177" t="e">
        <f>#REF!/#REF!*100</f>
        <v>#REF!</v>
      </c>
      <c r="H30" s="278"/>
      <c r="I30" s="182"/>
      <c r="K30" s="229">
        <f>K29*40</f>
        <v>5000</v>
      </c>
    </row>
    <row r="31" spans="1:14" x14ac:dyDescent="0.2">
      <c r="A31" s="144"/>
      <c r="B31" s="53" t="s">
        <v>49</v>
      </c>
      <c r="C31" s="20"/>
      <c r="D31" s="20"/>
      <c r="E31" s="20"/>
      <c r="F31" s="175">
        <f>F21*0.05</f>
        <v>89613.5</v>
      </c>
      <c r="G31" s="177" t="e">
        <f>#REF!/#REF!*100</f>
        <v>#REF!</v>
      </c>
      <c r="H31" s="276">
        <f>F31/F34</f>
        <v>1.7510474366036064E-2</v>
      </c>
      <c r="I31" s="181"/>
    </row>
    <row r="32" spans="1:14" x14ac:dyDescent="0.2">
      <c r="A32" s="144"/>
      <c r="B32" s="53" t="s">
        <v>146</v>
      </c>
      <c r="C32" s="20"/>
      <c r="D32" s="20"/>
      <c r="E32" s="20"/>
      <c r="F32" s="175">
        <f>F28*0.3</f>
        <v>746728.79999999993</v>
      </c>
      <c r="G32" s="177" t="e">
        <f>#REF!/#REF!*100</f>
        <v>#REF!</v>
      </c>
      <c r="H32" s="276">
        <f>F32/F34</f>
        <v>0.14591077807228675</v>
      </c>
      <c r="I32" s="181"/>
    </row>
    <row r="33" spans="1:14" ht="13.5" thickBot="1" x14ac:dyDescent="0.25">
      <c r="A33" s="144"/>
      <c r="B33" s="3" t="s">
        <v>14</v>
      </c>
      <c r="C33" s="175"/>
      <c r="D33" s="175"/>
      <c r="E33" s="175"/>
      <c r="F33" s="4">
        <f>SUM(F31:F32)</f>
        <v>836342.29999999993</v>
      </c>
      <c r="G33" s="61" t="e">
        <f>#REF!/#REF!*100</f>
        <v>#REF!</v>
      </c>
      <c r="H33" s="279">
        <f>F33/F34</f>
        <v>0.16342125243832281</v>
      </c>
      <c r="I33" s="5"/>
      <c r="K33" s="1"/>
    </row>
    <row r="34" spans="1:14" ht="18.75" customHeight="1" thickBot="1" x14ac:dyDescent="0.25">
      <c r="A34" s="144"/>
      <c r="B34" s="28" t="s">
        <v>241</v>
      </c>
      <c r="C34" s="29"/>
      <c r="D34" s="29"/>
      <c r="E34" s="30"/>
      <c r="F34" s="23">
        <f>F29+F33</f>
        <v>5117708.3</v>
      </c>
      <c r="G34" s="144"/>
      <c r="H34" s="280">
        <f>H29+H33</f>
        <v>1</v>
      </c>
      <c r="I34" s="5"/>
      <c r="K34" s="268"/>
      <c r="N34" s="218"/>
    </row>
    <row r="35" spans="1:14" ht="13.5" thickBot="1" x14ac:dyDescent="0.25">
      <c r="A35" s="144"/>
      <c r="B35" s="144"/>
      <c r="C35" s="144"/>
      <c r="D35" s="144"/>
      <c r="E35" s="31"/>
      <c r="F35" s="25">
        <v>0</v>
      </c>
      <c r="G35" s="144"/>
      <c r="H35" s="26"/>
      <c r="I35" s="26"/>
      <c r="K35" s="267"/>
    </row>
    <row r="36" spans="1:14" ht="16.5" thickBot="1" x14ac:dyDescent="0.3">
      <c r="A36" s="144"/>
      <c r="B36" s="144"/>
      <c r="C36" s="54" t="s">
        <v>98</v>
      </c>
      <c r="D36" s="144"/>
      <c r="E36" s="31"/>
      <c r="F36" s="94">
        <f>SUM(F34:F35)</f>
        <v>5117708.3</v>
      </c>
      <c r="G36" s="144"/>
      <c r="H36" s="26"/>
      <c r="I36" s="26"/>
      <c r="J36" s="1"/>
      <c r="K36" s="1"/>
    </row>
    <row r="37" spans="1:14" ht="15.75" x14ac:dyDescent="0.25">
      <c r="A37" s="144"/>
      <c r="B37" s="144"/>
      <c r="C37" s="54"/>
      <c r="D37" s="144"/>
      <c r="E37" s="31"/>
      <c r="F37" s="230">
        <f>F36*1.13</f>
        <v>5783010.3789999988</v>
      </c>
      <c r="G37" s="144"/>
      <c r="H37" s="628" t="s">
        <v>180</v>
      </c>
      <c r="I37" s="628"/>
      <c r="J37" s="628"/>
      <c r="K37" s="1"/>
    </row>
    <row r="38" spans="1:14" ht="13.5" thickBot="1" x14ac:dyDescent="0.25">
      <c r="A38" s="144"/>
      <c r="B38" s="144"/>
      <c r="C38" s="54"/>
      <c r="D38" s="144"/>
      <c r="E38" s="31"/>
      <c r="F38" s="1"/>
      <c r="G38" s="144"/>
      <c r="H38" s="26">
        <v>0.13</v>
      </c>
      <c r="I38" s="26"/>
      <c r="J38" s="1"/>
      <c r="K38" s="1"/>
    </row>
    <row r="39" spans="1:14" ht="18" x14ac:dyDescent="0.25">
      <c r="A39" s="144"/>
      <c r="B39" s="144"/>
      <c r="C39" s="54"/>
      <c r="D39" s="651" t="s">
        <v>97</v>
      </c>
      <c r="E39" s="652"/>
      <c r="F39" s="1"/>
      <c r="G39" s="144"/>
      <c r="H39" s="26"/>
      <c r="I39" s="26"/>
      <c r="J39" s="1"/>
      <c r="K39" s="1"/>
    </row>
    <row r="40" spans="1:14" ht="18.75" thickBot="1" x14ac:dyDescent="0.3">
      <c r="A40" s="144"/>
      <c r="B40" s="144"/>
      <c r="C40" s="54"/>
      <c r="D40" s="648">
        <f>F36/C23</f>
        <v>5815.5776136363638</v>
      </c>
      <c r="E40" s="649"/>
      <c r="F40" s="1"/>
      <c r="G40" s="144"/>
      <c r="H40" s="26"/>
      <c r="I40" s="26"/>
      <c r="J40" s="1"/>
      <c r="K40" s="1"/>
    </row>
    <row r="41" spans="1:14" ht="217.5" thickBot="1" x14ac:dyDescent="0.3">
      <c r="A41" s="144"/>
      <c r="B41" s="367" t="s">
        <v>436</v>
      </c>
      <c r="C41" s="359"/>
      <c r="D41" s="123"/>
      <c r="E41" s="123"/>
      <c r="F41" s="1"/>
      <c r="G41" s="144"/>
      <c r="H41" s="26"/>
      <c r="I41" s="26"/>
      <c r="J41" s="1"/>
      <c r="K41" s="1"/>
    </row>
    <row r="42" spans="1:14" ht="18" x14ac:dyDescent="0.25">
      <c r="A42" s="144"/>
      <c r="B42" s="359"/>
      <c r="C42" s="359"/>
      <c r="D42" s="123"/>
      <c r="E42" s="123"/>
      <c r="F42" s="1"/>
      <c r="G42" s="144"/>
      <c r="H42" s="26"/>
      <c r="I42" s="26"/>
      <c r="J42" s="1"/>
      <c r="K42" s="1"/>
    </row>
    <row r="43" spans="1:14" ht="18" x14ac:dyDescent="0.25">
      <c r="A43" s="144"/>
      <c r="B43" s="359"/>
      <c r="C43" s="359"/>
      <c r="D43" s="123"/>
      <c r="E43" s="123"/>
      <c r="F43" s="1"/>
      <c r="G43" s="144"/>
      <c r="H43" s="26"/>
      <c r="I43" s="26"/>
      <c r="J43" s="1"/>
      <c r="K43" s="1"/>
    </row>
    <row r="44" spans="1:14" ht="18" x14ac:dyDescent="0.25">
      <c r="A44" s="144"/>
      <c r="B44" s="359"/>
      <c r="C44" s="359"/>
      <c r="D44" s="123"/>
      <c r="E44" s="123"/>
      <c r="F44" s="1"/>
      <c r="G44" s="144"/>
      <c r="H44" s="26"/>
      <c r="I44" s="26"/>
      <c r="J44" s="1"/>
      <c r="K44" s="1"/>
    </row>
    <row r="45" spans="1:14" ht="18" x14ac:dyDescent="0.25">
      <c r="A45" s="144"/>
      <c r="B45" s="359"/>
      <c r="C45" s="359"/>
      <c r="D45" s="123"/>
      <c r="E45" s="123"/>
      <c r="F45" s="1"/>
      <c r="G45" s="144"/>
      <c r="H45" s="26"/>
      <c r="I45" s="26"/>
      <c r="J45" s="1"/>
      <c r="K45" s="1"/>
    </row>
    <row r="46" spans="1:14" ht="18" x14ac:dyDescent="0.25">
      <c r="A46" s="144"/>
      <c r="B46" s="359"/>
      <c r="C46" s="359"/>
      <c r="D46" s="123"/>
      <c r="E46" s="123"/>
      <c r="F46" s="1"/>
      <c r="G46" s="144"/>
      <c r="H46" s="26"/>
      <c r="I46" s="26"/>
      <c r="J46" s="1"/>
      <c r="K46" s="1"/>
    </row>
    <row r="47" spans="1:14" x14ac:dyDescent="0.2">
      <c r="A47" s="144"/>
      <c r="B47" s="359"/>
      <c r="C47" s="359"/>
      <c r="D47" s="144"/>
      <c r="E47" s="31"/>
      <c r="F47" s="1"/>
      <c r="G47" s="144"/>
      <c r="H47" s="26"/>
      <c r="I47" s="26"/>
      <c r="J47" s="1"/>
      <c r="K47" s="1"/>
    </row>
    <row r="48" spans="1:14" x14ac:dyDescent="0.2">
      <c r="A48" s="144"/>
      <c r="B48" s="359"/>
      <c r="C48" s="359"/>
      <c r="D48" s="144"/>
      <c r="E48" s="31"/>
      <c r="F48" s="25"/>
      <c r="G48" s="144"/>
      <c r="H48" s="26"/>
      <c r="I48" s="26"/>
      <c r="J48" s="1"/>
    </row>
    <row r="49" spans="1:10" x14ac:dyDescent="0.2">
      <c r="A49" s="144"/>
      <c r="B49" s="359"/>
      <c r="C49" s="359"/>
      <c r="D49" s="144"/>
      <c r="E49" s="31"/>
      <c r="F49" s="25"/>
      <c r="G49" s="144"/>
      <c r="H49" s="26"/>
      <c r="I49" s="26"/>
      <c r="J49" s="1"/>
    </row>
    <row r="50" spans="1:10" x14ac:dyDescent="0.2">
      <c r="A50" s="144"/>
      <c r="B50" s="359"/>
      <c r="C50" s="359"/>
      <c r="D50" s="144"/>
      <c r="E50" s="31"/>
      <c r="F50" s="25"/>
      <c r="G50" s="144"/>
      <c r="H50" s="26"/>
      <c r="I50" s="26"/>
      <c r="J50" s="1"/>
    </row>
    <row r="51" spans="1:10" x14ac:dyDescent="0.2">
      <c r="B51" s="359"/>
      <c r="C51" s="359"/>
    </row>
  </sheetData>
  <mergeCells count="8">
    <mergeCell ref="H37:J37"/>
    <mergeCell ref="K9:K10"/>
    <mergeCell ref="D40:E40"/>
    <mergeCell ref="B1:H1"/>
    <mergeCell ref="B3:H3"/>
    <mergeCell ref="B4:H4"/>
    <mergeCell ref="B5:H5"/>
    <mergeCell ref="D39:E39"/>
  </mergeCells>
  <pageMargins left="0.78740157480314965" right="0.59055118110236227" top="0.59055118110236227" bottom="0.59055118110236227" header="0" footer="0"/>
  <pageSetup scale="85"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R50"/>
  <sheetViews>
    <sheetView topLeftCell="A10" workbookViewId="0">
      <selection activeCell="I5" sqref="I5"/>
    </sheetView>
  </sheetViews>
  <sheetFormatPr baseColWidth="10" defaultRowHeight="12.75" x14ac:dyDescent="0.2"/>
  <cols>
    <col min="1" max="1" width="4.28515625" customWidth="1"/>
    <col min="2" max="2" width="52.28515625" customWidth="1"/>
    <col min="3" max="3" width="9" customWidth="1"/>
    <col min="4" max="4" width="12.140625" customWidth="1"/>
    <col min="5" max="5" width="12.85546875" customWidth="1"/>
    <col min="6" max="6" width="13.7109375" customWidth="1"/>
    <col min="7" max="7" width="0" hidden="1" customWidth="1"/>
    <col min="8" max="9" width="21.5703125" customWidth="1"/>
    <col min="10" max="10" width="16.5703125" customWidth="1"/>
    <col min="11" max="11" width="21.5703125" customWidth="1"/>
    <col min="12" max="12" width="16.140625" customWidth="1"/>
    <col min="13" max="13" width="21" customWidth="1"/>
    <col min="14" max="14" width="29" bestFit="1" customWidth="1"/>
    <col min="15" max="15" width="12.7109375" customWidth="1"/>
    <col min="16" max="16" width="15" customWidth="1"/>
  </cols>
  <sheetData>
    <row r="1" spans="1:10" ht="18.75" customHeight="1" x14ac:dyDescent="0.2">
      <c r="A1" s="13"/>
      <c r="B1" s="645" t="s">
        <v>58</v>
      </c>
      <c r="C1" s="629"/>
      <c r="D1" s="629"/>
      <c r="E1" s="629"/>
      <c r="F1" s="629"/>
      <c r="G1" s="629"/>
      <c r="H1" s="629"/>
      <c r="I1" s="15"/>
    </row>
    <row r="2" spans="1:10" ht="5.25" customHeight="1" x14ac:dyDescent="0.2">
      <c r="A2" s="13"/>
      <c r="B2" s="15"/>
      <c r="C2" s="15"/>
      <c r="D2" s="15"/>
      <c r="E2" s="15"/>
      <c r="F2" s="15"/>
      <c r="G2" s="13"/>
      <c r="H2" s="13"/>
      <c r="I2" s="13"/>
      <c r="J2" s="2"/>
    </row>
    <row r="3" spans="1:10" x14ac:dyDescent="0.2">
      <c r="A3" s="13"/>
      <c r="B3" s="650" t="s">
        <v>306</v>
      </c>
      <c r="C3" s="646"/>
      <c r="D3" s="646"/>
      <c r="E3" s="646"/>
      <c r="F3" s="646"/>
      <c r="G3" s="646"/>
      <c r="H3" s="646"/>
      <c r="I3" s="15"/>
      <c r="J3" s="2"/>
    </row>
    <row r="4" spans="1:10" x14ac:dyDescent="0.2">
      <c r="A4" s="13"/>
      <c r="B4" s="629" t="s">
        <v>243</v>
      </c>
      <c r="C4" s="629"/>
      <c r="D4" s="629"/>
      <c r="E4" s="629"/>
      <c r="F4" s="629"/>
      <c r="G4" s="629"/>
      <c r="H4" s="629"/>
      <c r="I4" s="15"/>
      <c r="J4" s="2"/>
    </row>
    <row r="5" spans="1:10" x14ac:dyDescent="0.2">
      <c r="A5" s="13"/>
      <c r="B5" s="642" t="s">
        <v>308</v>
      </c>
      <c r="C5" s="643"/>
      <c r="D5" s="643"/>
      <c r="E5" s="643"/>
      <c r="F5" s="643"/>
      <c r="G5" s="643"/>
      <c r="H5" s="643"/>
      <c r="I5" s="131"/>
      <c r="J5" s="2"/>
    </row>
    <row r="6" spans="1:10" ht="13.5" thickBot="1" x14ac:dyDescent="0.25">
      <c r="A6" s="13"/>
      <c r="B6" s="16" t="s">
        <v>572</v>
      </c>
      <c r="C6" s="15"/>
      <c r="D6" s="15"/>
      <c r="E6" s="15"/>
      <c r="F6" s="15"/>
      <c r="G6" s="13"/>
      <c r="H6" s="13"/>
      <c r="I6" s="13"/>
      <c r="J6" s="2"/>
    </row>
    <row r="7" spans="1:10" ht="22.5" customHeight="1" thickBot="1" x14ac:dyDescent="0.25">
      <c r="A7" s="13"/>
      <c r="B7" s="10" t="s">
        <v>3</v>
      </c>
      <c r="C7" s="17" t="s">
        <v>0</v>
      </c>
      <c r="D7" s="10" t="s">
        <v>4</v>
      </c>
      <c r="E7" s="17" t="s">
        <v>2</v>
      </c>
      <c r="F7" s="10" t="s">
        <v>1</v>
      </c>
      <c r="G7" s="9" t="s">
        <v>15</v>
      </c>
      <c r="H7" s="18" t="s">
        <v>15</v>
      </c>
      <c r="I7" s="132"/>
    </row>
    <row r="8" spans="1:10" x14ac:dyDescent="0.2">
      <c r="A8" s="13"/>
      <c r="B8" s="56" t="s">
        <v>16</v>
      </c>
      <c r="C8" s="48"/>
      <c r="D8" s="48"/>
      <c r="E8" s="48"/>
      <c r="F8" s="48"/>
      <c r="G8" s="49"/>
      <c r="H8" s="50"/>
      <c r="I8" s="32"/>
    </row>
    <row r="9" spans="1:10" x14ac:dyDescent="0.2">
      <c r="A9" s="13"/>
      <c r="B9" s="3" t="s">
        <v>17</v>
      </c>
      <c r="C9" s="12"/>
      <c r="D9" s="12"/>
      <c r="E9" s="12"/>
      <c r="F9" s="12"/>
      <c r="G9" s="12"/>
      <c r="H9" s="12"/>
      <c r="I9" s="32"/>
      <c r="J9" s="678" t="s">
        <v>304</v>
      </c>
    </row>
    <row r="10" spans="1:10" x14ac:dyDescent="0.2">
      <c r="A10" s="13"/>
      <c r="B10" s="12"/>
      <c r="C10" s="14"/>
      <c r="D10" s="14"/>
      <c r="E10" s="14"/>
      <c r="F10" s="14"/>
      <c r="G10" s="51"/>
      <c r="H10" s="27"/>
      <c r="I10" s="134"/>
      <c r="J10" s="679"/>
    </row>
    <row r="11" spans="1:10" x14ac:dyDescent="0.2">
      <c r="A11" s="13"/>
      <c r="B11" s="158" t="s">
        <v>184</v>
      </c>
      <c r="C11" s="14">
        <v>2</v>
      </c>
      <c r="D11" s="14" t="s">
        <v>52</v>
      </c>
      <c r="E11" s="59">
        <f>'Mano de Obra (JORNAL)'!E32</f>
        <v>47165</v>
      </c>
      <c r="F11" s="59">
        <f t="shared" ref="F11:F19" si="0">C11*E11</f>
        <v>94330</v>
      </c>
      <c r="G11" s="51" t="e">
        <f>#REF!/#REF!*100</f>
        <v>#REF!</v>
      </c>
      <c r="H11" s="27">
        <f>F11/F34</f>
        <v>1.7486354600210734E-2</v>
      </c>
      <c r="I11" s="134"/>
      <c r="J11" s="14">
        <v>3</v>
      </c>
    </row>
    <row r="12" spans="1:10" x14ac:dyDescent="0.2">
      <c r="A12" s="13"/>
      <c r="B12" s="12" t="s">
        <v>21</v>
      </c>
      <c r="C12" s="14">
        <v>5</v>
      </c>
      <c r="D12" s="14" t="s">
        <v>52</v>
      </c>
      <c r="E12" s="59">
        <f>E11</f>
        <v>47165</v>
      </c>
      <c r="F12" s="59">
        <f t="shared" si="0"/>
        <v>235825</v>
      </c>
      <c r="G12" s="51" t="e">
        <f>#REF!/#REF!*100</f>
        <v>#REF!</v>
      </c>
      <c r="H12" s="27">
        <f>F12/F34</f>
        <v>4.3715886500526831E-2</v>
      </c>
      <c r="I12" s="134"/>
      <c r="J12" s="14">
        <v>6</v>
      </c>
    </row>
    <row r="13" spans="1:10" x14ac:dyDescent="0.2">
      <c r="A13" s="13"/>
      <c r="B13" s="12" t="s">
        <v>22</v>
      </c>
      <c r="C13" s="14">
        <v>3</v>
      </c>
      <c r="D13" s="14" t="s">
        <v>52</v>
      </c>
      <c r="E13" s="59">
        <f>E11</f>
        <v>47165</v>
      </c>
      <c r="F13" s="59">
        <f t="shared" si="0"/>
        <v>141495</v>
      </c>
      <c r="G13" s="51" t="e">
        <f>#REF!/#REF!*100</f>
        <v>#REF!</v>
      </c>
      <c r="H13" s="27">
        <f>F13/F34</f>
        <v>2.62295319003161E-2</v>
      </c>
      <c r="I13" s="134"/>
      <c r="J13" s="14">
        <v>4</v>
      </c>
    </row>
    <row r="14" spans="1:10" x14ac:dyDescent="0.2">
      <c r="A14" s="13"/>
      <c r="B14" s="12" t="s">
        <v>23</v>
      </c>
      <c r="C14" s="14">
        <v>2</v>
      </c>
      <c r="D14" s="14" t="s">
        <v>52</v>
      </c>
      <c r="E14" s="59">
        <f>E11</f>
        <v>47165</v>
      </c>
      <c r="F14" s="59">
        <f t="shared" si="0"/>
        <v>94330</v>
      </c>
      <c r="G14" s="51" t="e">
        <f>#REF!/#REF!*100</f>
        <v>#REF!</v>
      </c>
      <c r="H14" s="27">
        <f>F14/F34</f>
        <v>1.7486354600210734E-2</v>
      </c>
      <c r="I14" s="134"/>
      <c r="J14" s="14">
        <v>2</v>
      </c>
    </row>
    <row r="15" spans="1:10" x14ac:dyDescent="0.2">
      <c r="A15" s="13"/>
      <c r="B15" s="12" t="s">
        <v>24</v>
      </c>
      <c r="C15" s="14">
        <v>6</v>
      </c>
      <c r="D15" s="14" t="s">
        <v>52</v>
      </c>
      <c r="E15" s="59">
        <f>E11</f>
        <v>47165</v>
      </c>
      <c r="F15" s="59">
        <f t="shared" si="0"/>
        <v>282990</v>
      </c>
      <c r="G15" s="51" t="e">
        <f>#REF!/#REF!*100</f>
        <v>#REF!</v>
      </c>
      <c r="H15" s="27">
        <f>F15/F34</f>
        <v>5.24590638006322E-2</v>
      </c>
      <c r="I15" s="134"/>
      <c r="J15" s="14">
        <v>5</v>
      </c>
    </row>
    <row r="16" spans="1:10" x14ac:dyDescent="0.2">
      <c r="A16" s="13"/>
      <c r="B16" s="12" t="s">
        <v>25</v>
      </c>
      <c r="C16" s="14">
        <v>1</v>
      </c>
      <c r="D16" s="14" t="s">
        <v>52</v>
      </c>
      <c r="E16" s="59">
        <f>E11</f>
        <v>47165</v>
      </c>
      <c r="F16" s="59">
        <f t="shared" si="0"/>
        <v>47165</v>
      </c>
      <c r="G16" s="51" t="e">
        <f>#REF!/#REF!*100</f>
        <v>#REF!</v>
      </c>
      <c r="H16" s="27">
        <f>F16/F34</f>
        <v>8.7431773001053672E-3</v>
      </c>
      <c r="I16" s="134"/>
      <c r="J16" s="14">
        <v>2</v>
      </c>
    </row>
    <row r="17" spans="1:18" x14ac:dyDescent="0.2">
      <c r="A17" s="13"/>
      <c r="B17" s="12" t="s">
        <v>28</v>
      </c>
      <c r="C17" s="14">
        <v>4</v>
      </c>
      <c r="D17" s="14" t="s">
        <v>52</v>
      </c>
      <c r="E17" s="59">
        <f>E11</f>
        <v>47165</v>
      </c>
      <c r="F17" s="59">
        <f t="shared" si="0"/>
        <v>188660</v>
      </c>
      <c r="G17" s="51" t="e">
        <f>#REF!/#REF!*100</f>
        <v>#REF!</v>
      </c>
      <c r="H17" s="27">
        <f>F17/F34</f>
        <v>3.4972709200421469E-2</v>
      </c>
      <c r="I17" s="134"/>
      <c r="J17" s="14">
        <v>4</v>
      </c>
    </row>
    <row r="18" spans="1:18" ht="13.5" customHeight="1" x14ac:dyDescent="0.2">
      <c r="A18" s="13"/>
      <c r="B18" s="12" t="s">
        <v>26</v>
      </c>
      <c r="C18" s="14">
        <v>1</v>
      </c>
      <c r="D18" s="14" t="s">
        <v>52</v>
      </c>
      <c r="E18" s="176">
        <f>E11</f>
        <v>47165</v>
      </c>
      <c r="F18" s="59">
        <f t="shared" si="0"/>
        <v>47165</v>
      </c>
      <c r="G18" s="51" t="e">
        <f>#REF!/#REF!*100</f>
        <v>#REF!</v>
      </c>
      <c r="H18" s="27">
        <f>F18/F34</f>
        <v>8.7431773001053672E-3</v>
      </c>
      <c r="I18" s="134"/>
      <c r="J18" s="14">
        <v>2</v>
      </c>
      <c r="K18" s="676"/>
      <c r="L18" s="361"/>
    </row>
    <row r="19" spans="1:18" x14ac:dyDescent="0.2">
      <c r="A19" s="13"/>
      <c r="B19" s="158" t="s">
        <v>320</v>
      </c>
      <c r="C19" s="14">
        <v>6</v>
      </c>
      <c r="D19" s="14" t="s">
        <v>52</v>
      </c>
      <c r="E19" s="59">
        <f>E11</f>
        <v>47165</v>
      </c>
      <c r="F19" s="59">
        <f t="shared" si="0"/>
        <v>282990</v>
      </c>
      <c r="G19" s="51" t="e">
        <f>#REF!/#REF!*100</f>
        <v>#REF!</v>
      </c>
      <c r="H19" s="27">
        <f>F19/F34</f>
        <v>5.24590638006322E-2</v>
      </c>
      <c r="I19" s="134"/>
      <c r="J19" s="14">
        <v>6</v>
      </c>
      <c r="K19" s="676"/>
      <c r="L19" s="361"/>
    </row>
    <row r="20" spans="1:18" x14ac:dyDescent="0.2">
      <c r="A20" s="13"/>
      <c r="B20" s="8" t="s">
        <v>6</v>
      </c>
      <c r="C20" s="4">
        <f>SUM(C10:C19)</f>
        <v>30</v>
      </c>
      <c r="D20" s="14"/>
      <c r="E20" s="59"/>
      <c r="F20" s="4">
        <f>SUM(F10:F19)</f>
        <v>1414950</v>
      </c>
      <c r="G20" s="51" t="e">
        <f>#REF!/#REF!*100</f>
        <v>#REF!</v>
      </c>
      <c r="H20" s="5">
        <f>F20/F34</f>
        <v>0.262295319003161</v>
      </c>
      <c r="I20" s="26"/>
      <c r="J20" s="4">
        <f>SUM(J9:J19)</f>
        <v>34</v>
      </c>
      <c r="K20" s="361"/>
      <c r="L20" s="361"/>
    </row>
    <row r="21" spans="1:18" x14ac:dyDescent="0.2">
      <c r="A21" s="13"/>
      <c r="B21" s="3" t="s">
        <v>18</v>
      </c>
      <c r="C21" s="12"/>
      <c r="D21" s="12"/>
      <c r="E21" s="12"/>
      <c r="F21" s="19"/>
      <c r="G21" s="51" t="e">
        <f>#REF!/#REF!*100</f>
        <v>#REF!</v>
      </c>
      <c r="H21" s="52"/>
      <c r="I21" s="136"/>
      <c r="K21" s="676"/>
      <c r="L21" s="361"/>
    </row>
    <row r="22" spans="1:18" x14ac:dyDescent="0.2">
      <c r="A22" s="13"/>
      <c r="B22" s="12" t="s">
        <v>53</v>
      </c>
      <c r="C22" s="14">
        <v>610</v>
      </c>
      <c r="D22" s="221" t="s">
        <v>309</v>
      </c>
      <c r="E22" s="14">
        <v>4500</v>
      </c>
      <c r="F22" s="14">
        <f>C22*E22</f>
        <v>2745000</v>
      </c>
      <c r="G22" s="51" t="e">
        <f>#REF!/#REF!*100</f>
        <v>#REF!</v>
      </c>
      <c r="H22" s="27">
        <f>F22/F34</f>
        <v>0.50885236274333157</v>
      </c>
      <c r="I22" s="134"/>
      <c r="K22" s="676"/>
      <c r="L22" s="360"/>
    </row>
    <row r="23" spans="1:18" x14ac:dyDescent="0.2">
      <c r="A23" s="13"/>
      <c r="B23" s="158" t="s">
        <v>311</v>
      </c>
      <c r="C23" s="14">
        <f>80*C22/1000</f>
        <v>48.8</v>
      </c>
      <c r="D23" s="14" t="s">
        <v>50</v>
      </c>
      <c r="E23" s="14">
        <v>1600</v>
      </c>
      <c r="F23" s="14">
        <f>C23*E23</f>
        <v>78080</v>
      </c>
      <c r="G23" s="51" t="e">
        <f>#REF!/#REF!*100</f>
        <v>#REF!</v>
      </c>
      <c r="H23" s="27">
        <f>F23/F34</f>
        <v>1.4474022762476986E-2</v>
      </c>
      <c r="I23" s="134"/>
      <c r="K23" s="361"/>
      <c r="L23" s="360"/>
    </row>
    <row r="24" spans="1:18" x14ac:dyDescent="0.2">
      <c r="A24" s="13"/>
      <c r="B24" s="12" t="s">
        <v>27</v>
      </c>
      <c r="C24" s="14">
        <f>250*C22/1000</f>
        <v>152.5</v>
      </c>
      <c r="D24" s="14" t="s">
        <v>50</v>
      </c>
      <c r="E24" s="14">
        <v>314</v>
      </c>
      <c r="F24" s="14">
        <f>C24*E24</f>
        <v>47885</v>
      </c>
      <c r="G24" s="51" t="e">
        <f>#REF!/#REF!*100</f>
        <v>#REF!</v>
      </c>
      <c r="H24" s="27">
        <f>F24/F34</f>
        <v>8.8766467723003385E-3</v>
      </c>
      <c r="I24" s="134"/>
      <c r="O24" s="64" t="s">
        <v>326</v>
      </c>
      <c r="P24" s="64" t="s">
        <v>327</v>
      </c>
    </row>
    <row r="25" spans="1:18" x14ac:dyDescent="0.2">
      <c r="A25" s="144"/>
      <c r="B25" s="40" t="s">
        <v>172</v>
      </c>
      <c r="C25" s="176">
        <v>2</v>
      </c>
      <c r="D25" s="175" t="s">
        <v>50</v>
      </c>
      <c r="E25" s="176">
        <v>51200</v>
      </c>
      <c r="F25" s="175">
        <f>C25*E25</f>
        <v>102400</v>
      </c>
      <c r="G25" s="177"/>
      <c r="H25" s="178">
        <f>F25/F32</f>
        <v>0.10526564670011729</v>
      </c>
      <c r="J25" s="322" t="s">
        <v>316</v>
      </c>
      <c r="K25" s="323" t="s">
        <v>312</v>
      </c>
      <c r="L25" s="324" t="s">
        <v>310</v>
      </c>
      <c r="M25" s="324" t="s">
        <v>317</v>
      </c>
      <c r="N25" s="325" t="s">
        <v>318</v>
      </c>
      <c r="O25" s="325" t="s">
        <v>324</v>
      </c>
      <c r="P25" s="184" t="s">
        <v>325</v>
      </c>
    </row>
    <row r="26" spans="1:18" x14ac:dyDescent="0.2">
      <c r="A26" s="144"/>
      <c r="B26" s="40" t="s">
        <v>173</v>
      </c>
      <c r="C26" s="176">
        <v>2</v>
      </c>
      <c r="D26" s="175" t="s">
        <v>175</v>
      </c>
      <c r="E26" s="176">
        <v>16700</v>
      </c>
      <c r="F26" s="175">
        <f>C26*E26</f>
        <v>33400</v>
      </c>
      <c r="G26" s="177"/>
      <c r="H26" s="178">
        <f>F26/F34</f>
        <v>6.1915005157112107E-3</v>
      </c>
      <c r="J26" s="326" t="s">
        <v>313</v>
      </c>
      <c r="K26" s="321" t="s">
        <v>319</v>
      </c>
      <c r="L26" s="19">
        <v>555</v>
      </c>
      <c r="M26" s="8">
        <v>250</v>
      </c>
      <c r="N26" s="4">
        <v>80</v>
      </c>
      <c r="O26" s="40">
        <v>4000</v>
      </c>
      <c r="P26" s="40">
        <v>5000</v>
      </c>
      <c r="Q26">
        <v>3800</v>
      </c>
      <c r="R26">
        <v>4500</v>
      </c>
    </row>
    <row r="27" spans="1:18" x14ac:dyDescent="0.2">
      <c r="A27" s="13"/>
      <c r="B27" s="8" t="s">
        <v>13</v>
      </c>
      <c r="C27" s="14"/>
      <c r="D27" s="14"/>
      <c r="E27" s="14"/>
      <c r="F27" s="4">
        <f>SUM(F22:F26)</f>
        <v>3006765</v>
      </c>
      <c r="G27" s="51" t="e">
        <f>#REF!/#REF!*100</f>
        <v>#REF!</v>
      </c>
      <c r="H27" s="5">
        <f>F27/F34</f>
        <v>0.5573768577282161</v>
      </c>
      <c r="J27" s="326" t="s">
        <v>314</v>
      </c>
      <c r="K27" s="166" t="s">
        <v>331</v>
      </c>
      <c r="L27" s="19">
        <v>157</v>
      </c>
      <c r="M27" s="8">
        <v>200</v>
      </c>
      <c r="N27" s="4">
        <v>50</v>
      </c>
      <c r="O27" s="40">
        <v>4000</v>
      </c>
      <c r="P27" s="40">
        <v>5000</v>
      </c>
      <c r="Q27">
        <v>6000</v>
      </c>
      <c r="R27">
        <v>7000</v>
      </c>
    </row>
    <row r="28" spans="1:18" ht="16.5" customHeight="1" x14ac:dyDescent="0.2">
      <c r="A28" s="13"/>
      <c r="B28" s="3" t="s">
        <v>20</v>
      </c>
      <c r="C28" s="14"/>
      <c r="D28" s="14"/>
      <c r="E28" s="14"/>
      <c r="F28" s="4">
        <f>F20+F27</f>
        <v>4421715</v>
      </c>
      <c r="G28" s="51"/>
      <c r="H28" s="5">
        <f>F28/F34</f>
        <v>0.81967217673137716</v>
      </c>
      <c r="J28" s="326" t="s">
        <v>315</v>
      </c>
      <c r="K28" s="166" t="s">
        <v>305</v>
      </c>
      <c r="L28" s="19">
        <v>1110</v>
      </c>
      <c r="M28" s="8">
        <v>150</v>
      </c>
      <c r="N28" s="4">
        <v>30</v>
      </c>
      <c r="O28" s="40">
        <v>2500</v>
      </c>
      <c r="P28" s="40">
        <v>3500</v>
      </c>
      <c r="Q28">
        <v>3000</v>
      </c>
    </row>
    <row r="29" spans="1:18" x14ac:dyDescent="0.2">
      <c r="A29" s="13"/>
      <c r="B29" s="3" t="s">
        <v>19</v>
      </c>
      <c r="C29" s="12"/>
      <c r="D29" s="12"/>
      <c r="E29" s="12"/>
      <c r="F29" s="19"/>
      <c r="G29" s="51" t="e">
        <f>#REF!/#REF!*100</f>
        <v>#REF!</v>
      </c>
      <c r="H29" s="52"/>
      <c r="J29" s="136"/>
    </row>
    <row r="30" spans="1:18" x14ac:dyDescent="0.2">
      <c r="A30" s="13"/>
      <c r="B30" s="53" t="s">
        <v>321</v>
      </c>
      <c r="C30" s="328">
        <v>0.05</v>
      </c>
      <c r="D30" s="20"/>
      <c r="E30" s="20"/>
      <c r="F30" s="14">
        <f>F20*C30</f>
        <v>70747.5</v>
      </c>
      <c r="G30" s="51" t="e">
        <f>#REF!/#REF!*100</f>
        <v>#REF!</v>
      </c>
      <c r="H30" s="27">
        <f>F30/F34</f>
        <v>1.311476595015805E-2</v>
      </c>
      <c r="J30" s="134"/>
    </row>
    <row r="31" spans="1:18" x14ac:dyDescent="0.2">
      <c r="A31" s="13"/>
      <c r="B31" s="53" t="s">
        <v>141</v>
      </c>
      <c r="C31" s="328">
        <v>0.3</v>
      </c>
      <c r="D31" s="20"/>
      <c r="E31" s="20"/>
      <c r="F31" s="14">
        <f>F27*C31</f>
        <v>902029.5</v>
      </c>
      <c r="G31" s="89"/>
      <c r="H31" s="88">
        <f>F31/F34</f>
        <v>0.16721305731846484</v>
      </c>
      <c r="J31" s="319"/>
    </row>
    <row r="32" spans="1:18" x14ac:dyDescent="0.2">
      <c r="A32" s="13"/>
      <c r="B32" s="3" t="s">
        <v>14</v>
      </c>
      <c r="C32" s="14"/>
      <c r="D32" s="14"/>
      <c r="E32" s="14"/>
      <c r="F32" s="4">
        <f>SUM(F30:F31)</f>
        <v>972777</v>
      </c>
      <c r="G32" s="51" t="e">
        <f>#REF!/#REF!*100</f>
        <v>#REF!</v>
      </c>
      <c r="H32" s="5">
        <f>F32/F34</f>
        <v>0.18032782326862287</v>
      </c>
      <c r="I32" s="26"/>
    </row>
    <row r="33" spans="1:11" ht="13.5" thickBot="1" x14ac:dyDescent="0.25">
      <c r="A33" s="13"/>
      <c r="B33" s="13"/>
      <c r="C33" s="13"/>
      <c r="D33" s="13"/>
      <c r="E33" s="13"/>
      <c r="F33" s="21"/>
      <c r="G33" s="13"/>
      <c r="H33" s="22"/>
      <c r="I33" s="22"/>
    </row>
    <row r="34" spans="1:11" ht="18.75" customHeight="1" thickBot="1" x14ac:dyDescent="0.25">
      <c r="A34" s="13"/>
      <c r="B34" s="28" t="s">
        <v>322</v>
      </c>
      <c r="C34" s="29"/>
      <c r="D34" s="29"/>
      <c r="E34" s="30"/>
      <c r="F34" s="23">
        <f>F28+F32</f>
        <v>5394492</v>
      </c>
      <c r="G34" s="13"/>
      <c r="H34" s="24">
        <f>H20+H27+H32</f>
        <v>0.99999999999999989</v>
      </c>
      <c r="I34" s="26"/>
    </row>
    <row r="35" spans="1:11" x14ac:dyDescent="0.2">
      <c r="A35" s="13"/>
      <c r="B35" s="13"/>
      <c r="C35" s="13"/>
      <c r="D35" s="13"/>
      <c r="E35" s="31"/>
      <c r="F35" s="25"/>
      <c r="G35" s="13"/>
      <c r="H35" s="26"/>
      <c r="I35" s="26"/>
      <c r="K35" s="229"/>
    </row>
    <row r="36" spans="1:11" ht="18.75" thickBot="1" x14ac:dyDescent="0.3">
      <c r="A36" s="13"/>
      <c r="B36" s="677"/>
      <c r="C36" s="677"/>
      <c r="D36" s="677"/>
      <c r="E36" s="677"/>
      <c r="F36" s="123"/>
      <c r="G36" s="13"/>
      <c r="H36" s="26"/>
      <c r="I36" s="26"/>
      <c r="J36" s="1"/>
      <c r="K36" s="133"/>
    </row>
    <row r="37" spans="1:11" ht="18.75" thickBot="1" x14ac:dyDescent="0.3">
      <c r="A37" s="13"/>
      <c r="F37" s="234">
        <f>F34/C22</f>
        <v>8843.4295081967211</v>
      </c>
      <c r="G37" s="320"/>
      <c r="H37" s="327" t="s">
        <v>323</v>
      </c>
      <c r="J37" s="26"/>
    </row>
    <row r="38" spans="1:11" x14ac:dyDescent="0.2">
      <c r="A38" s="13"/>
      <c r="B38" s="13"/>
      <c r="G38" s="13"/>
      <c r="H38" s="26"/>
      <c r="I38" s="26"/>
      <c r="J38" s="26"/>
    </row>
    <row r="39" spans="1:11" ht="216.75" x14ac:dyDescent="0.2">
      <c r="A39" s="13"/>
      <c r="B39" s="294" t="s">
        <v>338</v>
      </c>
      <c r="C39" s="359"/>
      <c r="G39" s="13"/>
      <c r="H39" s="26"/>
      <c r="I39" s="26"/>
      <c r="J39" s="1"/>
    </row>
    <row r="40" spans="1:11" x14ac:dyDescent="0.2">
      <c r="A40" s="13"/>
      <c r="B40" s="359"/>
      <c r="C40" s="359"/>
      <c r="G40" s="13"/>
      <c r="H40" s="26"/>
      <c r="I40" s="26"/>
      <c r="J40" s="1"/>
    </row>
    <row r="41" spans="1:11" x14ac:dyDescent="0.2">
      <c r="A41" s="13"/>
      <c r="B41" s="359"/>
      <c r="C41" s="359"/>
      <c r="G41" s="13"/>
      <c r="H41" s="26"/>
      <c r="I41" s="26"/>
      <c r="J41" s="1"/>
    </row>
    <row r="42" spans="1:11" x14ac:dyDescent="0.2">
      <c r="A42" s="13"/>
      <c r="B42" s="359"/>
      <c r="C42" s="359"/>
      <c r="D42" s="13"/>
      <c r="E42" s="31"/>
      <c r="F42" s="25"/>
      <c r="G42" s="13"/>
      <c r="H42" s="26"/>
      <c r="I42" s="26"/>
      <c r="J42" s="1"/>
    </row>
    <row r="43" spans="1:11" x14ac:dyDescent="0.2">
      <c r="A43" s="13"/>
      <c r="B43" s="359"/>
      <c r="C43" s="359"/>
      <c r="D43" s="13"/>
      <c r="E43" s="31"/>
      <c r="F43" s="25"/>
      <c r="G43" s="13"/>
      <c r="H43" s="26"/>
      <c r="I43" s="26"/>
      <c r="J43" s="1"/>
    </row>
    <row r="44" spans="1:11" x14ac:dyDescent="0.2">
      <c r="A44" s="13"/>
      <c r="B44" s="359"/>
      <c r="C44" s="359"/>
      <c r="D44" s="13"/>
      <c r="E44" s="31"/>
      <c r="F44" s="25"/>
      <c r="G44" s="13"/>
      <c r="H44" s="26"/>
      <c r="I44" s="26"/>
      <c r="J44" s="1"/>
    </row>
    <row r="45" spans="1:11" x14ac:dyDescent="0.2">
      <c r="B45" s="359"/>
      <c r="C45" s="359"/>
      <c r="H45" s="64"/>
    </row>
    <row r="46" spans="1:11" x14ac:dyDescent="0.2">
      <c r="B46" s="359"/>
      <c r="C46" s="359"/>
    </row>
    <row r="47" spans="1:11" x14ac:dyDescent="0.2">
      <c r="B47" s="359"/>
      <c r="C47" s="359"/>
    </row>
    <row r="48" spans="1:11" x14ac:dyDescent="0.2">
      <c r="B48" s="359"/>
      <c r="C48" s="359"/>
    </row>
    <row r="49" spans="2:3" x14ac:dyDescent="0.2">
      <c r="B49" s="359"/>
      <c r="C49" s="359"/>
    </row>
    <row r="50" spans="2:3" x14ac:dyDescent="0.2">
      <c r="B50" s="359"/>
      <c r="C50" s="359"/>
    </row>
  </sheetData>
  <mergeCells count="8">
    <mergeCell ref="K18:K19"/>
    <mergeCell ref="B36:E36"/>
    <mergeCell ref="B1:H1"/>
    <mergeCell ref="B3:H3"/>
    <mergeCell ref="B5:H5"/>
    <mergeCell ref="B4:H4"/>
    <mergeCell ref="K21:K22"/>
    <mergeCell ref="J9:J10"/>
  </mergeCells>
  <phoneticPr fontId="0" type="noConversion"/>
  <pageMargins left="0.75" right="0.75" top="1" bottom="1" header="0" footer="0"/>
  <pageSetup scale="95"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45"/>
  <sheetViews>
    <sheetView topLeftCell="B1" workbookViewId="0">
      <selection activeCell="J5" sqref="J5"/>
    </sheetView>
  </sheetViews>
  <sheetFormatPr baseColWidth="10" defaultRowHeight="12.75" x14ac:dyDescent="0.2"/>
  <cols>
    <col min="1" max="1" width="4.28515625" customWidth="1"/>
    <col min="2" max="2" width="52.28515625" customWidth="1"/>
    <col min="3" max="3" width="9" customWidth="1"/>
    <col min="4" max="4" width="12.140625" customWidth="1"/>
    <col min="5" max="5" width="12.85546875" customWidth="1"/>
    <col min="6" max="6" width="13.7109375" customWidth="1"/>
    <col min="7" max="7" width="0" hidden="1" customWidth="1"/>
    <col min="8" max="9" width="21.5703125" customWidth="1"/>
    <col min="10" max="10" width="16.5703125" customWidth="1"/>
    <col min="11" max="11" width="21.5703125" customWidth="1"/>
    <col min="12" max="12" width="16.140625" customWidth="1"/>
    <col min="13" max="13" width="21" customWidth="1"/>
    <col min="14" max="14" width="29" bestFit="1" customWidth="1"/>
    <col min="15" max="15" width="12.7109375" customWidth="1"/>
    <col min="16" max="16" width="15" customWidth="1"/>
  </cols>
  <sheetData>
    <row r="1" spans="1:10" ht="18.75" customHeight="1" x14ac:dyDescent="0.2">
      <c r="A1" s="13"/>
      <c r="B1" s="645" t="s">
        <v>58</v>
      </c>
      <c r="C1" s="629"/>
      <c r="D1" s="629"/>
      <c r="E1" s="629"/>
      <c r="F1" s="629"/>
      <c r="G1" s="629"/>
      <c r="H1" s="629"/>
      <c r="I1" s="15"/>
    </row>
    <row r="2" spans="1:10" ht="5.25" customHeight="1" x14ac:dyDescent="0.2">
      <c r="A2" s="13"/>
      <c r="B2" s="15"/>
      <c r="C2" s="15"/>
      <c r="D2" s="15"/>
      <c r="E2" s="15"/>
      <c r="F2" s="15"/>
      <c r="G2" s="13"/>
      <c r="H2" s="13"/>
      <c r="I2" s="13"/>
      <c r="J2" s="2"/>
    </row>
    <row r="3" spans="1:10" x14ac:dyDescent="0.2">
      <c r="A3" s="13"/>
      <c r="B3" s="650" t="s">
        <v>328</v>
      </c>
      <c r="C3" s="646"/>
      <c r="D3" s="646"/>
      <c r="E3" s="646"/>
      <c r="F3" s="646"/>
      <c r="G3" s="646"/>
      <c r="H3" s="646"/>
      <c r="I3" s="15"/>
      <c r="J3" s="2"/>
    </row>
    <row r="4" spans="1:10" x14ac:dyDescent="0.2">
      <c r="A4" s="13"/>
      <c r="B4" s="629" t="s">
        <v>243</v>
      </c>
      <c r="C4" s="629"/>
      <c r="D4" s="629"/>
      <c r="E4" s="629"/>
      <c r="F4" s="629"/>
      <c r="G4" s="629"/>
      <c r="H4" s="629"/>
      <c r="I4" s="15"/>
      <c r="J4" s="2"/>
    </row>
    <row r="5" spans="1:10" x14ac:dyDescent="0.2">
      <c r="A5" s="13"/>
      <c r="B5" s="642" t="s">
        <v>329</v>
      </c>
      <c r="C5" s="643"/>
      <c r="D5" s="643"/>
      <c r="E5" s="643"/>
      <c r="F5" s="643"/>
      <c r="G5" s="643"/>
      <c r="H5" s="643"/>
      <c r="I5" s="131"/>
      <c r="J5" s="2"/>
    </row>
    <row r="6" spans="1:10" ht="13.5" thickBot="1" x14ac:dyDescent="0.25">
      <c r="A6" s="13"/>
      <c r="B6" s="16" t="s">
        <v>572</v>
      </c>
      <c r="C6" s="15"/>
      <c r="D6" s="15"/>
      <c r="E6" s="15"/>
      <c r="F6" s="15"/>
      <c r="G6" s="13"/>
      <c r="H6" s="13"/>
      <c r="I6" s="13"/>
      <c r="J6" s="2"/>
    </row>
    <row r="7" spans="1:10" ht="22.5" customHeight="1" thickBot="1" x14ac:dyDescent="0.25">
      <c r="A7" s="13"/>
      <c r="B7" s="10" t="s">
        <v>3</v>
      </c>
      <c r="C7" s="17" t="s">
        <v>0</v>
      </c>
      <c r="D7" s="10" t="s">
        <v>4</v>
      </c>
      <c r="E7" s="17" t="s">
        <v>2</v>
      </c>
      <c r="F7" s="10" t="s">
        <v>1</v>
      </c>
      <c r="G7" s="9" t="s">
        <v>15</v>
      </c>
      <c r="H7" s="18" t="s">
        <v>15</v>
      </c>
      <c r="I7" s="132"/>
    </row>
    <row r="8" spans="1:10" x14ac:dyDescent="0.2">
      <c r="A8" s="13"/>
      <c r="B8" s="56" t="s">
        <v>16</v>
      </c>
      <c r="C8" s="48"/>
      <c r="D8" s="48"/>
      <c r="E8" s="48"/>
      <c r="F8" s="48"/>
      <c r="G8" s="49"/>
      <c r="H8" s="50"/>
      <c r="I8" s="32"/>
    </row>
    <row r="9" spans="1:10" x14ac:dyDescent="0.2">
      <c r="A9" s="13"/>
      <c r="B9" s="3" t="s">
        <v>17</v>
      </c>
      <c r="C9" s="12"/>
      <c r="D9" s="12"/>
      <c r="E9" s="12"/>
      <c r="F9" s="12"/>
      <c r="G9" s="12"/>
      <c r="H9" s="12"/>
      <c r="I9" s="32"/>
      <c r="J9" s="678" t="s">
        <v>304</v>
      </c>
    </row>
    <row r="10" spans="1:10" x14ac:dyDescent="0.2">
      <c r="A10" s="13"/>
      <c r="B10" s="12"/>
      <c r="C10" s="14"/>
      <c r="D10" s="14"/>
      <c r="E10" s="14"/>
      <c r="F10" s="14"/>
      <c r="G10" s="51"/>
      <c r="H10" s="27"/>
      <c r="I10" s="134"/>
      <c r="J10" s="679"/>
    </row>
    <row r="11" spans="1:10" x14ac:dyDescent="0.2">
      <c r="A11" s="13"/>
      <c r="B11" s="158" t="s">
        <v>184</v>
      </c>
      <c r="C11" s="14">
        <v>3</v>
      </c>
      <c r="D11" s="14" t="s">
        <v>52</v>
      </c>
      <c r="E11" s="59">
        <f>'Mano de Obra (JORNAL)'!E32</f>
        <v>47165</v>
      </c>
      <c r="F11" s="59">
        <f t="shared" ref="F11:F19" si="0">C11*E11</f>
        <v>141495</v>
      </c>
      <c r="G11" s="51" t="e">
        <f>#REF!/#REF!*100</f>
        <v>#REF!</v>
      </c>
      <c r="H11" s="27">
        <f>F11/F34</f>
        <v>1.896084314867464E-2</v>
      </c>
      <c r="I11" s="134"/>
      <c r="J11" s="14">
        <v>3</v>
      </c>
    </row>
    <row r="12" spans="1:10" x14ac:dyDescent="0.2">
      <c r="A12" s="13"/>
      <c r="B12" s="12" t="s">
        <v>21</v>
      </c>
      <c r="C12" s="14">
        <v>8</v>
      </c>
      <c r="D12" s="14" t="s">
        <v>52</v>
      </c>
      <c r="E12" s="59">
        <f>E11</f>
        <v>47165</v>
      </c>
      <c r="F12" s="59">
        <f t="shared" si="0"/>
        <v>377320</v>
      </c>
      <c r="G12" s="51" t="e">
        <f>#REF!/#REF!*100</f>
        <v>#REF!</v>
      </c>
      <c r="H12" s="27">
        <f>F12/F34</f>
        <v>5.0562248396465705E-2</v>
      </c>
      <c r="I12" s="134"/>
      <c r="J12" s="14">
        <v>6</v>
      </c>
    </row>
    <row r="13" spans="1:10" x14ac:dyDescent="0.2">
      <c r="A13" s="13"/>
      <c r="B13" s="12" t="s">
        <v>22</v>
      </c>
      <c r="C13" s="14">
        <v>6</v>
      </c>
      <c r="D13" s="14" t="s">
        <v>52</v>
      </c>
      <c r="E13" s="59">
        <f>E11</f>
        <v>47165</v>
      </c>
      <c r="F13" s="59">
        <f t="shared" si="0"/>
        <v>282990</v>
      </c>
      <c r="G13" s="51" t="e">
        <f>#REF!/#REF!*100</f>
        <v>#REF!</v>
      </c>
      <c r="H13" s="27">
        <f>F13/F34</f>
        <v>3.792168629734928E-2</v>
      </c>
      <c r="I13" s="134"/>
      <c r="J13" s="14">
        <v>4</v>
      </c>
    </row>
    <row r="14" spans="1:10" x14ac:dyDescent="0.2">
      <c r="A14" s="13"/>
      <c r="B14" s="12" t="s">
        <v>23</v>
      </c>
      <c r="C14" s="14">
        <v>3</v>
      </c>
      <c r="D14" s="14" t="s">
        <v>52</v>
      </c>
      <c r="E14" s="59">
        <f>E11</f>
        <v>47165</v>
      </c>
      <c r="F14" s="59">
        <f t="shared" si="0"/>
        <v>141495</v>
      </c>
      <c r="G14" s="51" t="e">
        <f>#REF!/#REF!*100</f>
        <v>#REF!</v>
      </c>
      <c r="H14" s="27">
        <f>F14/F34</f>
        <v>1.896084314867464E-2</v>
      </c>
      <c r="I14" s="134"/>
      <c r="J14" s="14">
        <v>2</v>
      </c>
    </row>
    <row r="15" spans="1:10" x14ac:dyDescent="0.2">
      <c r="A15" s="13"/>
      <c r="B15" s="12" t="s">
        <v>24</v>
      </c>
      <c r="C15" s="14">
        <v>10</v>
      </c>
      <c r="D15" s="14" t="s">
        <v>52</v>
      </c>
      <c r="E15" s="59">
        <f>E11</f>
        <v>47165</v>
      </c>
      <c r="F15" s="59">
        <f t="shared" si="0"/>
        <v>471650</v>
      </c>
      <c r="G15" s="51" t="e">
        <f>#REF!/#REF!*100</f>
        <v>#REF!</v>
      </c>
      <c r="H15" s="27">
        <f>F15/F34</f>
        <v>6.3202810495582129E-2</v>
      </c>
      <c r="I15" s="134"/>
      <c r="J15" s="14">
        <v>5</v>
      </c>
    </row>
    <row r="16" spans="1:10" x14ac:dyDescent="0.2">
      <c r="A16" s="13"/>
      <c r="B16" s="12" t="s">
        <v>25</v>
      </c>
      <c r="C16" s="14">
        <v>2</v>
      </c>
      <c r="D16" s="14" t="s">
        <v>52</v>
      </c>
      <c r="E16" s="59">
        <f>E11</f>
        <v>47165</v>
      </c>
      <c r="F16" s="59">
        <f t="shared" si="0"/>
        <v>94330</v>
      </c>
      <c r="G16" s="51" t="e">
        <f>#REF!/#REF!*100</f>
        <v>#REF!</v>
      </c>
      <c r="H16" s="27">
        <f>F16/F34</f>
        <v>1.2640562099116426E-2</v>
      </c>
      <c r="I16" s="134"/>
      <c r="J16" s="14">
        <v>2</v>
      </c>
    </row>
    <row r="17" spans="1:16" x14ac:dyDescent="0.2">
      <c r="A17" s="13"/>
      <c r="B17" s="12" t="s">
        <v>28</v>
      </c>
      <c r="C17" s="14">
        <v>5</v>
      </c>
      <c r="D17" s="14" t="s">
        <v>52</v>
      </c>
      <c r="E17" s="59">
        <f>E11</f>
        <v>47165</v>
      </c>
      <c r="F17" s="59">
        <f t="shared" si="0"/>
        <v>235825</v>
      </c>
      <c r="G17" s="51" t="e">
        <f>#REF!/#REF!*100</f>
        <v>#REF!</v>
      </c>
      <c r="H17" s="27">
        <f>F17/F34</f>
        <v>3.1601405247791065E-2</v>
      </c>
      <c r="I17" s="134"/>
      <c r="J17" s="14">
        <v>4</v>
      </c>
      <c r="K17" s="361"/>
      <c r="L17" s="361"/>
    </row>
    <row r="18" spans="1:16" ht="13.5" customHeight="1" x14ac:dyDescent="0.2">
      <c r="A18" s="13"/>
      <c r="B18" s="12" t="s">
        <v>26</v>
      </c>
      <c r="C18" s="14">
        <v>2</v>
      </c>
      <c r="D18" s="14" t="s">
        <v>52</v>
      </c>
      <c r="E18" s="176">
        <f>E11</f>
        <v>47165</v>
      </c>
      <c r="F18" s="59">
        <f t="shared" si="0"/>
        <v>94330</v>
      </c>
      <c r="G18" s="51" t="e">
        <f>#REF!/#REF!*100</f>
        <v>#REF!</v>
      </c>
      <c r="H18" s="27">
        <f>F18/F34</f>
        <v>1.2640562099116426E-2</v>
      </c>
      <c r="I18" s="134"/>
      <c r="J18" s="14">
        <v>2</v>
      </c>
      <c r="K18" s="676"/>
      <c r="L18" s="361"/>
    </row>
    <row r="19" spans="1:16" x14ac:dyDescent="0.2">
      <c r="A19" s="13"/>
      <c r="B19" s="158" t="s">
        <v>320</v>
      </c>
      <c r="C19" s="14">
        <v>9</v>
      </c>
      <c r="D19" s="14" t="s">
        <v>52</v>
      </c>
      <c r="E19" s="59">
        <f>E11</f>
        <v>47165</v>
      </c>
      <c r="F19" s="59">
        <f t="shared" si="0"/>
        <v>424485</v>
      </c>
      <c r="G19" s="51" t="e">
        <f>#REF!/#REF!*100</f>
        <v>#REF!</v>
      </c>
      <c r="H19" s="27">
        <f>F19/F34</f>
        <v>5.688252944602392E-2</v>
      </c>
      <c r="I19" s="134"/>
      <c r="J19" s="14">
        <v>6</v>
      </c>
      <c r="K19" s="676"/>
      <c r="L19" s="361"/>
    </row>
    <row r="20" spans="1:16" x14ac:dyDescent="0.2">
      <c r="A20" s="13"/>
      <c r="B20" s="8" t="s">
        <v>6</v>
      </c>
      <c r="C20" s="4">
        <f>SUM(C10:C19)</f>
        <v>48</v>
      </c>
      <c r="D20" s="14"/>
      <c r="E20" s="59"/>
      <c r="F20" s="4">
        <f>SUM(F10:F19)</f>
        <v>2263920</v>
      </c>
      <c r="G20" s="51" t="e">
        <f>#REF!/#REF!*100</f>
        <v>#REF!</v>
      </c>
      <c r="H20" s="5">
        <f>F20/F34</f>
        <v>0.30337349037879424</v>
      </c>
      <c r="I20" s="26"/>
      <c r="J20" s="4">
        <f>SUM(J9:J19)</f>
        <v>34</v>
      </c>
      <c r="K20" s="361"/>
      <c r="L20" s="361"/>
    </row>
    <row r="21" spans="1:16" x14ac:dyDescent="0.2">
      <c r="A21" s="13"/>
      <c r="B21" s="3" t="s">
        <v>18</v>
      </c>
      <c r="C21" s="12"/>
      <c r="D21" s="12"/>
      <c r="E21" s="12"/>
      <c r="F21" s="19"/>
      <c r="G21" s="51" t="e">
        <f>#REF!/#REF!*100</f>
        <v>#REF!</v>
      </c>
      <c r="H21" s="52"/>
      <c r="I21" s="136"/>
      <c r="K21" s="676"/>
      <c r="L21" s="361"/>
    </row>
    <row r="22" spans="1:16" x14ac:dyDescent="0.2">
      <c r="A22" s="13"/>
      <c r="B22" s="12" t="s">
        <v>53</v>
      </c>
      <c r="C22" s="14">
        <v>1220</v>
      </c>
      <c r="D22" s="221" t="s">
        <v>330</v>
      </c>
      <c r="E22" s="14">
        <v>3000</v>
      </c>
      <c r="F22" s="14">
        <f>C22*E22</f>
        <v>3660000</v>
      </c>
      <c r="G22" s="51" t="e">
        <f>#REF!/#REF!*100</f>
        <v>#REF!</v>
      </c>
      <c r="H22" s="27">
        <f>F22/F34</f>
        <v>0.49045327343121087</v>
      </c>
      <c r="I22" s="134"/>
      <c r="K22" s="676"/>
      <c r="L22" s="360"/>
    </row>
    <row r="23" spans="1:16" x14ac:dyDescent="0.2">
      <c r="A23" s="13"/>
      <c r="B23" s="158" t="s">
        <v>311</v>
      </c>
      <c r="C23" s="14">
        <f>C22*30/1000</f>
        <v>36.6</v>
      </c>
      <c r="D23" s="14" t="s">
        <v>50</v>
      </c>
      <c r="E23" s="14">
        <v>1600</v>
      </c>
      <c r="F23" s="14">
        <f>C23*E23</f>
        <v>58560</v>
      </c>
      <c r="G23" s="51" t="e">
        <f>#REF!/#REF!*100</f>
        <v>#REF!</v>
      </c>
      <c r="H23" s="27">
        <f>F23/F34</f>
        <v>7.8472523748993744E-3</v>
      </c>
      <c r="I23" s="134"/>
      <c r="K23" s="361"/>
      <c r="L23" s="360"/>
    </row>
    <row r="24" spans="1:16" x14ac:dyDescent="0.2">
      <c r="A24" s="13"/>
      <c r="B24" s="12" t="s">
        <v>27</v>
      </c>
      <c r="C24" s="14">
        <f>150*C22/1000</f>
        <v>183</v>
      </c>
      <c r="D24" s="14" t="s">
        <v>50</v>
      </c>
      <c r="E24" s="14">
        <v>314</v>
      </c>
      <c r="F24" s="14">
        <f>C24*E24</f>
        <v>57462</v>
      </c>
      <c r="G24" s="51" t="e">
        <f>#REF!/#REF!*100</f>
        <v>#REF!</v>
      </c>
      <c r="H24" s="27">
        <f>F24/F34</f>
        <v>7.7001163928700107E-3</v>
      </c>
      <c r="I24" s="134"/>
      <c r="O24" s="64" t="s">
        <v>326</v>
      </c>
      <c r="P24" s="64" t="s">
        <v>327</v>
      </c>
    </row>
    <row r="25" spans="1:16" x14ac:dyDescent="0.2">
      <c r="A25" s="144"/>
      <c r="B25" s="40" t="s">
        <v>172</v>
      </c>
      <c r="C25" s="176">
        <v>2</v>
      </c>
      <c r="D25" s="175" t="s">
        <v>50</v>
      </c>
      <c r="E25" s="176">
        <v>51200</v>
      </c>
      <c r="F25" s="175">
        <f>C25*E25</f>
        <v>102400</v>
      </c>
      <c r="G25" s="177"/>
      <c r="H25" s="178">
        <f>F25/F32</f>
        <v>7.9580795724024378E-2</v>
      </c>
      <c r="J25" s="322" t="s">
        <v>316</v>
      </c>
      <c r="K25" s="323" t="s">
        <v>312</v>
      </c>
      <c r="L25" s="324" t="s">
        <v>310</v>
      </c>
      <c r="M25" s="324" t="s">
        <v>317</v>
      </c>
      <c r="N25" s="325" t="s">
        <v>318</v>
      </c>
      <c r="O25" s="325" t="s">
        <v>324</v>
      </c>
      <c r="P25" s="184" t="s">
        <v>325</v>
      </c>
    </row>
    <row r="26" spans="1:16" x14ac:dyDescent="0.2">
      <c r="A26" s="144"/>
      <c r="B26" s="40" t="s">
        <v>173</v>
      </c>
      <c r="C26" s="176">
        <v>2</v>
      </c>
      <c r="D26" s="175" t="s">
        <v>175</v>
      </c>
      <c r="E26" s="176">
        <v>16700</v>
      </c>
      <c r="F26" s="175">
        <f>C26*E26</f>
        <v>33400</v>
      </c>
      <c r="G26" s="177"/>
      <c r="H26" s="178">
        <f>F26/F34</f>
        <v>4.4757211291263505E-3</v>
      </c>
      <c r="J26" s="326" t="s">
        <v>313</v>
      </c>
      <c r="K26" s="321" t="s">
        <v>319</v>
      </c>
      <c r="L26" s="19">
        <v>555</v>
      </c>
      <c r="M26" s="8">
        <v>250</v>
      </c>
      <c r="N26" s="4">
        <v>80</v>
      </c>
      <c r="O26" s="40">
        <v>4000</v>
      </c>
      <c r="P26" s="40">
        <v>5000</v>
      </c>
    </row>
    <row r="27" spans="1:16" x14ac:dyDescent="0.2">
      <c r="A27" s="13"/>
      <c r="B27" s="8" t="s">
        <v>13</v>
      </c>
      <c r="C27" s="14"/>
      <c r="D27" s="14"/>
      <c r="E27" s="14"/>
      <c r="F27" s="4">
        <f>SUM(F22:F26)</f>
        <v>3911822</v>
      </c>
      <c r="G27" s="51" t="e">
        <f>#REF!/#REF!*100</f>
        <v>#REF!</v>
      </c>
      <c r="H27" s="5">
        <f>F27/F34</f>
        <v>0.52419833469405086</v>
      </c>
      <c r="J27" s="326" t="s">
        <v>314</v>
      </c>
      <c r="K27" s="166" t="s">
        <v>331</v>
      </c>
      <c r="L27" s="19">
        <v>157</v>
      </c>
      <c r="M27" s="8">
        <v>200</v>
      </c>
      <c r="N27" s="4">
        <v>50</v>
      </c>
      <c r="O27" s="40">
        <v>4000</v>
      </c>
      <c r="P27" s="40">
        <v>5000</v>
      </c>
    </row>
    <row r="28" spans="1:16" ht="16.5" customHeight="1" x14ac:dyDescent="0.2">
      <c r="A28" s="13"/>
      <c r="B28" s="3" t="s">
        <v>20</v>
      </c>
      <c r="C28" s="14"/>
      <c r="D28" s="14"/>
      <c r="E28" s="14"/>
      <c r="F28" s="4">
        <f>F20+F27</f>
        <v>6175742</v>
      </c>
      <c r="G28" s="51"/>
      <c r="H28" s="5">
        <f>F28/F34</f>
        <v>0.8275718250728451</v>
      </c>
      <c r="J28" s="326" t="s">
        <v>315</v>
      </c>
      <c r="K28" s="166" t="s">
        <v>305</v>
      </c>
      <c r="L28" s="19">
        <v>1110</v>
      </c>
      <c r="M28" s="8">
        <v>150</v>
      </c>
      <c r="N28" s="4">
        <v>30</v>
      </c>
      <c r="O28" s="40">
        <v>2500</v>
      </c>
      <c r="P28" s="40">
        <v>3500</v>
      </c>
    </row>
    <row r="29" spans="1:16" x14ac:dyDescent="0.2">
      <c r="A29" s="13"/>
      <c r="B29" s="3" t="s">
        <v>19</v>
      </c>
      <c r="C29" s="12"/>
      <c r="D29" s="12"/>
      <c r="E29" s="12"/>
      <c r="F29" s="19"/>
      <c r="G29" s="51" t="e">
        <f>#REF!/#REF!*100</f>
        <v>#REF!</v>
      </c>
      <c r="H29" s="52"/>
      <c r="J29" s="136"/>
    </row>
    <row r="30" spans="1:16" x14ac:dyDescent="0.2">
      <c r="A30" s="13"/>
      <c r="B30" s="53" t="s">
        <v>321</v>
      </c>
      <c r="C30" s="328">
        <v>0.05</v>
      </c>
      <c r="D30" s="20"/>
      <c r="E30" s="20"/>
      <c r="F30" s="14">
        <f>F20*C30</f>
        <v>113196</v>
      </c>
      <c r="G30" s="51" t="e">
        <f>#REF!/#REF!*100</f>
        <v>#REF!</v>
      </c>
      <c r="H30" s="27">
        <f>F30/F34</f>
        <v>1.5168674518939711E-2</v>
      </c>
      <c r="J30" s="134"/>
    </row>
    <row r="31" spans="1:16" x14ac:dyDescent="0.2">
      <c r="A31" s="13"/>
      <c r="B31" s="53" t="s">
        <v>141</v>
      </c>
      <c r="C31" s="328">
        <v>0.3</v>
      </c>
      <c r="D31" s="20"/>
      <c r="E31" s="20"/>
      <c r="F31" s="14">
        <f>F27*C31</f>
        <v>1173546.5999999999</v>
      </c>
      <c r="G31" s="89"/>
      <c r="H31" s="88">
        <f>F31/F34</f>
        <v>0.15725950040821524</v>
      </c>
      <c r="J31" s="319"/>
    </row>
    <row r="32" spans="1:16" x14ac:dyDescent="0.2">
      <c r="A32" s="13"/>
      <c r="B32" s="3" t="s">
        <v>14</v>
      </c>
      <c r="C32" s="14"/>
      <c r="D32" s="14"/>
      <c r="E32" s="14"/>
      <c r="F32" s="4">
        <f>SUM(F30:F31)</f>
        <v>1286742.5999999999</v>
      </c>
      <c r="G32" s="51" t="e">
        <f>#REF!/#REF!*100</f>
        <v>#REF!</v>
      </c>
      <c r="H32" s="5">
        <f>F32/F34</f>
        <v>0.17242817492715495</v>
      </c>
      <c r="I32" s="26"/>
    </row>
    <row r="33" spans="1:11" ht="13.5" thickBot="1" x14ac:dyDescent="0.25">
      <c r="A33" s="13"/>
      <c r="B33" s="13"/>
      <c r="C33" s="13"/>
      <c r="D33" s="13"/>
      <c r="E33" s="13"/>
      <c r="F33" s="21"/>
      <c r="G33" s="13"/>
      <c r="H33" s="22"/>
      <c r="I33" s="22"/>
    </row>
    <row r="34" spans="1:11" ht="18.75" customHeight="1" thickBot="1" x14ac:dyDescent="0.25">
      <c r="A34" s="13"/>
      <c r="B34" s="28" t="s">
        <v>322</v>
      </c>
      <c r="C34" s="29"/>
      <c r="D34" s="29"/>
      <c r="E34" s="30"/>
      <c r="F34" s="23">
        <f>F28+F32</f>
        <v>7462484.5999999996</v>
      </c>
      <c r="G34" s="13"/>
      <c r="H34" s="24">
        <f>H20+H27+H32</f>
        <v>1</v>
      </c>
      <c r="I34" s="26"/>
    </row>
    <row r="35" spans="1:11" x14ac:dyDescent="0.2">
      <c r="A35" s="13"/>
      <c r="B35" s="13"/>
      <c r="C35" s="13"/>
      <c r="D35" s="13"/>
      <c r="E35" s="31"/>
      <c r="F35" s="25"/>
      <c r="G35" s="13"/>
      <c r="H35" s="26"/>
      <c r="I35" s="26"/>
      <c r="K35" s="229" t="s">
        <v>179</v>
      </c>
    </row>
    <row r="36" spans="1:11" ht="18.75" thickBot="1" x14ac:dyDescent="0.3">
      <c r="A36" s="13"/>
      <c r="B36" s="677"/>
      <c r="C36" s="677"/>
      <c r="D36" s="677"/>
      <c r="E36" s="677"/>
      <c r="F36" s="123"/>
      <c r="G36" s="13"/>
      <c r="H36" s="26"/>
      <c r="I36" s="26"/>
      <c r="J36" s="1"/>
      <c r="K36" s="14">
        <f>F36*1.13</f>
        <v>0</v>
      </c>
    </row>
    <row r="37" spans="1:11" ht="18.75" thickBot="1" x14ac:dyDescent="0.3">
      <c r="A37" s="13"/>
      <c r="F37" s="234">
        <f>F34/C22</f>
        <v>6116.7906557377046</v>
      </c>
      <c r="G37" s="320"/>
      <c r="H37" s="327" t="s">
        <v>323</v>
      </c>
      <c r="J37" s="26" t="s">
        <v>180</v>
      </c>
    </row>
    <row r="38" spans="1:11" ht="13.5" thickBot="1" x14ac:dyDescent="0.25">
      <c r="A38" s="13"/>
      <c r="B38" s="13"/>
      <c r="G38" s="13"/>
      <c r="H38" s="26"/>
      <c r="I38" s="26"/>
      <c r="J38" s="26">
        <v>0.13</v>
      </c>
    </row>
    <row r="39" spans="1:11" ht="18.75" thickBot="1" x14ac:dyDescent="0.3">
      <c r="A39" s="13"/>
      <c r="F39" s="234">
        <f>F34*1.13</f>
        <v>8432607.5979999993</v>
      </c>
      <c r="G39" s="13"/>
      <c r="H39" s="26"/>
      <c r="I39" s="26"/>
      <c r="J39" s="1"/>
    </row>
    <row r="40" spans="1:11" ht="216.75" x14ac:dyDescent="0.2">
      <c r="A40" s="13"/>
      <c r="B40" s="294" t="s">
        <v>339</v>
      </c>
      <c r="G40" s="13"/>
      <c r="H40" s="26"/>
      <c r="I40" s="26"/>
      <c r="J40" s="1"/>
    </row>
    <row r="41" spans="1:11" x14ac:dyDescent="0.2">
      <c r="A41" s="13"/>
      <c r="B41" s="13"/>
      <c r="G41" s="13"/>
      <c r="H41" s="26"/>
      <c r="I41" s="26"/>
      <c r="J41" s="1"/>
    </row>
    <row r="42" spans="1:11" x14ac:dyDescent="0.2">
      <c r="A42" s="13"/>
      <c r="B42" s="13"/>
      <c r="C42" s="13"/>
      <c r="D42" s="13"/>
      <c r="E42" s="31"/>
      <c r="F42" s="25"/>
      <c r="G42" s="13"/>
      <c r="H42" s="26"/>
      <c r="I42" s="26"/>
      <c r="J42" s="1"/>
    </row>
    <row r="43" spans="1:11" x14ac:dyDescent="0.2">
      <c r="A43" s="13"/>
      <c r="B43" s="13"/>
      <c r="C43" s="13"/>
      <c r="D43" s="13"/>
      <c r="E43" s="31"/>
      <c r="F43" s="25"/>
      <c r="G43" s="13"/>
      <c r="H43" s="26"/>
      <c r="I43" s="26"/>
      <c r="J43" s="1"/>
    </row>
    <row r="44" spans="1:11" x14ac:dyDescent="0.2">
      <c r="A44" s="13"/>
      <c r="B44" s="13"/>
      <c r="C44" s="13"/>
      <c r="D44" s="13"/>
      <c r="E44" s="31"/>
      <c r="F44" s="25"/>
      <c r="G44" s="13"/>
      <c r="H44" s="26"/>
      <c r="I44" s="26"/>
      <c r="J44" s="1"/>
    </row>
    <row r="45" spans="1:11" x14ac:dyDescent="0.2">
      <c r="B45" s="35"/>
      <c r="H45" s="64"/>
    </row>
  </sheetData>
  <mergeCells count="8">
    <mergeCell ref="K21:K22"/>
    <mergeCell ref="B36:E36"/>
    <mergeCell ref="B1:H1"/>
    <mergeCell ref="B3:H3"/>
    <mergeCell ref="B4:H4"/>
    <mergeCell ref="B5:H5"/>
    <mergeCell ref="J9:J10"/>
    <mergeCell ref="K18:K19"/>
  </mergeCells>
  <pageMargins left="0.7" right="0.7" top="0.75" bottom="0.75" header="0.3" footer="0.3"/>
  <ignoredErrors>
    <ignoredError sqref="H26" formula="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J48"/>
  <sheetViews>
    <sheetView topLeftCell="A16" workbookViewId="0">
      <selection activeCell="I35" sqref="I35"/>
    </sheetView>
  </sheetViews>
  <sheetFormatPr baseColWidth="10" defaultRowHeight="12.75" x14ac:dyDescent="0.2"/>
  <cols>
    <col min="1" max="1" width="43.140625" customWidth="1"/>
    <col min="2" max="2" width="11.140625" customWidth="1"/>
    <col min="3" max="3" width="9" bestFit="1" customWidth="1"/>
    <col min="4" max="4" width="13.5703125" bestFit="1" customWidth="1"/>
    <col min="5" max="5" width="12.28515625" bestFit="1" customWidth="1"/>
  </cols>
  <sheetData>
    <row r="2" spans="1:7" x14ac:dyDescent="0.2">
      <c r="A2" s="629" t="s">
        <v>134</v>
      </c>
      <c r="B2" s="629"/>
      <c r="C2" s="629"/>
      <c r="D2" s="629"/>
      <c r="E2" s="629"/>
      <c r="F2" s="144"/>
    </row>
    <row r="3" spans="1:7" x14ac:dyDescent="0.2">
      <c r="A3" s="629" t="s">
        <v>182</v>
      </c>
      <c r="B3" s="629"/>
      <c r="C3" s="629"/>
      <c r="D3" s="629"/>
      <c r="E3" s="629"/>
      <c r="F3" s="144"/>
    </row>
    <row r="4" spans="1:7" x14ac:dyDescent="0.2">
      <c r="A4" s="629">
        <v>2019</v>
      </c>
      <c r="B4" s="629"/>
      <c r="C4" s="629"/>
      <c r="D4" s="629"/>
      <c r="E4" s="629"/>
      <c r="F4" s="144"/>
    </row>
    <row r="5" spans="1:7" x14ac:dyDescent="0.2">
      <c r="A5" s="629" t="s">
        <v>136</v>
      </c>
      <c r="B5" s="629"/>
      <c r="C5" s="629"/>
      <c r="D5" s="629"/>
      <c r="E5" s="629"/>
      <c r="F5" s="144"/>
    </row>
    <row r="6" spans="1:7" x14ac:dyDescent="0.2">
      <c r="A6" s="15"/>
      <c r="B6" s="15"/>
      <c r="C6" s="15"/>
      <c r="D6" s="15"/>
      <c r="E6" s="15"/>
      <c r="F6" s="144"/>
    </row>
    <row r="7" spans="1:7" x14ac:dyDescent="0.2">
      <c r="A7" s="630" t="s">
        <v>280</v>
      </c>
      <c r="B7" s="630"/>
      <c r="C7" s="630"/>
      <c r="D7" s="144"/>
      <c r="E7" s="144"/>
      <c r="F7" s="144"/>
    </row>
    <row r="8" spans="1:7" ht="25.5" x14ac:dyDescent="0.2">
      <c r="A8" s="8" t="s">
        <v>3</v>
      </c>
      <c r="B8" s="58" t="s">
        <v>0</v>
      </c>
      <c r="C8" s="58" t="s">
        <v>4</v>
      </c>
      <c r="D8" s="58" t="s">
        <v>2</v>
      </c>
      <c r="E8" s="58" t="s">
        <v>11</v>
      </c>
      <c r="F8" s="58" t="s">
        <v>15</v>
      </c>
    </row>
    <row r="9" spans="1:7" x14ac:dyDescent="0.2">
      <c r="A9" s="145" t="s">
        <v>29</v>
      </c>
      <c r="B9" s="146"/>
      <c r="C9" s="146"/>
      <c r="D9" s="146"/>
      <c r="E9" s="146"/>
      <c r="F9" s="146"/>
    </row>
    <row r="10" spans="1:7" x14ac:dyDescent="0.2">
      <c r="A10" s="110" t="s">
        <v>184</v>
      </c>
      <c r="B10" s="104">
        <v>3</v>
      </c>
      <c r="C10" s="104" t="s">
        <v>48</v>
      </c>
      <c r="D10" s="104">
        <f>'Mano de Obra (JORNAL)'!E32</f>
        <v>47165</v>
      </c>
      <c r="E10" s="104">
        <f t="shared" ref="E10:E15" si="0">ROUND(B10*D10,0)</f>
        <v>141495</v>
      </c>
      <c r="F10" s="106">
        <f>E10/E32</f>
        <v>1.782068663768719E-2</v>
      </c>
      <c r="G10">
        <v>1</v>
      </c>
    </row>
    <row r="11" spans="1:7" x14ac:dyDescent="0.2">
      <c r="A11" s="110" t="s">
        <v>21</v>
      </c>
      <c r="B11" s="104">
        <v>10</v>
      </c>
      <c r="C11" s="104" t="s">
        <v>48</v>
      </c>
      <c r="D11" s="104">
        <f>D10</f>
        <v>47165</v>
      </c>
      <c r="E11" s="104">
        <f t="shared" si="0"/>
        <v>471650</v>
      </c>
      <c r="F11" s="106">
        <f>E11/E32</f>
        <v>5.940228879229064E-2</v>
      </c>
      <c r="G11">
        <v>10</v>
      </c>
    </row>
    <row r="12" spans="1:7" x14ac:dyDescent="0.2">
      <c r="A12" s="110" t="s">
        <v>30</v>
      </c>
      <c r="B12" s="104">
        <v>6</v>
      </c>
      <c r="C12" s="104" t="s">
        <v>48</v>
      </c>
      <c r="D12" s="104">
        <f>D11</f>
        <v>47165</v>
      </c>
      <c r="E12" s="104">
        <f t="shared" si="0"/>
        <v>282990</v>
      </c>
      <c r="F12" s="106">
        <f>E12/E32</f>
        <v>3.564137327537438E-2</v>
      </c>
      <c r="G12">
        <v>4</v>
      </c>
    </row>
    <row r="13" spans="1:7" x14ac:dyDescent="0.2">
      <c r="A13" s="110" t="s">
        <v>31</v>
      </c>
      <c r="B13" s="104">
        <v>7</v>
      </c>
      <c r="C13" s="104" t="s">
        <v>48</v>
      </c>
      <c r="D13" s="104">
        <f>D12</f>
        <v>47165</v>
      </c>
      <c r="E13" s="104">
        <f t="shared" si="0"/>
        <v>330155</v>
      </c>
      <c r="F13" s="106">
        <f>E13/E32</f>
        <v>4.1581602154603443E-2</v>
      </c>
      <c r="G13">
        <v>4</v>
      </c>
    </row>
    <row r="14" spans="1:7" x14ac:dyDescent="0.2">
      <c r="A14" s="110" t="s">
        <v>59</v>
      </c>
      <c r="B14" s="104">
        <v>4</v>
      </c>
      <c r="C14" s="104" t="s">
        <v>48</v>
      </c>
      <c r="D14" s="104">
        <f>D13</f>
        <v>47165</v>
      </c>
      <c r="E14" s="104">
        <f t="shared" si="0"/>
        <v>188660</v>
      </c>
      <c r="F14" s="106">
        <f>E14/E32</f>
        <v>2.3760915516916253E-2</v>
      </c>
      <c r="G14">
        <v>3</v>
      </c>
    </row>
    <row r="15" spans="1:7" x14ac:dyDescent="0.2">
      <c r="A15" s="110" t="s">
        <v>74</v>
      </c>
      <c r="B15" s="104">
        <v>5</v>
      </c>
      <c r="C15" s="104" t="s">
        <v>48</v>
      </c>
      <c r="D15" s="104">
        <f>D14</f>
        <v>47165</v>
      </c>
      <c r="E15" s="104">
        <f t="shared" si="0"/>
        <v>235825</v>
      </c>
      <c r="F15" s="106">
        <f>E15/E32</f>
        <v>2.970114439614532E-2</v>
      </c>
      <c r="G15">
        <v>3</v>
      </c>
    </row>
    <row r="16" spans="1:7" x14ac:dyDescent="0.2">
      <c r="A16" s="111" t="s">
        <v>35</v>
      </c>
      <c r="B16" s="107">
        <f>SUM(B10:B15)</f>
        <v>35</v>
      </c>
      <c r="C16" s="103"/>
      <c r="D16" s="104"/>
      <c r="E16" s="107">
        <f>SUM(E10:E15)</f>
        <v>1650775</v>
      </c>
      <c r="F16" s="106">
        <f>E16/E32</f>
        <v>0.20790801077301724</v>
      </c>
      <c r="G16">
        <f>SUM(G10:G15)</f>
        <v>25</v>
      </c>
    </row>
    <row r="17" spans="1:10" x14ac:dyDescent="0.2">
      <c r="A17" s="110"/>
      <c r="B17" s="103"/>
      <c r="C17" s="103"/>
      <c r="D17" s="147"/>
      <c r="E17" s="104"/>
      <c r="F17" s="106"/>
    </row>
    <row r="18" spans="1:10" x14ac:dyDescent="0.2">
      <c r="A18" s="111" t="s">
        <v>138</v>
      </c>
      <c r="B18" s="103"/>
      <c r="C18" s="103"/>
      <c r="D18" s="147"/>
      <c r="E18" s="107">
        <f>E16+E17</f>
        <v>1650775</v>
      </c>
      <c r="F18" s="108">
        <f>E18/E32</f>
        <v>0.20790801077301724</v>
      </c>
    </row>
    <row r="19" spans="1:10" x14ac:dyDescent="0.2">
      <c r="A19" s="148" t="s">
        <v>51</v>
      </c>
      <c r="B19" s="146"/>
      <c r="C19" s="146"/>
      <c r="D19" s="149"/>
      <c r="E19" s="146"/>
      <c r="F19" s="150"/>
    </row>
    <row r="20" spans="1:10" x14ac:dyDescent="0.2">
      <c r="A20" s="151" t="s">
        <v>139</v>
      </c>
      <c r="B20" s="104">
        <v>433</v>
      </c>
      <c r="C20" s="104" t="s">
        <v>7</v>
      </c>
      <c r="D20" s="114">
        <v>6500</v>
      </c>
      <c r="E20" s="104">
        <f t="shared" ref="E20:E26" si="1">ROUND(B20*D20,0)</f>
        <v>2814500</v>
      </c>
      <c r="F20" s="106">
        <f>E20/E32</f>
        <v>0.35447416899374962</v>
      </c>
    </row>
    <row r="21" spans="1:10" x14ac:dyDescent="0.2">
      <c r="A21" s="151" t="s">
        <v>183</v>
      </c>
      <c r="B21" s="104">
        <v>10</v>
      </c>
      <c r="C21" s="104" t="s">
        <v>8</v>
      </c>
      <c r="D21" s="104">
        <v>134961</v>
      </c>
      <c r="E21" s="104">
        <f t="shared" si="1"/>
        <v>1349610</v>
      </c>
      <c r="F21" s="106">
        <f>E21/E32</f>
        <v>0.16997757442375355</v>
      </c>
      <c r="H21" s="235" t="s">
        <v>186</v>
      </c>
      <c r="I21" s="235" t="s">
        <v>185</v>
      </c>
      <c r="J21" s="64" t="s">
        <v>195</v>
      </c>
    </row>
    <row r="22" spans="1:10" x14ac:dyDescent="0.2">
      <c r="A22" s="151" t="s">
        <v>161</v>
      </c>
      <c r="B22" s="104">
        <v>6</v>
      </c>
      <c r="C22" s="104" t="s">
        <v>66</v>
      </c>
      <c r="D22" s="104">
        <v>68029</v>
      </c>
      <c r="E22" s="104">
        <f t="shared" si="1"/>
        <v>408174</v>
      </c>
      <c r="F22" s="106">
        <f>E22/E32</f>
        <v>5.1407759621550808E-2</v>
      </c>
      <c r="G22">
        <v>3</v>
      </c>
    </row>
    <row r="23" spans="1:10" x14ac:dyDescent="0.2">
      <c r="A23" s="151" t="s">
        <v>285</v>
      </c>
      <c r="B23" s="104">
        <v>3</v>
      </c>
      <c r="C23" s="104" t="s">
        <v>66</v>
      </c>
      <c r="D23" s="104">
        <v>32917</v>
      </c>
      <c r="E23" s="104">
        <f t="shared" si="1"/>
        <v>98751</v>
      </c>
      <c r="F23" s="106">
        <f>E23/E32</f>
        <v>1.2437263692414911E-2</v>
      </c>
      <c r="H23" s="64" t="s">
        <v>187</v>
      </c>
    </row>
    <row r="24" spans="1:10" x14ac:dyDescent="0.2">
      <c r="A24" s="151" t="s">
        <v>196</v>
      </c>
      <c r="B24" s="104">
        <v>3</v>
      </c>
      <c r="C24" s="104" t="s">
        <v>66</v>
      </c>
      <c r="D24" s="104">
        <v>9000</v>
      </c>
      <c r="E24" s="104">
        <f t="shared" si="1"/>
        <v>27000</v>
      </c>
      <c r="F24" s="106">
        <f>E24/E32</f>
        <v>3.4005338649249384E-3</v>
      </c>
      <c r="H24" s="64" t="s">
        <v>188</v>
      </c>
      <c r="I24" s="64" t="s">
        <v>190</v>
      </c>
    </row>
    <row r="25" spans="1:10" x14ac:dyDescent="0.2">
      <c r="A25" s="151" t="s">
        <v>140</v>
      </c>
      <c r="B25" s="104">
        <v>7</v>
      </c>
      <c r="C25" s="104" t="s">
        <v>9</v>
      </c>
      <c r="D25" s="104">
        <v>9405</v>
      </c>
      <c r="E25" s="104">
        <f t="shared" si="1"/>
        <v>65835</v>
      </c>
      <c r="F25" s="106">
        <f>E25/E32</f>
        <v>8.2916350739753088E-3</v>
      </c>
      <c r="H25" s="64" t="s">
        <v>189</v>
      </c>
      <c r="I25" s="64" t="s">
        <v>191</v>
      </c>
    </row>
    <row r="26" spans="1:10" x14ac:dyDescent="0.2">
      <c r="A26" s="151" t="s">
        <v>192</v>
      </c>
      <c r="B26" s="104">
        <v>2</v>
      </c>
      <c r="C26" s="104" t="s">
        <v>9</v>
      </c>
      <c r="D26" s="104">
        <v>5225</v>
      </c>
      <c r="E26" s="104">
        <f t="shared" si="1"/>
        <v>10450</v>
      </c>
      <c r="F26" s="106">
        <f>E26/E32</f>
        <v>1.3161325514246521E-3</v>
      </c>
      <c r="G26">
        <v>1</v>
      </c>
      <c r="H26" s="64"/>
    </row>
    <row r="27" spans="1:10" x14ac:dyDescent="0.2">
      <c r="A27" s="287" t="s">
        <v>36</v>
      </c>
      <c r="B27" s="104"/>
      <c r="C27" s="104"/>
      <c r="D27" s="104"/>
      <c r="E27" s="107">
        <f>SUM(E20:E26)</f>
        <v>4774320</v>
      </c>
      <c r="F27" s="108">
        <f>SUM(F20:F26)</f>
        <v>0.60130506822179364</v>
      </c>
      <c r="H27" s="64"/>
    </row>
    <row r="28" spans="1:10" x14ac:dyDescent="0.2">
      <c r="A28" s="148" t="s">
        <v>260</v>
      </c>
      <c r="C28" s="104"/>
      <c r="D28" s="104"/>
      <c r="E28" s="104"/>
      <c r="F28" s="106"/>
    </row>
    <row r="29" spans="1:10" x14ac:dyDescent="0.2">
      <c r="A29" s="110" t="s">
        <v>137</v>
      </c>
      <c r="B29" s="152">
        <v>0.05</v>
      </c>
      <c r="C29" s="104"/>
      <c r="D29" s="107"/>
      <c r="E29" s="104">
        <f>E16*B29</f>
        <v>82538.75</v>
      </c>
      <c r="F29" s="108">
        <f>E29/E32</f>
        <v>1.0395400538650861E-2</v>
      </c>
      <c r="H29">
        <f>4500*1.055</f>
        <v>4747.5</v>
      </c>
    </row>
    <row r="30" spans="1:10" x14ac:dyDescent="0.2">
      <c r="A30" s="110" t="s">
        <v>141</v>
      </c>
      <c r="B30" s="152">
        <v>0.3</v>
      </c>
      <c r="C30" s="104"/>
      <c r="D30" s="107"/>
      <c r="E30" s="104">
        <f>E27*B30</f>
        <v>1432296</v>
      </c>
      <c r="F30" s="108">
        <f>E30/E32</f>
        <v>0.18039152046653814</v>
      </c>
    </row>
    <row r="31" spans="1:10" x14ac:dyDescent="0.2">
      <c r="A31" s="111" t="s">
        <v>265</v>
      </c>
      <c r="B31" s="104"/>
      <c r="C31" s="104"/>
      <c r="D31" s="107"/>
      <c r="E31" s="107">
        <f>SUM(E29:E30)</f>
        <v>1514834.75</v>
      </c>
      <c r="F31" s="108">
        <f>SUM(F29:F30)</f>
        <v>0.19078692100518901</v>
      </c>
    </row>
    <row r="32" spans="1:10" x14ac:dyDescent="0.2">
      <c r="A32" s="288" t="s">
        <v>262</v>
      </c>
      <c r="B32" s="104"/>
      <c r="C32" s="104"/>
      <c r="D32" s="107"/>
      <c r="E32" s="153">
        <f>E18+E31+E27</f>
        <v>7939929.75</v>
      </c>
      <c r="F32" s="108">
        <f>F18+F27+F31</f>
        <v>0.99999999999999989</v>
      </c>
    </row>
    <row r="33" spans="1:7" x14ac:dyDescent="0.2">
      <c r="B33" s="155"/>
      <c r="C33" s="155"/>
      <c r="D33" s="156"/>
      <c r="E33" s="156"/>
      <c r="F33" s="157"/>
    </row>
    <row r="34" spans="1:7" x14ac:dyDescent="0.2">
      <c r="B34" s="97"/>
      <c r="C34" s="97"/>
      <c r="D34" s="99"/>
      <c r="E34" s="153">
        <f>E32/1000</f>
        <v>7939.9297500000002</v>
      </c>
      <c r="F34" s="291" t="s">
        <v>264</v>
      </c>
    </row>
    <row r="35" spans="1:7" x14ac:dyDescent="0.2">
      <c r="B35" s="144"/>
      <c r="C35" s="144"/>
      <c r="D35" s="144"/>
    </row>
    <row r="36" spans="1:7" x14ac:dyDescent="0.2">
      <c r="A36" s="154"/>
      <c r="D36" s="44"/>
      <c r="F36" s="46"/>
    </row>
    <row r="37" spans="1:7" x14ac:dyDescent="0.2">
      <c r="A37" s="97"/>
      <c r="E37" s="153">
        <f>E32*1.13</f>
        <v>8972120.6174999997</v>
      </c>
      <c r="F37" s="627" t="s">
        <v>180</v>
      </c>
      <c r="G37" s="628"/>
    </row>
    <row r="38" spans="1:7" x14ac:dyDescent="0.2">
      <c r="F38" s="298">
        <v>0.13</v>
      </c>
    </row>
    <row r="39" spans="1:7" ht="178.5" x14ac:dyDescent="0.2">
      <c r="A39" s="294" t="s">
        <v>278</v>
      </c>
      <c r="B39" s="46"/>
      <c r="C39" s="46"/>
      <c r="D39" s="46"/>
      <c r="E39" s="46"/>
    </row>
    <row r="40" spans="1:7" x14ac:dyDescent="0.2">
      <c r="B40" s="46"/>
      <c r="C40" s="46"/>
      <c r="D40" s="46"/>
      <c r="E40" s="46"/>
    </row>
    <row r="41" spans="1:7" x14ac:dyDescent="0.2">
      <c r="A41" s="46"/>
      <c r="B41" s="46"/>
      <c r="C41" s="46"/>
      <c r="D41" s="46"/>
      <c r="E41" s="46"/>
    </row>
    <row r="42" spans="1:7" x14ac:dyDescent="0.2">
      <c r="A42" s="16" t="s">
        <v>37</v>
      </c>
      <c r="B42" s="144"/>
      <c r="C42" s="144"/>
      <c r="D42" s="46"/>
      <c r="E42" s="46"/>
    </row>
    <row r="43" spans="1:7" x14ac:dyDescent="0.2">
      <c r="A43" s="20" t="s">
        <v>38</v>
      </c>
      <c r="B43" s="20" t="s">
        <v>4</v>
      </c>
      <c r="C43" s="20" t="s">
        <v>39</v>
      </c>
    </row>
    <row r="44" spans="1:7" x14ac:dyDescent="0.2">
      <c r="A44" s="158" t="s">
        <v>40</v>
      </c>
      <c r="B44" s="159" t="s">
        <v>42</v>
      </c>
      <c r="C44" s="159">
        <v>400</v>
      </c>
    </row>
    <row r="45" spans="1:7" x14ac:dyDescent="0.2">
      <c r="A45" s="158" t="s">
        <v>41</v>
      </c>
      <c r="B45" s="159" t="s">
        <v>42</v>
      </c>
      <c r="C45" s="159">
        <v>33</v>
      </c>
    </row>
    <row r="46" spans="1:7" x14ac:dyDescent="0.2">
      <c r="A46" s="158" t="s">
        <v>72</v>
      </c>
      <c r="B46" s="159" t="s">
        <v>43</v>
      </c>
      <c r="C46" s="159">
        <v>10</v>
      </c>
    </row>
    <row r="47" spans="1:7" ht="25.5" x14ac:dyDescent="0.2">
      <c r="A47" s="160" t="s">
        <v>142</v>
      </c>
      <c r="B47" s="159" t="s">
        <v>44</v>
      </c>
      <c r="C47" s="159">
        <v>433</v>
      </c>
    </row>
    <row r="48" spans="1:7" x14ac:dyDescent="0.2">
      <c r="A48" s="158" t="s">
        <v>276</v>
      </c>
      <c r="B48" s="158"/>
      <c r="C48" s="158"/>
    </row>
  </sheetData>
  <mergeCells count="6">
    <mergeCell ref="F37:G37"/>
    <mergeCell ref="A2:E2"/>
    <mergeCell ref="A3:E3"/>
    <mergeCell ref="A4:E4"/>
    <mergeCell ref="A5:E5"/>
    <mergeCell ref="A7:C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38"/>
  <sheetViews>
    <sheetView topLeftCell="A31" workbookViewId="0">
      <selection activeCell="D12" sqref="D12"/>
    </sheetView>
  </sheetViews>
  <sheetFormatPr baseColWidth="10" defaultRowHeight="12.75" x14ac:dyDescent="0.2"/>
  <cols>
    <col min="1" max="1" width="40.42578125" customWidth="1"/>
  </cols>
  <sheetData>
    <row r="2" spans="1:7" x14ac:dyDescent="0.2">
      <c r="A2" s="629" t="s">
        <v>134</v>
      </c>
      <c r="B2" s="629"/>
      <c r="C2" s="629"/>
      <c r="D2" s="629"/>
      <c r="E2" s="629"/>
      <c r="F2" s="144"/>
    </row>
    <row r="3" spans="1:7" x14ac:dyDescent="0.2">
      <c r="A3" s="629" t="s">
        <v>266</v>
      </c>
      <c r="B3" s="629"/>
      <c r="C3" s="629"/>
      <c r="D3" s="629"/>
      <c r="E3" s="629"/>
      <c r="F3" s="144"/>
    </row>
    <row r="4" spans="1:7" x14ac:dyDescent="0.2">
      <c r="A4" s="629" t="s">
        <v>569</v>
      </c>
      <c r="B4" s="629"/>
      <c r="C4" s="629"/>
      <c r="D4" s="629"/>
      <c r="E4" s="629"/>
      <c r="F4" s="144"/>
    </row>
    <row r="5" spans="1:7" x14ac:dyDescent="0.2">
      <c r="A5" s="629" t="s">
        <v>136</v>
      </c>
      <c r="B5" s="629"/>
      <c r="C5" s="629"/>
      <c r="D5" s="629"/>
      <c r="E5" s="629"/>
      <c r="F5" s="144"/>
    </row>
    <row r="6" spans="1:7" x14ac:dyDescent="0.2">
      <c r="A6" s="15"/>
      <c r="B6" s="15"/>
      <c r="C6" s="15"/>
      <c r="D6" s="15"/>
      <c r="E6" s="15"/>
      <c r="F6" s="144"/>
    </row>
    <row r="8" spans="1:7" ht="27" customHeight="1" x14ac:dyDescent="0.2">
      <c r="A8" s="682" t="s">
        <v>267</v>
      </c>
      <c r="B8" s="682"/>
      <c r="F8" s="46"/>
      <c r="G8" s="46"/>
    </row>
    <row r="9" spans="1:7" x14ac:dyDescent="0.2">
      <c r="F9" s="46"/>
      <c r="G9" s="46"/>
    </row>
    <row r="10" spans="1:7" ht="25.5" x14ac:dyDescent="0.25">
      <c r="A10" s="41" t="s">
        <v>3</v>
      </c>
      <c r="B10" s="42" t="s">
        <v>60</v>
      </c>
      <c r="C10" s="42" t="s">
        <v>61</v>
      </c>
      <c r="D10" s="42" t="s">
        <v>62</v>
      </c>
      <c r="E10" s="43" t="s">
        <v>57</v>
      </c>
      <c r="F10" s="46"/>
      <c r="G10" s="46"/>
    </row>
    <row r="11" spans="1:7" x14ac:dyDescent="0.2">
      <c r="A11" s="203" t="s">
        <v>268</v>
      </c>
      <c r="B11" s="161">
        <v>440</v>
      </c>
      <c r="C11" s="161" t="s">
        <v>143</v>
      </c>
      <c r="D11" s="202">
        <f>'CERCA VIVA Estacas'!E31</f>
        <v>5588.2931818181814</v>
      </c>
      <c r="E11" s="162">
        <f>B11*D11</f>
        <v>2458849</v>
      </c>
      <c r="F11" s="46"/>
      <c r="G11" s="46"/>
    </row>
    <row r="12" spans="1:7" ht="25.5" x14ac:dyDescent="0.2">
      <c r="A12" s="295" t="s">
        <v>273</v>
      </c>
      <c r="B12" s="163">
        <v>1</v>
      </c>
      <c r="C12" s="161" t="s">
        <v>144</v>
      </c>
      <c r="D12" s="162">
        <f>'COSTOSaisla Madera 4 caras'!E32</f>
        <v>11793348</v>
      </c>
      <c r="E12" s="162">
        <f>B12*D12</f>
        <v>11793348</v>
      </c>
      <c r="F12" s="46"/>
      <c r="G12" s="46"/>
    </row>
    <row r="13" spans="1:7" x14ac:dyDescent="0.2">
      <c r="A13" s="47" t="s">
        <v>270</v>
      </c>
      <c r="B13" s="164" t="s">
        <v>112</v>
      </c>
      <c r="C13" s="161" t="s">
        <v>144</v>
      </c>
      <c r="D13" s="165" t="s">
        <v>112</v>
      </c>
      <c r="E13" s="159">
        <f>SUM(E11:E12)</f>
        <v>14252197</v>
      </c>
      <c r="F13" s="46"/>
      <c r="G13" s="46"/>
    </row>
    <row r="14" spans="1:7" ht="27.75" customHeight="1" x14ac:dyDescent="0.2">
      <c r="A14" s="47" t="s">
        <v>269</v>
      </c>
      <c r="B14" s="166"/>
      <c r="C14" s="167" t="s">
        <v>111</v>
      </c>
      <c r="D14" s="168"/>
      <c r="E14" s="169">
        <f>+ROUND(E13/1000,0)</f>
        <v>14252</v>
      </c>
      <c r="F14" s="55"/>
      <c r="G14" s="55"/>
    </row>
    <row r="18" spans="1:5" ht="27.75" customHeight="1" x14ac:dyDescent="0.2">
      <c r="A18" s="682" t="s">
        <v>271</v>
      </c>
      <c r="B18" s="682"/>
    </row>
    <row r="20" spans="1:5" ht="25.5" x14ac:dyDescent="0.25">
      <c r="A20" s="41" t="s">
        <v>3</v>
      </c>
      <c r="B20" s="42" t="s">
        <v>60</v>
      </c>
      <c r="C20" s="42" t="s">
        <v>61</v>
      </c>
      <c r="D20" s="42" t="s">
        <v>62</v>
      </c>
      <c r="E20" s="43" t="s">
        <v>57</v>
      </c>
    </row>
    <row r="21" spans="1:5" x14ac:dyDescent="0.2">
      <c r="A21" s="203" t="s">
        <v>268</v>
      </c>
      <c r="B21" s="161">
        <v>440</v>
      </c>
      <c r="C21" s="161" t="s">
        <v>143</v>
      </c>
      <c r="D21" s="202">
        <f>D11</f>
        <v>5588.2931818181814</v>
      </c>
      <c r="E21" s="162">
        <f>B21*D21</f>
        <v>2458849</v>
      </c>
    </row>
    <row r="22" spans="1:5" ht="25.5" x14ac:dyDescent="0.2">
      <c r="A22" s="295" t="s">
        <v>274</v>
      </c>
      <c r="B22" s="163">
        <v>1</v>
      </c>
      <c r="C22" s="161" t="s">
        <v>144</v>
      </c>
      <c r="D22" s="162">
        <f>'COSTOSaisla Rollisa o 3 caras'!E32</f>
        <v>7939929.75</v>
      </c>
      <c r="E22" s="162">
        <f>B22*D22</f>
        <v>7939929.75</v>
      </c>
    </row>
    <row r="23" spans="1:5" x14ac:dyDescent="0.2">
      <c r="A23" s="47" t="s">
        <v>270</v>
      </c>
      <c r="B23" s="164" t="s">
        <v>112</v>
      </c>
      <c r="C23" s="161" t="s">
        <v>144</v>
      </c>
      <c r="D23" s="165" t="s">
        <v>112</v>
      </c>
      <c r="E23" s="159">
        <f>SUM(E21:E22)</f>
        <v>10398778.75</v>
      </c>
    </row>
    <row r="24" spans="1:5" x14ac:dyDescent="0.2">
      <c r="A24" s="47" t="s">
        <v>269</v>
      </c>
      <c r="B24" s="166"/>
      <c r="C24" s="167" t="s">
        <v>111</v>
      </c>
      <c r="D24" s="168"/>
      <c r="E24" s="169">
        <f>+ROUND(E23/1000,0)</f>
        <v>10399</v>
      </c>
    </row>
    <row r="28" spans="1:5" ht="27" customHeight="1" x14ac:dyDescent="0.2">
      <c r="A28" s="682" t="s">
        <v>272</v>
      </c>
      <c r="B28" s="682"/>
    </row>
    <row r="30" spans="1:5" ht="25.5" x14ac:dyDescent="0.25">
      <c r="A30" s="41" t="s">
        <v>3</v>
      </c>
      <c r="B30" s="42" t="s">
        <v>60</v>
      </c>
      <c r="C30" s="42" t="s">
        <v>61</v>
      </c>
      <c r="D30" s="42" t="s">
        <v>62</v>
      </c>
      <c r="E30" s="43" t="s">
        <v>57</v>
      </c>
    </row>
    <row r="31" spans="1:5" x14ac:dyDescent="0.2">
      <c r="A31" s="203" t="s">
        <v>268</v>
      </c>
      <c r="B31" s="161">
        <v>440</v>
      </c>
      <c r="C31" s="161" t="s">
        <v>143</v>
      </c>
      <c r="D31" s="202">
        <f>D11</f>
        <v>5588.2931818181814</v>
      </c>
      <c r="E31" s="162">
        <f>B31*D31</f>
        <v>2458849</v>
      </c>
    </row>
    <row r="32" spans="1:5" x14ac:dyDescent="0.2">
      <c r="A32" s="293" t="s">
        <v>275</v>
      </c>
      <c r="B32" s="163">
        <v>1</v>
      </c>
      <c r="C32" s="161" t="s">
        <v>144</v>
      </c>
      <c r="D32" s="162">
        <f>'COSTOS aisla Guadua'!E30</f>
        <v>6522003</v>
      </c>
      <c r="E32" s="162">
        <f>B32*D32</f>
        <v>6522003</v>
      </c>
    </row>
    <row r="33" spans="1:5" x14ac:dyDescent="0.2">
      <c r="A33" s="47" t="s">
        <v>270</v>
      </c>
      <c r="B33" s="164" t="s">
        <v>112</v>
      </c>
      <c r="C33" s="161" t="s">
        <v>144</v>
      </c>
      <c r="D33" s="165" t="s">
        <v>112</v>
      </c>
      <c r="E33" s="159">
        <f>SUM(E31:E32)</f>
        <v>8980852</v>
      </c>
    </row>
    <row r="34" spans="1:5" x14ac:dyDescent="0.2">
      <c r="A34" s="47" t="s">
        <v>269</v>
      </c>
      <c r="B34" s="166"/>
      <c r="C34" s="167" t="s">
        <v>111</v>
      </c>
      <c r="D34" s="168"/>
      <c r="E34" s="169">
        <f>+ROUND(E33/1000,0)</f>
        <v>8981</v>
      </c>
    </row>
    <row r="38" spans="1:5" ht="261" customHeight="1" x14ac:dyDescent="0.2">
      <c r="A38" s="294" t="s">
        <v>446</v>
      </c>
    </row>
  </sheetData>
  <mergeCells count="7">
    <mergeCell ref="A28:B28"/>
    <mergeCell ref="A2:E2"/>
    <mergeCell ref="A3:E3"/>
    <mergeCell ref="A4:E4"/>
    <mergeCell ref="A5:E5"/>
    <mergeCell ref="A8:B8"/>
    <mergeCell ref="A18:B1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R79"/>
  <sheetViews>
    <sheetView topLeftCell="D22" zoomScale="85" zoomScaleNormal="85" workbookViewId="0">
      <selection activeCell="N21" sqref="N21"/>
    </sheetView>
  </sheetViews>
  <sheetFormatPr baseColWidth="10" defaultRowHeight="12.75" x14ac:dyDescent="0.2"/>
  <cols>
    <col min="1" max="1" width="5.140625" customWidth="1"/>
    <col min="2" max="2" width="31.28515625" customWidth="1"/>
    <col min="3" max="3" width="19.42578125" customWidth="1"/>
    <col min="4" max="4" width="9.42578125" customWidth="1"/>
    <col min="5" max="5" width="12.85546875" customWidth="1"/>
    <col min="6" max="6" width="17.42578125" customWidth="1"/>
    <col min="7" max="7" width="17" customWidth="1"/>
    <col min="8" max="8" width="8.85546875" customWidth="1"/>
    <col min="9" max="9" width="13.28515625" customWidth="1"/>
    <col min="11" max="11" width="26.28515625" customWidth="1"/>
    <col min="15" max="15" width="14.5703125" customWidth="1"/>
    <col min="16" max="16" width="14.7109375" customWidth="1"/>
    <col min="18" max="18" width="12.85546875" customWidth="1"/>
  </cols>
  <sheetData>
    <row r="2" spans="1:18" x14ac:dyDescent="0.2">
      <c r="A2" s="13"/>
      <c r="B2" s="13"/>
      <c r="C2" s="13"/>
      <c r="D2" s="13"/>
      <c r="E2" s="13"/>
      <c r="F2" s="13"/>
    </row>
    <row r="3" spans="1:18" ht="13.5" thickBot="1" x14ac:dyDescent="0.25">
      <c r="A3" s="32"/>
      <c r="B3" s="688" t="s">
        <v>47</v>
      </c>
      <c r="C3" s="688"/>
      <c r="D3" s="688"/>
      <c r="E3" s="688"/>
      <c r="F3" s="688"/>
      <c r="G3" s="98"/>
      <c r="H3" s="98"/>
      <c r="K3" s="688" t="s">
        <v>47</v>
      </c>
      <c r="L3" s="688"/>
      <c r="M3" s="688"/>
      <c r="N3" s="688"/>
      <c r="O3" s="688"/>
      <c r="P3" s="98"/>
    </row>
    <row r="4" spans="1:18" ht="13.5" thickBot="1" x14ac:dyDescent="0.25">
      <c r="A4" s="32"/>
      <c r="B4" s="685" t="s">
        <v>162</v>
      </c>
      <c r="C4" s="686"/>
      <c r="D4" s="686"/>
      <c r="E4" s="686"/>
      <c r="F4" s="687"/>
      <c r="G4" s="98"/>
      <c r="H4" s="98"/>
      <c r="K4" s="689" t="s">
        <v>163</v>
      </c>
      <c r="L4" s="689"/>
      <c r="M4" s="689"/>
      <c r="N4" s="689"/>
      <c r="O4" s="689"/>
      <c r="P4" s="98"/>
    </row>
    <row r="5" spans="1:18" x14ac:dyDescent="0.2">
      <c r="A5" s="13"/>
      <c r="B5" s="688"/>
      <c r="C5" s="688"/>
      <c r="D5" s="688"/>
      <c r="E5" s="688"/>
      <c r="F5" s="688"/>
      <c r="G5" s="98"/>
      <c r="H5" s="98"/>
      <c r="K5" s="688"/>
      <c r="L5" s="688"/>
      <c r="M5" s="688"/>
      <c r="N5" s="688"/>
      <c r="O5" s="688"/>
      <c r="P5" s="98"/>
    </row>
    <row r="6" spans="1:18" x14ac:dyDescent="0.2">
      <c r="A6" s="13"/>
      <c r="B6" s="688" t="s">
        <v>10</v>
      </c>
      <c r="C6" s="688"/>
      <c r="D6" s="688"/>
      <c r="E6" s="688"/>
      <c r="F6" s="688"/>
      <c r="G6" s="98"/>
      <c r="H6" s="98"/>
      <c r="K6" s="688" t="s">
        <v>10</v>
      </c>
      <c r="L6" s="688"/>
      <c r="M6" s="688"/>
      <c r="N6" s="688"/>
      <c r="O6" s="688"/>
      <c r="P6" s="98"/>
    </row>
    <row r="7" spans="1:18" x14ac:dyDescent="0.2">
      <c r="A7" s="13"/>
      <c r="B7" s="97"/>
      <c r="C7" s="97" t="s">
        <v>569</v>
      </c>
      <c r="D7" s="97"/>
      <c r="E7" s="97"/>
      <c r="F7" s="97"/>
      <c r="G7" s="98"/>
      <c r="H7" s="98"/>
      <c r="K7" s="97"/>
      <c r="L7" s="97" t="s">
        <v>569</v>
      </c>
      <c r="M7" s="97"/>
      <c r="N7" s="97"/>
      <c r="O7" s="97"/>
      <c r="P7" s="98"/>
    </row>
    <row r="8" spans="1:18" ht="13.5" thickBot="1" x14ac:dyDescent="0.25">
      <c r="A8" s="13"/>
      <c r="B8" s="97"/>
      <c r="C8" s="97"/>
      <c r="D8" s="97"/>
      <c r="E8" s="97"/>
      <c r="F8" s="97"/>
      <c r="G8" s="98"/>
      <c r="H8" s="98"/>
      <c r="K8" s="97"/>
      <c r="L8" s="97"/>
      <c r="M8" s="97"/>
      <c r="N8" s="97"/>
      <c r="O8" s="97"/>
      <c r="P8" s="98"/>
    </row>
    <row r="9" spans="1:18" ht="13.5" thickBot="1" x14ac:dyDescent="0.25">
      <c r="A9" s="13"/>
      <c r="B9" s="685" t="s">
        <v>294</v>
      </c>
      <c r="C9" s="686"/>
      <c r="D9" s="687"/>
      <c r="E9" s="98"/>
      <c r="F9" s="98"/>
      <c r="G9" s="98"/>
      <c r="H9" s="98"/>
      <c r="K9" s="309" t="s">
        <v>299</v>
      </c>
      <c r="L9" s="310"/>
      <c r="M9" s="310"/>
      <c r="N9" s="310"/>
      <c r="O9" s="310"/>
      <c r="P9" s="98"/>
    </row>
    <row r="10" spans="1:18" ht="16.5" x14ac:dyDescent="0.25">
      <c r="A10" s="96"/>
      <c r="B10" s="357" t="s">
        <v>3</v>
      </c>
      <c r="C10" s="358" t="s">
        <v>0</v>
      </c>
      <c r="D10" s="358" t="s">
        <v>4</v>
      </c>
      <c r="E10" s="101" t="s">
        <v>2</v>
      </c>
      <c r="F10" s="101" t="s">
        <v>11</v>
      </c>
      <c r="G10" s="101" t="s">
        <v>15</v>
      </c>
      <c r="H10" s="98"/>
      <c r="I10" s="684" t="s">
        <v>301</v>
      </c>
      <c r="K10" s="100" t="s">
        <v>3</v>
      </c>
      <c r="L10" s="101" t="s">
        <v>0</v>
      </c>
      <c r="M10" s="101" t="s">
        <v>4</v>
      </c>
      <c r="N10" s="101" t="s">
        <v>2</v>
      </c>
      <c r="O10" s="101" t="s">
        <v>11</v>
      </c>
      <c r="P10" s="101" t="s">
        <v>15</v>
      </c>
      <c r="R10" s="684" t="s">
        <v>301</v>
      </c>
    </row>
    <row r="11" spans="1:18" ht="16.5" customHeight="1" x14ac:dyDescent="0.25">
      <c r="A11" s="96"/>
      <c r="B11" s="102" t="s">
        <v>29</v>
      </c>
      <c r="C11" s="103"/>
      <c r="D11" s="103"/>
      <c r="E11" s="103"/>
      <c r="F11" s="103"/>
      <c r="G11" s="103"/>
      <c r="H11" s="98"/>
      <c r="I11" s="684"/>
      <c r="K11" s="102" t="s">
        <v>29</v>
      </c>
      <c r="L11" s="103"/>
      <c r="M11" s="103"/>
      <c r="N11" s="103"/>
      <c r="O11" s="103"/>
      <c r="P11" s="103"/>
      <c r="R11" s="684"/>
    </row>
    <row r="12" spans="1:18" ht="16.5" x14ac:dyDescent="0.25">
      <c r="A12" s="96"/>
      <c r="B12" s="419" t="s">
        <v>290</v>
      </c>
      <c r="C12" s="104">
        <v>6</v>
      </c>
      <c r="D12" s="104" t="s">
        <v>48</v>
      </c>
      <c r="E12" s="105">
        <f>'Mano de Obra (JORNAL)'!E32</f>
        <v>47165</v>
      </c>
      <c r="F12" s="105">
        <f t="shared" ref="F12:F17" si="0">C12*E12</f>
        <v>282990</v>
      </c>
      <c r="G12" s="352">
        <f>F12/F34</f>
        <v>9.0429879855025874E-2</v>
      </c>
      <c r="H12" s="98"/>
      <c r="I12" s="104">
        <v>0</v>
      </c>
      <c r="K12" s="103" t="s">
        <v>291</v>
      </c>
      <c r="L12" s="104">
        <v>6</v>
      </c>
      <c r="M12" s="104" t="s">
        <v>48</v>
      </c>
      <c r="N12" s="105">
        <f t="shared" ref="N12:N17" si="1">E12</f>
        <v>47165</v>
      </c>
      <c r="O12" s="105">
        <f t="shared" ref="O12:O17" si="2">L12*N12</f>
        <v>282990</v>
      </c>
      <c r="P12" s="106">
        <f>O12/O34</f>
        <v>7.4715879857108092E-2</v>
      </c>
      <c r="R12" s="104">
        <v>0</v>
      </c>
    </row>
    <row r="13" spans="1:18" ht="16.5" x14ac:dyDescent="0.25">
      <c r="A13" s="96"/>
      <c r="B13" s="103" t="s">
        <v>21</v>
      </c>
      <c r="C13" s="104">
        <v>5</v>
      </c>
      <c r="D13" s="104" t="s">
        <v>48</v>
      </c>
      <c r="E13" s="105">
        <f>E12</f>
        <v>47165</v>
      </c>
      <c r="F13" s="105">
        <f t="shared" si="0"/>
        <v>235825</v>
      </c>
      <c r="G13" s="352">
        <f>F13/F34</f>
        <v>7.5358233212521566E-2</v>
      </c>
      <c r="H13" s="98"/>
      <c r="I13" s="104">
        <v>5</v>
      </c>
      <c r="K13" s="103" t="s">
        <v>21</v>
      </c>
      <c r="L13" s="104">
        <v>5</v>
      </c>
      <c r="M13" s="104" t="s">
        <v>48</v>
      </c>
      <c r="N13" s="105">
        <f t="shared" si="1"/>
        <v>47165</v>
      </c>
      <c r="O13" s="105">
        <f t="shared" si="2"/>
        <v>235825</v>
      </c>
      <c r="P13" s="106">
        <f>O13/O34</f>
        <v>6.2263233214256745E-2</v>
      </c>
      <c r="R13" s="104">
        <v>5</v>
      </c>
    </row>
    <row r="14" spans="1:18" ht="16.5" x14ac:dyDescent="0.25">
      <c r="A14" s="96"/>
      <c r="B14" s="103" t="s">
        <v>30</v>
      </c>
      <c r="C14" s="104">
        <v>4</v>
      </c>
      <c r="D14" s="104" t="s">
        <v>48</v>
      </c>
      <c r="E14" s="105">
        <f>E12</f>
        <v>47165</v>
      </c>
      <c r="F14" s="105">
        <f t="shared" si="0"/>
        <v>188660</v>
      </c>
      <c r="G14" s="352">
        <f>F14/F34</f>
        <v>6.0286586570017252E-2</v>
      </c>
      <c r="H14" s="98"/>
      <c r="I14" s="104">
        <v>4</v>
      </c>
      <c r="K14" s="103" t="s">
        <v>30</v>
      </c>
      <c r="L14" s="104">
        <v>4</v>
      </c>
      <c r="M14" s="104" t="s">
        <v>48</v>
      </c>
      <c r="N14" s="105">
        <f t="shared" si="1"/>
        <v>47165</v>
      </c>
      <c r="O14" s="105">
        <f t="shared" si="2"/>
        <v>188660</v>
      </c>
      <c r="P14" s="106">
        <f>O14/O34</f>
        <v>4.9810586571405392E-2</v>
      </c>
      <c r="R14" s="104">
        <v>4</v>
      </c>
    </row>
    <row r="15" spans="1:18" ht="16.5" x14ac:dyDescent="0.25">
      <c r="A15" s="96"/>
      <c r="B15" s="103" t="s">
        <v>444</v>
      </c>
      <c r="C15" s="104">
        <v>6</v>
      </c>
      <c r="D15" s="104" t="s">
        <v>48</v>
      </c>
      <c r="E15" s="105">
        <f>E12</f>
        <v>47165</v>
      </c>
      <c r="F15" s="105">
        <f t="shared" si="0"/>
        <v>282990</v>
      </c>
      <c r="G15" s="352">
        <f>F15/F34</f>
        <v>9.0429879855025874E-2</v>
      </c>
      <c r="H15" s="98"/>
      <c r="I15" s="104">
        <v>4</v>
      </c>
      <c r="K15" s="103" t="s">
        <v>31</v>
      </c>
      <c r="L15" s="104">
        <v>6</v>
      </c>
      <c r="M15" s="104" t="s">
        <v>48</v>
      </c>
      <c r="N15" s="105">
        <f t="shared" si="1"/>
        <v>47165</v>
      </c>
      <c r="O15" s="105">
        <f t="shared" si="2"/>
        <v>282990</v>
      </c>
      <c r="P15" s="106">
        <f>O15/O34</f>
        <v>7.4715879857108092E-2</v>
      </c>
      <c r="R15" s="104">
        <v>4</v>
      </c>
    </row>
    <row r="16" spans="1:18" ht="16.5" x14ac:dyDescent="0.25">
      <c r="A16" s="96"/>
      <c r="B16" s="103" t="s">
        <v>59</v>
      </c>
      <c r="C16" s="104">
        <v>3</v>
      </c>
      <c r="D16" s="104" t="s">
        <v>48</v>
      </c>
      <c r="E16" s="105">
        <f>E12</f>
        <v>47165</v>
      </c>
      <c r="F16" s="105">
        <f t="shared" si="0"/>
        <v>141495</v>
      </c>
      <c r="G16" s="352">
        <f>F16/F34</f>
        <v>4.5214939927512937E-2</v>
      </c>
      <c r="H16" s="98"/>
      <c r="I16" s="104">
        <v>3</v>
      </c>
      <c r="K16" s="103" t="s">
        <v>59</v>
      </c>
      <c r="L16" s="104">
        <v>3</v>
      </c>
      <c r="M16" s="104" t="s">
        <v>48</v>
      </c>
      <c r="N16" s="105">
        <f t="shared" si="1"/>
        <v>47165</v>
      </c>
      <c r="O16" s="105">
        <f t="shared" si="2"/>
        <v>141495</v>
      </c>
      <c r="P16" s="106">
        <f>O16/O34</f>
        <v>3.7357939928554046E-2</v>
      </c>
      <c r="R16" s="104">
        <v>3</v>
      </c>
    </row>
    <row r="17" spans="1:18" ht="16.5" x14ac:dyDescent="0.25">
      <c r="A17" s="96"/>
      <c r="B17" s="103" t="s">
        <v>74</v>
      </c>
      <c r="C17" s="104">
        <v>2</v>
      </c>
      <c r="D17" s="104" t="s">
        <v>48</v>
      </c>
      <c r="E17" s="105">
        <f>E12</f>
        <v>47165</v>
      </c>
      <c r="F17" s="105">
        <f t="shared" si="0"/>
        <v>94330</v>
      </c>
      <c r="G17" s="352">
        <f>F17/F34</f>
        <v>3.0143293285008626E-2</v>
      </c>
      <c r="H17" s="98"/>
      <c r="I17" s="104">
        <v>1</v>
      </c>
      <c r="K17" s="103" t="s">
        <v>74</v>
      </c>
      <c r="L17" s="104">
        <v>2</v>
      </c>
      <c r="M17" s="104" t="s">
        <v>48</v>
      </c>
      <c r="N17" s="105">
        <f t="shared" si="1"/>
        <v>47165</v>
      </c>
      <c r="O17" s="105">
        <f t="shared" si="2"/>
        <v>94330</v>
      </c>
      <c r="P17" s="106">
        <f>O17/O34</f>
        <v>2.4905293285702696E-2</v>
      </c>
      <c r="R17" s="104">
        <v>1</v>
      </c>
    </row>
    <row r="18" spans="1:18" ht="16.5" x14ac:dyDescent="0.25">
      <c r="A18" s="96"/>
      <c r="B18" s="100" t="s">
        <v>35</v>
      </c>
      <c r="C18" s="107">
        <f>SUM(C12:C17)</f>
        <v>26</v>
      </c>
      <c r="D18" s="103"/>
      <c r="E18" s="104"/>
      <c r="F18" s="107">
        <f>SUM(F12:F17)</f>
        <v>1226290</v>
      </c>
      <c r="G18" s="353"/>
      <c r="H18" s="98"/>
      <c r="I18" s="107">
        <f>SUM(I12:I17)</f>
        <v>17</v>
      </c>
      <c r="K18" s="100" t="s">
        <v>35</v>
      </c>
      <c r="L18" s="107">
        <f>SUM(L12:L17)</f>
        <v>26</v>
      </c>
      <c r="M18" s="103"/>
      <c r="N18" s="104"/>
      <c r="O18" s="107">
        <f>SUM(O12:O17)</f>
        <v>1226290</v>
      </c>
      <c r="P18" s="108">
        <f>SUM(P12:P17)</f>
        <v>0.32376881271413505</v>
      </c>
      <c r="R18" s="107">
        <f>SUM(R12:R17)</f>
        <v>17</v>
      </c>
    </row>
    <row r="19" spans="1:18" ht="16.5" x14ac:dyDescent="0.25">
      <c r="A19" s="96"/>
      <c r="B19" s="100" t="s">
        <v>12</v>
      </c>
      <c r="C19" s="103"/>
      <c r="D19" s="103"/>
      <c r="E19" s="103"/>
      <c r="F19" s="107">
        <f>F18</f>
        <v>1226290</v>
      </c>
      <c r="G19" s="353">
        <f>SUM(G12:G18)</f>
        <v>0.39186281270511214</v>
      </c>
      <c r="H19" s="98"/>
      <c r="K19" s="100" t="s">
        <v>12</v>
      </c>
      <c r="L19" s="103"/>
      <c r="M19" s="103"/>
      <c r="N19" s="103"/>
      <c r="O19" s="107">
        <f>O18</f>
        <v>1226290</v>
      </c>
      <c r="P19" s="108"/>
    </row>
    <row r="20" spans="1:18" ht="16.5" x14ac:dyDescent="0.25">
      <c r="A20" s="96"/>
      <c r="B20" s="109" t="s">
        <v>51</v>
      </c>
      <c r="C20" s="103"/>
      <c r="D20" s="103"/>
      <c r="E20" s="103"/>
      <c r="F20" s="103"/>
      <c r="G20" s="352"/>
      <c r="H20" s="98"/>
      <c r="K20" s="109" t="s">
        <v>51</v>
      </c>
      <c r="L20" s="103"/>
      <c r="M20" s="103"/>
      <c r="N20" s="103"/>
      <c r="O20" s="103"/>
      <c r="P20" s="106"/>
    </row>
    <row r="21" spans="1:18" ht="16.5" x14ac:dyDescent="0.25">
      <c r="A21" s="96"/>
      <c r="B21" s="103" t="s">
        <v>32</v>
      </c>
      <c r="C21" s="104">
        <v>216</v>
      </c>
      <c r="D21" s="104" t="s">
        <v>7</v>
      </c>
      <c r="E21" s="104">
        <f>'COSTOS aisla Guadua'!D18</f>
        <v>3800</v>
      </c>
      <c r="F21" s="104">
        <f t="shared" ref="F21:F27" si="3">C21*E21</f>
        <v>820800</v>
      </c>
      <c r="G21" s="352">
        <f>F21/F34</f>
        <v>0.26228787372347162</v>
      </c>
      <c r="H21" s="98"/>
      <c r="K21" s="103" t="s">
        <v>32</v>
      </c>
      <c r="L21" s="104">
        <v>216</v>
      </c>
      <c r="M21" s="104" t="s">
        <v>7</v>
      </c>
      <c r="N21" s="104">
        <f>'COSTOSaisla Rollisa o 3 caras'!D20</f>
        <v>6500</v>
      </c>
      <c r="O21" s="104">
        <f t="shared" ref="O21:O27" si="4">L21*N21</f>
        <v>1404000</v>
      </c>
      <c r="P21" s="106">
        <f>O21/O34</f>
        <v>0.37068834700653647</v>
      </c>
    </row>
    <row r="22" spans="1:18" ht="16.5" x14ac:dyDescent="0.25">
      <c r="A22" s="96"/>
      <c r="B22" s="103" t="s">
        <v>33</v>
      </c>
      <c r="C22" s="104">
        <v>3</v>
      </c>
      <c r="D22" s="104" t="s">
        <v>8</v>
      </c>
      <c r="E22" s="104">
        <f>'COSTOS aisla Guadua'!D19</f>
        <v>140359</v>
      </c>
      <c r="F22" s="104">
        <f t="shared" si="3"/>
        <v>421077</v>
      </c>
      <c r="G22" s="352">
        <f>F22/F34</f>
        <v>0.13455578826006123</v>
      </c>
      <c r="H22" s="98"/>
      <c r="K22" s="103" t="s">
        <v>33</v>
      </c>
      <c r="L22" s="104">
        <v>3</v>
      </c>
      <c r="M22" s="104" t="s">
        <v>8</v>
      </c>
      <c r="N22" s="104">
        <f>E22</f>
        <v>140359</v>
      </c>
      <c r="O22" s="104">
        <f t="shared" si="4"/>
        <v>421077</v>
      </c>
      <c r="P22" s="106">
        <f>O22/O34</f>
        <v>0.111174029268142</v>
      </c>
    </row>
    <row r="23" spans="1:18" ht="16.5" x14ac:dyDescent="0.25">
      <c r="A23" s="96"/>
      <c r="B23" s="103" t="s">
        <v>65</v>
      </c>
      <c r="C23" s="105">
        <v>1</v>
      </c>
      <c r="D23" s="104" t="s">
        <v>66</v>
      </c>
      <c r="E23" s="104">
        <f>'COSTOS aisla Guadua'!D20</f>
        <v>70750</v>
      </c>
      <c r="F23" s="104">
        <f t="shared" si="3"/>
        <v>70750</v>
      </c>
      <c r="G23" s="352">
        <f>F23/F34</f>
        <v>2.2608268842514153E-2</v>
      </c>
      <c r="H23" s="98"/>
      <c r="K23" s="103" t="s">
        <v>65</v>
      </c>
      <c r="L23" s="105">
        <v>1</v>
      </c>
      <c r="M23" s="104" t="s">
        <v>66</v>
      </c>
      <c r="N23" s="104">
        <f>E23</f>
        <v>70750</v>
      </c>
      <c r="O23" s="104">
        <f t="shared" si="4"/>
        <v>70750</v>
      </c>
      <c r="P23" s="106">
        <f>O23/O34</f>
        <v>1.867963002187497E-2</v>
      </c>
    </row>
    <row r="24" spans="1:18" ht="16.5" x14ac:dyDescent="0.25">
      <c r="A24" s="96"/>
      <c r="B24" s="103" t="s">
        <v>73</v>
      </c>
      <c r="C24" s="105">
        <v>1.5</v>
      </c>
      <c r="D24" s="104" t="s">
        <v>66</v>
      </c>
      <c r="E24" s="104">
        <f>'COSTOS aisla Guadua'!D21</f>
        <v>34234</v>
      </c>
      <c r="F24" s="104">
        <f t="shared" si="3"/>
        <v>51351</v>
      </c>
      <c r="G24" s="352">
        <f>F24/F34</f>
        <v>1.6409289234373771E-2</v>
      </c>
      <c r="H24" s="98"/>
      <c r="K24" s="103" t="s">
        <v>73</v>
      </c>
      <c r="L24" s="105">
        <v>1.5</v>
      </c>
      <c r="M24" s="104" t="s">
        <v>66</v>
      </c>
      <c r="N24" s="104">
        <f>E24</f>
        <v>34234</v>
      </c>
      <c r="O24" s="104">
        <f t="shared" si="4"/>
        <v>51351</v>
      </c>
      <c r="P24" s="106">
        <f>O24/O34</f>
        <v>1.3557847084852319E-2</v>
      </c>
    </row>
    <row r="25" spans="1:18" s="307" customFormat="1" ht="24" x14ac:dyDescent="0.2">
      <c r="A25" s="302"/>
      <c r="B25" s="303" t="s">
        <v>196</v>
      </c>
      <c r="C25" s="304">
        <v>2</v>
      </c>
      <c r="D25" s="305" t="s">
        <v>66</v>
      </c>
      <c r="E25" s="305">
        <v>9000</v>
      </c>
      <c r="F25" s="305">
        <f>C25*E25</f>
        <v>18000</v>
      </c>
      <c r="G25" s="354">
        <f>F25/F34</f>
        <v>5.75192705533929E-3</v>
      </c>
      <c r="H25" s="306"/>
      <c r="K25" s="303" t="s">
        <v>196</v>
      </c>
      <c r="L25" s="311">
        <v>2</v>
      </c>
      <c r="M25" s="312" t="s">
        <v>66</v>
      </c>
      <c r="N25" s="312">
        <v>9000</v>
      </c>
      <c r="O25" s="312">
        <f t="shared" si="4"/>
        <v>18000</v>
      </c>
      <c r="P25" s="313">
        <f>O25/O34</f>
        <v>4.7524147052120059E-3</v>
      </c>
    </row>
    <row r="26" spans="1:18" ht="16.5" x14ac:dyDescent="0.25">
      <c r="A26" s="96"/>
      <c r="B26" s="103" t="s">
        <v>34</v>
      </c>
      <c r="C26" s="104">
        <v>3</v>
      </c>
      <c r="D26" s="104" t="s">
        <v>9</v>
      </c>
      <c r="E26" s="104">
        <f>'COSTOS aisla Guadua'!D23</f>
        <v>9781</v>
      </c>
      <c r="F26" s="104">
        <f t="shared" si="3"/>
        <v>29343</v>
      </c>
      <c r="G26" s="352">
        <f>F26/F34</f>
        <v>9.376599754712266E-3</v>
      </c>
      <c r="H26" s="98"/>
      <c r="K26" s="103" t="s">
        <v>34</v>
      </c>
      <c r="L26" s="104">
        <v>3</v>
      </c>
      <c r="M26" s="104" t="s">
        <v>9</v>
      </c>
      <c r="N26" s="104">
        <f>E26</f>
        <v>9781</v>
      </c>
      <c r="O26" s="104">
        <f t="shared" si="4"/>
        <v>29343</v>
      </c>
      <c r="P26" s="106">
        <f>O26/O34</f>
        <v>7.7472280386131059E-3</v>
      </c>
    </row>
    <row r="27" spans="1:18" ht="16.5" x14ac:dyDescent="0.25">
      <c r="A27" s="96"/>
      <c r="B27" s="103" t="s">
        <v>286</v>
      </c>
      <c r="C27" s="104">
        <v>1</v>
      </c>
      <c r="D27" s="104" t="s">
        <v>9</v>
      </c>
      <c r="E27" s="104">
        <f>'COSTOS aisla Guadua'!D24</f>
        <v>5434</v>
      </c>
      <c r="F27" s="104">
        <f t="shared" si="3"/>
        <v>5434</v>
      </c>
      <c r="G27" s="352">
        <f>F27/F34</f>
        <v>1.7364428677063169E-3</v>
      </c>
      <c r="H27" s="98"/>
      <c r="K27" s="103" t="s">
        <v>286</v>
      </c>
      <c r="L27" s="104">
        <v>1</v>
      </c>
      <c r="M27" s="104" t="s">
        <v>9</v>
      </c>
      <c r="N27" s="104">
        <f>E27</f>
        <v>5434</v>
      </c>
      <c r="O27" s="104">
        <f t="shared" si="4"/>
        <v>5434</v>
      </c>
      <c r="P27" s="106">
        <f>O27/O34</f>
        <v>1.4347011948956691E-3</v>
      </c>
    </row>
    <row r="28" spans="1:18" ht="16.5" x14ac:dyDescent="0.25">
      <c r="A28" s="96"/>
      <c r="B28" s="100" t="s">
        <v>36</v>
      </c>
      <c r="C28" s="104"/>
      <c r="D28" s="104"/>
      <c r="E28" s="107"/>
      <c r="F28" s="107">
        <f>SUM(F21:F27)</f>
        <v>1416755</v>
      </c>
      <c r="G28" s="353">
        <f>SUM(G21:G27)</f>
        <v>0.45272618973817863</v>
      </c>
      <c r="H28" s="98"/>
      <c r="K28" s="100" t="s">
        <v>36</v>
      </c>
      <c r="L28" s="104"/>
      <c r="M28" s="104"/>
      <c r="N28" s="107"/>
      <c r="O28" s="107">
        <f>SUM(O21:O27)</f>
        <v>1999955</v>
      </c>
      <c r="P28" s="108">
        <f>SUM(P21:P27)</f>
        <v>0.52803419732012646</v>
      </c>
    </row>
    <row r="29" spans="1:18" x14ac:dyDescent="0.2">
      <c r="B29" s="111" t="s">
        <v>293</v>
      </c>
      <c r="C29" s="104"/>
      <c r="D29" s="104"/>
      <c r="E29" s="107"/>
      <c r="F29" s="300"/>
      <c r="G29" s="355"/>
      <c r="H29" s="98"/>
      <c r="K29" s="111" t="s">
        <v>293</v>
      </c>
      <c r="L29" s="104"/>
      <c r="M29" s="104"/>
      <c r="N29" s="107"/>
      <c r="O29" s="300"/>
      <c r="P29" s="301"/>
    </row>
    <row r="30" spans="1:18" x14ac:dyDescent="0.2">
      <c r="B30" s="110" t="s">
        <v>288</v>
      </c>
      <c r="C30" s="152">
        <v>0.05</v>
      </c>
      <c r="D30" s="100"/>
      <c r="E30" s="100"/>
      <c r="F30" s="104">
        <f>F19*C30</f>
        <v>61314.5</v>
      </c>
      <c r="G30" s="352">
        <f>F30/F34</f>
        <v>1.9593140635255607E-2</v>
      </c>
      <c r="H30" s="98"/>
      <c r="K30" s="110" t="s">
        <v>296</v>
      </c>
      <c r="L30" s="152">
        <v>0.05</v>
      </c>
      <c r="M30" s="100"/>
      <c r="N30" s="100"/>
      <c r="O30" s="104">
        <f>O18*L30</f>
        <v>61314.5</v>
      </c>
      <c r="P30" s="106">
        <f>O30/O34</f>
        <v>1.6188440635706753E-2</v>
      </c>
    </row>
    <row r="31" spans="1:18" ht="16.5" x14ac:dyDescent="0.25">
      <c r="A31" s="96"/>
      <c r="B31" s="110" t="s">
        <v>141</v>
      </c>
      <c r="C31" s="152">
        <v>0.3</v>
      </c>
      <c r="D31" s="104"/>
      <c r="E31" s="104"/>
      <c r="F31" s="104">
        <f>F28*C31</f>
        <v>425026.5</v>
      </c>
      <c r="G31" s="352">
        <f>F31/F34</f>
        <v>0.13581785692145359</v>
      </c>
      <c r="H31" s="98"/>
      <c r="K31" s="110" t="s">
        <v>297</v>
      </c>
      <c r="L31" s="152">
        <v>0.3</v>
      </c>
      <c r="M31" s="104"/>
      <c r="N31" s="104"/>
      <c r="O31" s="104">
        <f>O28*0.25</f>
        <v>499988.75</v>
      </c>
      <c r="P31" s="106">
        <f>O31/O34</f>
        <v>0.13200854933003164</v>
      </c>
    </row>
    <row r="32" spans="1:18" ht="16.5" x14ac:dyDescent="0.25">
      <c r="A32" s="96"/>
      <c r="B32" s="100" t="s">
        <v>261</v>
      </c>
      <c r="C32" s="103"/>
      <c r="D32" s="103"/>
      <c r="E32" s="103"/>
      <c r="F32" s="107">
        <f>SUM(F30:F31)</f>
        <v>486341</v>
      </c>
      <c r="G32" s="353">
        <f>SUM(G30:G31)</f>
        <v>0.1554109975567092</v>
      </c>
      <c r="H32" s="98"/>
      <c r="K32" s="100" t="s">
        <v>261</v>
      </c>
      <c r="L32" s="103"/>
      <c r="M32" s="103"/>
      <c r="N32" s="103"/>
      <c r="O32" s="107">
        <f>SUM(O30:O31)</f>
        <v>561303.25</v>
      </c>
      <c r="P32" s="315">
        <f>SUM(P30:P31)</f>
        <v>0.14819698996573841</v>
      </c>
    </row>
    <row r="33" spans="1:18" ht="17.25" thickBot="1" x14ac:dyDescent="0.3">
      <c r="A33" s="96"/>
      <c r="B33" s="238"/>
      <c r="C33" s="99"/>
      <c r="D33" s="99"/>
      <c r="E33" s="99"/>
      <c r="F33" s="155"/>
      <c r="G33" s="356"/>
      <c r="H33" s="98"/>
      <c r="K33" s="299"/>
      <c r="L33" s="99"/>
      <c r="M33" s="99"/>
      <c r="N33" s="99"/>
      <c r="O33" s="155"/>
      <c r="P33" s="285"/>
    </row>
    <row r="34" spans="1:18" ht="18.75" thickBot="1" x14ac:dyDescent="0.3">
      <c r="A34" s="33"/>
      <c r="B34" s="691" t="s">
        <v>295</v>
      </c>
      <c r="C34" s="692"/>
      <c r="D34" s="692"/>
      <c r="E34" s="693"/>
      <c r="F34" s="232">
        <f>F32+F28+F18</f>
        <v>3129386</v>
      </c>
      <c r="G34" s="308">
        <f>G32+G28+G19</f>
        <v>1</v>
      </c>
      <c r="H34" s="98"/>
      <c r="K34" s="685" t="s">
        <v>298</v>
      </c>
      <c r="L34" s="686"/>
      <c r="M34" s="686"/>
      <c r="N34" s="687"/>
      <c r="O34" s="232">
        <f>O32+O28+O18</f>
        <v>3787548.25</v>
      </c>
      <c r="P34" s="308">
        <f>P18+P28+P32</f>
        <v>0.99999999999999989</v>
      </c>
    </row>
    <row r="35" spans="1:18" ht="18.75" thickBot="1" x14ac:dyDescent="0.3">
      <c r="A35" s="33"/>
      <c r="B35" s="97"/>
      <c r="C35" s="97"/>
      <c r="D35" s="97"/>
      <c r="E35" s="97"/>
      <c r="F35" s="204"/>
      <c r="G35" s="204"/>
      <c r="H35" s="205"/>
      <c r="K35" s="206"/>
      <c r="L35" s="206"/>
      <c r="M35" s="206"/>
      <c r="N35" s="206"/>
      <c r="O35" s="204"/>
      <c r="P35" s="204"/>
    </row>
    <row r="36" spans="1:18" ht="18.75" thickBot="1" x14ac:dyDescent="0.3">
      <c r="A36" s="33"/>
      <c r="B36" s="97"/>
      <c r="C36" s="97"/>
      <c r="D36" s="97"/>
      <c r="E36" s="97"/>
      <c r="F36" s="232">
        <f>F34/1000</f>
        <v>3129.386</v>
      </c>
      <c r="G36" s="201" t="s">
        <v>264</v>
      </c>
      <c r="H36" s="205"/>
      <c r="K36" s="237"/>
      <c r="L36" s="237"/>
      <c r="M36" s="237"/>
      <c r="N36" s="237"/>
      <c r="O36" s="232">
        <f>O34/1000</f>
        <v>3787.5482499999998</v>
      </c>
      <c r="P36" s="291" t="s">
        <v>264</v>
      </c>
    </row>
    <row r="37" spans="1:18" ht="18.75" thickBot="1" x14ac:dyDescent="0.3">
      <c r="A37" s="33"/>
      <c r="B37" s="97"/>
      <c r="C37" s="97"/>
      <c r="D37" s="97"/>
      <c r="E37" s="97"/>
      <c r="F37" s="204"/>
      <c r="G37" s="204"/>
      <c r="H37" s="205"/>
      <c r="K37" s="237"/>
      <c r="L37" s="237"/>
      <c r="M37" s="237"/>
      <c r="N37" s="237"/>
      <c r="O37" s="204"/>
      <c r="P37" s="204"/>
    </row>
    <row r="38" spans="1:18" ht="18.75" thickBot="1" x14ac:dyDescent="0.3">
      <c r="A38" s="33"/>
      <c r="B38" s="97"/>
      <c r="C38" s="97"/>
      <c r="D38" s="97"/>
      <c r="E38" s="97"/>
      <c r="F38" s="232">
        <f>F34*1.13</f>
        <v>3536206.1799999997</v>
      </c>
      <c r="G38" s="26" t="s">
        <v>180</v>
      </c>
      <c r="H38" s="205"/>
      <c r="I38" s="418">
        <v>0.13</v>
      </c>
      <c r="K38" s="206"/>
      <c r="L38" s="206"/>
      <c r="M38" s="206"/>
      <c r="N38" s="206"/>
      <c r="O38" s="232">
        <f>O34*1.13</f>
        <v>4279929.5225</v>
      </c>
      <c r="P38" s="683" t="s">
        <v>180</v>
      </c>
      <c r="Q38" s="628"/>
    </row>
    <row r="39" spans="1:18" ht="357" customHeight="1" thickBot="1" x14ac:dyDescent="0.3">
      <c r="A39" s="33"/>
      <c r="B39" s="694" t="s">
        <v>445</v>
      </c>
      <c r="C39" s="695"/>
      <c r="D39" s="97"/>
      <c r="E39" s="97"/>
      <c r="F39" s="204"/>
      <c r="G39" s="26"/>
      <c r="H39" s="205"/>
      <c r="K39" s="237"/>
      <c r="L39" s="237"/>
      <c r="M39" s="237"/>
      <c r="N39" s="237"/>
      <c r="O39" s="204"/>
      <c r="P39" s="26">
        <v>0.13</v>
      </c>
    </row>
    <row r="40" spans="1:18" ht="18" x14ac:dyDescent="0.25">
      <c r="A40" s="33"/>
      <c r="B40" s="97"/>
      <c r="C40" s="97"/>
      <c r="D40" s="97"/>
      <c r="E40" s="97"/>
      <c r="F40" s="204"/>
      <c r="G40" s="26"/>
      <c r="H40" s="205"/>
      <c r="K40" s="237"/>
      <c r="L40" s="237"/>
      <c r="M40" s="237"/>
      <c r="N40" s="237"/>
      <c r="O40" s="204"/>
      <c r="P40" s="26"/>
    </row>
    <row r="41" spans="1:18" ht="18" x14ac:dyDescent="0.25">
      <c r="A41" s="33"/>
      <c r="B41" s="97"/>
      <c r="C41" s="97"/>
      <c r="D41" s="97"/>
      <c r="E41" s="98"/>
      <c r="F41" s="205"/>
      <c r="H41" s="205"/>
      <c r="K41" s="688" t="s">
        <v>47</v>
      </c>
      <c r="L41" s="688"/>
      <c r="M41" s="688"/>
      <c r="N41" s="688"/>
      <c r="O41" s="688"/>
    </row>
    <row r="42" spans="1:18" x14ac:dyDescent="0.2">
      <c r="A42" s="13"/>
      <c r="B42" s="15"/>
      <c r="C42" s="32"/>
      <c r="D42" s="32"/>
      <c r="E42" s="13"/>
      <c r="K42" s="689" t="s">
        <v>164</v>
      </c>
      <c r="L42" s="689"/>
      <c r="M42" s="689"/>
      <c r="N42" s="689"/>
      <c r="O42" s="689"/>
      <c r="P42" s="98"/>
    </row>
    <row r="43" spans="1:18" x14ac:dyDescent="0.2">
      <c r="A43" s="13"/>
      <c r="B43" s="44"/>
      <c r="C43" s="44"/>
      <c r="D43" s="44"/>
      <c r="E43" s="44"/>
      <c r="K43" s="688"/>
      <c r="L43" s="688"/>
      <c r="M43" s="688"/>
      <c r="N43" s="688"/>
      <c r="O43" s="688"/>
      <c r="P43" s="98"/>
    </row>
    <row r="44" spans="1:18" x14ac:dyDescent="0.2">
      <c r="A44" s="13"/>
      <c r="B44" s="32"/>
      <c r="C44" s="133"/>
      <c r="D44" s="133"/>
      <c r="K44" s="688" t="s">
        <v>10</v>
      </c>
      <c r="L44" s="688"/>
      <c r="M44" s="688"/>
      <c r="N44" s="688"/>
      <c r="O44" s="688"/>
      <c r="P44" s="98"/>
    </row>
    <row r="45" spans="1:18" x14ac:dyDescent="0.2">
      <c r="A45" s="13"/>
      <c r="B45" s="32"/>
      <c r="C45" s="133"/>
      <c r="D45" s="133"/>
      <c r="K45" s="97"/>
      <c r="L45" s="97" t="s">
        <v>569</v>
      </c>
      <c r="M45" s="97"/>
      <c r="N45" s="97"/>
      <c r="O45" s="97"/>
      <c r="P45" s="98"/>
    </row>
    <row r="46" spans="1:18" x14ac:dyDescent="0.2">
      <c r="A46" s="13"/>
      <c r="B46" s="32"/>
      <c r="C46" s="133"/>
      <c r="D46" s="133"/>
      <c r="K46" s="309" t="s">
        <v>300</v>
      </c>
      <c r="L46" s="310"/>
      <c r="M46" s="310"/>
      <c r="N46" s="310"/>
      <c r="O46" s="98"/>
      <c r="P46" s="98"/>
    </row>
    <row r="47" spans="1:18" x14ac:dyDescent="0.2">
      <c r="A47" s="13"/>
      <c r="B47" s="32"/>
      <c r="C47" s="133"/>
      <c r="D47" s="133"/>
      <c r="K47" s="100" t="s">
        <v>3</v>
      </c>
      <c r="L47" s="101" t="s">
        <v>0</v>
      </c>
      <c r="M47" s="101" t="s">
        <v>4</v>
      </c>
      <c r="N47" s="101" t="s">
        <v>2</v>
      </c>
      <c r="O47" s="101" t="s">
        <v>11</v>
      </c>
      <c r="P47" s="101" t="s">
        <v>15</v>
      </c>
      <c r="R47" s="684" t="s">
        <v>301</v>
      </c>
    </row>
    <row r="48" spans="1:18" x14ac:dyDescent="0.2">
      <c r="A48" s="13"/>
      <c r="B48" s="32"/>
      <c r="C48" s="32"/>
      <c r="D48" s="32"/>
      <c r="K48" s="102" t="s">
        <v>29</v>
      </c>
      <c r="L48" s="103"/>
      <c r="M48" s="103"/>
      <c r="N48" s="103"/>
      <c r="O48" s="103"/>
      <c r="P48" s="103"/>
      <c r="R48" s="684"/>
    </row>
    <row r="49" spans="1:18" x14ac:dyDescent="0.2">
      <c r="A49" s="13"/>
      <c r="B49" s="13"/>
      <c r="C49" s="13"/>
      <c r="D49" s="13"/>
      <c r="K49" s="103" t="s">
        <v>291</v>
      </c>
      <c r="L49" s="104">
        <v>6</v>
      </c>
      <c r="M49" s="104" t="s">
        <v>48</v>
      </c>
      <c r="N49" s="105">
        <f>N12</f>
        <v>47165</v>
      </c>
      <c r="O49" s="105">
        <f t="shared" ref="O49:O54" si="5">L49*N49</f>
        <v>282990</v>
      </c>
      <c r="P49" s="106">
        <f>O49/O71</f>
        <v>4.8865500692317383E-2</v>
      </c>
      <c r="R49" s="104">
        <v>0</v>
      </c>
    </row>
    <row r="50" spans="1:18" x14ac:dyDescent="0.2">
      <c r="B50" s="34"/>
      <c r="K50" s="103" t="s">
        <v>21</v>
      </c>
      <c r="L50" s="104">
        <v>5</v>
      </c>
      <c r="M50" s="104" t="s">
        <v>48</v>
      </c>
      <c r="N50" s="105">
        <f>N12</f>
        <v>47165</v>
      </c>
      <c r="O50" s="105">
        <f t="shared" si="5"/>
        <v>235825</v>
      </c>
      <c r="P50" s="106">
        <f>O50/O71</f>
        <v>4.0721250576931149E-2</v>
      </c>
      <c r="R50" s="104">
        <v>5</v>
      </c>
    </row>
    <row r="51" spans="1:18" x14ac:dyDescent="0.2">
      <c r="B51" s="37"/>
      <c r="C51" s="37"/>
      <c r="D51" s="37"/>
      <c r="E51" s="37"/>
      <c r="F51" s="37"/>
      <c r="K51" s="103" t="s">
        <v>30</v>
      </c>
      <c r="L51" s="104">
        <v>4</v>
      </c>
      <c r="M51" s="104" t="s">
        <v>48</v>
      </c>
      <c r="N51" s="105">
        <f>N50</f>
        <v>47165</v>
      </c>
      <c r="O51" s="105">
        <f t="shared" si="5"/>
        <v>188660</v>
      </c>
      <c r="P51" s="106">
        <f>O51/O71</f>
        <v>3.2577000461544922E-2</v>
      </c>
      <c r="R51" s="104">
        <v>4</v>
      </c>
    </row>
    <row r="52" spans="1:18" ht="15.75" x14ac:dyDescent="0.25">
      <c r="B52" s="331"/>
      <c r="C52" s="332"/>
      <c r="D52" s="332"/>
      <c r="E52" s="332"/>
      <c r="F52" s="333"/>
      <c r="K52" s="103" t="s">
        <v>31</v>
      </c>
      <c r="L52" s="104">
        <v>6</v>
      </c>
      <c r="M52" s="104" t="s">
        <v>48</v>
      </c>
      <c r="N52" s="105">
        <f>N51</f>
        <v>47165</v>
      </c>
      <c r="O52" s="105">
        <f t="shared" si="5"/>
        <v>282990</v>
      </c>
      <c r="P52" s="106">
        <f>O52/O71</f>
        <v>4.8865500692317383E-2</v>
      </c>
      <c r="R52" s="104">
        <v>4</v>
      </c>
    </row>
    <row r="53" spans="1:18" x14ac:dyDescent="0.2">
      <c r="B53" s="334"/>
      <c r="C53" s="335"/>
      <c r="D53" s="336"/>
      <c r="E53" s="337"/>
      <c r="F53" s="338"/>
      <c r="K53" s="103" t="s">
        <v>59</v>
      </c>
      <c r="L53" s="104">
        <v>3</v>
      </c>
      <c r="M53" s="104" t="s">
        <v>48</v>
      </c>
      <c r="N53" s="105">
        <f>N52</f>
        <v>47165</v>
      </c>
      <c r="O53" s="105">
        <f t="shared" si="5"/>
        <v>141495</v>
      </c>
      <c r="P53" s="106">
        <f>O53/O71</f>
        <v>2.4432750346158692E-2</v>
      </c>
      <c r="R53" s="104">
        <v>3</v>
      </c>
    </row>
    <row r="54" spans="1:18" x14ac:dyDescent="0.2">
      <c r="B54" s="334"/>
      <c r="C54" s="335"/>
      <c r="D54" s="336"/>
      <c r="E54" s="337"/>
      <c r="F54" s="338"/>
      <c r="K54" s="103" t="s">
        <v>74</v>
      </c>
      <c r="L54" s="104">
        <v>2</v>
      </c>
      <c r="M54" s="104" t="s">
        <v>48</v>
      </c>
      <c r="N54" s="105">
        <f>N53</f>
        <v>47165</v>
      </c>
      <c r="O54" s="105">
        <f t="shared" si="5"/>
        <v>94330</v>
      </c>
      <c r="P54" s="106">
        <f>O54/O71</f>
        <v>1.6288500230772461E-2</v>
      </c>
      <c r="R54" s="104">
        <v>1</v>
      </c>
    </row>
    <row r="55" spans="1:18" x14ac:dyDescent="0.2">
      <c r="B55" s="334"/>
      <c r="C55" s="335"/>
      <c r="D55" s="336"/>
      <c r="E55" s="339"/>
      <c r="F55" s="338"/>
      <c r="K55" s="100" t="s">
        <v>35</v>
      </c>
      <c r="L55" s="107">
        <f>SUM(L49:L54)</f>
        <v>26</v>
      </c>
      <c r="M55" s="103"/>
      <c r="N55" s="104"/>
      <c r="O55" s="107">
        <f>SUM(O49:O54)</f>
        <v>1226290</v>
      </c>
      <c r="P55" s="108"/>
      <c r="R55" s="107">
        <f>SUM(R49:R54)</f>
        <v>17</v>
      </c>
    </row>
    <row r="56" spans="1:18" x14ac:dyDescent="0.2">
      <c r="B56" s="334"/>
      <c r="C56" s="335"/>
      <c r="D56" s="340"/>
      <c r="E56" s="341"/>
      <c r="F56" s="342"/>
      <c r="K56" s="100" t="s">
        <v>12</v>
      </c>
      <c r="L56" s="103"/>
      <c r="M56" s="103"/>
      <c r="N56" s="103"/>
      <c r="O56" s="107">
        <f>O55</f>
        <v>1226290</v>
      </c>
      <c r="P56" s="108">
        <f>SUM(P49:P55)</f>
        <v>0.211750503000042</v>
      </c>
    </row>
    <row r="57" spans="1:18" x14ac:dyDescent="0.2">
      <c r="B57" s="343"/>
      <c r="C57" s="344"/>
      <c r="D57" s="340"/>
      <c r="E57" s="345"/>
      <c r="F57" s="346"/>
      <c r="K57" s="109" t="s">
        <v>51</v>
      </c>
      <c r="L57" s="103"/>
      <c r="M57" s="103"/>
      <c r="N57" s="103"/>
      <c r="O57" s="103"/>
      <c r="P57" s="106"/>
    </row>
    <row r="58" spans="1:18" ht="15.75" x14ac:dyDescent="0.25">
      <c r="B58" s="347"/>
      <c r="C58" s="348"/>
      <c r="D58" s="349"/>
      <c r="E58" s="350"/>
      <c r="F58" s="351"/>
      <c r="K58" s="103" t="s">
        <v>32</v>
      </c>
      <c r="L58" s="104">
        <v>216</v>
      </c>
      <c r="M58" s="104" t="s">
        <v>7</v>
      </c>
      <c r="N58" s="104">
        <v>13000</v>
      </c>
      <c r="O58" s="104">
        <f t="shared" ref="O58:O64" si="6">L58*N58</f>
        <v>2808000</v>
      </c>
      <c r="P58" s="106">
        <f>O58/O71</f>
        <v>0.4848734087565893</v>
      </c>
    </row>
    <row r="59" spans="1:18" x14ac:dyDescent="0.2">
      <c r="B59" s="37"/>
      <c r="C59" s="37"/>
      <c r="D59" s="37"/>
      <c r="E59" s="37"/>
      <c r="F59" s="37"/>
      <c r="K59" s="103" t="s">
        <v>33</v>
      </c>
      <c r="L59" s="104">
        <v>3</v>
      </c>
      <c r="M59" s="104" t="s">
        <v>8</v>
      </c>
      <c r="N59" s="104">
        <f>N22</f>
        <v>140359</v>
      </c>
      <c r="O59" s="104">
        <f t="shared" si="6"/>
        <v>421077</v>
      </c>
      <c r="P59" s="106">
        <f>O59/O71</f>
        <v>7.2709772200497985E-2</v>
      </c>
    </row>
    <row r="60" spans="1:18" x14ac:dyDescent="0.2">
      <c r="A60" s="46"/>
      <c r="B60" s="46"/>
      <c r="C60" s="46"/>
      <c r="D60" s="46"/>
      <c r="E60" s="46"/>
      <c r="F60" s="46"/>
      <c r="K60" s="103" t="s">
        <v>65</v>
      </c>
      <c r="L60" s="105">
        <v>1</v>
      </c>
      <c r="M60" s="104" t="s">
        <v>66</v>
      </c>
      <c r="N60" s="104">
        <f>N23</f>
        <v>70750</v>
      </c>
      <c r="O60" s="104">
        <f t="shared" si="6"/>
        <v>70750</v>
      </c>
      <c r="P60" s="106">
        <f>O60/O71</f>
        <v>1.2216806862367768E-2</v>
      </c>
    </row>
    <row r="61" spans="1:18" x14ac:dyDescent="0.2">
      <c r="A61" s="46"/>
      <c r="B61" s="46"/>
      <c r="C61" s="46"/>
      <c r="D61" s="46"/>
      <c r="E61" s="46"/>
      <c r="F61" s="46"/>
      <c r="K61" s="103" t="s">
        <v>73</v>
      </c>
      <c r="L61" s="105">
        <v>3</v>
      </c>
      <c r="M61" s="104" t="s">
        <v>66</v>
      </c>
      <c r="N61" s="104">
        <f>N24</f>
        <v>34234</v>
      </c>
      <c r="O61" s="104">
        <f t="shared" si="6"/>
        <v>102702</v>
      </c>
      <c r="P61" s="106">
        <f>O61/O71</f>
        <v>1.7734141319843032E-2</v>
      </c>
    </row>
    <row r="62" spans="1:18" ht="24" x14ac:dyDescent="0.2">
      <c r="A62" s="46"/>
      <c r="B62" s="46"/>
      <c r="C62" s="46"/>
      <c r="D62" s="46"/>
      <c r="E62" s="46"/>
      <c r="F62" s="46"/>
      <c r="K62" s="303" t="s">
        <v>196</v>
      </c>
      <c r="L62" s="105">
        <v>3</v>
      </c>
      <c r="M62" s="104" t="s">
        <v>66</v>
      </c>
      <c r="N62" s="104">
        <v>9000</v>
      </c>
      <c r="O62" s="104">
        <f>N62*L62</f>
        <v>27000</v>
      </c>
      <c r="P62" s="106">
        <f>O62/O71</f>
        <v>4.6622443149672045E-3</v>
      </c>
    </row>
    <row r="63" spans="1:18" x14ac:dyDescent="0.2">
      <c r="K63" s="103" t="s">
        <v>34</v>
      </c>
      <c r="L63" s="104">
        <v>3</v>
      </c>
      <c r="M63" s="104" t="s">
        <v>9</v>
      </c>
      <c r="N63" s="104">
        <f>N26</f>
        <v>9781</v>
      </c>
      <c r="O63" s="104">
        <f t="shared" si="6"/>
        <v>29343</v>
      </c>
      <c r="P63" s="106">
        <f>O63/O71</f>
        <v>5.0668235160771366E-3</v>
      </c>
    </row>
    <row r="64" spans="1:18" x14ac:dyDescent="0.2">
      <c r="K64" s="103" t="s">
        <v>286</v>
      </c>
      <c r="L64" s="104">
        <v>1</v>
      </c>
      <c r="M64" s="104" t="s">
        <v>9</v>
      </c>
      <c r="N64" s="104">
        <f>N27</f>
        <v>5434</v>
      </c>
      <c r="O64" s="104">
        <f t="shared" si="6"/>
        <v>5434</v>
      </c>
      <c r="P64" s="106">
        <f>O64/O71</f>
        <v>9.3831983731599222E-4</v>
      </c>
    </row>
    <row r="65" spans="11:17" x14ac:dyDescent="0.2">
      <c r="K65" s="100" t="s">
        <v>36</v>
      </c>
      <c r="L65" s="104"/>
      <c r="M65" s="104"/>
      <c r="N65" s="107"/>
      <c r="O65" s="107">
        <f>SUM(O58:O64)</f>
        <v>3464306</v>
      </c>
      <c r="P65" s="108">
        <f>SUM(P58:P64)</f>
        <v>0.59820151680765843</v>
      </c>
    </row>
    <row r="66" spans="11:17" x14ac:dyDescent="0.2">
      <c r="K66" s="111" t="s">
        <v>293</v>
      </c>
      <c r="L66" s="104"/>
      <c r="M66" s="104"/>
      <c r="N66" s="107"/>
      <c r="O66" s="300"/>
      <c r="P66" s="301"/>
    </row>
    <row r="67" spans="11:17" x14ac:dyDescent="0.2">
      <c r="K67" s="110" t="s">
        <v>288</v>
      </c>
      <c r="L67" s="152">
        <v>0.05</v>
      </c>
      <c r="M67" s="100"/>
      <c r="N67" s="100"/>
      <c r="O67" s="104">
        <f>O55*L67</f>
        <v>61314.5</v>
      </c>
      <c r="P67" s="106">
        <f>O67/O71</f>
        <v>1.05875251500021E-2</v>
      </c>
    </row>
    <row r="68" spans="11:17" x14ac:dyDescent="0.2">
      <c r="K68" s="110" t="s">
        <v>297</v>
      </c>
      <c r="L68" s="152">
        <v>0.3</v>
      </c>
      <c r="M68" s="104"/>
      <c r="N68" s="104"/>
      <c r="O68" s="104">
        <f>O65*L68</f>
        <v>1039291.7999999999</v>
      </c>
      <c r="P68" s="106">
        <f>O68/O71</f>
        <v>0.17946045504229752</v>
      </c>
    </row>
    <row r="69" spans="11:17" x14ac:dyDescent="0.2">
      <c r="K69" s="100" t="s">
        <v>302</v>
      </c>
      <c r="L69" s="317"/>
      <c r="M69" s="155"/>
      <c r="N69" s="155"/>
      <c r="O69" s="314">
        <f>SUM(O67:O68)</f>
        <v>1100606.2999999998</v>
      </c>
      <c r="P69" s="318">
        <f>SUM(P67:P68)</f>
        <v>0.19004798019229963</v>
      </c>
    </row>
    <row r="70" spans="11:17" ht="13.5" thickBot="1" x14ac:dyDescent="0.25">
      <c r="K70" s="207"/>
      <c r="L70" s="99"/>
      <c r="M70" s="99"/>
      <c r="N70" s="99"/>
      <c r="O70" s="208"/>
      <c r="P70" s="209"/>
    </row>
    <row r="71" spans="11:17" ht="13.5" thickBot="1" x14ac:dyDescent="0.25">
      <c r="K71" s="685" t="s">
        <v>303</v>
      </c>
      <c r="L71" s="686"/>
      <c r="M71" s="686"/>
      <c r="N71" s="687"/>
      <c r="O71" s="232">
        <f>O69+O65+O55</f>
        <v>5791202.2999999998</v>
      </c>
      <c r="P71" s="308">
        <f>P56+P65+P69</f>
        <v>1</v>
      </c>
    </row>
    <row r="72" spans="11:17" ht="13.5" thickBot="1" x14ac:dyDescent="0.25">
      <c r="L72" s="212"/>
      <c r="M72" s="213"/>
      <c r="N72" s="213"/>
      <c r="O72" s="206"/>
      <c r="P72" s="214"/>
    </row>
    <row r="73" spans="11:17" ht="13.5" thickBot="1" x14ac:dyDescent="0.25">
      <c r="L73" s="215"/>
      <c r="M73" s="206"/>
      <c r="N73" s="206"/>
      <c r="O73" s="232">
        <f>O71/1000</f>
        <v>5791.2022999999999</v>
      </c>
      <c r="P73" s="291" t="s">
        <v>264</v>
      </c>
    </row>
    <row r="74" spans="11:17" x14ac:dyDescent="0.2">
      <c r="L74" s="215"/>
      <c r="M74" s="237"/>
      <c r="N74" s="237"/>
      <c r="O74" s="237"/>
      <c r="P74" s="213"/>
    </row>
    <row r="75" spans="11:17" ht="13.5" thickBot="1" x14ac:dyDescent="0.25">
      <c r="L75" s="215"/>
      <c r="M75" s="237"/>
      <c r="N75" s="237"/>
      <c r="O75" s="237"/>
      <c r="P75" s="213"/>
    </row>
    <row r="76" spans="11:17" ht="13.5" thickBot="1" x14ac:dyDescent="0.25">
      <c r="L76" s="215"/>
      <c r="M76" s="213"/>
      <c r="N76" s="213"/>
      <c r="O76" s="232">
        <f>O71*1.13</f>
        <v>6544058.5989999995</v>
      </c>
      <c r="P76" s="683" t="s">
        <v>180</v>
      </c>
      <c r="Q76" s="628"/>
    </row>
    <row r="77" spans="11:17" ht="15" x14ac:dyDescent="0.25">
      <c r="L77" s="215"/>
      <c r="M77" s="210"/>
      <c r="N77" s="210"/>
      <c r="O77" s="210"/>
      <c r="P77" s="26">
        <v>0.13</v>
      </c>
    </row>
    <row r="78" spans="11:17" x14ac:dyDescent="0.2">
      <c r="L78" s="690"/>
      <c r="M78" s="690"/>
      <c r="N78" s="690"/>
      <c r="O78" s="690"/>
      <c r="P78" s="204"/>
    </row>
    <row r="79" spans="11:17" x14ac:dyDescent="0.2">
      <c r="L79" s="211"/>
      <c r="M79" s="211"/>
      <c r="N79" s="211"/>
      <c r="O79" s="211"/>
      <c r="P79" s="211"/>
    </row>
  </sheetData>
  <mergeCells count="23">
    <mergeCell ref="L78:O78"/>
    <mergeCell ref="B34:E34"/>
    <mergeCell ref="B3:F3"/>
    <mergeCell ref="B4:F4"/>
    <mergeCell ref="B5:F5"/>
    <mergeCell ref="B6:F6"/>
    <mergeCell ref="K3:O3"/>
    <mergeCell ref="K4:O4"/>
    <mergeCell ref="K5:O5"/>
    <mergeCell ref="K6:O6"/>
    <mergeCell ref="B9:D9"/>
    <mergeCell ref="B39:C39"/>
    <mergeCell ref="P38:Q38"/>
    <mergeCell ref="I10:I11"/>
    <mergeCell ref="R10:R11"/>
    <mergeCell ref="R47:R48"/>
    <mergeCell ref="P76:Q76"/>
    <mergeCell ref="K71:N71"/>
    <mergeCell ref="K34:N34"/>
    <mergeCell ref="K41:O41"/>
    <mergeCell ref="K42:O42"/>
    <mergeCell ref="K43:O43"/>
    <mergeCell ref="K44:O44"/>
  </mergeCells>
  <phoneticPr fontId="18" type="noConversion"/>
  <pageMargins left="0.7" right="0.7" top="0.75" bottom="0.75" header="0.3" footer="0.3"/>
  <pageSetup orientation="portrait" horizontalDpi="300" verticalDpi="300" r:id="rId1"/>
  <ignoredErrors>
    <ignoredError sqref="E15 O62" 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G23"/>
  <sheetViews>
    <sheetView topLeftCell="A28" workbookViewId="0">
      <selection activeCell="I11" sqref="I11"/>
    </sheetView>
  </sheetViews>
  <sheetFormatPr baseColWidth="10" defaultRowHeight="12.75" x14ac:dyDescent="0.2"/>
  <cols>
    <col min="2" max="2" width="34.85546875" customWidth="1"/>
    <col min="3" max="3" width="19.85546875" style="126" customWidth="1"/>
    <col min="4" max="4" width="11.42578125" style="126"/>
    <col min="5" max="5" width="20.28515625" style="126" bestFit="1" customWidth="1"/>
    <col min="6" max="6" width="18.85546875" style="126" bestFit="1" customWidth="1"/>
    <col min="7" max="7" width="15.28515625" bestFit="1" customWidth="1"/>
  </cols>
  <sheetData>
    <row r="2" spans="2:6" ht="15.75" x14ac:dyDescent="0.25">
      <c r="B2" s="696" t="s">
        <v>578</v>
      </c>
      <c r="C2" s="696"/>
      <c r="D2" s="696"/>
      <c r="E2" s="696"/>
      <c r="F2" s="696"/>
    </row>
    <row r="4" spans="2:6" x14ac:dyDescent="0.2">
      <c r="B4" s="41" t="s">
        <v>125</v>
      </c>
      <c r="C4" s="129" t="s">
        <v>60</v>
      </c>
      <c r="D4" s="129" t="s">
        <v>128</v>
      </c>
      <c r="E4" s="129" t="s">
        <v>126</v>
      </c>
      <c r="F4" s="129" t="s">
        <v>127</v>
      </c>
    </row>
    <row r="5" spans="2:6" x14ac:dyDescent="0.2">
      <c r="B5" s="41" t="s">
        <v>130</v>
      </c>
      <c r="C5" s="129"/>
      <c r="D5" s="129"/>
      <c r="E5" s="129"/>
      <c r="F5" s="129"/>
    </row>
    <row r="6" spans="2:6" x14ac:dyDescent="0.2">
      <c r="B6" s="216" t="s">
        <v>355</v>
      </c>
      <c r="C6" s="371">
        <v>0.25</v>
      </c>
      <c r="D6" s="373" t="s">
        <v>356</v>
      </c>
      <c r="E6" s="127">
        <f>'Mano de Obra (JORNAL)'!E32</f>
        <v>47165</v>
      </c>
      <c r="F6" s="369">
        <f>ROUND(C6*E6,0)</f>
        <v>11791</v>
      </c>
    </row>
    <row r="7" spans="2:6" x14ac:dyDescent="0.2">
      <c r="B7" s="115" t="s">
        <v>133</v>
      </c>
      <c r="C7" s="371"/>
      <c r="D7" s="373"/>
      <c r="E7" s="127"/>
      <c r="F7" s="130">
        <f>F6</f>
        <v>11791</v>
      </c>
    </row>
    <row r="8" spans="2:6" x14ac:dyDescent="0.2">
      <c r="B8" s="115" t="s">
        <v>354</v>
      </c>
      <c r="C8" s="371"/>
      <c r="D8" s="371"/>
      <c r="E8" s="127"/>
      <c r="F8" s="369"/>
    </row>
    <row r="9" spans="2:6" x14ac:dyDescent="0.2">
      <c r="B9" s="216" t="s">
        <v>351</v>
      </c>
      <c r="C9" s="371">
        <v>5</v>
      </c>
      <c r="D9" s="371" t="s">
        <v>69</v>
      </c>
      <c r="E9" s="127">
        <v>3500</v>
      </c>
      <c r="F9" s="369">
        <f>C9*E9</f>
        <v>17500</v>
      </c>
    </row>
    <row r="10" spans="2:6" x14ac:dyDescent="0.2">
      <c r="B10" s="112" t="s">
        <v>129</v>
      </c>
      <c r="C10" s="371">
        <v>0.3</v>
      </c>
      <c r="D10" s="373" t="s">
        <v>352</v>
      </c>
      <c r="E10" s="127">
        <v>5000</v>
      </c>
      <c r="F10" s="369">
        <f>ROUND(C10*E10,0)</f>
        <v>1500</v>
      </c>
    </row>
    <row r="11" spans="2:6" x14ac:dyDescent="0.2">
      <c r="B11" s="12" t="s">
        <v>131</v>
      </c>
      <c r="C11" s="113">
        <v>0.05</v>
      </c>
      <c r="D11" s="371" t="s">
        <v>132</v>
      </c>
      <c r="E11" s="128">
        <v>32917</v>
      </c>
      <c r="F11" s="369">
        <f>ROUND(C11*E11,0)</f>
        <v>1646</v>
      </c>
    </row>
    <row r="12" spans="2:6" x14ac:dyDescent="0.2">
      <c r="B12" s="3" t="s">
        <v>133</v>
      </c>
      <c r="C12" s="113"/>
      <c r="D12" s="113"/>
      <c r="E12" s="128"/>
      <c r="F12" s="130">
        <f>SUM(F9:F11)</f>
        <v>20646</v>
      </c>
    </row>
    <row r="13" spans="2:6" x14ac:dyDescent="0.2">
      <c r="B13" s="158" t="s">
        <v>292</v>
      </c>
      <c r="C13" s="372">
        <v>0.05</v>
      </c>
      <c r="D13" s="113"/>
      <c r="E13" s="128"/>
      <c r="F13" s="369">
        <f>ROUND(F6*C13,0)</f>
        <v>590</v>
      </c>
    </row>
    <row r="14" spans="2:6" x14ac:dyDescent="0.2">
      <c r="B14" s="158" t="s">
        <v>353</v>
      </c>
      <c r="C14" s="372">
        <v>0.3</v>
      </c>
      <c r="D14" s="113"/>
      <c r="E14" s="128"/>
      <c r="F14" s="369">
        <f>ROUND(F12*0.3,0)</f>
        <v>6194</v>
      </c>
    </row>
    <row r="15" spans="2:6" x14ac:dyDescent="0.2">
      <c r="B15" s="3" t="s">
        <v>133</v>
      </c>
      <c r="C15" s="370"/>
      <c r="D15" s="113"/>
      <c r="E15" s="128"/>
      <c r="F15" s="130">
        <f>SUM(F13:F14)</f>
        <v>6784</v>
      </c>
    </row>
    <row r="16" spans="2:6" x14ac:dyDescent="0.2">
      <c r="B16" s="374" t="s">
        <v>57</v>
      </c>
      <c r="C16" s="128"/>
      <c r="D16" s="113"/>
      <c r="E16" s="128"/>
      <c r="F16" s="375">
        <f>F15+F12+F7</f>
        <v>39221</v>
      </c>
    </row>
    <row r="18" spans="2:7" x14ac:dyDescent="0.2">
      <c r="F18" s="375">
        <f>F16</f>
        <v>39221</v>
      </c>
      <c r="G18" s="290" t="s">
        <v>357</v>
      </c>
    </row>
    <row r="20" spans="2:7" ht="15" x14ac:dyDescent="0.25">
      <c r="B20" s="116" t="s">
        <v>120</v>
      </c>
      <c r="C20"/>
      <c r="D20"/>
      <c r="E20"/>
      <c r="F20"/>
    </row>
    <row r="21" spans="2:7" ht="16.5" x14ac:dyDescent="0.3">
      <c r="B21" s="117" t="s">
        <v>116</v>
      </c>
      <c r="C21" s="118" t="s">
        <v>38</v>
      </c>
      <c r="D21" s="118" t="s">
        <v>61</v>
      </c>
      <c r="E21" s="117" t="s">
        <v>121</v>
      </c>
      <c r="F21" s="118" t="s">
        <v>122</v>
      </c>
    </row>
    <row r="22" spans="2:7" ht="181.5" x14ac:dyDescent="0.3">
      <c r="B22" s="378" t="s">
        <v>123</v>
      </c>
      <c r="C22" s="377" t="s">
        <v>360</v>
      </c>
      <c r="D22" s="121" t="s">
        <v>118</v>
      </c>
      <c r="E22" s="376">
        <f>F16</f>
        <v>39221</v>
      </c>
      <c r="F22" s="122" t="s">
        <v>455</v>
      </c>
    </row>
    <row r="23" spans="2:7" ht="49.5" x14ac:dyDescent="0.3">
      <c r="B23" s="119" t="s">
        <v>359</v>
      </c>
      <c r="C23" s="120" t="s">
        <v>358</v>
      </c>
      <c r="D23" s="121" t="s">
        <v>119</v>
      </c>
      <c r="E23" s="376">
        <v>12000</v>
      </c>
      <c r="F23" s="122" t="s">
        <v>124</v>
      </c>
    </row>
  </sheetData>
  <mergeCells count="1">
    <mergeCell ref="B2:F2"/>
  </mergeCells>
  <phoneticPr fontId="18" type="noConversion"/>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63"/>
  <sheetViews>
    <sheetView topLeftCell="A7" workbookViewId="0">
      <selection activeCell="K19" sqref="K19"/>
    </sheetView>
  </sheetViews>
  <sheetFormatPr baseColWidth="10" defaultColWidth="19.42578125" defaultRowHeight="12.75" x14ac:dyDescent="0.2"/>
  <cols>
    <col min="1" max="1" width="19.42578125" customWidth="1"/>
    <col min="2" max="2" width="32.140625" customWidth="1"/>
    <col min="3" max="3" width="14.42578125" customWidth="1"/>
    <col min="4" max="4" width="10.5703125" customWidth="1"/>
    <col min="5" max="5" width="14.140625" customWidth="1"/>
    <col min="6" max="6" width="15.140625" customWidth="1"/>
    <col min="8" max="8" width="31.7109375" customWidth="1"/>
  </cols>
  <sheetData>
    <row r="1" spans="1:12" ht="13.5" thickBot="1" x14ac:dyDescent="0.25"/>
    <row r="2" spans="1:12" ht="15.75" thickBot="1" x14ac:dyDescent="0.3">
      <c r="B2" s="699" t="s">
        <v>579</v>
      </c>
      <c r="C2" s="699"/>
      <c r="D2" s="699"/>
      <c r="E2" s="699"/>
      <c r="H2" s="631" t="s">
        <v>469</v>
      </c>
      <c r="I2" s="632"/>
      <c r="J2" s="632"/>
      <c r="K2" s="632"/>
      <c r="L2" s="633"/>
    </row>
    <row r="3" spans="1:12" ht="13.5" thickBot="1" x14ac:dyDescent="0.25"/>
    <row r="4" spans="1:12" s="421" customFormat="1" ht="13.5" thickBot="1" x14ac:dyDescent="0.25">
      <c r="A4" s="420" t="s">
        <v>402</v>
      </c>
      <c r="B4" s="420" t="s">
        <v>403</v>
      </c>
      <c r="C4" s="420" t="s">
        <v>404</v>
      </c>
      <c r="D4" s="420" t="s">
        <v>70</v>
      </c>
      <c r="E4" s="420" t="s">
        <v>405</v>
      </c>
      <c r="F4" s="420" t="s">
        <v>406</v>
      </c>
      <c r="H4" s="10" t="s">
        <v>3</v>
      </c>
      <c r="I4" s="57" t="s">
        <v>460</v>
      </c>
      <c r="J4" s="10" t="s">
        <v>4</v>
      </c>
      <c r="K4" s="57" t="s">
        <v>2</v>
      </c>
      <c r="L4" s="10" t="s">
        <v>462</v>
      </c>
    </row>
    <row r="5" spans="1:12" s="421" customFormat="1" x14ac:dyDescent="0.2">
      <c r="A5" s="420"/>
      <c r="B5" s="405" t="s">
        <v>407</v>
      </c>
      <c r="C5" s="405"/>
      <c r="D5" s="405"/>
      <c r="E5" s="405"/>
      <c r="F5" s="405"/>
      <c r="H5" s="56" t="s">
        <v>16</v>
      </c>
      <c r="I5" s="170"/>
      <c r="J5" s="170"/>
      <c r="K5" s="170"/>
      <c r="L5" s="170"/>
    </row>
    <row r="6" spans="1:12" s="421" customFormat="1" ht="38.25" x14ac:dyDescent="0.2">
      <c r="A6" s="422">
        <v>1</v>
      </c>
      <c r="B6" s="423" t="s">
        <v>408</v>
      </c>
      <c r="C6" s="422" t="s">
        <v>71</v>
      </c>
      <c r="D6" s="422">
        <v>2</v>
      </c>
      <c r="E6" s="424">
        <v>50000</v>
      </c>
      <c r="F6" s="424">
        <f>D6*E6</f>
        <v>100000</v>
      </c>
      <c r="H6" s="434" t="s">
        <v>580</v>
      </c>
      <c r="I6" s="175">
        <v>100</v>
      </c>
      <c r="J6" s="175" t="s">
        <v>461</v>
      </c>
      <c r="K6" s="176">
        <v>1820</v>
      </c>
      <c r="L6" s="176">
        <f>I6*K6</f>
        <v>182000</v>
      </c>
    </row>
    <row r="7" spans="1:12" s="421" customFormat="1" x14ac:dyDescent="0.2">
      <c r="A7" s="422">
        <v>2</v>
      </c>
      <c r="B7" s="425" t="s">
        <v>409</v>
      </c>
      <c r="C7" s="422" t="s">
        <v>71</v>
      </c>
      <c r="D7" s="422">
        <v>1</v>
      </c>
      <c r="E7" s="424">
        <v>35000</v>
      </c>
      <c r="F7" s="424">
        <f t="shared" ref="F7:F29" si="0">D7*E7</f>
        <v>35000</v>
      </c>
      <c r="H7" s="3" t="s">
        <v>20</v>
      </c>
      <c r="I7" s="175"/>
      <c r="J7" s="175"/>
      <c r="K7" s="176"/>
      <c r="L7" s="433">
        <f>SUM(L6)</f>
        <v>182000</v>
      </c>
    </row>
    <row r="8" spans="1:12" s="421" customFormat="1" x14ac:dyDescent="0.2">
      <c r="A8" s="422">
        <v>3</v>
      </c>
      <c r="B8" s="425" t="s">
        <v>410</v>
      </c>
      <c r="C8" s="422" t="s">
        <v>71</v>
      </c>
      <c r="D8" s="422">
        <v>1</v>
      </c>
      <c r="E8" s="424">
        <v>35000</v>
      </c>
      <c r="F8" s="424">
        <f t="shared" si="0"/>
        <v>35000</v>
      </c>
      <c r="H8" s="3" t="s">
        <v>19</v>
      </c>
      <c r="I8" s="158"/>
      <c r="J8" s="158"/>
      <c r="K8" s="158"/>
      <c r="L8" s="166"/>
    </row>
    <row r="9" spans="1:12" s="421" customFormat="1" x14ac:dyDescent="0.2">
      <c r="A9" s="422">
        <v>4</v>
      </c>
      <c r="B9" s="425" t="s">
        <v>411</v>
      </c>
      <c r="C9" s="422" t="s">
        <v>71</v>
      </c>
      <c r="D9" s="422">
        <v>1</v>
      </c>
      <c r="E9" s="424">
        <v>35000</v>
      </c>
      <c r="F9" s="424">
        <f t="shared" si="0"/>
        <v>35000</v>
      </c>
      <c r="H9" s="435" t="s">
        <v>467</v>
      </c>
      <c r="I9" s="20">
        <v>100</v>
      </c>
      <c r="J9" s="20" t="s">
        <v>461</v>
      </c>
      <c r="K9" s="20">
        <v>200</v>
      </c>
      <c r="L9" s="175">
        <f>K9*I9</f>
        <v>20000</v>
      </c>
    </row>
    <row r="10" spans="1:12" s="421" customFormat="1" ht="13.5" thickBot="1" x14ac:dyDescent="0.25">
      <c r="A10" s="422">
        <v>5</v>
      </c>
      <c r="B10" s="425" t="s">
        <v>412</v>
      </c>
      <c r="C10" s="422" t="s">
        <v>71</v>
      </c>
      <c r="D10" s="422">
        <v>1</v>
      </c>
      <c r="E10" s="424">
        <v>85000</v>
      </c>
      <c r="F10" s="424">
        <f t="shared" si="0"/>
        <v>85000</v>
      </c>
      <c r="H10" s="3" t="s">
        <v>14</v>
      </c>
      <c r="I10" s="175"/>
      <c r="J10" s="175"/>
      <c r="K10" s="175"/>
      <c r="L10" s="4">
        <f>SUM(L9:L9)</f>
        <v>20000</v>
      </c>
    </row>
    <row r="11" spans="1:12" s="421" customFormat="1" ht="26.25" thickBot="1" x14ac:dyDescent="0.25">
      <c r="A11" s="422">
        <v>6</v>
      </c>
      <c r="B11" s="425" t="s">
        <v>413</v>
      </c>
      <c r="C11" s="422" t="s">
        <v>71</v>
      </c>
      <c r="D11" s="422">
        <v>1</v>
      </c>
      <c r="E11" s="424">
        <v>53000</v>
      </c>
      <c r="F11" s="424">
        <f t="shared" si="0"/>
        <v>53000</v>
      </c>
      <c r="H11" s="436" t="s">
        <v>465</v>
      </c>
      <c r="I11" s="29"/>
      <c r="J11" s="29"/>
      <c r="K11" s="30"/>
      <c r="L11" s="23">
        <f>L10+L7</f>
        <v>202000</v>
      </c>
    </row>
    <row r="12" spans="1:12" s="421" customFormat="1" ht="39" thickBot="1" x14ac:dyDescent="0.25">
      <c r="A12" s="422">
        <v>7</v>
      </c>
      <c r="B12" s="425" t="s">
        <v>414</v>
      </c>
      <c r="C12" s="422" t="s">
        <v>71</v>
      </c>
      <c r="D12" s="422">
        <v>1</v>
      </c>
      <c r="E12" s="424">
        <v>85000</v>
      </c>
      <c r="F12" s="424">
        <f t="shared" si="0"/>
        <v>85000</v>
      </c>
      <c r="H12" s="55" t="s">
        <v>509</v>
      </c>
      <c r="I12"/>
      <c r="J12"/>
      <c r="K12"/>
      <c r="L12">
        <f>L11/100</f>
        <v>2020</v>
      </c>
    </row>
    <row r="13" spans="1:12" s="421" customFormat="1" ht="54.75" customHeight="1" thickBot="1" x14ac:dyDescent="0.25">
      <c r="A13" s="422">
        <v>8</v>
      </c>
      <c r="B13" s="425" t="s">
        <v>415</v>
      </c>
      <c r="C13" s="422" t="s">
        <v>71</v>
      </c>
      <c r="D13" s="422">
        <v>1</v>
      </c>
      <c r="E13" s="424">
        <v>25000</v>
      </c>
      <c r="F13" s="424">
        <f t="shared" si="0"/>
        <v>25000</v>
      </c>
      <c r="H13" s="694" t="s">
        <v>468</v>
      </c>
      <c r="I13" s="695"/>
      <c r="J13"/>
      <c r="K13"/>
      <c r="L13"/>
    </row>
    <row r="14" spans="1:12" s="421" customFormat="1" ht="13.5" thickBot="1" x14ac:dyDescent="0.25">
      <c r="A14" s="422">
        <v>9</v>
      </c>
      <c r="B14" s="426" t="s">
        <v>416</v>
      </c>
      <c r="C14" s="422" t="s">
        <v>71</v>
      </c>
      <c r="D14" s="422">
        <v>1</v>
      </c>
      <c r="E14" s="424">
        <v>124000</v>
      </c>
      <c r="F14" s="424">
        <f t="shared" si="0"/>
        <v>124000</v>
      </c>
      <c r="G14" s="700"/>
      <c r="H14"/>
      <c r="I14"/>
      <c r="J14"/>
      <c r="K14" s="443" t="s">
        <v>464</v>
      </c>
      <c r="L14" s="444">
        <f>L11</f>
        <v>202000</v>
      </c>
    </row>
    <row r="15" spans="1:12" s="421" customFormat="1" ht="26.25" thickBot="1" x14ac:dyDescent="0.25">
      <c r="A15" s="422">
        <v>10</v>
      </c>
      <c r="B15" s="425" t="s">
        <v>417</v>
      </c>
      <c r="C15" s="422" t="s">
        <v>71</v>
      </c>
      <c r="D15" s="422">
        <v>1</v>
      </c>
      <c r="E15" s="424">
        <v>65000</v>
      </c>
      <c r="F15" s="424">
        <f t="shared" si="0"/>
        <v>65000</v>
      </c>
      <c r="G15" s="700"/>
      <c r="H15"/>
      <c r="I15"/>
      <c r="J15"/>
      <c r="K15" s="447" t="s">
        <v>480</v>
      </c>
      <c r="L15" s="448">
        <f>L14*1.13</f>
        <v>228259.99999999997</v>
      </c>
    </row>
    <row r="16" spans="1:12" s="421" customFormat="1" ht="26.25" thickBot="1" x14ac:dyDescent="0.25">
      <c r="A16" s="422">
        <v>11</v>
      </c>
      <c r="B16" s="425" t="s">
        <v>418</v>
      </c>
      <c r="C16" s="422" t="s">
        <v>71</v>
      </c>
      <c r="D16" s="422">
        <v>1</v>
      </c>
      <c r="E16" s="424">
        <v>47000</v>
      </c>
      <c r="F16" s="424">
        <f t="shared" si="0"/>
        <v>47000</v>
      </c>
      <c r="H16"/>
      <c r="I16"/>
      <c r="J16"/>
      <c r="K16" s="445" t="s">
        <v>324</v>
      </c>
      <c r="L16" s="446">
        <f>L15/100</f>
        <v>2282.6</v>
      </c>
    </row>
    <row r="17" spans="1:6" s="421" customFormat="1" x14ac:dyDescent="0.2">
      <c r="A17" s="422"/>
      <c r="B17" s="420" t="s">
        <v>450</v>
      </c>
      <c r="C17" s="422"/>
      <c r="D17" s="422"/>
      <c r="E17" s="424"/>
      <c r="F17" s="427">
        <f>SUM(F6:F16)</f>
        <v>689000</v>
      </c>
    </row>
    <row r="18" spans="1:6" s="421" customFormat="1" x14ac:dyDescent="0.2">
      <c r="A18" s="422"/>
      <c r="B18" s="405" t="s">
        <v>68</v>
      </c>
      <c r="C18" s="413"/>
      <c r="D18" s="413"/>
      <c r="E18" s="414"/>
      <c r="F18" s="415"/>
    </row>
    <row r="19" spans="1:6" s="421" customFormat="1" ht="25.5" x14ac:dyDescent="0.2">
      <c r="A19" s="422">
        <v>12</v>
      </c>
      <c r="B19" s="425" t="s">
        <v>419</v>
      </c>
      <c r="C19" s="422" t="s">
        <v>71</v>
      </c>
      <c r="D19" s="422">
        <v>70</v>
      </c>
      <c r="E19" s="424">
        <v>1300</v>
      </c>
      <c r="F19" s="424">
        <f t="shared" si="0"/>
        <v>91000</v>
      </c>
    </row>
    <row r="20" spans="1:6" s="421" customFormat="1" x14ac:dyDescent="0.2">
      <c r="A20" s="422">
        <v>13</v>
      </c>
      <c r="B20" s="425" t="s">
        <v>420</v>
      </c>
      <c r="C20" s="422" t="s">
        <v>71</v>
      </c>
      <c r="D20" s="422">
        <v>10</v>
      </c>
      <c r="E20" s="424">
        <v>2300</v>
      </c>
      <c r="F20" s="424">
        <f t="shared" si="0"/>
        <v>23000</v>
      </c>
    </row>
    <row r="21" spans="1:6" s="421" customFormat="1" ht="25.5" x14ac:dyDescent="0.2">
      <c r="A21" s="422">
        <v>14</v>
      </c>
      <c r="B21" s="425" t="s">
        <v>421</v>
      </c>
      <c r="C21" s="422" t="s">
        <v>71</v>
      </c>
      <c r="D21" s="422">
        <v>3</v>
      </c>
      <c r="E21" s="424">
        <v>1100</v>
      </c>
      <c r="F21" s="424">
        <f t="shared" si="0"/>
        <v>3300</v>
      </c>
    </row>
    <row r="22" spans="1:6" s="421" customFormat="1" x14ac:dyDescent="0.2">
      <c r="A22" s="422">
        <v>15</v>
      </c>
      <c r="B22" s="425" t="s">
        <v>422</v>
      </c>
      <c r="C22" s="422" t="s">
        <v>114</v>
      </c>
      <c r="D22" s="422">
        <v>2</v>
      </c>
      <c r="E22" s="424">
        <v>1000</v>
      </c>
      <c r="F22" s="424">
        <f t="shared" si="0"/>
        <v>2000</v>
      </c>
    </row>
    <row r="23" spans="1:6" s="421" customFormat="1" x14ac:dyDescent="0.2">
      <c r="A23" s="422">
        <v>16</v>
      </c>
      <c r="B23" s="428" t="s">
        <v>423</v>
      </c>
      <c r="C23" s="422" t="s">
        <v>424</v>
      </c>
      <c r="D23" s="422">
        <v>0.5</v>
      </c>
      <c r="E23" s="424">
        <v>45000</v>
      </c>
      <c r="F23" s="424">
        <f t="shared" si="0"/>
        <v>22500</v>
      </c>
    </row>
    <row r="24" spans="1:6" s="421" customFormat="1" x14ac:dyDescent="0.2">
      <c r="A24" s="422">
        <v>17</v>
      </c>
      <c r="B24" s="428" t="s">
        <v>425</v>
      </c>
      <c r="C24" s="422" t="s">
        <v>426</v>
      </c>
      <c r="D24" s="422">
        <v>2</v>
      </c>
      <c r="E24" s="424">
        <v>28000</v>
      </c>
      <c r="F24" s="424">
        <f t="shared" si="0"/>
        <v>56000</v>
      </c>
    </row>
    <row r="25" spans="1:6" s="421" customFormat="1" x14ac:dyDescent="0.2">
      <c r="A25" s="422">
        <v>18</v>
      </c>
      <c r="B25" s="428" t="s">
        <v>427</v>
      </c>
      <c r="C25" s="422" t="s">
        <v>428</v>
      </c>
      <c r="D25" s="422">
        <v>12</v>
      </c>
      <c r="E25" s="424">
        <v>3000</v>
      </c>
      <c r="F25" s="424">
        <f t="shared" si="0"/>
        <v>36000</v>
      </c>
    </row>
    <row r="26" spans="1:6" s="421" customFormat="1" x14ac:dyDescent="0.2">
      <c r="A26" s="422"/>
      <c r="B26" s="420" t="s">
        <v>451</v>
      </c>
      <c r="C26" s="422"/>
      <c r="D26" s="422"/>
      <c r="E26" s="424"/>
      <c r="F26" s="427">
        <f>SUM(F19:F25)</f>
        <v>233800</v>
      </c>
    </row>
    <row r="27" spans="1:6" s="421" customFormat="1" x14ac:dyDescent="0.2">
      <c r="A27" s="422"/>
      <c r="B27" s="420" t="s">
        <v>454</v>
      </c>
      <c r="C27" s="422"/>
      <c r="D27" s="422"/>
      <c r="E27" s="424"/>
      <c r="F27" s="427">
        <f>F17+F26</f>
        <v>922800</v>
      </c>
    </row>
    <row r="28" spans="1:6" s="421" customFormat="1" x14ac:dyDescent="0.2">
      <c r="A28" s="422"/>
      <c r="B28" s="405" t="s">
        <v>67</v>
      </c>
      <c r="C28" s="405"/>
      <c r="D28" s="405"/>
      <c r="E28" s="405"/>
      <c r="F28" s="405"/>
    </row>
    <row r="29" spans="1:6" s="421" customFormat="1" ht="25.5" x14ac:dyDescent="0.2">
      <c r="A29" s="422">
        <v>19</v>
      </c>
      <c r="B29" s="425" t="s">
        <v>452</v>
      </c>
      <c r="C29" s="422" t="s">
        <v>447</v>
      </c>
      <c r="D29" s="422">
        <v>1</v>
      </c>
      <c r="E29" s="424">
        <v>189000</v>
      </c>
      <c r="F29" s="424">
        <f t="shared" si="0"/>
        <v>189000</v>
      </c>
    </row>
    <row r="30" spans="1:6" s="421" customFormat="1" x14ac:dyDescent="0.2">
      <c r="A30" s="422"/>
      <c r="B30" s="425" t="s">
        <v>453</v>
      </c>
      <c r="C30" s="429">
        <v>0.05</v>
      </c>
      <c r="D30" s="422"/>
      <c r="E30" s="424"/>
      <c r="F30" s="424">
        <f>F29*0.05</f>
        <v>9450</v>
      </c>
    </row>
    <row r="31" spans="1:6" s="421" customFormat="1" x14ac:dyDescent="0.2">
      <c r="A31" s="422">
        <v>21</v>
      </c>
      <c r="B31" s="425" t="s">
        <v>449</v>
      </c>
      <c r="C31" s="429">
        <v>0.3</v>
      </c>
      <c r="D31" s="422">
        <v>1</v>
      </c>
      <c r="E31" s="424"/>
      <c r="F31" s="424">
        <f>F27*C31</f>
        <v>276840</v>
      </c>
    </row>
    <row r="32" spans="1:6" s="421" customFormat="1" x14ac:dyDescent="0.2">
      <c r="A32" s="422"/>
      <c r="B32" s="425"/>
      <c r="C32" s="422"/>
      <c r="D32" s="422"/>
      <c r="E32" s="424"/>
      <c r="F32" s="424"/>
    </row>
    <row r="33" spans="1:8" x14ac:dyDescent="0.2">
      <c r="A33" s="406"/>
      <c r="B33" s="701" t="s">
        <v>429</v>
      </c>
      <c r="C33" s="701"/>
      <c r="D33" s="701"/>
      <c r="E33" s="701"/>
      <c r="F33" s="407">
        <f>F27+F29+F30+F31</f>
        <v>1398090</v>
      </c>
    </row>
    <row r="34" spans="1:8" ht="15" x14ac:dyDescent="0.25">
      <c r="G34" s="438"/>
    </row>
    <row r="35" spans="1:8" ht="16.5" thickBot="1" x14ac:dyDescent="0.3">
      <c r="G35" s="439"/>
    </row>
    <row r="36" spans="1:8" ht="13.5" thickBot="1" x14ac:dyDescent="0.25">
      <c r="D36" s="697" t="s">
        <v>470</v>
      </c>
      <c r="E36" s="698"/>
      <c r="F36" s="437">
        <f>F33</f>
        <v>1398090</v>
      </c>
      <c r="H36" s="41" t="s">
        <v>479</v>
      </c>
    </row>
    <row r="37" spans="1:8" ht="13.5" thickBot="1" x14ac:dyDescent="0.25">
      <c r="D37" s="697" t="s">
        <v>471</v>
      </c>
      <c r="E37" s="698"/>
      <c r="F37" s="437">
        <f>ROUND(F36*1.13,0)</f>
        <v>1579842</v>
      </c>
      <c r="H37" s="91">
        <f>F37+L15</f>
        <v>1808102</v>
      </c>
    </row>
    <row r="38" spans="1:8" ht="178.5" x14ac:dyDescent="0.2">
      <c r="B38" s="294" t="s">
        <v>448</v>
      </c>
      <c r="F38" s="440"/>
    </row>
    <row r="39" spans="1:8" x14ac:dyDescent="0.2">
      <c r="F39" s="411"/>
    </row>
    <row r="41" spans="1:8" x14ac:dyDescent="0.2">
      <c r="F41" s="412"/>
    </row>
    <row r="47" spans="1:8" ht="13.5" thickBot="1" x14ac:dyDescent="0.25"/>
    <row r="48" spans="1:8" ht="13.5" thickBot="1" x14ac:dyDescent="0.25">
      <c r="B48" s="10" t="s">
        <v>3</v>
      </c>
      <c r="C48" s="57" t="s">
        <v>460</v>
      </c>
      <c r="D48" s="10" t="s">
        <v>4</v>
      </c>
      <c r="E48" s="57" t="s">
        <v>2</v>
      </c>
      <c r="F48" s="10" t="s">
        <v>462</v>
      </c>
    </row>
    <row r="49" spans="2:8" x14ac:dyDescent="0.2">
      <c r="B49" s="56" t="s">
        <v>16</v>
      </c>
      <c r="C49" s="170"/>
      <c r="D49" s="170"/>
      <c r="E49" s="170"/>
      <c r="F49" s="170"/>
    </row>
    <row r="50" spans="2:8" x14ac:dyDescent="0.2">
      <c r="B50" s="158" t="s">
        <v>459</v>
      </c>
      <c r="C50" s="175">
        <v>100</v>
      </c>
      <c r="D50" s="175" t="s">
        <v>461</v>
      </c>
      <c r="E50" s="176">
        <v>1730</v>
      </c>
      <c r="F50" s="176">
        <f>C50*E50</f>
        <v>173000</v>
      </c>
    </row>
    <row r="51" spans="2:8" x14ac:dyDescent="0.2">
      <c r="B51" s="3" t="s">
        <v>20</v>
      </c>
      <c r="C51" s="175"/>
      <c r="D51" s="175"/>
      <c r="E51" s="176"/>
      <c r="F51" s="433">
        <f>SUM(F50)</f>
        <v>173000</v>
      </c>
    </row>
    <row r="52" spans="2:8" x14ac:dyDescent="0.2">
      <c r="B52" s="3" t="s">
        <v>19</v>
      </c>
      <c r="C52" s="158"/>
      <c r="D52" s="158"/>
      <c r="E52" s="158"/>
      <c r="F52" s="166"/>
    </row>
    <row r="53" spans="2:8" x14ac:dyDescent="0.2">
      <c r="B53" s="53" t="s">
        <v>463</v>
      </c>
      <c r="C53" s="20">
        <v>100</v>
      </c>
      <c r="D53" s="20" t="s">
        <v>461</v>
      </c>
      <c r="E53" s="20">
        <v>200</v>
      </c>
      <c r="F53" s="175">
        <f>E53*C53</f>
        <v>20000</v>
      </c>
    </row>
    <row r="54" spans="2:8" ht="13.5" thickBot="1" x14ac:dyDescent="0.25">
      <c r="B54" s="3" t="s">
        <v>14</v>
      </c>
      <c r="C54" s="175"/>
      <c r="D54" s="175"/>
      <c r="E54" s="175"/>
      <c r="F54" s="4">
        <f>SUM(F53:F53)</f>
        <v>20000</v>
      </c>
      <c r="H54" s="126"/>
    </row>
    <row r="55" spans="2:8" ht="13.5" thickBot="1" x14ac:dyDescent="0.25">
      <c r="B55" s="28" t="s">
        <v>465</v>
      </c>
      <c r="C55" s="29"/>
      <c r="D55" s="29"/>
      <c r="E55" s="30"/>
      <c r="F55" s="23">
        <f>F54+F51</f>
        <v>193000</v>
      </c>
    </row>
    <row r="58" spans="2:8" x14ac:dyDescent="0.2">
      <c r="E58" s="64" t="s">
        <v>464</v>
      </c>
      <c r="F58" s="1">
        <f>F55</f>
        <v>193000</v>
      </c>
    </row>
    <row r="60" spans="2:8" x14ac:dyDescent="0.2">
      <c r="E60" s="64" t="s">
        <v>324</v>
      </c>
      <c r="F60">
        <f>F58/C50</f>
        <v>1930</v>
      </c>
    </row>
    <row r="63" spans="2:8" ht="76.5" x14ac:dyDescent="0.2">
      <c r="B63" s="294" t="s">
        <v>466</v>
      </c>
    </row>
  </sheetData>
  <mergeCells count="7">
    <mergeCell ref="H13:I13"/>
    <mergeCell ref="H2:L2"/>
    <mergeCell ref="D37:E37"/>
    <mergeCell ref="D36:E36"/>
    <mergeCell ref="B2:E2"/>
    <mergeCell ref="G14:G15"/>
    <mergeCell ref="B33:E33"/>
  </mergeCells>
  <pageMargins left="0.7" right="0.7" top="0.75" bottom="0.75" header="0.3" footer="0.3"/>
  <pageSetup paperSize="9" orientation="portrait" horizontalDpi="300" verticalDpi="300" r:id="rId1"/>
  <ignoredErrors>
    <ignoredError sqref="F30" formula="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44"/>
  <sheetViews>
    <sheetView workbookViewId="0">
      <selection activeCell="B5" sqref="B5:H5"/>
    </sheetView>
  </sheetViews>
  <sheetFormatPr baseColWidth="10" defaultRowHeight="12.75" x14ac:dyDescent="0.2"/>
  <cols>
    <col min="2" max="2" width="53.85546875" customWidth="1"/>
    <col min="7" max="7" width="19" style="470" customWidth="1"/>
  </cols>
  <sheetData>
    <row r="3" spans="2:10" x14ac:dyDescent="0.2">
      <c r="B3" s="645" t="s">
        <v>58</v>
      </c>
      <c r="C3" s="629"/>
      <c r="D3" s="629"/>
      <c r="E3" s="629"/>
      <c r="F3" s="629"/>
      <c r="G3" s="629"/>
      <c r="H3" s="629"/>
      <c r="I3" s="456"/>
    </row>
    <row r="4" spans="2:10" x14ac:dyDescent="0.2">
      <c r="B4" s="456"/>
      <c r="C4" s="456"/>
      <c r="D4" s="456"/>
      <c r="E4" s="456"/>
      <c r="F4" s="456"/>
      <c r="G4" s="463"/>
      <c r="H4" s="144"/>
      <c r="I4" s="144"/>
      <c r="J4" s="2"/>
    </row>
    <row r="5" spans="2:10" x14ac:dyDescent="0.2">
      <c r="B5" s="650" t="s">
        <v>496</v>
      </c>
      <c r="C5" s="646"/>
      <c r="D5" s="646"/>
      <c r="E5" s="646"/>
      <c r="F5" s="646"/>
      <c r="G5" s="646"/>
      <c r="H5" s="646"/>
      <c r="I5" s="456"/>
      <c r="J5" s="2"/>
    </row>
    <row r="6" spans="2:10" x14ac:dyDescent="0.2">
      <c r="B6" s="629" t="s">
        <v>243</v>
      </c>
      <c r="C6" s="629"/>
      <c r="D6" s="629"/>
      <c r="E6" s="629"/>
      <c r="F6" s="629"/>
      <c r="G6" s="629"/>
      <c r="H6" s="629"/>
      <c r="I6" s="456"/>
      <c r="J6" s="2"/>
    </row>
    <row r="7" spans="2:10" x14ac:dyDescent="0.2">
      <c r="B7" s="642" t="s">
        <v>437</v>
      </c>
      <c r="C7" s="642"/>
      <c r="D7" s="642"/>
      <c r="E7" s="642"/>
      <c r="F7" s="642"/>
      <c r="G7" s="642"/>
      <c r="H7" s="642"/>
      <c r="I7" s="457"/>
      <c r="J7" s="2"/>
    </row>
    <row r="8" spans="2:10" ht="13.5" thickBot="1" x14ac:dyDescent="0.25">
      <c r="B8" s="16" t="s">
        <v>572</v>
      </c>
      <c r="C8" s="456"/>
      <c r="D8" s="456"/>
      <c r="E8" s="456"/>
      <c r="F8" s="456"/>
      <c r="G8" s="463"/>
      <c r="H8" s="144"/>
      <c r="I8" s="144"/>
      <c r="J8" s="2"/>
    </row>
    <row r="9" spans="2:10" ht="13.5" thickBot="1" x14ac:dyDescent="0.25">
      <c r="B9" s="10" t="s">
        <v>3</v>
      </c>
      <c r="C9" s="17" t="s">
        <v>0</v>
      </c>
      <c r="D9" s="10" t="s">
        <v>4</v>
      </c>
      <c r="E9" s="17" t="s">
        <v>2</v>
      </c>
      <c r="F9" s="10" t="s">
        <v>1</v>
      </c>
      <c r="G9" s="464" t="s">
        <v>15</v>
      </c>
      <c r="H9" s="18" t="s">
        <v>15</v>
      </c>
      <c r="I9" s="132"/>
    </row>
    <row r="10" spans="2:10" x14ac:dyDescent="0.2">
      <c r="B10" s="56" t="s">
        <v>16</v>
      </c>
      <c r="C10" s="170"/>
      <c r="D10" s="170"/>
      <c r="E10" s="170"/>
      <c r="F10" s="170"/>
      <c r="G10" s="465"/>
      <c r="H10" s="185"/>
      <c r="I10" s="459"/>
    </row>
    <row r="11" spans="2:10" x14ac:dyDescent="0.2">
      <c r="B11" s="3" t="s">
        <v>17</v>
      </c>
      <c r="C11" s="158"/>
      <c r="D11" s="158"/>
      <c r="E11" s="158"/>
      <c r="F11" s="158"/>
      <c r="G11" s="466"/>
      <c r="H11" s="158"/>
      <c r="I11" s="459"/>
      <c r="J11" s="678" t="s">
        <v>304</v>
      </c>
    </row>
    <row r="12" spans="2:10" x14ac:dyDescent="0.2">
      <c r="B12" s="158"/>
      <c r="C12" s="175"/>
      <c r="D12" s="175"/>
      <c r="E12" s="175"/>
      <c r="F12" s="175"/>
      <c r="G12" s="466"/>
      <c r="H12" s="181"/>
      <c r="I12" s="460"/>
      <c r="J12" s="679"/>
    </row>
    <row r="13" spans="2:10" x14ac:dyDescent="0.2">
      <c r="B13" s="158" t="s">
        <v>184</v>
      </c>
      <c r="C13" s="175">
        <v>2</v>
      </c>
      <c r="D13" s="175" t="s">
        <v>52</v>
      </c>
      <c r="E13" s="176">
        <v>41751</v>
      </c>
      <c r="F13" s="176">
        <f t="shared" ref="F13:F21" si="0">C13*E13</f>
        <v>83502</v>
      </c>
      <c r="G13" s="466">
        <v>2.6546084163606074E-2</v>
      </c>
      <c r="H13" s="181">
        <f>F13/F36</f>
        <v>2.6546084163606074E-2</v>
      </c>
      <c r="I13" s="460"/>
      <c r="J13" s="175">
        <v>3</v>
      </c>
    </row>
    <row r="14" spans="2:10" x14ac:dyDescent="0.2">
      <c r="B14" s="158" t="s">
        <v>21</v>
      </c>
      <c r="C14" s="175">
        <v>3</v>
      </c>
      <c r="D14" s="175" t="s">
        <v>52</v>
      </c>
      <c r="E14" s="176">
        <f>E13</f>
        <v>41751</v>
      </c>
      <c r="F14" s="176">
        <f t="shared" si="0"/>
        <v>125253</v>
      </c>
      <c r="G14" s="466">
        <v>3.9819126245409113E-2</v>
      </c>
      <c r="H14" s="181">
        <f>F14/F36</f>
        <v>3.9819126245409113E-2</v>
      </c>
      <c r="I14" s="460"/>
      <c r="J14" s="175">
        <v>6</v>
      </c>
    </row>
    <row r="15" spans="2:10" x14ac:dyDescent="0.2">
      <c r="B15" s="158" t="s">
        <v>22</v>
      </c>
      <c r="C15" s="175">
        <v>2</v>
      </c>
      <c r="D15" s="175" t="s">
        <v>52</v>
      </c>
      <c r="E15" s="176">
        <f>E13</f>
        <v>41751</v>
      </c>
      <c r="F15" s="176">
        <f t="shared" si="0"/>
        <v>83502</v>
      </c>
      <c r="G15" s="466">
        <v>2.6546084163606074E-2</v>
      </c>
      <c r="H15" s="181">
        <f>F15/F36</f>
        <v>2.6546084163606074E-2</v>
      </c>
      <c r="I15" s="460"/>
      <c r="J15" s="175">
        <v>4</v>
      </c>
    </row>
    <row r="16" spans="2:10" x14ac:dyDescent="0.2">
      <c r="B16" s="158" t="s">
        <v>23</v>
      </c>
      <c r="C16" s="175">
        <v>1</v>
      </c>
      <c r="D16" s="175" t="s">
        <v>52</v>
      </c>
      <c r="E16" s="176">
        <f>E13</f>
        <v>41751</v>
      </c>
      <c r="F16" s="176">
        <f t="shared" si="0"/>
        <v>41751</v>
      </c>
      <c r="G16" s="466">
        <v>1.3273042081803037E-2</v>
      </c>
      <c r="H16" s="181">
        <f>F16/F36</f>
        <v>1.3273042081803037E-2</v>
      </c>
      <c r="I16" s="460"/>
      <c r="J16" s="175">
        <v>2</v>
      </c>
    </row>
    <row r="17" spans="2:12" x14ac:dyDescent="0.2">
      <c r="B17" s="158" t="s">
        <v>24</v>
      </c>
      <c r="C17" s="175">
        <v>3</v>
      </c>
      <c r="D17" s="175" t="s">
        <v>52</v>
      </c>
      <c r="E17" s="176">
        <f>E13</f>
        <v>41751</v>
      </c>
      <c r="F17" s="176">
        <f t="shared" si="0"/>
        <v>125253</v>
      </c>
      <c r="G17" s="466">
        <v>3.9819126245409113E-2</v>
      </c>
      <c r="H17" s="181">
        <f>F17/F36</f>
        <v>3.9819126245409113E-2</v>
      </c>
      <c r="I17" s="460"/>
      <c r="J17" s="175">
        <v>5</v>
      </c>
    </row>
    <row r="18" spans="2:12" x14ac:dyDescent="0.2">
      <c r="B18" s="158" t="s">
        <v>25</v>
      </c>
      <c r="C18" s="175">
        <v>1</v>
      </c>
      <c r="D18" s="175" t="s">
        <v>52</v>
      </c>
      <c r="E18" s="176">
        <f>E13</f>
        <v>41751</v>
      </c>
      <c r="F18" s="176">
        <f t="shared" si="0"/>
        <v>41751</v>
      </c>
      <c r="G18" s="466">
        <v>1.3273042081803037E-2</v>
      </c>
      <c r="H18" s="181">
        <f>F18/F36</f>
        <v>1.3273042081803037E-2</v>
      </c>
      <c r="I18" s="460"/>
      <c r="J18" s="175">
        <v>2</v>
      </c>
    </row>
    <row r="19" spans="2:12" x14ac:dyDescent="0.2">
      <c r="B19" s="158" t="s">
        <v>108</v>
      </c>
      <c r="C19" s="175">
        <v>3</v>
      </c>
      <c r="D19" s="175" t="s">
        <v>52</v>
      </c>
      <c r="E19" s="176">
        <f>E13</f>
        <v>41751</v>
      </c>
      <c r="F19" s="176">
        <f t="shared" si="0"/>
        <v>125253</v>
      </c>
      <c r="G19" s="466">
        <v>3.9819126245409113E-2</v>
      </c>
      <c r="H19" s="181">
        <f>F19/F36</f>
        <v>3.9819126245409113E-2</v>
      </c>
      <c r="I19" s="460"/>
      <c r="J19" s="175">
        <v>4</v>
      </c>
      <c r="K19" s="361"/>
      <c r="L19" s="361"/>
    </row>
    <row r="20" spans="2:12" x14ac:dyDescent="0.2">
      <c r="B20" s="158" t="s">
        <v>26</v>
      </c>
      <c r="C20" s="175">
        <v>1</v>
      </c>
      <c r="D20" s="175" t="s">
        <v>52</v>
      </c>
      <c r="E20" s="176">
        <f>E13</f>
        <v>41751</v>
      </c>
      <c r="F20" s="176">
        <f t="shared" si="0"/>
        <v>41751</v>
      </c>
      <c r="G20" s="466">
        <v>1.3273042081803037E-2</v>
      </c>
      <c r="H20" s="181">
        <f>F20/F36</f>
        <v>1.3273042081803037E-2</v>
      </c>
      <c r="I20" s="460"/>
      <c r="J20" s="175">
        <v>2</v>
      </c>
      <c r="K20" s="676"/>
      <c r="L20" s="361"/>
    </row>
    <row r="21" spans="2:12" x14ac:dyDescent="0.2">
      <c r="B21" s="158" t="s">
        <v>320</v>
      </c>
      <c r="C21" s="175">
        <v>4</v>
      </c>
      <c r="D21" s="175" t="s">
        <v>52</v>
      </c>
      <c r="E21" s="176">
        <f>E13</f>
        <v>41751</v>
      </c>
      <c r="F21" s="176">
        <f t="shared" si="0"/>
        <v>167004</v>
      </c>
      <c r="G21" s="466">
        <v>5.3092168327212148E-2</v>
      </c>
      <c r="H21" s="181">
        <f>F21/F36</f>
        <v>5.3092168327212148E-2</v>
      </c>
      <c r="I21" s="460"/>
      <c r="J21" s="175">
        <v>6</v>
      </c>
      <c r="K21" s="676"/>
      <c r="L21" s="361"/>
    </row>
    <row r="22" spans="2:12" x14ac:dyDescent="0.2">
      <c r="B22" s="8" t="s">
        <v>6</v>
      </c>
      <c r="C22" s="4">
        <f>SUM(C12:C21)</f>
        <v>20</v>
      </c>
      <c r="D22" s="175"/>
      <c r="E22" s="176"/>
      <c r="F22" s="4">
        <f>SUM(F12:F21)</f>
        <v>835020</v>
      </c>
      <c r="G22" s="466">
        <v>0.26546084163606076</v>
      </c>
      <c r="H22" s="5">
        <f>F22/F36</f>
        <v>0.26546084163606076</v>
      </c>
      <c r="I22" s="458"/>
      <c r="J22" s="4">
        <f>SUM(J11:J21)</f>
        <v>34</v>
      </c>
      <c r="K22" s="361"/>
      <c r="L22" s="361"/>
    </row>
    <row r="23" spans="2:12" x14ac:dyDescent="0.2">
      <c r="B23" s="3" t="s">
        <v>18</v>
      </c>
      <c r="C23" s="158"/>
      <c r="D23" s="158"/>
      <c r="E23" s="158"/>
      <c r="F23" s="166"/>
      <c r="G23" s="466"/>
      <c r="H23" s="182"/>
      <c r="I23" s="461"/>
      <c r="K23" s="676"/>
      <c r="L23" s="361"/>
    </row>
    <row r="24" spans="2:12" x14ac:dyDescent="0.2">
      <c r="B24" s="158" t="s">
        <v>53</v>
      </c>
      <c r="C24" s="175">
        <f>238+24</f>
        <v>262</v>
      </c>
      <c r="D24" s="221" t="s">
        <v>497</v>
      </c>
      <c r="E24" s="175">
        <v>6000</v>
      </c>
      <c r="F24" s="175">
        <f>C24*E24</f>
        <v>1572000</v>
      </c>
      <c r="G24" s="466">
        <v>0.49975382991052608</v>
      </c>
      <c r="H24" s="181">
        <f>F24/F36</f>
        <v>0.49975382991052608</v>
      </c>
      <c r="I24" s="460"/>
      <c r="K24" s="676"/>
      <c r="L24" s="360"/>
    </row>
    <row r="25" spans="2:12" x14ac:dyDescent="0.2">
      <c r="B25" s="158" t="s">
        <v>311</v>
      </c>
      <c r="C25" s="175">
        <f>C24*50/1000</f>
        <v>13.1</v>
      </c>
      <c r="D25" s="175" t="s">
        <v>50</v>
      </c>
      <c r="E25" s="175">
        <v>1600</v>
      </c>
      <c r="F25" s="175">
        <f>C25*E25</f>
        <v>20960</v>
      </c>
      <c r="G25" s="466">
        <v>6.6633843988070148E-3</v>
      </c>
      <c r="H25" s="181">
        <f>F25/F36</f>
        <v>6.6633843988070148E-3</v>
      </c>
      <c r="I25" s="460"/>
      <c r="K25" s="361"/>
      <c r="L25" s="360"/>
    </row>
    <row r="26" spans="2:12" x14ac:dyDescent="0.2">
      <c r="B26" s="158" t="s">
        <v>27</v>
      </c>
      <c r="C26" s="175">
        <f>200*C24/1000</f>
        <v>52.4</v>
      </c>
      <c r="D26" s="175" t="s">
        <v>50</v>
      </c>
      <c r="E26" s="175">
        <v>314</v>
      </c>
      <c r="F26" s="175">
        <f>C26*E26</f>
        <v>16453.599999999999</v>
      </c>
      <c r="G26" s="466">
        <v>5.2307567530635061E-3</v>
      </c>
      <c r="H26" s="181">
        <f>F26/F36</f>
        <v>5.2307567530635061E-3</v>
      </c>
      <c r="I26" s="460"/>
    </row>
    <row r="27" spans="2:12" x14ac:dyDescent="0.2">
      <c r="B27" s="40" t="s">
        <v>172</v>
      </c>
      <c r="C27" s="176">
        <v>2</v>
      </c>
      <c r="D27" s="175" t="s">
        <v>50</v>
      </c>
      <c r="E27" s="176">
        <v>51200</v>
      </c>
      <c r="F27" s="175">
        <f>C27*E27</f>
        <v>102400</v>
      </c>
      <c r="G27" s="467">
        <v>0.18113792400514062</v>
      </c>
      <c r="H27" s="178">
        <f>F27/F34</f>
        <v>0.18113792400514062</v>
      </c>
      <c r="J27" s="322" t="s">
        <v>316</v>
      </c>
      <c r="K27" s="323" t="s">
        <v>312</v>
      </c>
      <c r="L27" s="324" t="s">
        <v>310</v>
      </c>
    </row>
    <row r="28" spans="2:12" x14ac:dyDescent="0.2">
      <c r="B28" s="40" t="s">
        <v>173</v>
      </c>
      <c r="C28" s="176">
        <v>2</v>
      </c>
      <c r="D28" s="175" t="s">
        <v>175</v>
      </c>
      <c r="E28" s="176">
        <v>16700</v>
      </c>
      <c r="F28" s="175">
        <f>C28*E28</f>
        <v>33400</v>
      </c>
      <c r="G28" s="467">
        <v>1.0618179337793621E-2</v>
      </c>
      <c r="H28" s="178">
        <f>F28/F36</f>
        <v>1.0618179337793621E-2</v>
      </c>
      <c r="J28" s="326" t="s">
        <v>313</v>
      </c>
      <c r="K28" s="321" t="s">
        <v>319</v>
      </c>
      <c r="L28" s="166">
        <f>10000/(6*3)</f>
        <v>555.55555555555554</v>
      </c>
    </row>
    <row r="29" spans="2:12" x14ac:dyDescent="0.2">
      <c r="B29" s="8" t="s">
        <v>13</v>
      </c>
      <c r="C29" s="175"/>
      <c r="D29" s="175"/>
      <c r="E29" s="175"/>
      <c r="F29" s="4">
        <f>SUM(F24:F28)</f>
        <v>1745213.6</v>
      </c>
      <c r="G29" s="466">
        <v>0.55482008944779704</v>
      </c>
      <c r="H29" s="5">
        <f>F29/F36</f>
        <v>0.55482008944779704</v>
      </c>
      <c r="J29" s="326" t="s">
        <v>314</v>
      </c>
      <c r="K29" s="166" t="s">
        <v>331</v>
      </c>
      <c r="L29" s="166">
        <f>10000/(8*8)</f>
        <v>156.25</v>
      </c>
    </row>
    <row r="30" spans="2:12" x14ac:dyDescent="0.2">
      <c r="B30" s="3" t="s">
        <v>20</v>
      </c>
      <c r="C30" s="175"/>
      <c r="D30" s="175"/>
      <c r="E30" s="175"/>
      <c r="F30" s="4">
        <f>F22+F29</f>
        <v>2580233.6</v>
      </c>
      <c r="G30" s="466">
        <v>0.8202809310838578</v>
      </c>
      <c r="H30" s="5">
        <f>F30/F36</f>
        <v>0.8202809310838578</v>
      </c>
      <c r="J30" s="326" t="s">
        <v>315</v>
      </c>
      <c r="K30" s="166" t="s">
        <v>305</v>
      </c>
      <c r="L30" s="166">
        <f>10000/(3*3)</f>
        <v>1111.1111111111111</v>
      </c>
    </row>
    <row r="31" spans="2:12" x14ac:dyDescent="0.2">
      <c r="B31" s="3" t="s">
        <v>19</v>
      </c>
      <c r="C31" s="158"/>
      <c r="D31" s="158"/>
      <c r="E31" s="158"/>
      <c r="F31" s="166"/>
      <c r="G31" s="466"/>
      <c r="H31" s="182"/>
      <c r="J31" s="461"/>
    </row>
    <row r="32" spans="2:12" x14ac:dyDescent="0.2">
      <c r="B32" s="53" t="s">
        <v>321</v>
      </c>
      <c r="C32" s="328">
        <v>0.05</v>
      </c>
      <c r="D32" s="20"/>
      <c r="E32" s="20"/>
      <c r="F32" s="175">
        <f>F22*C32</f>
        <v>41751</v>
      </c>
      <c r="G32" s="466">
        <v>1.3273042081803037E-2</v>
      </c>
      <c r="H32" s="181">
        <f>F32/F36</f>
        <v>1.3273042081803037E-2</v>
      </c>
      <c r="J32" s="460"/>
    </row>
    <row r="33" spans="2:11" x14ac:dyDescent="0.2">
      <c r="B33" s="53" t="s">
        <v>141</v>
      </c>
      <c r="C33" s="328">
        <v>0.3</v>
      </c>
      <c r="D33" s="20"/>
      <c r="E33" s="20"/>
      <c r="F33" s="175">
        <f>F29*C33</f>
        <v>523564.08</v>
      </c>
      <c r="G33" s="468">
        <v>0.16644602683433912</v>
      </c>
      <c r="H33" s="88">
        <f>F33/F36</f>
        <v>0.16644602683433912</v>
      </c>
      <c r="J33" s="319"/>
    </row>
    <row r="34" spans="2:11" x14ac:dyDescent="0.2">
      <c r="B34" s="3" t="s">
        <v>14</v>
      </c>
      <c r="C34" s="175"/>
      <c r="D34" s="175"/>
      <c r="E34" s="175"/>
      <c r="F34" s="4">
        <f>SUM(F32:F33)</f>
        <v>565315.08000000007</v>
      </c>
      <c r="G34" s="466">
        <v>0.17971906891614217</v>
      </c>
      <c r="H34" s="5">
        <f>F34/F36</f>
        <v>0.17971906891614217</v>
      </c>
      <c r="I34" s="458"/>
    </row>
    <row r="35" spans="2:11" ht="13.5" thickBot="1" x14ac:dyDescent="0.25">
      <c r="B35" s="144"/>
      <c r="C35" s="144"/>
      <c r="D35" s="144"/>
      <c r="E35" s="144"/>
      <c r="F35" s="191"/>
      <c r="G35" s="463"/>
      <c r="H35" s="192"/>
      <c r="I35" s="192"/>
    </row>
    <row r="36" spans="2:11" ht="13.5" thickBot="1" x14ac:dyDescent="0.25">
      <c r="B36" s="28" t="s">
        <v>322</v>
      </c>
      <c r="C36" s="29"/>
      <c r="D36" s="29"/>
      <c r="E36" s="30"/>
      <c r="F36" s="23">
        <f>F30+F34</f>
        <v>3145548.68</v>
      </c>
      <c r="G36" s="463">
        <v>1</v>
      </c>
      <c r="H36" s="24">
        <f>H22+H29+H34</f>
        <v>1</v>
      </c>
      <c r="I36" s="458"/>
    </row>
    <row r="37" spans="2:11" x14ac:dyDescent="0.2">
      <c r="B37" s="144"/>
      <c r="C37" s="144"/>
      <c r="D37" s="144"/>
      <c r="E37" s="31"/>
      <c r="F37" s="25"/>
      <c r="G37" s="463"/>
      <c r="H37" s="458"/>
      <c r="I37" s="458"/>
      <c r="K37" s="229"/>
    </row>
    <row r="38" spans="2:11" ht="18.75" thickBot="1" x14ac:dyDescent="0.3">
      <c r="B38" s="677"/>
      <c r="C38" s="677"/>
      <c r="D38" s="677"/>
      <c r="E38" s="677"/>
      <c r="F38" s="123"/>
      <c r="G38" s="463"/>
      <c r="H38" s="458"/>
      <c r="I38" s="458"/>
      <c r="J38" s="1"/>
      <c r="K38" s="175"/>
    </row>
    <row r="39" spans="2:11" ht="18.75" thickBot="1" x14ac:dyDescent="0.3">
      <c r="F39" s="234">
        <f>F36/C24</f>
        <v>12005.910992366413</v>
      </c>
      <c r="G39" s="469"/>
      <c r="H39" s="327" t="s">
        <v>323</v>
      </c>
      <c r="J39" s="458"/>
    </row>
    <row r="40" spans="2:11" ht="13.5" thickBot="1" x14ac:dyDescent="0.25">
      <c r="B40" s="144"/>
      <c r="G40" s="463"/>
      <c r="H40" s="458"/>
      <c r="I40" s="458"/>
      <c r="J40" s="458"/>
    </row>
    <row r="41" spans="2:11" ht="24" thickBot="1" x14ac:dyDescent="0.4">
      <c r="G41" s="463"/>
      <c r="H41" s="458"/>
      <c r="I41" s="458"/>
      <c r="J41" s="462"/>
    </row>
    <row r="42" spans="2:11" ht="204" x14ac:dyDescent="0.2">
      <c r="B42" s="294" t="s">
        <v>498</v>
      </c>
      <c r="G42" s="463"/>
      <c r="H42" s="458"/>
      <c r="I42" s="458"/>
      <c r="J42" s="1"/>
    </row>
    <row r="43" spans="2:11" x14ac:dyDescent="0.2">
      <c r="B43" s="144"/>
      <c r="G43" s="463"/>
      <c r="H43" s="458"/>
      <c r="I43" s="458"/>
      <c r="J43" s="1"/>
    </row>
    <row r="44" spans="2:11" x14ac:dyDescent="0.2">
      <c r="B44" s="144"/>
      <c r="C44" s="144"/>
      <c r="D44" s="144"/>
      <c r="E44" s="31"/>
      <c r="F44" s="25"/>
      <c r="G44" s="463"/>
      <c r="H44" s="458"/>
      <c r="I44" s="458"/>
      <c r="J44" s="1"/>
    </row>
  </sheetData>
  <mergeCells count="8">
    <mergeCell ref="B38:E38"/>
    <mergeCell ref="B6:H6"/>
    <mergeCell ref="B7:H7"/>
    <mergeCell ref="J11:J12"/>
    <mergeCell ref="K20:K21"/>
    <mergeCell ref="K23:K24"/>
    <mergeCell ref="B3:H3"/>
    <mergeCell ref="B5:H5"/>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
  <sheetViews>
    <sheetView workbookViewId="0">
      <selection activeCell="F14" sqref="F14"/>
    </sheetView>
  </sheetViews>
  <sheetFormatPr baseColWidth="10" defaultRowHeight="12.75" x14ac:dyDescent="0.2"/>
  <cols>
    <col min="1" max="1" width="35.7109375" bestFit="1" customWidth="1"/>
    <col min="2" max="2" width="10.28515625" bestFit="1" customWidth="1"/>
    <col min="3" max="3" width="13.5703125" customWidth="1"/>
    <col min="4" max="4" width="8.85546875" bestFit="1" customWidth="1"/>
    <col min="5" max="5" width="16.7109375" bestFit="1" customWidth="1"/>
  </cols>
  <sheetData>
    <row r="3" spans="1:8" ht="13.5" thickBot="1" x14ac:dyDescent="0.25"/>
    <row r="4" spans="1:8" ht="17.25" thickBot="1" x14ac:dyDescent="0.35">
      <c r="A4" s="609" t="s">
        <v>581</v>
      </c>
      <c r="B4" s="610"/>
      <c r="C4" s="610"/>
      <c r="D4" s="611"/>
    </row>
    <row r="5" spans="1:8" ht="16.5" x14ac:dyDescent="0.3">
      <c r="A5" s="239"/>
      <c r="B5" s="239"/>
      <c r="C5" s="239"/>
      <c r="D5" s="239"/>
      <c r="E5" s="239"/>
    </row>
    <row r="6" spans="1:8" ht="16.5" x14ac:dyDescent="0.3">
      <c r="A6" s="604" t="s">
        <v>234</v>
      </c>
      <c r="B6" s="605"/>
      <c r="C6" s="239"/>
      <c r="D6" s="239"/>
      <c r="E6" s="239"/>
    </row>
    <row r="7" spans="1:8" ht="16.5" x14ac:dyDescent="0.3">
      <c r="A7" s="239"/>
      <c r="B7" s="239"/>
      <c r="C7" s="614" t="s">
        <v>202</v>
      </c>
      <c r="D7" s="614"/>
      <c r="E7" s="239"/>
    </row>
    <row r="8" spans="1:8" ht="16.5" x14ac:dyDescent="0.3">
      <c r="A8" s="240" t="s">
        <v>203</v>
      </c>
      <c r="B8" s="241">
        <v>2019</v>
      </c>
      <c r="C8" s="242" t="s">
        <v>204</v>
      </c>
      <c r="D8" s="243">
        <v>6800</v>
      </c>
      <c r="E8" s="239"/>
    </row>
    <row r="9" spans="1:8" ht="16.5" x14ac:dyDescent="0.3">
      <c r="A9" s="244" t="s">
        <v>205</v>
      </c>
      <c r="B9" s="245">
        <v>1586023</v>
      </c>
      <c r="C9" s="242" t="s">
        <v>206</v>
      </c>
      <c r="D9" s="243">
        <v>18548</v>
      </c>
      <c r="E9" s="239"/>
    </row>
    <row r="10" spans="1:8" ht="16.5" x14ac:dyDescent="0.3">
      <c r="A10" s="240" t="s">
        <v>207</v>
      </c>
      <c r="B10" s="245">
        <v>0</v>
      </c>
      <c r="C10" s="246" t="s">
        <v>433</v>
      </c>
      <c r="D10" s="243">
        <v>3000</v>
      </c>
      <c r="E10" s="239"/>
      <c r="H10">
        <v>737717</v>
      </c>
    </row>
    <row r="11" spans="1:8" ht="27" x14ac:dyDescent="0.3">
      <c r="A11" s="247" t="s">
        <v>208</v>
      </c>
      <c r="B11" s="241">
        <v>30</v>
      </c>
      <c r="C11" s="246" t="s">
        <v>209</v>
      </c>
      <c r="D11" s="243">
        <v>100000</v>
      </c>
      <c r="E11" s="239"/>
    </row>
    <row r="12" spans="1:8" ht="27" x14ac:dyDescent="0.3">
      <c r="A12" s="248" t="s">
        <v>210</v>
      </c>
      <c r="B12" s="241">
        <v>8</v>
      </c>
      <c r="C12" s="246" t="s">
        <v>211</v>
      </c>
      <c r="D12" s="243">
        <v>55000</v>
      </c>
      <c r="E12" s="239"/>
    </row>
    <row r="13" spans="1:8" ht="16.5" x14ac:dyDescent="0.3">
      <c r="A13" s="476" t="s">
        <v>506</v>
      </c>
      <c r="B13" s="250"/>
      <c r="C13" s="246" t="s">
        <v>507</v>
      </c>
      <c r="D13" s="243">
        <v>150000</v>
      </c>
      <c r="E13" s="239"/>
    </row>
    <row r="14" spans="1:8" ht="16.5" x14ac:dyDescent="0.3">
      <c r="A14" s="476"/>
      <c r="B14" s="250"/>
      <c r="C14" s="246"/>
      <c r="D14" s="243"/>
      <c r="E14" s="239"/>
    </row>
    <row r="15" spans="1:8" ht="16.5" x14ac:dyDescent="0.3">
      <c r="A15" s="249"/>
      <c r="B15" s="250"/>
      <c r="C15" s="251" t="s">
        <v>57</v>
      </c>
      <c r="D15" s="243">
        <f>SUM(D8:D13)</f>
        <v>333348</v>
      </c>
      <c r="E15" s="239"/>
    </row>
    <row r="16" spans="1:8" ht="16.5" x14ac:dyDescent="0.3">
      <c r="A16" s="239"/>
      <c r="B16" s="239"/>
      <c r="C16" s="239"/>
      <c r="D16" s="239"/>
      <c r="E16" s="239"/>
    </row>
    <row r="17" spans="1:5" ht="16.5" x14ac:dyDescent="0.3">
      <c r="A17" s="615" t="s">
        <v>212</v>
      </c>
      <c r="B17" s="615"/>
      <c r="C17" s="616" t="s">
        <v>213</v>
      </c>
      <c r="D17" s="617"/>
      <c r="E17" s="239"/>
    </row>
    <row r="18" spans="1:5" ht="16.5" x14ac:dyDescent="0.3">
      <c r="A18" s="252" t="s">
        <v>214</v>
      </c>
      <c r="B18" s="253">
        <v>1</v>
      </c>
      <c r="C18" s="607">
        <f>B9</f>
        <v>1586023</v>
      </c>
      <c r="D18" s="608"/>
      <c r="E18" s="239"/>
    </row>
    <row r="19" spans="1:5" ht="16.5" x14ac:dyDescent="0.3">
      <c r="A19" s="252" t="s">
        <v>215</v>
      </c>
      <c r="B19" s="253">
        <v>8.3299999999999999E-2</v>
      </c>
      <c r="C19" s="607">
        <f>$C$18*B19</f>
        <v>132115.71590000001</v>
      </c>
      <c r="D19" s="608"/>
      <c r="E19" s="239"/>
    </row>
    <row r="20" spans="1:5" ht="16.5" x14ac:dyDescent="0.3">
      <c r="A20" s="252" t="s">
        <v>216</v>
      </c>
      <c r="B20" s="253">
        <v>4.1700000000000001E-2</v>
      </c>
      <c r="C20" s="607">
        <f t="shared" ref="C20:C29" si="0">$C$18*B20</f>
        <v>66137.159100000004</v>
      </c>
      <c r="D20" s="608"/>
      <c r="E20" s="239"/>
    </row>
    <row r="21" spans="1:5" ht="16.5" x14ac:dyDescent="0.3">
      <c r="A21" s="252" t="s">
        <v>217</v>
      </c>
      <c r="B21" s="253">
        <v>8.3299999999999999E-2</v>
      </c>
      <c r="C21" s="607">
        <f t="shared" si="0"/>
        <v>132115.71590000001</v>
      </c>
      <c r="D21" s="608"/>
      <c r="E21" s="239"/>
    </row>
    <row r="22" spans="1:5" ht="16.5" x14ac:dyDescent="0.3">
      <c r="A22" s="252" t="s">
        <v>218</v>
      </c>
      <c r="B22" s="253">
        <v>0.01</v>
      </c>
      <c r="C22" s="607">
        <f t="shared" si="0"/>
        <v>15860.23</v>
      </c>
      <c r="D22" s="608"/>
      <c r="E22" s="239"/>
    </row>
    <row r="23" spans="1:5" ht="16.5" x14ac:dyDescent="0.3">
      <c r="A23" s="252" t="s">
        <v>219</v>
      </c>
      <c r="B23" s="253">
        <f>B10/B9</f>
        <v>0</v>
      </c>
      <c r="C23" s="607">
        <f t="shared" si="0"/>
        <v>0</v>
      </c>
      <c r="D23" s="608"/>
      <c r="E23" s="239"/>
    </row>
    <row r="24" spans="1:5" ht="16.5" x14ac:dyDescent="0.3">
      <c r="A24" s="252" t="s">
        <v>220</v>
      </c>
      <c r="B24" s="253">
        <v>8.5000000000000006E-2</v>
      </c>
      <c r="C24" s="607">
        <f t="shared" si="0"/>
        <v>134811.95500000002</v>
      </c>
      <c r="D24" s="608"/>
      <c r="E24" s="239"/>
    </row>
    <row r="25" spans="1:5" ht="16.5" x14ac:dyDescent="0.3">
      <c r="A25" s="256" t="s">
        <v>221</v>
      </c>
      <c r="B25" s="253">
        <v>6.9599999999999995E-2</v>
      </c>
      <c r="C25" s="607">
        <f t="shared" si="0"/>
        <v>110387.20079999999</v>
      </c>
      <c r="D25" s="608"/>
      <c r="E25" s="239"/>
    </row>
    <row r="26" spans="1:5" ht="16.5" x14ac:dyDescent="0.3">
      <c r="A26" s="252" t="s">
        <v>222</v>
      </c>
      <c r="B26" s="257">
        <v>0.12</v>
      </c>
      <c r="C26" s="607">
        <f t="shared" si="0"/>
        <v>190322.75999999998</v>
      </c>
      <c r="D26" s="608"/>
      <c r="E26" s="239"/>
    </row>
    <row r="27" spans="1:5" ht="16.5" x14ac:dyDescent="0.3">
      <c r="A27" s="252" t="s">
        <v>223</v>
      </c>
      <c r="B27" s="253">
        <v>0.02</v>
      </c>
      <c r="C27" s="607">
        <f t="shared" si="0"/>
        <v>31720.46</v>
      </c>
      <c r="D27" s="608"/>
      <c r="E27" s="239"/>
    </row>
    <row r="28" spans="1:5" ht="16.5" x14ac:dyDescent="0.3">
      <c r="A28" s="252" t="s">
        <v>224</v>
      </c>
      <c r="B28" s="253">
        <v>0.03</v>
      </c>
      <c r="C28" s="607">
        <f t="shared" si="0"/>
        <v>47580.689999999995</v>
      </c>
      <c r="D28" s="608"/>
      <c r="E28" s="239"/>
    </row>
    <row r="29" spans="1:5" ht="16.5" x14ac:dyDescent="0.3">
      <c r="A29" s="252" t="s">
        <v>225</v>
      </c>
      <c r="B29" s="253">
        <v>0.04</v>
      </c>
      <c r="C29" s="607">
        <f t="shared" si="0"/>
        <v>63440.92</v>
      </c>
      <c r="D29" s="608"/>
      <c r="E29" s="239"/>
    </row>
    <row r="30" spans="1:5" ht="16.5" x14ac:dyDescent="0.3">
      <c r="A30" s="252" t="s">
        <v>226</v>
      </c>
      <c r="B30" s="253">
        <f>C30/C18</f>
        <v>5.2544635229123414E-2</v>
      </c>
      <c r="C30" s="612">
        <f>D15/4</f>
        <v>83337</v>
      </c>
      <c r="D30" s="613"/>
      <c r="E30" s="239"/>
    </row>
    <row r="31" spans="1:5" ht="16.5" x14ac:dyDescent="0.3">
      <c r="A31" s="258"/>
      <c r="B31" s="253"/>
      <c r="C31" s="612"/>
      <c r="D31" s="613"/>
      <c r="E31" s="239"/>
    </row>
    <row r="32" spans="1:5" ht="16.5" x14ac:dyDescent="0.3">
      <c r="A32" s="449" t="s">
        <v>227</v>
      </c>
      <c r="B32" s="260">
        <f>SUM(B18:B30)</f>
        <v>1.6354446352291236</v>
      </c>
      <c r="C32" s="669">
        <f>SUM(C18:D30)</f>
        <v>2593852.8066999996</v>
      </c>
      <c r="D32" s="670"/>
      <c r="E32" s="239"/>
    </row>
    <row r="33" spans="1:5" ht="17.25" thickBot="1" x14ac:dyDescent="0.35">
      <c r="A33" s="239"/>
      <c r="B33" s="239"/>
      <c r="C33" s="239"/>
      <c r="D33" s="239"/>
      <c r="E33" s="239"/>
    </row>
    <row r="34" spans="1:5" ht="17.25" thickBot="1" x14ac:dyDescent="0.35">
      <c r="A34" s="601" t="s">
        <v>228</v>
      </c>
      <c r="B34" s="602"/>
      <c r="C34" s="602"/>
      <c r="D34" s="602"/>
      <c r="E34" s="603"/>
    </row>
    <row r="35" spans="1:5" ht="16.5" x14ac:dyDescent="0.3">
      <c r="A35" s="263"/>
      <c r="B35" s="264" t="s">
        <v>113</v>
      </c>
      <c r="C35" s="264" t="s">
        <v>229</v>
      </c>
      <c r="D35" s="264" t="s">
        <v>230</v>
      </c>
      <c r="E35" s="265" t="s">
        <v>233</v>
      </c>
    </row>
    <row r="36" spans="1:5" ht="16.5" x14ac:dyDescent="0.3">
      <c r="A36" s="449" t="s">
        <v>508</v>
      </c>
      <c r="B36" s="261" t="s">
        <v>231</v>
      </c>
      <c r="C36" s="362">
        <f>(B9/B11)*1</f>
        <v>52867.433333333334</v>
      </c>
      <c r="D36" s="260">
        <f>$B$32</f>
        <v>1.6354446352291236</v>
      </c>
      <c r="E36" s="363">
        <f>ROUND(C36*D36,0)</f>
        <v>86462</v>
      </c>
    </row>
  </sheetData>
  <mergeCells count="21">
    <mergeCell ref="C31:D31"/>
    <mergeCell ref="C32:D32"/>
    <mergeCell ref="A34:E34"/>
    <mergeCell ref="C25:D25"/>
    <mergeCell ref="C26:D26"/>
    <mergeCell ref="C27:D27"/>
    <mergeCell ref="C28:D28"/>
    <mergeCell ref="C29:D29"/>
    <mergeCell ref="C30:D30"/>
    <mergeCell ref="C24:D24"/>
    <mergeCell ref="A4:D4"/>
    <mergeCell ref="A6:B6"/>
    <mergeCell ref="C7:D7"/>
    <mergeCell ref="A17:B17"/>
    <mergeCell ref="C17:D17"/>
    <mergeCell ref="C18:D18"/>
    <mergeCell ref="C19:D19"/>
    <mergeCell ref="C20:D20"/>
    <mergeCell ref="C21:D21"/>
    <mergeCell ref="C22:D22"/>
    <mergeCell ref="C23:D23"/>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49"/>
  <sheetViews>
    <sheetView topLeftCell="A31" workbookViewId="0">
      <selection activeCell="D55" sqref="D55"/>
    </sheetView>
  </sheetViews>
  <sheetFormatPr baseColWidth="10" defaultRowHeight="12.75" x14ac:dyDescent="0.2"/>
  <cols>
    <col min="4" max="4" width="12.28515625" bestFit="1" customWidth="1"/>
    <col min="9" max="10" width="15.85546875" bestFit="1" customWidth="1"/>
    <col min="13" max="13" width="14.85546875" bestFit="1" customWidth="1"/>
  </cols>
  <sheetData>
    <row r="1" spans="1:13" x14ac:dyDescent="0.2">
      <c r="A1" s="527"/>
      <c r="B1" s="527"/>
      <c r="C1" s="527"/>
      <c r="D1" s="527"/>
      <c r="E1" s="527"/>
      <c r="F1" s="527"/>
      <c r="G1" s="527"/>
      <c r="H1" s="527"/>
      <c r="I1" s="527"/>
      <c r="J1" s="527"/>
      <c r="K1" s="527"/>
      <c r="L1" s="527"/>
      <c r="M1" s="527"/>
    </row>
    <row r="2" spans="1:13" x14ac:dyDescent="0.2">
      <c r="A2" s="527"/>
      <c r="B2" s="726" t="s">
        <v>510</v>
      </c>
      <c r="C2" s="727"/>
      <c r="D2" s="728"/>
      <c r="E2" s="728"/>
      <c r="F2" s="728"/>
      <c r="G2" s="729"/>
      <c r="H2" s="527"/>
      <c r="I2" s="527"/>
      <c r="J2" s="527"/>
      <c r="K2" s="527"/>
      <c r="L2" s="527"/>
      <c r="M2" s="527"/>
    </row>
    <row r="3" spans="1:13" x14ac:dyDescent="0.2">
      <c r="A3" s="527"/>
      <c r="B3" s="528"/>
      <c r="C3" s="529" t="s">
        <v>511</v>
      </c>
      <c r="D3" s="529"/>
      <c r="E3" s="529"/>
      <c r="F3" s="529"/>
      <c r="G3" s="529"/>
      <c r="H3" s="527"/>
      <c r="I3" s="527"/>
      <c r="J3" s="527"/>
      <c r="K3" s="527"/>
      <c r="L3" s="527"/>
      <c r="M3" s="527"/>
    </row>
    <row r="4" spans="1:13" x14ac:dyDescent="0.2">
      <c r="A4" s="527"/>
      <c r="B4" s="530" t="s">
        <v>512</v>
      </c>
      <c r="C4" s="529" t="s">
        <v>513</v>
      </c>
      <c r="D4" s="529"/>
      <c r="E4" s="529"/>
      <c r="F4" s="529"/>
      <c r="G4" s="529"/>
      <c r="H4" s="527"/>
      <c r="I4" s="527"/>
      <c r="J4" s="527"/>
      <c r="K4" s="527"/>
      <c r="L4" s="527"/>
      <c r="M4" s="527"/>
    </row>
    <row r="5" spans="1:13" x14ac:dyDescent="0.2">
      <c r="A5" s="527"/>
      <c r="B5" s="531" t="s">
        <v>514</v>
      </c>
      <c r="C5" s="529" t="s">
        <v>515</v>
      </c>
      <c r="D5" s="529"/>
      <c r="E5" s="529"/>
      <c r="F5" s="529"/>
      <c r="G5" s="529"/>
      <c r="H5" s="527"/>
      <c r="I5" s="527"/>
      <c r="J5" s="527"/>
      <c r="K5" s="527"/>
      <c r="L5" s="527"/>
      <c r="M5" s="532"/>
    </row>
    <row r="6" spans="1:13" x14ac:dyDescent="0.2">
      <c r="A6" s="527"/>
      <c r="B6" s="533" t="s">
        <v>516</v>
      </c>
      <c r="C6" s="529" t="s">
        <v>517</v>
      </c>
      <c r="D6" s="529"/>
      <c r="E6" s="529"/>
      <c r="F6" s="529"/>
      <c r="G6" s="529"/>
      <c r="H6" s="527"/>
      <c r="I6" s="534" t="e">
        <f>+D13</f>
        <v>#REF!</v>
      </c>
      <c r="J6" s="535" t="e">
        <f>I6*0.4</f>
        <v>#REF!</v>
      </c>
      <c r="K6" s="527"/>
      <c r="L6" s="527"/>
      <c r="M6" s="532"/>
    </row>
    <row r="7" spans="1:13" x14ac:dyDescent="0.2">
      <c r="A7" s="527"/>
      <c r="B7" s="536" t="s">
        <v>518</v>
      </c>
      <c r="C7" s="529" t="s">
        <v>519</v>
      </c>
      <c r="D7" s="529"/>
      <c r="E7" s="529"/>
      <c r="F7" s="529"/>
      <c r="G7" s="529"/>
      <c r="H7" s="527"/>
      <c r="I7" s="527"/>
      <c r="J7" s="535" t="e">
        <f>I6*0.45</f>
        <v>#REF!</v>
      </c>
      <c r="K7" s="527"/>
      <c r="L7" s="527"/>
      <c r="M7" s="527"/>
    </row>
    <row r="8" spans="1:13" x14ac:dyDescent="0.2">
      <c r="A8" s="527"/>
      <c r="B8" s="537"/>
      <c r="C8" s="537"/>
      <c r="D8" s="538" t="s">
        <v>520</v>
      </c>
      <c r="E8" s="539" t="s">
        <v>521</v>
      </c>
      <c r="F8" s="540" t="s">
        <v>522</v>
      </c>
      <c r="G8" s="541" t="s">
        <v>523</v>
      </c>
      <c r="H8" s="527"/>
      <c r="I8" s="527"/>
      <c r="J8" s="535" t="e">
        <f>I6*0.15</f>
        <v>#REF!</v>
      </c>
      <c r="K8" s="527"/>
      <c r="L8" s="527"/>
      <c r="M8" s="527"/>
    </row>
    <row r="9" spans="1:13" x14ac:dyDescent="0.2">
      <c r="A9" s="527"/>
      <c r="B9" s="537"/>
      <c r="C9" s="537"/>
      <c r="D9" s="537" t="s">
        <v>524</v>
      </c>
      <c r="E9" s="537" t="s">
        <v>525</v>
      </c>
      <c r="F9" s="537" t="s">
        <v>526</v>
      </c>
      <c r="G9" s="537" t="s">
        <v>527</v>
      </c>
      <c r="H9" s="542"/>
      <c r="I9" s="542"/>
      <c r="J9" s="543"/>
      <c r="K9" s="543"/>
      <c r="L9" s="542"/>
      <c r="M9" s="542"/>
    </row>
    <row r="10" spans="1:13" x14ac:dyDescent="0.2">
      <c r="A10" s="527"/>
      <c r="B10" s="529"/>
      <c r="C10" s="529"/>
      <c r="D10" s="544" t="s">
        <v>528</v>
      </c>
      <c r="E10" s="544" t="s">
        <v>529</v>
      </c>
      <c r="F10" s="544" t="s">
        <v>530</v>
      </c>
      <c r="G10" s="544" t="s">
        <v>531</v>
      </c>
      <c r="H10" s="527"/>
      <c r="I10" s="527"/>
      <c r="J10" s="527"/>
      <c r="K10" s="527"/>
      <c r="L10" s="527"/>
      <c r="M10" s="527"/>
    </row>
    <row r="11" spans="1:13" x14ac:dyDescent="0.2">
      <c r="A11" s="527"/>
      <c r="B11" s="527"/>
      <c r="C11" s="527"/>
      <c r="D11" s="527"/>
      <c r="E11" s="527"/>
      <c r="F11" s="527"/>
      <c r="G11" s="527"/>
      <c r="H11" s="527"/>
      <c r="I11" s="527"/>
      <c r="J11" s="527"/>
      <c r="K11" s="527"/>
      <c r="L11" s="527"/>
      <c r="M11" s="527"/>
    </row>
    <row r="12" spans="1:13" x14ac:dyDescent="0.2">
      <c r="A12" s="527"/>
      <c r="B12" s="527"/>
      <c r="C12" s="527"/>
      <c r="D12" s="527"/>
      <c r="E12" s="527"/>
      <c r="F12" s="535"/>
      <c r="G12" s="527"/>
      <c r="H12" s="527"/>
      <c r="I12" s="527"/>
      <c r="J12" s="527"/>
      <c r="K12" s="527"/>
      <c r="L12" s="527"/>
      <c r="M12" s="527"/>
    </row>
    <row r="13" spans="1:13" x14ac:dyDescent="0.2">
      <c r="A13" s="527"/>
      <c r="B13" s="545" t="s">
        <v>532</v>
      </c>
      <c r="C13" s="546"/>
      <c r="D13" s="547" t="e">
        <f>#REF!</f>
        <v>#REF!</v>
      </c>
      <c r="E13" s="527"/>
      <c r="F13" s="527"/>
      <c r="G13" s="527"/>
      <c r="H13" s="527"/>
      <c r="I13" s="527"/>
      <c r="J13" s="527"/>
      <c r="K13" s="527"/>
      <c r="L13" s="527"/>
      <c r="M13" s="527"/>
    </row>
    <row r="14" spans="1:13" x14ac:dyDescent="0.2">
      <c r="A14" s="527"/>
      <c r="B14" s="717" t="s">
        <v>533</v>
      </c>
      <c r="C14" s="717"/>
      <c r="D14" s="717"/>
      <c r="E14" s="717"/>
      <c r="F14" s="730" t="s">
        <v>534</v>
      </c>
      <c r="G14" s="730"/>
      <c r="H14" s="730"/>
      <c r="I14" s="730"/>
      <c r="J14" s="730" t="s">
        <v>535</v>
      </c>
      <c r="K14" s="730"/>
      <c r="L14" s="731" t="s">
        <v>536</v>
      </c>
      <c r="M14" s="732"/>
    </row>
    <row r="15" spans="1:13" ht="36" x14ac:dyDescent="0.2">
      <c r="A15" s="527"/>
      <c r="B15" s="717"/>
      <c r="C15" s="717"/>
      <c r="D15" s="717"/>
      <c r="E15" s="717"/>
      <c r="F15" s="544" t="s">
        <v>537</v>
      </c>
      <c r="G15" s="544" t="s">
        <v>538</v>
      </c>
      <c r="H15" s="548" t="s">
        <v>539</v>
      </c>
      <c r="I15" s="544" t="s">
        <v>540</v>
      </c>
      <c r="J15" s="544" t="s">
        <v>541</v>
      </c>
      <c r="K15" s="544" t="s">
        <v>542</v>
      </c>
      <c r="L15" s="548" t="s">
        <v>543</v>
      </c>
      <c r="M15" s="548" t="s">
        <v>544</v>
      </c>
    </row>
    <row r="16" spans="1:13" x14ac:dyDescent="0.2">
      <c r="A16" s="527"/>
      <c r="B16" s="714" t="s">
        <v>545</v>
      </c>
      <c r="C16" s="714"/>
      <c r="D16" s="714"/>
      <c r="E16" s="714"/>
      <c r="F16" s="544"/>
      <c r="G16" s="544"/>
      <c r="H16" s="548"/>
      <c r="I16" s="544"/>
      <c r="J16" s="544"/>
      <c r="K16" s="544"/>
      <c r="L16" s="549"/>
      <c r="M16" s="549"/>
    </row>
    <row r="17" spans="1:13" x14ac:dyDescent="0.2">
      <c r="A17" s="527"/>
      <c r="B17" s="702" t="s">
        <v>546</v>
      </c>
      <c r="C17" s="702"/>
      <c r="D17" s="702"/>
      <c r="E17" s="702"/>
      <c r="F17" s="544" t="s">
        <v>521</v>
      </c>
      <c r="G17" s="544" t="s">
        <v>521</v>
      </c>
      <c r="H17" s="716" t="e">
        <f>J6</f>
        <v>#REF!</v>
      </c>
      <c r="I17" s="716" t="e">
        <f>F18*G18*H17</f>
        <v>#REF!</v>
      </c>
      <c r="J17" s="717"/>
      <c r="K17" s="720" t="s">
        <v>547</v>
      </c>
      <c r="L17" s="709"/>
      <c r="M17" s="711" t="e">
        <f>I17</f>
        <v>#REF!</v>
      </c>
    </row>
    <row r="18" spans="1:13" x14ac:dyDescent="0.2">
      <c r="A18" s="527"/>
      <c r="B18" s="702"/>
      <c r="C18" s="702"/>
      <c r="D18" s="702"/>
      <c r="E18" s="702"/>
      <c r="F18" s="544">
        <v>0.25</v>
      </c>
      <c r="G18" s="544">
        <v>0.05</v>
      </c>
      <c r="H18" s="716"/>
      <c r="I18" s="716"/>
      <c r="J18" s="717"/>
      <c r="K18" s="720"/>
      <c r="L18" s="710"/>
      <c r="M18" s="710"/>
    </row>
    <row r="19" spans="1:13" x14ac:dyDescent="0.2">
      <c r="A19" s="527"/>
      <c r="B19" s="702" t="s">
        <v>548</v>
      </c>
      <c r="C19" s="702"/>
      <c r="D19" s="702"/>
      <c r="E19" s="702"/>
      <c r="F19" s="544" t="s">
        <v>549</v>
      </c>
      <c r="G19" s="544" t="s">
        <v>520</v>
      </c>
      <c r="H19" s="716" t="e">
        <f>J7</f>
        <v>#REF!</v>
      </c>
      <c r="I19" s="716" t="e">
        <f>F20*G20*H19</f>
        <v>#REF!</v>
      </c>
      <c r="J19" s="717"/>
      <c r="K19" s="720" t="s">
        <v>547</v>
      </c>
      <c r="L19" s="709"/>
      <c r="M19" s="711" t="e">
        <f>I19</f>
        <v>#REF!</v>
      </c>
    </row>
    <row r="20" spans="1:13" x14ac:dyDescent="0.2">
      <c r="A20" s="527"/>
      <c r="B20" s="702"/>
      <c r="C20" s="702"/>
      <c r="D20" s="702"/>
      <c r="E20" s="702"/>
      <c r="F20" s="544">
        <v>0.15</v>
      </c>
      <c r="G20" s="544">
        <v>0.04</v>
      </c>
      <c r="H20" s="716">
        <v>229350000</v>
      </c>
      <c r="I20" s="716"/>
      <c r="J20" s="717"/>
      <c r="K20" s="720"/>
      <c r="L20" s="710"/>
      <c r="M20" s="710"/>
    </row>
    <row r="21" spans="1:13" x14ac:dyDescent="0.2">
      <c r="A21" s="527"/>
      <c r="B21" s="702" t="s">
        <v>550</v>
      </c>
      <c r="C21" s="702"/>
      <c r="D21" s="702"/>
      <c r="E21" s="702"/>
      <c r="F21" s="544" t="s">
        <v>551</v>
      </c>
      <c r="G21" s="544" t="s">
        <v>520</v>
      </c>
      <c r="H21" s="716" t="e">
        <f>J8</f>
        <v>#REF!</v>
      </c>
      <c r="I21" s="716" t="e">
        <f>F22*G22*H21</f>
        <v>#REF!</v>
      </c>
      <c r="J21" s="717"/>
      <c r="K21" s="720" t="s">
        <v>547</v>
      </c>
      <c r="L21" s="709"/>
      <c r="M21" s="711" t="e">
        <f>I21</f>
        <v>#REF!</v>
      </c>
    </row>
    <row r="22" spans="1:13" x14ac:dyDescent="0.2">
      <c r="A22" s="527"/>
      <c r="B22" s="702"/>
      <c r="C22" s="702"/>
      <c r="D22" s="702"/>
      <c r="E22" s="702"/>
      <c r="F22" s="544">
        <v>0.15</v>
      </c>
      <c r="G22" s="544">
        <v>0.04</v>
      </c>
      <c r="H22" s="716">
        <v>46000000</v>
      </c>
      <c r="I22" s="716"/>
      <c r="J22" s="717"/>
      <c r="K22" s="720"/>
      <c r="L22" s="710"/>
      <c r="M22" s="710"/>
    </row>
    <row r="23" spans="1:13" x14ac:dyDescent="0.2">
      <c r="A23" s="527"/>
      <c r="B23" s="721" t="s">
        <v>552</v>
      </c>
      <c r="C23" s="721"/>
      <c r="D23" s="721"/>
      <c r="E23" s="721"/>
      <c r="F23" s="550" t="s">
        <v>521</v>
      </c>
      <c r="G23" s="550" t="s">
        <v>521</v>
      </c>
      <c r="H23" s="722" t="e">
        <f>+D13</f>
        <v>#REF!</v>
      </c>
      <c r="I23" s="722" t="e">
        <f>F24*G24*H23</f>
        <v>#REF!</v>
      </c>
      <c r="J23" s="551"/>
      <c r="K23" s="723" t="s">
        <v>547</v>
      </c>
      <c r="L23" s="724"/>
      <c r="M23" s="724" t="e">
        <f>I23</f>
        <v>#REF!</v>
      </c>
    </row>
    <row r="24" spans="1:13" x14ac:dyDescent="0.2">
      <c r="A24" s="527"/>
      <c r="B24" s="721"/>
      <c r="C24" s="721"/>
      <c r="D24" s="721"/>
      <c r="E24" s="721"/>
      <c r="F24" s="550">
        <v>0.25</v>
      </c>
      <c r="G24" s="550">
        <v>0.05</v>
      </c>
      <c r="H24" s="722">
        <v>46000001</v>
      </c>
      <c r="I24" s="722"/>
      <c r="J24" s="551"/>
      <c r="K24" s="723"/>
      <c r="L24" s="725"/>
      <c r="M24" s="725"/>
    </row>
    <row r="25" spans="1:13" x14ac:dyDescent="0.2">
      <c r="A25" s="527"/>
      <c r="B25" s="712" t="s">
        <v>553</v>
      </c>
      <c r="C25" s="712"/>
      <c r="D25" s="712"/>
      <c r="E25" s="712"/>
      <c r="F25" s="714"/>
      <c r="G25" s="714"/>
      <c r="H25" s="714"/>
      <c r="I25" s="714"/>
      <c r="J25" s="714"/>
      <c r="K25" s="714"/>
      <c r="L25" s="549"/>
      <c r="M25" s="549"/>
    </row>
    <row r="26" spans="1:13" x14ac:dyDescent="0.2">
      <c r="A26" s="527"/>
      <c r="B26" s="702" t="s">
        <v>554</v>
      </c>
      <c r="C26" s="702"/>
      <c r="D26" s="702"/>
      <c r="E26" s="702"/>
      <c r="F26" s="544" t="s">
        <v>521</v>
      </c>
      <c r="G26" s="544" t="s">
        <v>521</v>
      </c>
      <c r="H26" s="716" t="e">
        <f>I6</f>
        <v>#REF!</v>
      </c>
      <c r="I26" s="716" t="e">
        <f>F27*G27*H26</f>
        <v>#REF!</v>
      </c>
      <c r="J26" s="717"/>
      <c r="K26" s="720" t="s">
        <v>547</v>
      </c>
      <c r="L26" s="709"/>
      <c r="M26" s="716" t="e">
        <f>I26</f>
        <v>#REF!</v>
      </c>
    </row>
    <row r="27" spans="1:13" x14ac:dyDescent="0.2">
      <c r="A27" s="527"/>
      <c r="B27" s="702"/>
      <c r="C27" s="702"/>
      <c r="D27" s="702"/>
      <c r="E27" s="702"/>
      <c r="F27" s="544">
        <v>0.25</v>
      </c>
      <c r="G27" s="544">
        <v>0.05</v>
      </c>
      <c r="H27" s="716"/>
      <c r="I27" s="716"/>
      <c r="J27" s="717"/>
      <c r="K27" s="720"/>
      <c r="L27" s="710"/>
      <c r="M27" s="716"/>
    </row>
    <row r="28" spans="1:13" x14ac:dyDescent="0.2">
      <c r="A28" s="527"/>
      <c r="B28" s="712" t="s">
        <v>555</v>
      </c>
      <c r="C28" s="712"/>
      <c r="D28" s="713"/>
      <c r="E28" s="713"/>
      <c r="F28" s="714"/>
      <c r="G28" s="714"/>
      <c r="H28" s="715"/>
      <c r="I28" s="715"/>
      <c r="J28" s="714"/>
      <c r="K28" s="714"/>
      <c r="L28" s="549"/>
      <c r="M28" s="549"/>
    </row>
    <row r="29" spans="1:13" x14ac:dyDescent="0.2">
      <c r="A29" s="527"/>
      <c r="B29" s="702" t="s">
        <v>556</v>
      </c>
      <c r="C29" s="702"/>
      <c r="D29" s="702"/>
      <c r="E29" s="702"/>
      <c r="F29" s="544" t="s">
        <v>551</v>
      </c>
      <c r="G29" s="544" t="s">
        <v>520</v>
      </c>
      <c r="H29" s="719" t="e">
        <f>J8</f>
        <v>#REF!</v>
      </c>
      <c r="I29" s="716" t="e">
        <f>F30*G30*H29</f>
        <v>#REF!</v>
      </c>
      <c r="J29" s="717"/>
      <c r="K29" s="718" t="s">
        <v>547</v>
      </c>
      <c r="L29" s="709"/>
      <c r="M29" s="716" t="e">
        <f>I29</f>
        <v>#REF!</v>
      </c>
    </row>
    <row r="30" spans="1:13" x14ac:dyDescent="0.2">
      <c r="A30" s="527"/>
      <c r="B30" s="702"/>
      <c r="C30" s="702"/>
      <c r="D30" s="702"/>
      <c r="E30" s="702"/>
      <c r="F30" s="544">
        <v>0.249</v>
      </c>
      <c r="G30" s="544">
        <v>0.04</v>
      </c>
      <c r="H30" s="719"/>
      <c r="I30" s="716"/>
      <c r="J30" s="717"/>
      <c r="K30" s="718"/>
      <c r="L30" s="710"/>
      <c r="M30" s="716"/>
    </row>
    <row r="31" spans="1:13" x14ac:dyDescent="0.2">
      <c r="A31" s="527"/>
      <c r="B31" s="702" t="s">
        <v>557</v>
      </c>
      <c r="C31" s="702"/>
      <c r="D31" s="702"/>
      <c r="E31" s="702"/>
      <c r="F31" s="544" t="s">
        <v>521</v>
      </c>
      <c r="G31" s="544" t="s">
        <v>521</v>
      </c>
      <c r="H31" s="716" t="e">
        <f>J7</f>
        <v>#REF!</v>
      </c>
      <c r="I31" s="716" t="e">
        <f>F32*G32*H31</f>
        <v>#REF!</v>
      </c>
      <c r="J31" s="717"/>
      <c r="K31" s="718" t="s">
        <v>547</v>
      </c>
      <c r="L31" s="709"/>
      <c r="M31" s="711" t="e">
        <f>I31</f>
        <v>#REF!</v>
      </c>
    </row>
    <row r="32" spans="1:13" x14ac:dyDescent="0.2">
      <c r="A32" s="527"/>
      <c r="B32" s="702"/>
      <c r="C32" s="702"/>
      <c r="D32" s="702"/>
      <c r="E32" s="702"/>
      <c r="F32" s="544">
        <v>0.25</v>
      </c>
      <c r="G32" s="544">
        <v>0.05</v>
      </c>
      <c r="H32" s="716"/>
      <c r="I32" s="716"/>
      <c r="J32" s="717"/>
      <c r="K32" s="718"/>
      <c r="L32" s="710"/>
      <c r="M32" s="710"/>
    </row>
    <row r="33" spans="1:13" x14ac:dyDescent="0.2">
      <c r="A33" s="527"/>
      <c r="B33" s="712" t="s">
        <v>558</v>
      </c>
      <c r="C33" s="712"/>
      <c r="D33" s="712"/>
      <c r="E33" s="712"/>
      <c r="F33" s="714"/>
      <c r="G33" s="714"/>
      <c r="H33" s="714"/>
      <c r="I33" s="714"/>
      <c r="J33" s="714"/>
      <c r="K33" s="714"/>
      <c r="L33" s="549"/>
      <c r="M33" s="549"/>
    </row>
    <row r="34" spans="1:13" x14ac:dyDescent="0.2">
      <c r="A34" s="527"/>
      <c r="B34" s="702" t="s">
        <v>559</v>
      </c>
      <c r="C34" s="702"/>
      <c r="D34" s="702"/>
      <c r="E34" s="702"/>
      <c r="F34" s="544"/>
      <c r="G34" s="544"/>
      <c r="H34" s="716"/>
      <c r="I34" s="716"/>
      <c r="J34" s="717"/>
      <c r="K34" s="717"/>
      <c r="L34" s="709"/>
      <c r="M34" s="709"/>
    </row>
    <row r="35" spans="1:13" x14ac:dyDescent="0.2">
      <c r="A35" s="527"/>
      <c r="B35" s="702"/>
      <c r="C35" s="702"/>
      <c r="D35" s="702"/>
      <c r="E35" s="702"/>
      <c r="F35" s="544"/>
      <c r="G35" s="544"/>
      <c r="H35" s="716"/>
      <c r="I35" s="716"/>
      <c r="J35" s="717"/>
      <c r="K35" s="717"/>
      <c r="L35" s="710"/>
      <c r="M35" s="710"/>
    </row>
    <row r="36" spans="1:13" x14ac:dyDescent="0.2">
      <c r="A36" s="527"/>
      <c r="B36" s="712" t="s">
        <v>560</v>
      </c>
      <c r="C36" s="712"/>
      <c r="D36" s="713"/>
      <c r="E36" s="713"/>
      <c r="F36" s="714"/>
      <c r="G36" s="714"/>
      <c r="H36" s="715"/>
      <c r="I36" s="715"/>
      <c r="J36" s="714"/>
      <c r="K36" s="714"/>
      <c r="L36" s="549"/>
      <c r="M36" s="549"/>
    </row>
    <row r="37" spans="1:13" x14ac:dyDescent="0.2">
      <c r="A37" s="527"/>
      <c r="B37" s="702" t="s">
        <v>561</v>
      </c>
      <c r="C37" s="702"/>
      <c r="D37" s="702"/>
      <c r="E37" s="702"/>
      <c r="F37" s="544" t="s">
        <v>551</v>
      </c>
      <c r="G37" s="544" t="s">
        <v>520</v>
      </c>
      <c r="H37" s="716" t="e">
        <f>I6</f>
        <v>#REF!</v>
      </c>
      <c r="I37" s="716" t="e">
        <f>F38*G38*H37</f>
        <v>#REF!</v>
      </c>
      <c r="J37" s="717"/>
      <c r="K37" s="718" t="s">
        <v>547</v>
      </c>
      <c r="L37" s="709"/>
      <c r="M37" s="711" t="e">
        <f>I37</f>
        <v>#REF!</v>
      </c>
    </row>
    <row r="38" spans="1:13" x14ac:dyDescent="0.2">
      <c r="A38" s="527"/>
      <c r="B38" s="702"/>
      <c r="C38" s="702"/>
      <c r="D38" s="702"/>
      <c r="E38" s="702"/>
      <c r="F38" s="544">
        <v>0.05</v>
      </c>
      <c r="G38" s="544">
        <v>0.02</v>
      </c>
      <c r="H38" s="716"/>
      <c r="I38" s="716"/>
      <c r="J38" s="717"/>
      <c r="K38" s="718"/>
      <c r="L38" s="710"/>
      <c r="M38" s="710"/>
    </row>
    <row r="39" spans="1:13" x14ac:dyDescent="0.2">
      <c r="A39" s="527"/>
      <c r="B39" s="712" t="s">
        <v>562</v>
      </c>
      <c r="C39" s="712"/>
      <c r="D39" s="713"/>
      <c r="E39" s="713"/>
      <c r="F39" s="714"/>
      <c r="G39" s="714"/>
      <c r="H39" s="715"/>
      <c r="I39" s="715"/>
      <c r="J39" s="714"/>
      <c r="K39" s="714"/>
      <c r="L39" s="549"/>
      <c r="M39" s="549"/>
    </row>
    <row r="40" spans="1:13" x14ac:dyDescent="0.2">
      <c r="A40" s="527"/>
      <c r="B40" s="702" t="s">
        <v>563</v>
      </c>
      <c r="C40" s="702"/>
      <c r="D40" s="702"/>
      <c r="E40" s="702"/>
      <c r="F40" s="544" t="s">
        <v>549</v>
      </c>
      <c r="G40" s="544" t="s">
        <v>520</v>
      </c>
      <c r="H40" s="716" t="e">
        <f>J6</f>
        <v>#REF!</v>
      </c>
      <c r="I40" s="716" t="e">
        <f>F41*G41*H40</f>
        <v>#REF!</v>
      </c>
      <c r="J40" s="717"/>
      <c r="K40" s="718" t="s">
        <v>547</v>
      </c>
      <c r="L40" s="709"/>
      <c r="M40" s="711" t="e">
        <f>I40</f>
        <v>#REF!</v>
      </c>
    </row>
    <row r="41" spans="1:13" x14ac:dyDescent="0.2">
      <c r="A41" s="527"/>
      <c r="B41" s="702"/>
      <c r="C41" s="702"/>
      <c r="D41" s="702"/>
      <c r="E41" s="702"/>
      <c r="F41" s="544">
        <v>0.15</v>
      </c>
      <c r="G41" s="544">
        <v>0.04</v>
      </c>
      <c r="H41" s="716"/>
      <c r="I41" s="716"/>
      <c r="J41" s="717"/>
      <c r="K41" s="718"/>
      <c r="L41" s="710"/>
      <c r="M41" s="710"/>
    </row>
    <row r="42" spans="1:13" x14ac:dyDescent="0.2">
      <c r="A42" s="527"/>
      <c r="B42" s="712" t="s">
        <v>564</v>
      </c>
      <c r="C42" s="712"/>
      <c r="D42" s="713"/>
      <c r="E42" s="713"/>
      <c r="F42" s="714"/>
      <c r="G42" s="714"/>
      <c r="H42" s="715"/>
      <c r="I42" s="715"/>
      <c r="J42" s="714"/>
      <c r="K42" s="714"/>
      <c r="L42" s="549"/>
      <c r="M42" s="549"/>
    </row>
    <row r="43" spans="1:13" x14ac:dyDescent="0.2">
      <c r="A43" s="527"/>
      <c r="B43" s="702" t="s">
        <v>559</v>
      </c>
      <c r="C43" s="702"/>
      <c r="D43" s="702"/>
      <c r="E43" s="702"/>
      <c r="F43" s="544"/>
      <c r="G43" s="544"/>
      <c r="H43" s="716"/>
      <c r="I43" s="716"/>
      <c r="J43" s="552"/>
      <c r="K43" s="552"/>
      <c r="L43" s="709"/>
      <c r="M43" s="709"/>
    </row>
    <row r="44" spans="1:13" x14ac:dyDescent="0.2">
      <c r="A44" s="527"/>
      <c r="B44" s="702"/>
      <c r="C44" s="702"/>
      <c r="D44" s="702"/>
      <c r="E44" s="702"/>
      <c r="F44" s="544"/>
      <c r="G44" s="544"/>
      <c r="H44" s="716"/>
      <c r="I44" s="716"/>
      <c r="J44" s="552"/>
      <c r="K44" s="552"/>
      <c r="L44" s="710"/>
      <c r="M44" s="710"/>
    </row>
    <row r="45" spans="1:13" x14ac:dyDescent="0.2">
      <c r="A45" s="527"/>
      <c r="B45" s="712" t="s">
        <v>565</v>
      </c>
      <c r="C45" s="712"/>
      <c r="D45" s="712"/>
      <c r="E45" s="712"/>
      <c r="F45" s="714"/>
      <c r="G45" s="714"/>
      <c r="H45" s="714"/>
      <c r="I45" s="714"/>
      <c r="J45" s="714"/>
      <c r="K45" s="714"/>
      <c r="L45" s="549"/>
      <c r="M45" s="549"/>
    </row>
    <row r="46" spans="1:13" x14ac:dyDescent="0.2">
      <c r="A46" s="527"/>
      <c r="B46" s="702" t="s">
        <v>559</v>
      </c>
      <c r="C46" s="702"/>
      <c r="D46" s="702"/>
      <c r="E46" s="702"/>
      <c r="F46" s="544"/>
      <c r="G46" s="544"/>
      <c r="H46" s="553"/>
      <c r="I46" s="529"/>
      <c r="J46" s="552"/>
      <c r="K46" s="552"/>
      <c r="L46" s="549"/>
      <c r="M46" s="549"/>
    </row>
    <row r="47" spans="1:13" x14ac:dyDescent="0.2">
      <c r="A47" s="527"/>
      <c r="B47" s="702"/>
      <c r="C47" s="702"/>
      <c r="D47" s="702"/>
      <c r="E47" s="702"/>
      <c r="F47" s="544"/>
      <c r="G47" s="544"/>
      <c r="H47" s="554"/>
      <c r="I47" s="554"/>
      <c r="J47" s="552"/>
      <c r="K47" s="552"/>
      <c r="L47" s="549"/>
      <c r="M47" s="549"/>
    </row>
    <row r="48" spans="1:13" x14ac:dyDescent="0.2">
      <c r="A48" s="527"/>
      <c r="B48" s="703" t="s">
        <v>566</v>
      </c>
      <c r="C48" s="704"/>
      <c r="D48" s="704"/>
      <c r="E48" s="704"/>
      <c r="F48" s="704"/>
      <c r="G48" s="704"/>
      <c r="H48" s="704"/>
      <c r="I48" s="704"/>
      <c r="J48" s="704"/>
      <c r="K48" s="705"/>
      <c r="L48" s="555">
        <f>ROUND(SUM(L23:L47),0)</f>
        <v>0</v>
      </c>
      <c r="M48" s="555" t="e">
        <f>SUM(M17:M47)</f>
        <v>#REF!</v>
      </c>
    </row>
    <row r="49" spans="1:13" x14ac:dyDescent="0.2">
      <c r="A49" s="527"/>
      <c r="B49" s="706" t="s">
        <v>567</v>
      </c>
      <c r="C49" s="707"/>
      <c r="D49" s="707"/>
      <c r="E49" s="707"/>
      <c r="F49" s="707"/>
      <c r="G49" s="707"/>
      <c r="H49" s="707"/>
      <c r="I49" s="707"/>
      <c r="J49" s="707"/>
      <c r="K49" s="708"/>
      <c r="L49" s="556" t="e">
        <f>(L48*100)/D13</f>
        <v>#REF!</v>
      </c>
      <c r="M49" s="556" t="e">
        <f>(M48*100)/D13</f>
        <v>#REF!</v>
      </c>
    </row>
  </sheetData>
  <mergeCells count="104">
    <mergeCell ref="B2:G2"/>
    <mergeCell ref="B14:E15"/>
    <mergeCell ref="F14:I14"/>
    <mergeCell ref="J14:K14"/>
    <mergeCell ref="L14:M14"/>
    <mergeCell ref="B16:E16"/>
    <mergeCell ref="M17:M18"/>
    <mergeCell ref="B19:E20"/>
    <mergeCell ref="H19:H20"/>
    <mergeCell ref="I19:I20"/>
    <mergeCell ref="J19:J20"/>
    <mergeCell ref="K19:K20"/>
    <mergeCell ref="L19:L20"/>
    <mergeCell ref="M19:M20"/>
    <mergeCell ref="B17:E18"/>
    <mergeCell ref="H17:H18"/>
    <mergeCell ref="I17:I18"/>
    <mergeCell ref="J17:J18"/>
    <mergeCell ref="K17:K18"/>
    <mergeCell ref="L17:L18"/>
    <mergeCell ref="B25:E25"/>
    <mergeCell ref="F25:I25"/>
    <mergeCell ref="J25:K25"/>
    <mergeCell ref="B26:E27"/>
    <mergeCell ref="H26:H27"/>
    <mergeCell ref="I26:I27"/>
    <mergeCell ref="J26:J27"/>
    <mergeCell ref="K26:K27"/>
    <mergeCell ref="M21:M22"/>
    <mergeCell ref="B23:E24"/>
    <mergeCell ref="H23:H24"/>
    <mergeCell ref="I23:I24"/>
    <mergeCell ref="K23:K24"/>
    <mergeCell ref="L23:L24"/>
    <mergeCell ref="M23:M24"/>
    <mergeCell ref="B21:E22"/>
    <mergeCell ref="H21:H22"/>
    <mergeCell ref="I21:I22"/>
    <mergeCell ref="J21:J22"/>
    <mergeCell ref="K21:K22"/>
    <mergeCell ref="L21:L22"/>
    <mergeCell ref="M29:M30"/>
    <mergeCell ref="B31:E32"/>
    <mergeCell ref="H31:H32"/>
    <mergeCell ref="I31:I32"/>
    <mergeCell ref="J31:J32"/>
    <mergeCell ref="K31:K32"/>
    <mergeCell ref="L31:L32"/>
    <mergeCell ref="M31:M32"/>
    <mergeCell ref="L26:L27"/>
    <mergeCell ref="M26:M27"/>
    <mergeCell ref="B28:E28"/>
    <mergeCell ref="F28:I28"/>
    <mergeCell ref="J28:K28"/>
    <mergeCell ref="B29:E30"/>
    <mergeCell ref="H29:H30"/>
    <mergeCell ref="I29:I30"/>
    <mergeCell ref="J29:J30"/>
    <mergeCell ref="K29:K30"/>
    <mergeCell ref="B33:E33"/>
    <mergeCell ref="F33:I33"/>
    <mergeCell ref="J33:K33"/>
    <mergeCell ref="B34:E35"/>
    <mergeCell ref="H34:H35"/>
    <mergeCell ref="I34:I35"/>
    <mergeCell ref="J34:J35"/>
    <mergeCell ref="K34:K35"/>
    <mergeCell ref="L29:L30"/>
    <mergeCell ref="L34:L35"/>
    <mergeCell ref="M34:M35"/>
    <mergeCell ref="B36:E36"/>
    <mergeCell ref="F36:I36"/>
    <mergeCell ref="J36:K36"/>
    <mergeCell ref="B37:E38"/>
    <mergeCell ref="H37:H38"/>
    <mergeCell ref="I37:I38"/>
    <mergeCell ref="J37:J38"/>
    <mergeCell ref="K37:K38"/>
    <mergeCell ref="L37:L38"/>
    <mergeCell ref="M37:M38"/>
    <mergeCell ref="B39:E39"/>
    <mergeCell ref="F39:I39"/>
    <mergeCell ref="J39:K39"/>
    <mergeCell ref="B40:E41"/>
    <mergeCell ref="H40:H41"/>
    <mergeCell ref="I40:I41"/>
    <mergeCell ref="J40:J41"/>
    <mergeCell ref="K40:K41"/>
    <mergeCell ref="B45:E45"/>
    <mergeCell ref="F45:I45"/>
    <mergeCell ref="J45:K45"/>
    <mergeCell ref="B46:E47"/>
    <mergeCell ref="B48:K48"/>
    <mergeCell ref="B49:K49"/>
    <mergeCell ref="L40:L41"/>
    <mergeCell ref="M40:M41"/>
    <mergeCell ref="B42:E42"/>
    <mergeCell ref="F42:I42"/>
    <mergeCell ref="J42:K42"/>
    <mergeCell ref="B43:E44"/>
    <mergeCell ref="H43:H44"/>
    <mergeCell ref="I43:I44"/>
    <mergeCell ref="L43:L44"/>
    <mergeCell ref="M43:M4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25</vt:i4>
      </vt:variant>
      <vt:variant>
        <vt:lpstr>Rangos con nombre</vt:lpstr>
      </vt:variant>
      <vt:variant>
        <vt:i4>1</vt:i4>
      </vt:variant>
    </vt:vector>
  </HeadingPairs>
  <TitlesOfParts>
    <vt:vector size="26" baseType="lpstr">
      <vt:lpstr>Listado de Actividades</vt:lpstr>
      <vt:lpstr>Resumen</vt:lpstr>
      <vt:lpstr>Mano de Obra (JORNAL)</vt:lpstr>
      <vt:lpstr>COSTOSaisla Madera 4 caras</vt:lpstr>
      <vt:lpstr>Mtto Agroforestales</vt:lpstr>
      <vt:lpstr>BEBEDERO PLASTICO</vt:lpstr>
      <vt:lpstr>COSTOS Revegetalizacion</vt:lpstr>
      <vt:lpstr>COSTOS aisla Guadua</vt:lpstr>
      <vt:lpstr>Mtto Plantaciones UN AÑO Piloto</vt:lpstr>
      <vt:lpstr>CERCA VIVA Estacas</vt:lpstr>
      <vt:lpstr>COSTO talleres</vt:lpstr>
      <vt:lpstr>Profesionales</vt:lpstr>
      <vt:lpstr>PROMOTOR AMBIENTAL</vt:lpstr>
      <vt:lpstr>COSTOS agrofor Urbanos</vt:lpstr>
      <vt:lpstr>COSTOS RESTAURACION ISLAS </vt:lpstr>
      <vt:lpstr>COSTOS agroforest caucho</vt:lpstr>
      <vt:lpstr>COSTOS agroforest cacao</vt:lpstr>
      <vt:lpstr>COSTOSaisla Rollisa o 3 caras</vt:lpstr>
      <vt:lpstr>CERCA VIVA E INERTE</vt:lpstr>
      <vt:lpstr>MTO CERCA VARIOS ESTACONES</vt:lpstr>
      <vt:lpstr>BIOINGENIERIA</vt:lpstr>
      <vt:lpstr>ESTUFA EFICIENTE TIPO HUELLA</vt:lpstr>
      <vt:lpstr>SIEMBRA ARBOLES AGROFORESTALES</vt:lpstr>
      <vt:lpstr>GEOREFERENCIACIÓN_ACTIVIDADES</vt:lpstr>
      <vt:lpstr>Riesgos</vt:lpstr>
      <vt:lpstr>'COSTOSaisla Madera 4 caras'!Área_de_impresión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Natalia</cp:lastModifiedBy>
  <cp:lastPrinted>2018-11-09T14:19:45Z</cp:lastPrinted>
  <dcterms:created xsi:type="dcterms:W3CDTF">1996-11-27T10:00:04Z</dcterms:created>
  <dcterms:modified xsi:type="dcterms:W3CDTF">2020-09-10T13:44:04Z</dcterms:modified>
</cp:coreProperties>
</file>