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asus\Desktop\info0725\DANIELA\EDURHA DABEIBA\EDURHA 2025\ORDENES DE SERVICIOS, SUMINISTROS\SMC 060 DE 2025 ALCANTARILLADO PABLO VI\"/>
    </mc:Choice>
  </mc:AlternateContent>
  <xr:revisionPtr revIDLastSave="0" documentId="13_ncr:1_{1257CE27-A1AF-44D3-B8D3-D80232F039E3}" xr6:coauthVersionLast="47" xr6:coauthVersionMax="47" xr10:uidLastSave="{00000000-0000-0000-0000-000000000000}"/>
  <bookViews>
    <workbookView xWindow="-120" yWindow="-120" windowWidth="20730" windowHeight="11040" tabRatio="762" firstSheet="1" activeTab="1" xr2:uid="{00000000-000D-0000-FFFF-FFFF00000000}"/>
  </bookViews>
  <sheets>
    <sheet name="DATOS INICIALES" sheetId="1" r:id="rId1"/>
    <sheet name="FICHA TECNICA" sheetId="25" r:id="rId2"/>
    <sheet name="PRESUPUESTO" sheetId="2" r:id="rId3"/>
    <sheet name="APU" sheetId="3" r:id="rId4"/>
    <sheet name="PAGA" sheetId="13" state="hidden" r:id="rId5"/>
    <sheet name="PMT" sheetId="24" state="hidden" r:id="rId6"/>
    <sheet name="PAPSO " sheetId="21" state="hidden" r:id="rId7"/>
    <sheet name="INTERVENTORIA" sheetId="14" state="hidden" r:id="rId8"/>
    <sheet name="FM INTERVENTORIA" sheetId="15" state="hidden" r:id="rId9"/>
    <sheet name="POLIZAS INTERVENTORIA" sheetId="17" state="hidden" r:id="rId10"/>
    <sheet name="PAPSO INTERVENTORIA" sheetId="16" state="hidden" r:id="rId11"/>
    <sheet name="MEMORIAS" sheetId="18" r:id="rId12"/>
    <sheet name="INSUMOS MATERIALES" sheetId="5" r:id="rId13"/>
    <sheet name="APU AUXILIARES" sheetId="10" r:id="rId14"/>
    <sheet name="INSUMOS EQUIPOS" sheetId="4" r:id="rId15"/>
    <sheet name="AIU" sheetId="11" r:id="rId16"/>
    <sheet name="INSUMOS MANO DE OBRA" sheetId="7" r:id="rId17"/>
    <sheet name="FACTOR PRESTACIONAL" sheetId="8" r:id="rId18"/>
    <sheet name="INSUMOS TRANSPORTES" sheetId="6" r:id="rId19"/>
    <sheet name="INSUMOS SERVICIOS" sheetId="9" r:id="rId20"/>
  </sheets>
  <externalReferences>
    <externalReference r:id="rId21"/>
    <externalReference r:id="rId22"/>
    <externalReference r:id="rId23"/>
    <externalReference r:id="rId24"/>
    <externalReference r:id="rId25"/>
    <externalReference r:id="rId26"/>
    <externalReference r:id="rId27"/>
  </externalReferences>
  <definedNames>
    <definedName name="_________key2" hidden="1">[1]INST!#REF!</definedName>
    <definedName name="________key2" hidden="1">[2]INST!#REF!</definedName>
    <definedName name="________key3" hidden="1">#REF!</definedName>
    <definedName name="____R" localSheetId="6"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key2" hidden="1">[2]INST!#REF!</definedName>
    <definedName name="___key3" hidden="1">#REF!</definedName>
    <definedName name="___key31" hidden="1">#REF!</definedName>
    <definedName name="___R" localSheetId="6"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hidden="1">{#N/A,#N/A,TRUE,"1842CWN0"}</definedName>
    <definedName name="_abc2" localSheetId="6" hidden="1">{#N/A,#N/A,TRUE,"1842CWN0"}</definedName>
    <definedName name="_abc2" hidden="1">{#N/A,#N/A,TRUE,"1842CWN0"}</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[4]MPC3I4!$2552:$3906</definedName>
    <definedName name="_Fill" hidden="1">#REF!</definedName>
    <definedName name="_Fill1" hidden="1">#REF!</definedName>
    <definedName name="_xlnm._FilterDatabase" localSheetId="14" hidden="1">'INSUMOS EQUIPOS'!$A$7:$D$44</definedName>
    <definedName name="_xlnm._FilterDatabase" localSheetId="12" hidden="1">'INSUMOS MATERIALES'!$A$7:$D$108</definedName>
    <definedName name="_xlnm._FilterDatabase" localSheetId="18" hidden="1">'INSUMOS TRANSPORTES'!$A$7:$D$7</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hg1" localSheetId="6" hidden="1">{#N/A,#N/A,TRUE,"1842CWN0"}</definedName>
    <definedName name="_hhg1" hidden="1">{#N/A,#N/A,TRUE,"1842CWN0"}</definedName>
    <definedName name="_i4" localSheetId="6"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6"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hidden="1">#REF!</definedName>
    <definedName name="_r4r" localSheetId="6"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hidden="1">{"via1",#N/A,TRUE,"general";"via2",#N/A,TRUE,"general";"via3",#N/A,TRUE,"general"}</definedName>
    <definedName name="_Sort" hidden="1">#REF!</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a" localSheetId="6" hidden="1">{#N/A,#N/A,FALSE,"Aging Summary";#N/A,#N/A,FALSE,"Ratio Analysis";#N/A,#N/A,FALSE,"Test 120 Day Accts";#N/A,#N/A,FALSE,"Tickmarks"}</definedName>
    <definedName name="aaa" hidden="1">{#N/A,#N/A,FALSE,"Aging Summary";#N/A,#N/A,FALSE,"Ratio Analysis";#N/A,#N/A,FALSE,"Test 120 Day Accts";#N/A,#N/A,FALSE,"Tickmarks"}</definedName>
    <definedName name="aaaa" localSheetId="6"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6" hidden="1">{"via1",#N/A,TRUE,"general";"via2",#N/A,TRUE,"general";"via3",#N/A,TRUE,"general"}</definedName>
    <definedName name="ADFGSDB" hidden="1">{"via1",#N/A,TRUE,"general";"via2",#N/A,TRUE,"general";"via3",#N/A,TRUE,"general"}</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hidden="1">{"via1",#N/A,TRUE,"general";"via2",#N/A,TRUE,"general";"via3",#N/A,TRUE,"general"}</definedName>
    <definedName name="APU">APU!#REF!</definedName>
    <definedName name="APUAUXILIARES">'APU AUXILIARES'!$A$1:$G$807</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_xlnm.Print_Area" localSheetId="3">APU!$A$1:$G$342</definedName>
    <definedName name="_xlnm.Print_Area" localSheetId="0">'DATOS INICIALES'!$A$1:$B$37</definedName>
    <definedName name="_xlnm.Print_Area" localSheetId="17">'FACTOR PRESTACIONAL'!$A$1:$BC$32</definedName>
    <definedName name="_xlnm.Print_Area" localSheetId="1">'FICHA TECNICA'!$A$1:$H$18</definedName>
    <definedName name="_xlnm.Print_Area" localSheetId="8">'FM INTERVENTORIA'!$A$1:$H$50</definedName>
    <definedName name="_xlnm.Print_Area" localSheetId="16">'INSUMOS MANO DE OBRA'!$A$1:$H$71</definedName>
    <definedName name="_xlnm.Print_Area" localSheetId="4">PAGA!$A$1:$F$50</definedName>
    <definedName name="_xlnm.Print_Area" localSheetId="6">'PAPSO '!$A$1:$I$25</definedName>
    <definedName name="_xlnm.Print_Area" localSheetId="10">'PAPSO INTERVENTORIA'!$A$1:$H$28</definedName>
    <definedName name="_xlnm.Print_Area" localSheetId="9">'POLIZAS INTERVENTORIA'!$A$1:$G$31</definedName>
    <definedName name="_xlnm.Print_Area" localSheetId="2">PRESUPUESTO!$A$1:$H$20</definedName>
    <definedName name="ARRENDAM1" localSheetId="6"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6"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A" localSheetId="6"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bbbbb" localSheetId="6"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hidden="1">{"via1",#N/A,TRUE,"general";"via2",#N/A,TRUE,"general";"via3",#N/A,TRUE,"general"}</definedName>
    <definedName name="BLPH1" hidden="1">#REF!</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BWorkbookPriority" hidden="1">-1602700874</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dcdc" localSheetId="6" hidden="1">{"via1",#N/A,TRUE,"general";"via2",#N/A,TRUE,"general";"via3",#N/A,TRUE,"general"}</definedName>
    <definedName name="cdcdc" hidden="1">{"via1",#N/A,TRUE,"general";"via2",#N/A,TRUE,"general";"via3",#N/A,TRUE,"general"}</definedName>
    <definedName name="cdfgrtfd" hidden="1">#REF!</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entro" localSheetId="6"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'INSUMOS EQUIPOS'!$A$7:$A$50</definedName>
    <definedName name="CODIGOMATERIALES">'INSUMOS MATERIALES'!$A$7:$A$103</definedName>
    <definedName name="CÓDIGOS_EQUIPOS">'[7]INSUMOS EQUIPOS'!$A$8:$A$105</definedName>
    <definedName name="CÓDIGOS_MANO_DE_OBRA">'[7]INSUMOS MANO DE OBRA'!$A$8:$A$63</definedName>
    <definedName name="CODIGOSMANODEOBRA">'INSUMOS MANO DE OBRA'!$A$7:$A$61</definedName>
    <definedName name="CODIGOSSERVICIOS">'INSUMOS SERVICIOS'!$A$7:$A$21</definedName>
    <definedName name="CODIGOTRANSPORTES">'INSUMOS TRANSPORTES'!$A$7:$A$33</definedName>
    <definedName name="_xlnm.Criteria" localSheetId="6"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6"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6" hidden="1">{"via1",#N/A,TRUE,"general";"via2",#N/A,TRUE,"general";"via3",#N/A,TRUE,"general"}</definedName>
    <definedName name="CUNET" hidden="1">{"via1",#N/A,TRUE,"general";"via2",#N/A,TRUE,"general";"via3",#N/A,TRUE,"general"}</definedName>
    <definedName name="cvbcvbf" localSheetId="6"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hidden="1">{"via1",#N/A,TRUE,"general";"via2",#N/A,TRUE,"general";"via3",#N/A,TRUE,"general"}</definedName>
    <definedName name="D" localSheetId="6" hidden="1">{"PYGT",#N/A,FALSE,"PYG";"ACTIT",#N/A,FALSE,"BCE_GRAL-ACTIVO";"PASIT",#N/A,FALSE,"BCE_GRAL-PASIVO-PATRIM";"CAJAT",#N/A,FALSE,"CAJA"}</definedName>
    <definedName name="D" hidden="1">{"PYGT",#N/A,FALSE,"PYG";"ACTIT",#N/A,FALSE,"BCE_GRAL-ACTIVO";"PASIT",#N/A,FALSE,"BCE_GRAL-PASIVO-PATRIM";"CAJAT",#N/A,FALSE,"CAJA"}</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hidden="1">{"via1",#N/A,TRUE,"general";"via2",#N/A,TRUE,"general";"via3",#N/A,TRUE,"general"}</definedName>
    <definedName name="DDDD" localSheetId="6"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hidden="1">{"via1",#N/A,TRUE,"general";"via2",#N/A,TRUE,"general";"via3",#N/A,TRUE,"general"}</definedName>
    <definedName name="DESFRE" localSheetId="6"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hidden="1">{"via1",#N/A,TRUE,"general";"via2",#N/A,TRUE,"general";"via3",#N/A,TRUE,"general"}</definedName>
    <definedName name="DISTRIBUCION" localSheetId="6"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ry" localSheetId="6"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3e33" localSheetId="6" hidden="1">{"via1",#N/A,TRUE,"general";"via2",#N/A,TRUE,"general";"via3",#N/A,TRUE,"general"}</definedName>
    <definedName name="e3e33" hidden="1">{"via1",#N/A,TRUE,"general";"via2",#N/A,TRUE,"general";"via3",#N/A,TRUE,"general"}</definedName>
    <definedName name="Ebitda" localSheetId="6"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hidden="1">{"via1",#N/A,TRUE,"general";"via2",#N/A,TRUE,"general";"via3",#N/A,TRUE,"general"}</definedName>
    <definedName name="EE" hidden="1">#REF!</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qw" localSheetId="6" hidden="1">{"via1",#N/A,TRUE,"general";"via2",#N/A,TRUE,"general";"via3",#N/A,TRUE,"general"}</definedName>
    <definedName name="eqw" hidden="1">{"via1",#N/A,TRUE,"general";"via2",#N/A,TRUE,"general";"via3",#N/A,TRUE,"general"}</definedName>
    <definedName name="erfg" localSheetId="6" hidden="1">{#N/A,#N/A,FALSE,"Hoja1";#N/A,#N/A,FALSE,"Hoja2"}</definedName>
    <definedName name="erfg" hidden="1">{#N/A,#N/A,FALSE,"Hoja1";#N/A,#N/A,FALSE,"Hoja2"}</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6"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CENARIO" localSheetId="6"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6" hidden="1">{"PYGT",#N/A,FALSE,"PYG";"ACTIT",#N/A,FALSE,"BCE_GRAL-ACTIVO";"PASIT",#N/A,FALSE,"BCE_GRAL-PASIVO-PATRIM";"CAJAT",#N/A,FALSE,"CAJA"}</definedName>
    <definedName name="este" hidden="1">{"PYGT",#N/A,FALSE,"PYG";"ACTIT",#N/A,FALSE,"BCE_GRAL-ACTIVO";"PASIT",#N/A,FALSE,"BCE_GRAL-PASIVO-PATRIM";"CAJAT",#N/A,FALSE,"CAJA"}</definedName>
    <definedName name="ESTEWW" localSheetId="6"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6"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6" hidden="1">{#N/A,#N/A,TRUE,"INGENIERIA";#N/A,#N/A,TRUE,"COMPRAS";#N/A,#N/A,TRUE,"DIRECCION";#N/A,#N/A,TRUE,"RESUMEN"}</definedName>
    <definedName name="ESTRUCTURA" hidden="1">{#N/A,#N/A,TRUE,"INGENIERIA";#N/A,#N/A,TRUE,"COMPRAS";#N/A,#N/A,TRUE,"DIRECCION";#N/A,#N/A,TRUE,"RESUMEN"}</definedName>
    <definedName name="etertgg" localSheetId="6" hidden="1">{"via1",#N/A,TRUE,"general";"via2",#N/A,TRUE,"general";"via3",#N/A,TRUE,"general"}</definedName>
    <definedName name="etertgg" hidden="1">{"via1",#N/A,TRUE,"general";"via2",#N/A,TRUE,"general";"via3",#N/A,TRUE,"general"}</definedName>
    <definedName name="etertt" localSheetId="6" hidden="1">{#N/A,#N/A,TRUE,"1842CWN0"}</definedName>
    <definedName name="etertt" hidden="1">{#N/A,#N/A,TRUE,"1842CWN0"}</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PRESTACIONAL">'FACTOR PRESTACIONAL'!$A$7:$BE$32</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hidden="1">{"via1",#N/A,TRUE,"general";"via2",#N/A,TRUE,"general";"via3",#N/A,TRUE,"general"}</definedName>
    <definedName name="fhg" localSheetId="6" hidden="1">{#N/A,#N/A,TRUE,"1842CWN0"}</definedName>
    <definedName name="fhg" hidden="1">{#N/A,#N/A,TRUE,"1842CWN0"}</definedName>
    <definedName name="fhgh" localSheetId="6"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DUCIASOCTUBRE" localSheetId="6"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hidden="1">{"via1",#N/A,TRUE,"general";"via2",#N/A,TRUE,"general";"via3",#N/A,TRUE,"general"}</definedName>
    <definedName name="FREV" localSheetId="6" hidden="1">{"PYGT",#N/A,FALSE,"PYG";"ACTIT",#N/A,FALSE,"BCE_GRAL-ACTIVO";"PASIT",#N/A,FALSE,"BCE_GRAL-PASIVO-PATRIM";"CAJAT",#N/A,FALSE,"CAJA"}</definedName>
    <definedName name="FREV" hidden="1">{"PYGT",#N/A,FALSE,"PYG";"ACTIT",#N/A,FALSE,"BCE_GRAL-ACTIVO";"PASIT",#N/A,FALSE,"BCE_GRAL-PASIVO-PATRIM";"CAJAT",#N/A,FALSE,"CAJA"}</definedName>
    <definedName name="frfa" localSheetId="6"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wff" localSheetId="6"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astos" localSheetId="6"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6"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hidden="1">{"via1",#N/A,TRUE,"general";"via2",#N/A,TRUE,"general";"via3",#N/A,TRUE,"general"}</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hidden="1">{"via1",#N/A,TRUE,"general";"via2",#N/A,TRUE,"general";"via3",#N/A,TRUE,"general"}</definedName>
    <definedName name="ggdr" localSheetId="6"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hidden="1">{"via1",#N/A,TRUE,"general";"via2",#N/A,TRUE,"general";"via3",#N/A,TRUE,"general"}</definedName>
    <definedName name="ggjgjkg" localSheetId="6" hidden="1">{#N/A,#N/A,TRUE,"1842CWN0"}</definedName>
    <definedName name="ggjgjkg" hidden="1">{#N/A,#N/A,TRUE,"1842CWN0"}</definedName>
    <definedName name="ggtgt" localSheetId="6"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hidden="1">{#N/A,#N/A,TRUE,"1842CWN0"}</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hidden="1">{"via1",#N/A,TRUE,"general";"via2",#N/A,TRUE,"general";"via3",#N/A,TRUE,"general"}</definedName>
    <definedName name="GRAF1ANO" localSheetId="6"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hidden="1">{"via1",#N/A,TRUE,"general";"via2",#N/A,TRUE,"general";"via3",#N/A,TRUE,"general"}</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hidden="1">{"via1",#N/A,TRUE,"general";"via2",#N/A,TRUE,"general";"via3",#N/A,TRUE,"general"}</definedName>
    <definedName name="gtgt" localSheetId="6"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g" localSheetId="6" hidden="1">{#N/A,#N/A,TRUE,"1842CWN0"}</definedName>
    <definedName name="hhg" hidden="1">{#N/A,#N/A,TRUE,"1842CWN0"}</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hidden="1">{"via1",#N/A,TRUE,"general";"via2",#N/A,TRUE,"general";"via3",#N/A,TRUE,"general"}</definedName>
    <definedName name="hjfg" localSheetId="6"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oha" localSheetId="6" hidden="1">{"PYGT",#N/A,FALSE,"PYG";"ACTIT",#N/A,FALSE,"BCE_GRAL-ACTIVO";"PASIT",#N/A,FALSE,"BCE_GRAL-PASIVO-PATRIM";"CAJAT",#N/A,FALSE,"CAJA"}</definedName>
    <definedName name="hoha" hidden="1">{"PYGT",#N/A,FALSE,"PYG";"ACTIT",#N/A,FALSE,"BCE_GRAL-ACTIVO";"PASIT",#N/A,FALSE,"BCE_GRAL-PASIVO-PATRIM";"CAJAT",#N/A,FALSE,"CAJA"}</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6"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6"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hidden="1">{"via1",#N/A,TRUE,"general";"via2",#N/A,TRUE,"general";"via3",#N/A,TRUE,"general"}</definedName>
    <definedName name="I" localSheetId="6" hidden="1">{"PYGT",#N/A,FALSE,"PYG";"ACTIT",#N/A,FALSE,"BCE_GRAL-ACTIVO";"PASIT",#N/A,FALSE,"BCE_GRAL-PASIVO-PATRIM";"CAJAT",#N/A,FALSE,"CAJA"}</definedName>
    <definedName name="I" hidden="1">{"PYGT",#N/A,FALSE,"PYG";"ACTIT",#N/A,FALSE,"BCE_GRAL-ACTIVO";"PASIT",#N/A,FALSE,"BCE_GRAL-PASIVO-PATRIM";"CAJAT",#N/A,FALSE,"CAJA"}</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EQUIPOS">'[7]INSUMOS EQUIPOS'!$A$1:$D$105</definedName>
    <definedName name="INSUMOS_MANO_DE_OBRA">'[7]INSUMOS MANO DE OBRA'!$A$1:$H$63</definedName>
    <definedName name="INSUMOSEQUIPOS">'INSUMOS EQUIPOS'!$A$7:$D$49</definedName>
    <definedName name="INSUMOSMANODEOBRA">'INSUMOS MANO DE OBRA'!$A$7:$H$61</definedName>
    <definedName name="INSUMOSMATERIALES">'INSUMOS MATERIALES'!$A$7:$D$103</definedName>
    <definedName name="INSUMOSSERVICIOS">'INSUMOS SERVICIOS'!$A$7:$D$21</definedName>
    <definedName name="INSUMOSTRANSPORTES">'INSUMOS TRANSPORTES'!$A$7:$D$33</definedName>
    <definedName name="irng" hidden="1">#REF!</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yuiuyi" localSheetId="6"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fq" localSheetId="6" hidden="1">{"via1",#N/A,TRUE,"general";"via2",#N/A,TRUE,"general";"via3",#N/A,TRUE,"general"}</definedName>
    <definedName name="jjfq" hidden="1">{"via1",#N/A,TRUE,"general";"via2",#N/A,TRUE,"general";"via3",#N/A,TRUE,"general"}</definedName>
    <definedName name="JJJ" localSheetId="6" hidden="1">{#N/A,#N/A,FALSE,"Hoja1";#N/A,#N/A,FALSE,"Hoja2"}</definedName>
    <definedName name="JJJ" hidden="1">{#N/A,#N/A,FALSE,"Hoja1";#N/A,#N/A,FALSE,"Hoja2"}</definedName>
    <definedName name="jjjhjddfg" localSheetId="6"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RYJ" localSheetId="6"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 localSheetId="6"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localSheetId="6"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kki" localSheetId="6"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6" hidden="1">{"via1",#N/A,TRUE,"general";"via2",#N/A,TRUE,"general";"via3",#N/A,TRUE,"general"}</definedName>
    <definedName name="krtrk" hidden="1">{"via1",#N/A,TRUE,"general";"via2",#N/A,TRUE,"general";"via3",#N/A,TRUE,"general"}</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6"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o" localSheetId="6"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plpl" localSheetId="6" hidden="1">{"via1",#N/A,TRUE,"general";"via2",#N/A,TRUE,"general";"via3",#N/A,TRUE,"general"}</definedName>
    <definedName name="lplpl" hidden="1">{"via1",#N/A,TRUE,"general";"via2",#N/A,TRUE,"general";"via3",#N/A,TRUE,"general"}</definedName>
    <definedName name="mafdsf" localSheetId="6" hidden="1">{"via1",#N/A,TRUE,"general";"via2",#N/A,TRUE,"general";"via3",#N/A,TRUE,"general"}</definedName>
    <definedName name="mafdsf" hidden="1">{"via1",#N/A,TRUE,"general";"via2",#N/A,TRUE,"general";"via3",#N/A,TRUE,"general"}</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hidden="1">{"via1",#N/A,TRUE,"general";"via2",#N/A,TRUE,"general";"via3",#N/A,TRUE,"general"}</definedName>
    <definedName name="MarkP" localSheetId="6"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6" hidden="1">{"via1",#N/A,TRUE,"general";"via2",#N/A,TRUE,"general";"via3",#N/A,TRUE,"general"}</definedName>
    <definedName name="masor" hidden="1">{"via1",#N/A,TRUE,"general";"via2",#N/A,TRUE,"general";"via3",#N/A,TRUE,"general"}</definedName>
    <definedName name="mdd" localSheetId="6" hidden="1">{"via1",#N/A,TRUE,"general";"via2",#N/A,TRUE,"general";"via3",#N/A,TRUE,"general"}</definedName>
    <definedName name="mdd" hidden="1">{"via1",#N/A,TRUE,"general";"via2",#N/A,TRUE,"general";"via3",#N/A,TRUE,"general"}</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MEMORIAS!#REF!</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OA" localSheetId="6" hidden="1">{#N/A,#N/A,FALSE,"Hoja1";#N/A,#N/A,FALSE,"Hoja2"}</definedName>
    <definedName name="MOA" hidden="1">{#N/A,#N/A,FALSE,"Hoja1";#N/A,#N/A,FALSE,"Hoja2"}</definedName>
    <definedName name="MODIVejec" localSheetId="6" hidden="1">{#N/A,#N/A,FALSE,"Hoja1";#N/A,#N/A,FALSE,"Hoja2"}</definedName>
    <definedName name="MODIVejec" hidden="1">{#N/A,#N/A,FALSE,"Hoja1";#N/A,#N/A,FALSE,"Hoja2"}</definedName>
    <definedName name="MOE" localSheetId="6" hidden="1">{#N/A,#N/A,FALSE,"Hoja1";#N/A,#N/A,FALSE,"Hoja2"}</definedName>
    <definedName name="MOE" hidden="1">{#N/A,#N/A,FALSE,"Hoja1";#N/A,#N/A,FALSE,"Hoja2"}</definedName>
    <definedName name="nbvnv" localSheetId="6"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hidden="1">{"via1",#N/A,TRUE,"general";"via2",#N/A,TRUE,"general";"via3",#N/A,TRUE,"general"}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hidden="1">{"via1",#N/A,TRUE,"general";"via2",#N/A,TRUE,"general";"via3",#N/A,TRUE,"general"}</definedName>
    <definedName name="NO" localSheetId="6" hidden="1">{"PYGT",#N/A,FALSE,"PYG";"ACTIT",#N/A,FALSE,"BCE_GRAL-ACTIVO";"PASIT",#N/A,FALSE,"BCE_GRAL-PASIVO-PATRIM";"CAJAT",#N/A,FALSE,"CAJA"}</definedName>
    <definedName name="NO" hidden="1">{"PYGT",#N/A,FALSE,"PYG";"ACTIT",#N/A,FALSE,"BCE_GRAL-ACTIVO";"PASIT",#N/A,FALSE,"BCE_GRAL-PASIVO-PATRIM";"CAJAT",#N/A,FALSE,"CAJA"}</definedName>
    <definedName name="nxn" localSheetId="6"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o9o9" localSheetId="6"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6"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6" hidden="1">{#N/A,#N/A,FALSE,"Aging Summary";#N/A,#N/A,FALSE,"Ratio Analysis";#N/A,#N/A,FALSE,"Test 120 Day Accts";#N/A,#N/A,FALSE,"Tickmarks"}</definedName>
    <definedName name="oera" hidden="1">{#N/A,#N/A,FALSE,"Aging Summary";#N/A,#N/A,FALSE,"Ratio Analysis";#N/A,#N/A,FALSE,"Test 120 Day Accts";#N/A,#N/A,FALSE,"Tickmarks"}</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hidden="1">{"via1",#N/A,TRUE,"general";"via2",#N/A,TRUE,"general";"via3",#N/A,TRUE,"general"}</definedName>
    <definedName name="ORIGINAL" localSheetId="6"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p0p0" localSheetId="6" hidden="1">{"via1",#N/A,TRUE,"general";"via2",#N/A,TRUE,"general";"via3",#N/A,TRUE,"general"}</definedName>
    <definedName name="p0p0" hidden="1">{"via1",#N/A,TRUE,"general";"via2",#N/A,TRUE,"general";"via3",#N/A,TRUE,"general"}</definedName>
    <definedName name="particulares1" localSheetId="6"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uig" localSheetId="6" hidden="1">{"via1",#N/A,TRUE,"general";"via2",#N/A,TRUE,"general";"via3",#N/A,TRUE,"general"}</definedName>
    <definedName name="pouig" hidden="1">{"via1",#N/A,TRUE,"general";"via2",#N/A,TRUE,"general";"via3",#N/A,TRUE,"general"}</definedName>
    <definedName name="PPPP" localSheetId="6"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qroj" localSheetId="6" hidden="1">{"via1",#N/A,TRUE,"general";"via2",#N/A,TRUE,"general";"via3",#N/A,TRUE,"general"}</definedName>
    <definedName name="pqroj" hidden="1">{"via1",#N/A,TRUE,"general";"via2",#N/A,TRUE,"general";"via3",#N/A,TRUE,"general"}</definedName>
    <definedName name="PRESUPUESTO" localSheetId="1">'FICHA TECNICA'!$A$7:$H$18</definedName>
    <definedName name="PRESUPUESTO">PRESUPUESTO!$A$7:$H$20</definedName>
    <definedName name="PRIMER" localSheetId="6"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TAR" localSheetId="6"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hidden="1">{"via1",#N/A,TRUE,"general";"via2",#N/A,TRUE,"general";"via3",#N/A,TRUE,"general"}</definedName>
    <definedName name="q1q1q" localSheetId="6"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hidden="1">{"via1",#N/A,TRUE,"general";"via2",#N/A,TRUE,"general";"via3",#N/A,TRUE,"general"}</definedName>
    <definedName name="qqqqqqqqqqqq" hidden="1">#REF!</definedName>
    <definedName name="qqqqqw" localSheetId="6" hidden="1">{"via1",#N/A,TRUE,"general";"via2",#N/A,TRUE,"general";"via3",#N/A,TRUE,"general"}</definedName>
    <definedName name="qqqqqw" hidden="1">{"via1",#N/A,TRUE,"general";"via2",#N/A,TRUE,"general";"via3",#N/A,TRUE,"general"}</definedName>
    <definedName name="qw" localSheetId="6"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hidden="1">{#N/A,#N/A,TRUE,"1842CWN0"}</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 localSheetId="6"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6"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rr" localSheetId="6"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bgfbgdr" localSheetId="6" hidden="1">{"via1",#N/A,TRUE,"general";"via2",#N/A,TRUE,"general";"via3",#N/A,TRUE,"general"}</definedName>
    <definedName name="sbgfbgdr" hidden="1">{"via1",#N/A,TRUE,"general";"via2",#N/A,TRUE,"general";"via3",#N/A,TRUE,"general"}</definedName>
    <definedName name="SCQ" hidden="1">SUMIF(#REF!,#REF!,#REF!)</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hidden="1">{#N/A,#N/A,TRUE,"1842CWN0"}</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hidden="1">{"via1",#N/A,TRUE,"general";"via2",#N/A,TRUE,"general";"via3",#N/A,TRUE,"general"}</definedName>
    <definedName name="SDFDG" localSheetId="6" hidden="1">{#N/A,#N/A,TRUE,"1842CWN0"}</definedName>
    <definedName name="SDFDG" hidden="1">{#N/A,#N/A,TRUE,"1842CWN0"}</definedName>
    <definedName name="sdfds" localSheetId="6"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hidden="1">{"via1",#N/A,TRUE,"general";"via2",#N/A,TRUE,"general";"via3",#N/A,TRUE,"general"}</definedName>
    <definedName name="sdsdfsdff" localSheetId="6" hidden="1">{#N/A,#N/A,TRUE,"1842CWN0"}</definedName>
    <definedName name="sdsdfsdff" hidden="1">{#N/A,#N/A,TRUE,"1842CWN0"}</definedName>
    <definedName name="setrj" localSheetId="6"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6"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hidden="1">{"via1",#N/A,TRUE,"general";"via2",#N/A,TRUE,"general";"via3",#N/A,TRUE,"general"}</definedName>
    <definedName name="swsw" localSheetId="6"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C" localSheetId="6"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hidden="1">{"via1",#N/A,TRUE,"general";"via2",#N/A,TRUE,"general";"via3",#N/A,TRUE,"general"}</definedName>
    <definedName name="TK_1" hidden="1">[5]INST!#REF!</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hidden="1">{"via1",#N/A,TRUE,"general";"via2",#N/A,TRUE,"general";"via3",#N/A,TRUE,"general"}</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hidden="1">{"via1",#N/A,TRUE,"general";"via2",#N/A,TRUE,"general";"via3",#N/A,TRUE,"general"}</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fbgnhyt" localSheetId="6"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k" localSheetId="6"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hidden="1">{"via1",#N/A,TRUE,"general";"via2",#N/A,TRUE,"general";"via3",#N/A,TRUE,"general"}</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6"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hidden="1">{#N/A,#N/A,FALSE,"Items"}</definedName>
    <definedName name="wrn.OPERADORES." localSheetId="6" hidden="1">{#N/A,#N/A,TRUE,"T1"}</definedName>
    <definedName name="wrn.OPERADORES." hidden="1">{#N/A,#N/A,TRUE,"T1"}</definedName>
    <definedName name="wrn.PROYEC." localSheetId="6"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6" hidden="1">{#N/A,#N/A,FALSE,"Hoja1";#N/A,#N/A,FALSE,"Hoja2"}</definedName>
    <definedName name="wrn.res7" hidden="1">{#N/A,#N/A,FALSE,"Hoja1";#N/A,#N/A,FALSE,"Hoja2"}</definedName>
    <definedName name="wrn.Resumen." localSheetId="6" hidden="1">{#N/A,#N/A,FALSE,"Hoja1";#N/A,#N/A,FALSE,"Hoja2"}</definedName>
    <definedName name="wrn.Resumen." hidden="1">{#N/A,#N/A,FALSE,"Hoja1";#N/A,#N/A,FALSE,"Hoja2"}</definedName>
    <definedName name="wrn.SENCILLO." localSheetId="6"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6"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6"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hidden="1">{"via1",#N/A,TRUE,"general";"via2",#N/A,TRUE,"general";"via3",#N/A,TRUE,"general"}</definedName>
    <definedName name="wrn1.items" localSheetId="6" hidden="1">{#N/A,#N/A,FALSE,"Items"}</definedName>
    <definedName name="wrn1.items" hidden="1">{#N/A,#N/A,FALSE,"Items"}</definedName>
    <definedName name="wsnhed" localSheetId="6"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wded3" localSheetId="6"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hidden="1">{"via1",#N/A,TRUE,"general";"via2",#N/A,TRUE,"general";"via3",#N/A,TRUE,"general"}</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hidden="1">{#N/A,#N/A,TRUE,"1842CWN0"}</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fg" localSheetId="6" hidden="1">{"via1",#N/A,TRUE,"general";"via2",#N/A,TRUE,"general";"via3",#N/A,TRUE,"general"}</definedName>
    <definedName name="xxfg" hidden="1">{"via1",#N/A,TRUE,"general";"via2",#N/A,TRUE,"general";"via3",#N/A,TRUE,"general"}</definedName>
    <definedName name="xxxxxds" localSheetId="6"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6" hidden="1">{"via1",#N/A,TRUE,"general";"via2",#N/A,TRUE,"general";"via3",#N/A,TRUE,"general"}</definedName>
    <definedName name="xxxxxxxxxx29" hidden="1">{"via1",#N/A,TRUE,"general";"via2",#N/A,TRUE,"general";"via3",#N/A,TRUE,"general"}</definedName>
    <definedName name="XZS" hidden="1">#REF!</definedName>
    <definedName name="XZXZV" localSheetId="6" hidden="1">{"via1",#N/A,TRUE,"general";"via2",#N/A,TRUE,"general";"via3",#N/A,TRUE,"general"}</definedName>
    <definedName name="XZXZV" hidden="1">{"via1",#N/A,TRUE,"general";"via2",#N/A,TRUE,"general";"via3",#N/A,TRUE,"general"}</definedName>
    <definedName name="y6y6" localSheetId="6" hidden="1">{"via1",#N/A,TRUE,"general";"via2",#N/A,TRUE,"general";"via3",#N/A,TRUE,"general"}</definedName>
    <definedName name="y6y6" hidden="1">{"via1",#N/A,TRUE,"general";"via2",#N/A,TRUE,"general";"via3",#N/A,TRUE,"general"}</definedName>
    <definedName name="yery" localSheetId="6"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O" localSheetId="6"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6"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hidden="1">{"via1",#N/A,TRUE,"general";"via2",#N/A,TRUE,"general";"via3",#N/A,TRUE,"general"}</definedName>
    <definedName name="ZAQ" localSheetId="6"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 name="zzzzzzzz" hidden="1">SUMIF(#REF!,#REF!,#REF!)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25" l="1"/>
  <c r="F13" i="25"/>
  <c r="F12" i="25"/>
  <c r="F11" i="25"/>
  <c r="F10" i="25"/>
  <c r="A3" i="25"/>
  <c r="A2" i="25"/>
  <c r="G306" i="3"/>
  <c r="G305" i="3"/>
  <c r="F306" i="3"/>
  <c r="F305" i="3"/>
  <c r="B305" i="3"/>
  <c r="A305" i="3"/>
  <c r="A307" i="3"/>
  <c r="A306" i="3"/>
  <c r="B306" i="3"/>
  <c r="F84" i="10"/>
  <c r="F83" i="10"/>
  <c r="E293" i="3"/>
  <c r="B293" i="3"/>
  <c r="A293" i="3"/>
  <c r="F337" i="3"/>
  <c r="F336" i="3"/>
  <c r="F327" i="3"/>
  <c r="G327" i="3" s="1"/>
  <c r="D327" i="3"/>
  <c r="F326" i="3"/>
  <c r="G326" i="3" s="1"/>
  <c r="D326" i="3"/>
  <c r="A326" i="3"/>
  <c r="F321" i="3"/>
  <c r="G321" i="3" s="1"/>
  <c r="F314" i="3"/>
  <c r="G314" i="3" s="1"/>
  <c r="G315" i="3" s="1"/>
  <c r="A287" i="3"/>
  <c r="A286" i="3"/>
  <c r="F14" i="2"/>
  <c r="F293" i="3" s="1"/>
  <c r="H89" i="18"/>
  <c r="H92" i="18" s="1"/>
  <c r="A92" i="18"/>
  <c r="H90" i="18"/>
  <c r="B86" i="18"/>
  <c r="A86" i="18"/>
  <c r="A80" i="18"/>
  <c r="A79" i="18"/>
  <c r="H73" i="18"/>
  <c r="H76" i="18" s="1"/>
  <c r="B70" i="18"/>
  <c r="A70" i="18"/>
  <c r="A76" i="18"/>
  <c r="H74" i="18"/>
  <c r="A64" i="18"/>
  <c r="A63" i="18"/>
  <c r="G328" i="3" l="1"/>
  <c r="H86" i="18"/>
  <c r="H70" i="18"/>
  <c r="F13" i="2" s="1"/>
  <c r="F235" i="3" s="1"/>
  <c r="E235" i="3"/>
  <c r="B235" i="3"/>
  <c r="A235" i="3"/>
  <c r="F189" i="3" l="1"/>
  <c r="A189" i="3"/>
  <c r="B189" i="3"/>
  <c r="F188" i="3"/>
  <c r="B188" i="3"/>
  <c r="E176" i="3"/>
  <c r="B176" i="3"/>
  <c r="A146" i="3"/>
  <c r="F134" i="3"/>
  <c r="G134" i="3" s="1"/>
  <c r="A134" i="3"/>
  <c r="B134" i="3"/>
  <c r="F133" i="3"/>
  <c r="G133" i="3" s="1"/>
  <c r="B133" i="3"/>
  <c r="A133" i="3"/>
  <c r="A132" i="3"/>
  <c r="F132" i="3"/>
  <c r="B132" i="3"/>
  <c r="A131" i="3"/>
  <c r="F131" i="3"/>
  <c r="G131" i="3" s="1"/>
  <c r="B131" i="3"/>
  <c r="F82" i="3"/>
  <c r="E14" i="3" l="1"/>
  <c r="G14" i="3" s="1"/>
  <c r="A14" i="3"/>
  <c r="B14" i="3"/>
  <c r="B54" i="18"/>
  <c r="A54" i="18"/>
  <c r="H42" i="18"/>
  <c r="B39" i="18"/>
  <c r="A39" i="18"/>
  <c r="B24" i="18"/>
  <c r="A24" i="18"/>
  <c r="H11" i="18"/>
  <c r="B8" i="18"/>
  <c r="A8" i="18"/>
  <c r="G76" i="3"/>
  <c r="G78" i="3" s="1"/>
  <c r="A76" i="3"/>
  <c r="H58" i="18"/>
  <c r="H57" i="18"/>
  <c r="H43" i="18"/>
  <c r="G82" i="3"/>
  <c r="Q77" i="3"/>
  <c r="F139" i="3"/>
  <c r="G132" i="3"/>
  <c r="G135" i="3" s="1"/>
  <c r="H45" i="18" l="1"/>
  <c r="H39" i="18" s="1"/>
  <c r="F11" i="2" s="1"/>
  <c r="A196" i="3" l="1"/>
  <c r="F196" i="3"/>
  <c r="G196" i="3" s="1"/>
  <c r="A14" i="18"/>
  <c r="H13" i="18"/>
  <c r="A2" i="18"/>
  <c r="A1" i="18"/>
  <c r="G26" i="3"/>
  <c r="G27" i="3"/>
  <c r="F51" i="3"/>
  <c r="F50" i="3"/>
  <c r="F41" i="3"/>
  <c r="G41" i="3" s="1"/>
  <c r="D41" i="3"/>
  <c r="F40" i="3"/>
  <c r="G40" i="3" s="1"/>
  <c r="D40" i="3"/>
  <c r="A40" i="3"/>
  <c r="F39" i="3"/>
  <c r="G39" i="3" s="1"/>
  <c r="D39" i="3"/>
  <c r="A39" i="3"/>
  <c r="F34" i="3"/>
  <c r="G34" i="3" s="1"/>
  <c r="G22" i="3"/>
  <c r="E8" i="3"/>
  <c r="A2" i="3"/>
  <c r="A1" i="3"/>
  <c r="H28" i="18"/>
  <c r="G24" i="18"/>
  <c r="H14" i="18" l="1"/>
  <c r="H8" i="18"/>
  <c r="G42" i="3"/>
  <c r="G28" i="3"/>
  <c r="B8" i="3"/>
  <c r="G248" i="3"/>
  <c r="G189" i="3"/>
  <c r="G188" i="3"/>
  <c r="A188" i="3"/>
  <c r="F277" i="3"/>
  <c r="F276" i="3"/>
  <c r="F267" i="3"/>
  <c r="G267" i="3" s="1"/>
  <c r="D267" i="3"/>
  <c r="F266" i="3"/>
  <c r="G266" i="3" s="1"/>
  <c r="D266" i="3"/>
  <c r="A266" i="3"/>
  <c r="F261" i="3"/>
  <c r="G261" i="3" s="1"/>
  <c r="E260" i="3"/>
  <c r="G260" i="3" s="1"/>
  <c r="A260" i="3"/>
  <c r="F254" i="3"/>
  <c r="G254" i="3" s="1"/>
  <c r="G255" i="3" s="1"/>
  <c r="A229" i="3"/>
  <c r="A228" i="3"/>
  <c r="F221" i="3"/>
  <c r="F220" i="3"/>
  <c r="F211" i="3"/>
  <c r="G211" i="3" s="1"/>
  <c r="D211" i="3"/>
  <c r="F210" i="3"/>
  <c r="G210" i="3" s="1"/>
  <c r="D210" i="3"/>
  <c r="A210" i="3"/>
  <c r="F205" i="3"/>
  <c r="G205" i="3" s="1"/>
  <c r="F198" i="3"/>
  <c r="G198" i="3" s="1"/>
  <c r="G199" i="3" s="1"/>
  <c r="A170" i="3"/>
  <c r="A169" i="3"/>
  <c r="A139" i="3"/>
  <c r="F8" i="3" l="1"/>
  <c r="G212" i="3"/>
  <c r="G192" i="3"/>
  <c r="G268" i="3"/>
  <c r="G139" i="3" l="1"/>
  <c r="A82" i="3"/>
  <c r="B65" i="3" l="1"/>
  <c r="B119" i="3"/>
  <c r="D648" i="10" l="1"/>
  <c r="A23" i="10"/>
  <c r="F163" i="3" l="1"/>
  <c r="F162" i="3"/>
  <c r="F153" i="3"/>
  <c r="G153" i="3" s="1"/>
  <c r="D153" i="3"/>
  <c r="F152" i="3"/>
  <c r="G152" i="3" s="1"/>
  <c r="D152" i="3"/>
  <c r="A152" i="3"/>
  <c r="F151" i="3"/>
  <c r="G151" i="3" s="1"/>
  <c r="D151" i="3"/>
  <c r="A151" i="3"/>
  <c r="F140" i="3"/>
  <c r="G140" i="3" s="1"/>
  <c r="A113" i="3"/>
  <c r="A112" i="3"/>
  <c r="F106" i="3"/>
  <c r="F105" i="3"/>
  <c r="F96" i="3"/>
  <c r="G96" i="3" s="1"/>
  <c r="D96" i="3"/>
  <c r="F95" i="3"/>
  <c r="G95" i="3" s="1"/>
  <c r="D95" i="3"/>
  <c r="A95" i="3"/>
  <c r="F94" i="3"/>
  <c r="G94" i="3" s="1"/>
  <c r="D94" i="3"/>
  <c r="A94" i="3"/>
  <c r="F89" i="3"/>
  <c r="G89" i="3" s="1"/>
  <c r="F83" i="3"/>
  <c r="G83" i="3" s="1"/>
  <c r="A59" i="3"/>
  <c r="A58" i="3"/>
  <c r="G141" i="3" l="1"/>
  <c r="G154" i="3"/>
  <c r="G97" i="3"/>
  <c r="G84" i="3" l="1"/>
  <c r="E126" i="3"/>
  <c r="G126" i="3" s="1"/>
  <c r="B126" i="3"/>
  <c r="A60" i="18" l="1"/>
  <c r="A48" i="18"/>
  <c r="A47" i="18"/>
  <c r="A45" i="18"/>
  <c r="A33" i="18"/>
  <c r="A32" i="18"/>
  <c r="A30" i="18"/>
  <c r="H27" i="18"/>
  <c r="A18" i="18"/>
  <c r="A17" i="18"/>
  <c r="H60" i="18" l="1"/>
  <c r="H24" i="18"/>
  <c r="F10" i="2" s="1"/>
  <c r="H54" i="18"/>
  <c r="H30" i="18"/>
  <c r="F12" i="2" l="1"/>
  <c r="F176" i="3" s="1"/>
  <c r="AG11" i="8"/>
  <c r="H21" i="24" l="1"/>
  <c r="H20" i="24"/>
  <c r="H19" i="24"/>
  <c r="H18" i="24"/>
  <c r="H17" i="24"/>
  <c r="H15" i="24"/>
  <c r="H14" i="24"/>
  <c r="A3" i="24"/>
  <c r="G12" i="24"/>
  <c r="H12" i="24" s="1"/>
  <c r="H11" i="24"/>
  <c r="H10" i="24"/>
  <c r="H9" i="24"/>
  <c r="B30" i="11" l="1"/>
  <c r="E30" i="11" s="1"/>
  <c r="E32" i="5"/>
  <c r="E14" i="21"/>
  <c r="E13" i="21"/>
  <c r="E12" i="21"/>
  <c r="E11" i="21"/>
  <c r="E10" i="21"/>
  <c r="E9" i="21"/>
  <c r="A4" i="21"/>
  <c r="I30" i="11" l="1"/>
  <c r="G14" i="21" l="1"/>
  <c r="G13" i="21"/>
  <c r="G12" i="21"/>
  <c r="G11" i="21"/>
  <c r="G10" i="21"/>
  <c r="G9" i="21"/>
  <c r="G15" i="21"/>
  <c r="G16" i="21"/>
  <c r="E92" i="5" l="1"/>
  <c r="E90" i="5"/>
  <c r="F85" i="5"/>
  <c r="F83" i="5"/>
  <c r="F82" i="5"/>
  <c r="E77" i="5"/>
  <c r="E78" i="5"/>
  <c r="F798" i="10"/>
  <c r="F797" i="10"/>
  <c r="F788" i="10"/>
  <c r="G788" i="10" s="1"/>
  <c r="D788" i="10"/>
  <c r="F787" i="10"/>
  <c r="G787" i="10" s="1"/>
  <c r="D787" i="10"/>
  <c r="A787" i="10"/>
  <c r="F786" i="10"/>
  <c r="G786" i="10" s="1"/>
  <c r="D786" i="10"/>
  <c r="A786" i="10"/>
  <c r="F781" i="10"/>
  <c r="G780" i="10"/>
  <c r="E773" i="10"/>
  <c r="D773" i="10"/>
  <c r="A773" i="10"/>
  <c r="F773" i="10" s="1"/>
  <c r="E772" i="10"/>
  <c r="D772" i="10"/>
  <c r="A772" i="10"/>
  <c r="F772" i="10" s="1"/>
  <c r="A767" i="10"/>
  <c r="A766" i="10"/>
  <c r="F766" i="10" s="1"/>
  <c r="G766" i="10" s="1"/>
  <c r="A765" i="10"/>
  <c r="C765" i="10" s="1"/>
  <c r="E753" i="10"/>
  <c r="B753" i="10"/>
  <c r="A747" i="10"/>
  <c r="A746" i="10"/>
  <c r="B17" i="17"/>
  <c r="B7" i="17"/>
  <c r="E17" i="17" s="1"/>
  <c r="A2" i="17"/>
  <c r="A2" i="16"/>
  <c r="E15" i="16"/>
  <c r="H15" i="16" s="1"/>
  <c r="E14" i="16"/>
  <c r="H14" i="16" s="1"/>
  <c r="E13" i="16"/>
  <c r="H13" i="16" s="1"/>
  <c r="E12" i="16"/>
  <c r="H12" i="16" s="1"/>
  <c r="E11" i="16"/>
  <c r="H11" i="16" s="1"/>
  <c r="E10" i="16"/>
  <c r="H10" i="16" s="1"/>
  <c r="B34" i="14"/>
  <c r="E34" i="14" s="1"/>
  <c r="I34" i="14" s="1"/>
  <c r="B33" i="14"/>
  <c r="E33" i="14" s="1"/>
  <c r="I33" i="14" s="1"/>
  <c r="B32" i="14"/>
  <c r="E32" i="14" s="1"/>
  <c r="I32" i="14" s="1"/>
  <c r="B31" i="14"/>
  <c r="E31" i="14" s="1"/>
  <c r="I31" i="14" s="1"/>
  <c r="G28" i="15"/>
  <c r="G27" i="15"/>
  <c r="G26" i="15"/>
  <c r="G25" i="15"/>
  <c r="G24" i="15"/>
  <c r="H9" i="15"/>
  <c r="H7" i="15"/>
  <c r="A2" i="15"/>
  <c r="A2" i="14"/>
  <c r="D400" i="10"/>
  <c r="D339" i="10"/>
  <c r="D338" i="10"/>
  <c r="E339" i="10"/>
  <c r="A339" i="10"/>
  <c r="F339" i="10" s="1"/>
  <c r="E338" i="10"/>
  <c r="A338" i="10"/>
  <c r="F338" i="10" s="1"/>
  <c r="E277" i="10"/>
  <c r="D277" i="10"/>
  <c r="A277" i="10"/>
  <c r="F277" i="10" s="1"/>
  <c r="A276" i="10"/>
  <c r="F276" i="10" s="1"/>
  <c r="E215" i="10"/>
  <c r="D215" i="10"/>
  <c r="A215" i="10"/>
  <c r="F215" i="10" s="1"/>
  <c r="A214" i="10"/>
  <c r="F214" i="10" s="1"/>
  <c r="E91" i="10"/>
  <c r="D91" i="10"/>
  <c r="A91" i="10"/>
  <c r="F91" i="10" s="1"/>
  <c r="A90" i="10"/>
  <c r="F90" i="10" s="1"/>
  <c r="E29" i="10"/>
  <c r="D29" i="10"/>
  <c r="A29" i="10"/>
  <c r="F29" i="10" s="1"/>
  <c r="A28" i="10"/>
  <c r="F28" i="10" s="1"/>
  <c r="G28" i="10" s="1"/>
  <c r="A152" i="10"/>
  <c r="F152" i="10" s="1"/>
  <c r="D19" i="13"/>
  <c r="F19" i="13" s="1"/>
  <c r="D13" i="13"/>
  <c r="F13" i="13" s="1"/>
  <c r="F40" i="13"/>
  <c r="F39" i="13"/>
  <c r="F38" i="13"/>
  <c r="F34" i="13"/>
  <c r="F33" i="13"/>
  <c r="F31" i="13"/>
  <c r="F30" i="13"/>
  <c r="F29" i="13"/>
  <c r="F28" i="13"/>
  <c r="F24" i="13"/>
  <c r="F22" i="13"/>
  <c r="F21" i="13"/>
  <c r="F20" i="13"/>
  <c r="F17" i="13"/>
  <c r="F16" i="13"/>
  <c r="F14" i="13"/>
  <c r="F12" i="13"/>
  <c r="A2" i="13"/>
  <c r="F736" i="10"/>
  <c r="F735" i="10"/>
  <c r="F726" i="10"/>
  <c r="G726" i="10" s="1"/>
  <c r="D726" i="10"/>
  <c r="F725" i="10"/>
  <c r="G725" i="10" s="1"/>
  <c r="D725" i="10"/>
  <c r="A725" i="10"/>
  <c r="F724" i="10"/>
  <c r="G724" i="10" s="1"/>
  <c r="D724" i="10"/>
  <c r="A724" i="10"/>
  <c r="F719" i="10"/>
  <c r="G718" i="10"/>
  <c r="E711" i="10"/>
  <c r="D711" i="10"/>
  <c r="A711" i="10"/>
  <c r="F711" i="10" s="1"/>
  <c r="E710" i="10"/>
  <c r="D710" i="10"/>
  <c r="A710" i="10"/>
  <c r="F710" i="10" s="1"/>
  <c r="A705" i="10"/>
  <c r="F705" i="10" s="1"/>
  <c r="G705" i="10" s="1"/>
  <c r="A704" i="10"/>
  <c r="F704" i="10" s="1"/>
  <c r="G704" i="10" s="1"/>
  <c r="A703" i="10"/>
  <c r="F703" i="10" s="1"/>
  <c r="G703" i="10" s="1"/>
  <c r="E691" i="10"/>
  <c r="B691" i="10"/>
  <c r="A685" i="10"/>
  <c r="A684" i="10"/>
  <c r="F674" i="10"/>
  <c r="F673" i="10"/>
  <c r="F664" i="10"/>
  <c r="G664" i="10" s="1"/>
  <c r="D664" i="10"/>
  <c r="F663" i="10"/>
  <c r="G663" i="10" s="1"/>
  <c r="D663" i="10"/>
  <c r="A663" i="10"/>
  <c r="F662" i="10"/>
  <c r="G662" i="10" s="1"/>
  <c r="D662" i="10"/>
  <c r="A662" i="10"/>
  <c r="F657" i="10"/>
  <c r="G656" i="10"/>
  <c r="E649" i="10"/>
  <c r="D649" i="10"/>
  <c r="A649" i="10"/>
  <c r="F649" i="10" s="1"/>
  <c r="E648" i="10"/>
  <c r="A648" i="10"/>
  <c r="F648" i="10" s="1"/>
  <c r="A643" i="10"/>
  <c r="C643" i="10" s="1"/>
  <c r="A642" i="10"/>
  <c r="F642" i="10" s="1"/>
  <c r="G642" i="10" s="1"/>
  <c r="A641" i="10"/>
  <c r="C641" i="10" s="1"/>
  <c r="E629" i="10"/>
  <c r="B629" i="10"/>
  <c r="A623" i="10"/>
  <c r="A622" i="10"/>
  <c r="F612" i="10"/>
  <c r="F611" i="10"/>
  <c r="F602" i="10"/>
  <c r="G602" i="10" s="1"/>
  <c r="D602" i="10"/>
  <c r="F601" i="10"/>
  <c r="G601" i="10" s="1"/>
  <c r="D601" i="10"/>
  <c r="A601" i="10"/>
  <c r="F600" i="10"/>
  <c r="G600" i="10" s="1"/>
  <c r="D600" i="10"/>
  <c r="A600" i="10"/>
  <c r="F595" i="10"/>
  <c r="G594" i="10"/>
  <c r="E587" i="10"/>
  <c r="D587" i="10"/>
  <c r="A587" i="10"/>
  <c r="F587" i="10" s="1"/>
  <c r="E586" i="10"/>
  <c r="D586" i="10"/>
  <c r="A586" i="10"/>
  <c r="F586" i="10" s="1"/>
  <c r="A581" i="10"/>
  <c r="F581" i="10" s="1"/>
  <c r="G581" i="10" s="1"/>
  <c r="A580" i="10"/>
  <c r="C580" i="10" s="1"/>
  <c r="A579" i="10"/>
  <c r="F579" i="10" s="1"/>
  <c r="G579" i="10" s="1"/>
  <c r="E567" i="10"/>
  <c r="B567" i="10"/>
  <c r="A561" i="10"/>
  <c r="A560" i="10"/>
  <c r="F550" i="10"/>
  <c r="F549" i="10"/>
  <c r="F540" i="10"/>
  <c r="G540" i="10" s="1"/>
  <c r="D540" i="10"/>
  <c r="F539" i="10"/>
  <c r="G539" i="10" s="1"/>
  <c r="D539" i="10"/>
  <c r="A539" i="10"/>
  <c r="F538" i="10"/>
  <c r="G538" i="10" s="1"/>
  <c r="D538" i="10"/>
  <c r="A538" i="10"/>
  <c r="F533" i="10"/>
  <c r="G532" i="10"/>
  <c r="E525" i="10"/>
  <c r="D525" i="10"/>
  <c r="A525" i="10"/>
  <c r="F525" i="10" s="1"/>
  <c r="E524" i="10"/>
  <c r="D524" i="10"/>
  <c r="A524" i="10"/>
  <c r="F524" i="10" s="1"/>
  <c r="A519" i="10"/>
  <c r="F519" i="10" s="1"/>
  <c r="G519" i="10" s="1"/>
  <c r="A518" i="10"/>
  <c r="F518" i="10" s="1"/>
  <c r="G518" i="10" s="1"/>
  <c r="A517" i="10"/>
  <c r="F517" i="10" s="1"/>
  <c r="G517" i="10" s="1"/>
  <c r="E505" i="10"/>
  <c r="B505" i="10"/>
  <c r="A499" i="10"/>
  <c r="A498" i="10"/>
  <c r="F488" i="10"/>
  <c r="F487" i="10"/>
  <c r="F478" i="10"/>
  <c r="G478" i="10" s="1"/>
  <c r="D478" i="10"/>
  <c r="F477" i="10"/>
  <c r="G477" i="10" s="1"/>
  <c r="D477" i="10"/>
  <c r="A477" i="10"/>
  <c r="F476" i="10"/>
  <c r="G476" i="10" s="1"/>
  <c r="D476" i="10"/>
  <c r="A476" i="10"/>
  <c r="F471" i="10"/>
  <c r="G470" i="10"/>
  <c r="E463" i="10"/>
  <c r="D463" i="10"/>
  <c r="A463" i="10"/>
  <c r="F463" i="10" s="1"/>
  <c r="E462" i="10"/>
  <c r="D462" i="10"/>
  <c r="A462" i="10"/>
  <c r="F462" i="10" s="1"/>
  <c r="A457" i="10"/>
  <c r="C457" i="10" s="1"/>
  <c r="A456" i="10"/>
  <c r="F456" i="10" s="1"/>
  <c r="G456" i="10" s="1"/>
  <c r="A455" i="10"/>
  <c r="F455" i="10" s="1"/>
  <c r="G455" i="10" s="1"/>
  <c r="E443" i="10"/>
  <c r="B443" i="10"/>
  <c r="A437" i="10"/>
  <c r="A436" i="10"/>
  <c r="F426" i="10"/>
  <c r="F425" i="10"/>
  <c r="F416" i="10"/>
  <c r="G416" i="10" s="1"/>
  <c r="D416" i="10"/>
  <c r="F415" i="10"/>
  <c r="G415" i="10" s="1"/>
  <c r="D415" i="10"/>
  <c r="A415" i="10"/>
  <c r="F414" i="10"/>
  <c r="G414" i="10" s="1"/>
  <c r="D414" i="10"/>
  <c r="A414" i="10"/>
  <c r="F409" i="10"/>
  <c r="G408" i="10"/>
  <c r="E401" i="10"/>
  <c r="D401" i="10"/>
  <c r="A401" i="10"/>
  <c r="F401" i="10" s="1"/>
  <c r="E400" i="10"/>
  <c r="A400" i="10"/>
  <c r="F400" i="10" s="1"/>
  <c r="A395" i="10"/>
  <c r="F395" i="10" s="1"/>
  <c r="G395" i="10" s="1"/>
  <c r="A394" i="10"/>
  <c r="F394" i="10" s="1"/>
  <c r="G394" i="10" s="1"/>
  <c r="A393" i="10"/>
  <c r="C393" i="10" s="1"/>
  <c r="E381" i="10"/>
  <c r="B381" i="10"/>
  <c r="A375" i="10"/>
  <c r="A374" i="10"/>
  <c r="F364" i="10"/>
  <c r="F363" i="10"/>
  <c r="F354" i="10"/>
  <c r="G354" i="10" s="1"/>
  <c r="D354" i="10"/>
  <c r="F353" i="10"/>
  <c r="G353" i="10" s="1"/>
  <c r="D353" i="10"/>
  <c r="A353" i="10"/>
  <c r="F352" i="10"/>
  <c r="G352" i="10" s="1"/>
  <c r="D352" i="10"/>
  <c r="A352" i="10"/>
  <c r="F347" i="10"/>
  <c r="G346" i="10"/>
  <c r="A333" i="10"/>
  <c r="F333" i="10" s="1"/>
  <c r="G333" i="10" s="1"/>
  <c r="A332" i="10"/>
  <c r="C332" i="10" s="1"/>
  <c r="A331" i="10"/>
  <c r="F331" i="10" s="1"/>
  <c r="G331" i="10" s="1"/>
  <c r="E319" i="10"/>
  <c r="B319" i="10"/>
  <c r="A313" i="10"/>
  <c r="A312" i="10"/>
  <c r="F302" i="10"/>
  <c r="F301" i="10"/>
  <c r="F292" i="10"/>
  <c r="G292" i="10" s="1"/>
  <c r="D292" i="10"/>
  <c r="F291" i="10"/>
  <c r="G291" i="10" s="1"/>
  <c r="D291" i="10"/>
  <c r="A291" i="10"/>
  <c r="F290" i="10"/>
  <c r="G290" i="10" s="1"/>
  <c r="D290" i="10"/>
  <c r="A290" i="10"/>
  <c r="F285" i="10"/>
  <c r="G284" i="10"/>
  <c r="A271" i="10"/>
  <c r="F271" i="10" s="1"/>
  <c r="G271" i="10" s="1"/>
  <c r="A270" i="10"/>
  <c r="F270" i="10" s="1"/>
  <c r="G270" i="10" s="1"/>
  <c r="A269" i="10"/>
  <c r="F269" i="10" s="1"/>
  <c r="G269" i="10" s="1"/>
  <c r="E257" i="10"/>
  <c r="B257" i="10"/>
  <c r="A251" i="10"/>
  <c r="A250" i="10"/>
  <c r="F240" i="10"/>
  <c r="F239" i="10"/>
  <c r="F230" i="10"/>
  <c r="G230" i="10" s="1"/>
  <c r="D230" i="10"/>
  <c r="F229" i="10"/>
  <c r="G229" i="10" s="1"/>
  <c r="D229" i="10"/>
  <c r="A229" i="10"/>
  <c r="F228" i="10"/>
  <c r="G228" i="10" s="1"/>
  <c r="D228" i="10"/>
  <c r="A228" i="10"/>
  <c r="F223" i="10"/>
  <c r="G222" i="10"/>
  <c r="A209" i="10"/>
  <c r="F209" i="10" s="1"/>
  <c r="G209" i="10" s="1"/>
  <c r="A208" i="10"/>
  <c r="F208" i="10" s="1"/>
  <c r="G208" i="10" s="1"/>
  <c r="A207" i="10"/>
  <c r="F207" i="10" s="1"/>
  <c r="G207" i="10" s="1"/>
  <c r="E195" i="10"/>
  <c r="B195" i="10"/>
  <c r="A189" i="10"/>
  <c r="A188" i="10"/>
  <c r="F178" i="10"/>
  <c r="F177" i="10"/>
  <c r="F168" i="10"/>
  <c r="G168" i="10" s="1"/>
  <c r="D168" i="10"/>
  <c r="F167" i="10"/>
  <c r="G167" i="10" s="1"/>
  <c r="D167" i="10"/>
  <c r="A167" i="10"/>
  <c r="F166" i="10"/>
  <c r="G166" i="10" s="1"/>
  <c r="D166" i="10"/>
  <c r="A166" i="10"/>
  <c r="F161" i="10"/>
  <c r="G160" i="10"/>
  <c r="E153" i="10"/>
  <c r="D153" i="10"/>
  <c r="A153" i="10"/>
  <c r="F153" i="10" s="1"/>
  <c r="A147" i="10"/>
  <c r="C147" i="10" s="1"/>
  <c r="A146" i="10"/>
  <c r="G146" i="10" s="1"/>
  <c r="A145" i="10"/>
  <c r="C145" i="10" s="1"/>
  <c r="E133" i="10"/>
  <c r="B133" i="10"/>
  <c r="A127" i="10"/>
  <c r="A126" i="10"/>
  <c r="F116" i="10"/>
  <c r="F115" i="10"/>
  <c r="F106" i="10"/>
  <c r="G106" i="10" s="1"/>
  <c r="D106" i="10"/>
  <c r="F105" i="10"/>
  <c r="G105" i="10" s="1"/>
  <c r="D105" i="10"/>
  <c r="A105" i="10"/>
  <c r="F104" i="10"/>
  <c r="G104" i="10" s="1"/>
  <c r="D104" i="10"/>
  <c r="A104" i="10"/>
  <c r="F99" i="10"/>
  <c r="G98" i="10"/>
  <c r="A85" i="10"/>
  <c r="C85" i="10" s="1"/>
  <c r="A84" i="10"/>
  <c r="G84" i="10" s="1"/>
  <c r="A83" i="10"/>
  <c r="C83" i="10" s="1"/>
  <c r="E71" i="10"/>
  <c r="B71" i="10"/>
  <c r="A65" i="10"/>
  <c r="A64" i="10"/>
  <c r="F54" i="10"/>
  <c r="F53" i="10"/>
  <c r="G17" i="2"/>
  <c r="B32" i="11"/>
  <c r="E32" i="11" s="1"/>
  <c r="I32" i="11" s="1"/>
  <c r="I31" i="11" s="1"/>
  <c r="B11" i="8"/>
  <c r="D8" i="7" s="1"/>
  <c r="B29" i="11"/>
  <c r="E29" i="11" s="1"/>
  <c r="I29" i="11" s="1"/>
  <c r="B28" i="11"/>
  <c r="E28" i="11" s="1"/>
  <c r="I28" i="11" s="1"/>
  <c r="B21" i="11"/>
  <c r="E21" i="11" s="1"/>
  <c r="I21" i="11" s="1"/>
  <c r="I18" i="11"/>
  <c r="I19" i="11"/>
  <c r="D15" i="11"/>
  <c r="I15" i="11" s="1"/>
  <c r="A2" i="11"/>
  <c r="A22" i="10"/>
  <c r="F22" i="10" s="1"/>
  <c r="G22" i="10" s="1"/>
  <c r="F23" i="10"/>
  <c r="G23" i="10" s="1"/>
  <c r="E8" i="10"/>
  <c r="B8" i="10"/>
  <c r="F44" i="10"/>
  <c r="G44" i="10" s="1"/>
  <c r="D44" i="10"/>
  <c r="A43" i="10"/>
  <c r="F43" i="10"/>
  <c r="G43" i="10" s="1"/>
  <c r="A42" i="10"/>
  <c r="F42" i="10"/>
  <c r="G42" i="10" s="1"/>
  <c r="F37" i="10"/>
  <c r="G36" i="10"/>
  <c r="A21" i="10"/>
  <c r="C21" i="10" s="1"/>
  <c r="A20" i="10"/>
  <c r="C20" i="10" s="1"/>
  <c r="A2" i="10"/>
  <c r="A1" i="10"/>
  <c r="D43" i="10"/>
  <c r="D42" i="10"/>
  <c r="A2" i="9"/>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B9" i="7"/>
  <c r="B10" i="7"/>
  <c r="B11" i="7"/>
  <c r="B12" i="7"/>
  <c r="B13" i="7"/>
  <c r="B14" i="7"/>
  <c r="B15" i="7"/>
  <c r="B16" i="7"/>
  <c r="B17" i="7"/>
  <c r="B18" i="7"/>
  <c r="B19" i="7"/>
  <c r="B20" i="7"/>
  <c r="B21" i="7"/>
  <c r="B22" i="7"/>
  <c r="B23" i="7"/>
  <c r="B24" i="7"/>
  <c r="B25" i="7"/>
  <c r="B26" i="7"/>
  <c r="B27" i="7"/>
  <c r="B28" i="7"/>
  <c r="B29" i="7"/>
  <c r="B30" i="7"/>
  <c r="B31" i="7"/>
  <c r="B146" i="3" s="1"/>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C8" i="7"/>
  <c r="B8" i="7"/>
  <c r="B27" i="8"/>
  <c r="C27" i="8"/>
  <c r="D27" i="8"/>
  <c r="E27" i="8"/>
  <c r="F27" i="8"/>
  <c r="G27" i="8"/>
  <c r="I27" i="8"/>
  <c r="J27" i="8"/>
  <c r="K27" i="8"/>
  <c r="Q27" i="8"/>
  <c r="T27" i="8"/>
  <c r="U27" i="8"/>
  <c r="AN27" i="8"/>
  <c r="AO27" i="8"/>
  <c r="AP27" i="8"/>
  <c r="AQ27" i="8"/>
  <c r="AR27" i="8"/>
  <c r="AS27" i="8"/>
  <c r="AT27" i="8"/>
  <c r="AU27" i="8"/>
  <c r="AV27" i="8"/>
  <c r="AW27" i="8"/>
  <c r="AX27" i="8"/>
  <c r="AY27" i="8"/>
  <c r="AZ27" i="8"/>
  <c r="BA27" i="8"/>
  <c r="BB27" i="8"/>
  <c r="C25" i="8"/>
  <c r="D25" i="8"/>
  <c r="E25" i="8"/>
  <c r="F25" i="8"/>
  <c r="G25" i="8"/>
  <c r="H25" i="8"/>
  <c r="I25" i="8"/>
  <c r="J25" i="8"/>
  <c r="K25" i="8"/>
  <c r="L25" i="8"/>
  <c r="M25" i="8"/>
  <c r="N25" i="8"/>
  <c r="O25" i="8"/>
  <c r="P25" i="8"/>
  <c r="Q25" i="8"/>
  <c r="R25" i="8"/>
  <c r="S25" i="8"/>
  <c r="T25" i="8"/>
  <c r="U25" i="8"/>
  <c r="V25" i="8"/>
  <c r="W25" i="8"/>
  <c r="X25" i="8"/>
  <c r="Y25" i="8"/>
  <c r="Z25" i="8"/>
  <c r="AA25" i="8"/>
  <c r="AB25" i="8"/>
  <c r="AC25" i="8"/>
  <c r="AD25" i="8"/>
  <c r="AE25" i="8"/>
  <c r="AF25" i="8"/>
  <c r="AG25" i="8"/>
  <c r="AH25" i="8"/>
  <c r="AI25" i="8"/>
  <c r="AJ25" i="8"/>
  <c r="AK25" i="8"/>
  <c r="AL25" i="8"/>
  <c r="AM25" i="8"/>
  <c r="AN25" i="8"/>
  <c r="AO25" i="8"/>
  <c r="AP25" i="8"/>
  <c r="AQ25" i="8"/>
  <c r="AR25" i="8"/>
  <c r="AS25" i="8"/>
  <c r="AT25" i="8"/>
  <c r="AU25" i="8"/>
  <c r="AV25" i="8"/>
  <c r="AW25" i="8"/>
  <c r="AX25" i="8"/>
  <c r="AY25" i="8"/>
  <c r="AZ25" i="8"/>
  <c r="BA25" i="8"/>
  <c r="BB25" i="8"/>
  <c r="BC25" i="8"/>
  <c r="BD25" i="8"/>
  <c r="BE25" i="8"/>
  <c r="C24" i="8"/>
  <c r="D24" i="8"/>
  <c r="E24" i="8"/>
  <c r="F24" i="8"/>
  <c r="G24" i="8"/>
  <c r="H24" i="8"/>
  <c r="I24" i="8"/>
  <c r="J24" i="8"/>
  <c r="K24" i="8"/>
  <c r="L24" i="8"/>
  <c r="M24" i="8"/>
  <c r="N24" i="8"/>
  <c r="O24" i="8"/>
  <c r="P24" i="8"/>
  <c r="Q24" i="8"/>
  <c r="R24" i="8"/>
  <c r="S24" i="8"/>
  <c r="T24" i="8"/>
  <c r="U24" i="8"/>
  <c r="V24" i="8"/>
  <c r="W24" i="8"/>
  <c r="X24" i="8"/>
  <c r="Y24" i="8"/>
  <c r="Z24" i="8"/>
  <c r="AA24" i="8"/>
  <c r="AB24" i="8"/>
  <c r="AC24" i="8"/>
  <c r="AD24" i="8"/>
  <c r="AE24" i="8"/>
  <c r="AF24" i="8"/>
  <c r="AG24" i="8"/>
  <c r="AH24" i="8"/>
  <c r="AI24" i="8"/>
  <c r="AJ24" i="8"/>
  <c r="AK24" i="8"/>
  <c r="AL24" i="8"/>
  <c r="AM24" i="8"/>
  <c r="AN24" i="8"/>
  <c r="AO24" i="8"/>
  <c r="AP24" i="8"/>
  <c r="AQ24" i="8"/>
  <c r="AR24" i="8"/>
  <c r="AS24" i="8"/>
  <c r="AT24" i="8"/>
  <c r="AU24" i="8"/>
  <c r="AV24" i="8"/>
  <c r="AW24" i="8"/>
  <c r="AX24" i="8"/>
  <c r="AY24" i="8"/>
  <c r="AZ24" i="8"/>
  <c r="BA24" i="8"/>
  <c r="BB24" i="8"/>
  <c r="BC24" i="8"/>
  <c r="BD24" i="8"/>
  <c r="BE24" i="8"/>
  <c r="C20" i="8"/>
  <c r="D20" i="8"/>
  <c r="E20" i="8"/>
  <c r="F20" i="8"/>
  <c r="G20" i="8"/>
  <c r="H20" i="8"/>
  <c r="I20" i="8"/>
  <c r="J20" i="8"/>
  <c r="K20" i="8"/>
  <c r="L20" i="8"/>
  <c r="M20" i="8"/>
  <c r="N20" i="8"/>
  <c r="O20" i="8"/>
  <c r="P20" i="8"/>
  <c r="Q20" i="8"/>
  <c r="R20" i="8"/>
  <c r="S20" i="8"/>
  <c r="T20" i="8"/>
  <c r="U20" i="8"/>
  <c r="V20" i="8"/>
  <c r="W20" i="8"/>
  <c r="X20" i="8"/>
  <c r="Y20" i="8"/>
  <c r="Z20" i="8"/>
  <c r="AA20" i="8"/>
  <c r="AB20" i="8"/>
  <c r="AC20" i="8"/>
  <c r="AD20" i="8"/>
  <c r="AE20" i="8"/>
  <c r="AF20" i="8"/>
  <c r="AG20" i="8"/>
  <c r="AH20" i="8"/>
  <c r="AI20" i="8"/>
  <c r="AJ20" i="8"/>
  <c r="AK20" i="8"/>
  <c r="AL20" i="8"/>
  <c r="AM20" i="8"/>
  <c r="AN20" i="8"/>
  <c r="AO20" i="8"/>
  <c r="AP20" i="8"/>
  <c r="AQ20" i="8"/>
  <c r="AR20" i="8"/>
  <c r="AS20" i="8"/>
  <c r="AT20" i="8"/>
  <c r="AU20" i="8"/>
  <c r="AV20" i="8"/>
  <c r="AW20" i="8"/>
  <c r="AX20" i="8"/>
  <c r="AY20" i="8"/>
  <c r="AZ20" i="8"/>
  <c r="BA20" i="8"/>
  <c r="BB20" i="8"/>
  <c r="BC20" i="8"/>
  <c r="BD20" i="8"/>
  <c r="BE20" i="8"/>
  <c r="C19" i="8"/>
  <c r="D19" i="8"/>
  <c r="E19" i="8"/>
  <c r="F19" i="8"/>
  <c r="G19" i="8"/>
  <c r="H19" i="8"/>
  <c r="I19" i="8"/>
  <c r="J19" i="8"/>
  <c r="K19" i="8"/>
  <c r="L19" i="8"/>
  <c r="M19" i="8"/>
  <c r="N19" i="8"/>
  <c r="O19" i="8"/>
  <c r="P19" i="8"/>
  <c r="Q19" i="8"/>
  <c r="R19" i="8"/>
  <c r="S19" i="8"/>
  <c r="T19" i="8"/>
  <c r="U19" i="8"/>
  <c r="V19" i="8"/>
  <c r="W19" i="8"/>
  <c r="X19" i="8"/>
  <c r="Y19" i="8"/>
  <c r="Z19" i="8"/>
  <c r="AA19" i="8"/>
  <c r="AB19" i="8"/>
  <c r="AC19" i="8"/>
  <c r="AD19" i="8"/>
  <c r="AE19" i="8"/>
  <c r="AF19" i="8"/>
  <c r="AG19" i="8"/>
  <c r="AH19" i="8"/>
  <c r="AI19" i="8"/>
  <c r="AJ19" i="8"/>
  <c r="AK19" i="8"/>
  <c r="AL19" i="8"/>
  <c r="AM19" i="8"/>
  <c r="AN19" i="8"/>
  <c r="AO19" i="8"/>
  <c r="AP19" i="8"/>
  <c r="AQ19" i="8"/>
  <c r="AR19" i="8"/>
  <c r="AS19" i="8"/>
  <c r="AT19" i="8"/>
  <c r="AU19" i="8"/>
  <c r="AV19" i="8"/>
  <c r="AW19" i="8"/>
  <c r="AX19" i="8"/>
  <c r="AY19" i="8"/>
  <c r="AZ19" i="8"/>
  <c r="BA19" i="8"/>
  <c r="BB19" i="8"/>
  <c r="BC19" i="8"/>
  <c r="BD19" i="8"/>
  <c r="BE19" i="8"/>
  <c r="B19" i="8"/>
  <c r="C12" i="8"/>
  <c r="C14" i="8" s="1"/>
  <c r="D12" i="8"/>
  <c r="D14" i="8" s="1"/>
  <c r="E12" i="8"/>
  <c r="E14" i="8" s="1"/>
  <c r="F12" i="8"/>
  <c r="F14" i="8" s="1"/>
  <c r="G12" i="8"/>
  <c r="H12" i="8"/>
  <c r="H14" i="8" s="1"/>
  <c r="I12" i="8"/>
  <c r="I14" i="8" s="1"/>
  <c r="J12" i="8"/>
  <c r="J14" i="8" s="1"/>
  <c r="K12" i="8"/>
  <c r="K14" i="8" s="1"/>
  <c r="L12" i="8"/>
  <c r="L14" i="8" s="1"/>
  <c r="M12" i="8"/>
  <c r="M14" i="8" s="1"/>
  <c r="N12" i="8"/>
  <c r="N14" i="8" s="1"/>
  <c r="O12" i="8"/>
  <c r="P12" i="8"/>
  <c r="P14" i="8" s="1"/>
  <c r="Q12" i="8"/>
  <c r="Q14" i="8" s="1"/>
  <c r="R12" i="8"/>
  <c r="R14" i="8" s="1"/>
  <c r="S12" i="8"/>
  <c r="T12" i="8"/>
  <c r="T14" i="8" s="1"/>
  <c r="U12" i="8"/>
  <c r="U14" i="8" s="1"/>
  <c r="V12" i="8"/>
  <c r="V14" i="8" s="1"/>
  <c r="W12" i="8"/>
  <c r="X12" i="8"/>
  <c r="X14" i="8" s="1"/>
  <c r="Y12" i="8"/>
  <c r="Y14" i="8" s="1"/>
  <c r="Z12" i="8"/>
  <c r="Z14" i="8" s="1"/>
  <c r="AA12" i="8"/>
  <c r="AA14" i="8" s="1"/>
  <c r="AB12" i="8"/>
  <c r="AB14" i="8" s="1"/>
  <c r="AC12" i="8"/>
  <c r="AC14" i="8" s="1"/>
  <c r="AD12" i="8"/>
  <c r="AD14" i="8" s="1"/>
  <c r="AE12" i="8"/>
  <c r="AE14" i="8" s="1"/>
  <c r="AF12" i="8"/>
  <c r="AG12" i="8"/>
  <c r="AG14" i="8" s="1"/>
  <c r="AH12" i="8"/>
  <c r="AH14" i="8" s="1"/>
  <c r="AI12" i="8"/>
  <c r="AI14" i="8" s="1"/>
  <c r="AJ12" i="8"/>
  <c r="AJ14" i="8" s="1"/>
  <c r="AK12" i="8"/>
  <c r="AK14" i="8" s="1"/>
  <c r="AL12" i="8"/>
  <c r="AL14" i="8" s="1"/>
  <c r="AM12" i="8"/>
  <c r="AM14" i="8" s="1"/>
  <c r="AN12" i="8"/>
  <c r="AN14" i="8" s="1"/>
  <c r="AO12" i="8"/>
  <c r="AO14" i="8" s="1"/>
  <c r="AP12" i="8"/>
  <c r="AQ12" i="8"/>
  <c r="AQ14" i="8" s="1"/>
  <c r="AR12" i="8"/>
  <c r="AR14" i="8" s="1"/>
  <c r="AS12" i="8"/>
  <c r="AS14" i="8" s="1"/>
  <c r="AT12" i="8"/>
  <c r="AT14" i="8" s="1"/>
  <c r="AU12" i="8"/>
  <c r="AV12" i="8"/>
  <c r="AW12" i="8"/>
  <c r="AW14" i="8" s="1"/>
  <c r="AX12" i="8"/>
  <c r="AX14" i="8" s="1"/>
  <c r="AY12" i="8"/>
  <c r="AY14" i="8" s="1"/>
  <c r="AZ12" i="8"/>
  <c r="AZ14" i="8" s="1"/>
  <c r="BA12" i="8"/>
  <c r="BA14" i="8" s="1"/>
  <c r="BB12" i="8"/>
  <c r="BB14" i="8" s="1"/>
  <c r="BC12" i="8"/>
  <c r="BC14" i="8" s="1"/>
  <c r="BD12" i="8"/>
  <c r="BD14" i="8" s="1"/>
  <c r="BE12" i="8"/>
  <c r="BE14" i="8" s="1"/>
  <c r="C11" i="8"/>
  <c r="C13" i="8" s="1"/>
  <c r="D11" i="8"/>
  <c r="D10" i="7" s="1"/>
  <c r="E11" i="8"/>
  <c r="F11" i="8"/>
  <c r="D12" i="7" s="1"/>
  <c r="G11" i="8"/>
  <c r="D13" i="7" s="1"/>
  <c r="H11" i="8"/>
  <c r="D14" i="7" s="1"/>
  <c r="I11" i="8"/>
  <c r="I13" i="8" s="1"/>
  <c r="J11" i="8"/>
  <c r="J13" i="8" s="1"/>
  <c r="K11" i="8"/>
  <c r="K13" i="8" s="1"/>
  <c r="L11" i="8"/>
  <c r="M11" i="8"/>
  <c r="M13" i="8" s="1"/>
  <c r="M30" i="8" s="1"/>
  <c r="F19" i="7" s="1"/>
  <c r="N11" i="8"/>
  <c r="N13" i="8" s="1"/>
  <c r="O11" i="8"/>
  <c r="O13" i="8" s="1"/>
  <c r="P11" i="8"/>
  <c r="P13" i="8" s="1"/>
  <c r="Q11" i="8"/>
  <c r="D23" i="7" s="1"/>
  <c r="R11" i="8"/>
  <c r="R13" i="8" s="1"/>
  <c r="R30" i="8" s="1"/>
  <c r="F24" i="7" s="1"/>
  <c r="S11" i="8"/>
  <c r="S13" i="8" s="1"/>
  <c r="S30" i="8" s="1"/>
  <c r="F25" i="7" s="1"/>
  <c r="T13" i="8"/>
  <c r="U11" i="8"/>
  <c r="U13" i="8" s="1"/>
  <c r="U30" i="8" s="1"/>
  <c r="F27" i="7" s="1"/>
  <c r="V11" i="8"/>
  <c r="V13" i="8" s="1"/>
  <c r="V30" i="8" s="1"/>
  <c r="F28" i="7" s="1"/>
  <c r="W11" i="8"/>
  <c r="W13" i="8" s="1"/>
  <c r="W30" i="8" s="1"/>
  <c r="F29" i="7" s="1"/>
  <c r="X11" i="8"/>
  <c r="X13" i="8" s="1"/>
  <c r="Y11" i="8"/>
  <c r="Y13" i="8" s="1"/>
  <c r="Z11" i="8"/>
  <c r="D32" i="7" s="1"/>
  <c r="AA11" i="8"/>
  <c r="D33" i="7" s="1"/>
  <c r="AB11" i="8"/>
  <c r="D34" i="7" s="1"/>
  <c r="AC11" i="8"/>
  <c r="D35" i="7" s="1"/>
  <c r="AD11" i="8"/>
  <c r="AD13" i="8" s="1"/>
  <c r="AE11" i="8"/>
  <c r="AF11" i="8"/>
  <c r="AF13" i="8" s="1"/>
  <c r="AF30" i="8" s="1"/>
  <c r="F38" i="7" s="1"/>
  <c r="AG13" i="8"/>
  <c r="AH11" i="8"/>
  <c r="AH13" i="8" s="1"/>
  <c r="AI11" i="8"/>
  <c r="AJ11" i="8"/>
  <c r="D42" i="7" s="1"/>
  <c r="AK11" i="8"/>
  <c r="AK13" i="8" s="1"/>
  <c r="AL11" i="8"/>
  <c r="AM11" i="8"/>
  <c r="AM13" i="8" s="1"/>
  <c r="AN11" i="8"/>
  <c r="AN13" i="8" s="1"/>
  <c r="AN30" i="8" s="1"/>
  <c r="F46" i="7" s="1"/>
  <c r="AO11" i="8"/>
  <c r="AO13" i="8" s="1"/>
  <c r="AP11" i="8"/>
  <c r="D48" i="7" s="1"/>
  <c r="AQ11" i="8"/>
  <c r="AQ13" i="8" s="1"/>
  <c r="AR11" i="8"/>
  <c r="D50" i="7" s="1"/>
  <c r="AS11" i="8"/>
  <c r="D51" i="7" s="1"/>
  <c r="AT11" i="8"/>
  <c r="AT13" i="8" s="1"/>
  <c r="AU11" i="8"/>
  <c r="AU13" i="8" s="1"/>
  <c r="AU30" i="8" s="1"/>
  <c r="F53" i="7" s="1"/>
  <c r="AV11" i="8"/>
  <c r="AV13" i="8" s="1"/>
  <c r="AW11" i="8"/>
  <c r="AX11" i="8"/>
  <c r="AX13" i="8" s="1"/>
  <c r="AY11" i="8"/>
  <c r="D57" i="7" s="1"/>
  <c r="AZ11" i="8"/>
  <c r="AZ13" i="8" s="1"/>
  <c r="AZ30" i="8" s="1"/>
  <c r="F58" i="7" s="1"/>
  <c r="BA11" i="8"/>
  <c r="D59" i="7" s="1"/>
  <c r="BB11" i="8"/>
  <c r="BB13" i="8" s="1"/>
  <c r="BC11" i="8"/>
  <c r="BD11" i="8"/>
  <c r="BD13" i="8" s="1"/>
  <c r="BE11" i="8"/>
  <c r="BE13" i="8" s="1"/>
  <c r="F69" i="8"/>
  <c r="F68" i="8"/>
  <c r="F67" i="8"/>
  <c r="F66" i="8"/>
  <c r="F65" i="8"/>
  <c r="F64" i="8"/>
  <c r="F63" i="8"/>
  <c r="F58" i="8"/>
  <c r="F57" i="8"/>
  <c r="F56" i="8"/>
  <c r="F55" i="8"/>
  <c r="F54" i="8"/>
  <c r="F53" i="8"/>
  <c r="F52" i="8"/>
  <c r="F51" i="8"/>
  <c r="F50" i="8"/>
  <c r="F49" i="8"/>
  <c r="F48" i="8"/>
  <c r="C41" i="8"/>
  <c r="C43" i="8"/>
  <c r="AA27" i="8" s="1"/>
  <c r="B25" i="8"/>
  <c r="B24" i="8"/>
  <c r="B20" i="8"/>
  <c r="B12" i="8"/>
  <c r="P2" i="8"/>
  <c r="AD2" i="8"/>
  <c r="AR2" i="8"/>
  <c r="B2" i="8"/>
  <c r="A2" i="7"/>
  <c r="A2" i="6"/>
  <c r="A2" i="2"/>
  <c r="A2" i="5"/>
  <c r="A2" i="4"/>
  <c r="B8" i="4"/>
  <c r="B3" i="1"/>
  <c r="B17" i="1"/>
  <c r="D22" i="5"/>
  <c r="D23" i="5"/>
  <c r="D24" i="5"/>
  <c r="D25" i="5"/>
  <c r="D27" i="5"/>
  <c r="A320" i="3" l="1"/>
  <c r="A319" i="3"/>
  <c r="A288" i="3"/>
  <c r="A81" i="18"/>
  <c r="A65" i="18"/>
  <c r="A15" i="3"/>
  <c r="D15" i="3" s="1"/>
  <c r="A33" i="3"/>
  <c r="A32" i="3"/>
  <c r="A204" i="3"/>
  <c r="A88" i="3"/>
  <c r="A3" i="18"/>
  <c r="A3" i="3"/>
  <c r="A3" i="2"/>
  <c r="A259" i="3"/>
  <c r="A203" i="3"/>
  <c r="A145" i="3"/>
  <c r="A230" i="3"/>
  <c r="A171" i="3"/>
  <c r="A60" i="3"/>
  <c r="A114" i="3"/>
  <c r="D22" i="7"/>
  <c r="D30" i="7"/>
  <c r="G272" i="10"/>
  <c r="A125" i="3"/>
  <c r="D125" i="3" s="1"/>
  <c r="A759" i="10"/>
  <c r="E759" i="10" s="1"/>
  <c r="G759" i="10" s="1"/>
  <c r="A71" i="3"/>
  <c r="D71" i="3" s="1"/>
  <c r="A19" i="18"/>
  <c r="A34" i="18"/>
  <c r="A49" i="18"/>
  <c r="A511" i="10"/>
  <c r="E511" i="10" s="1"/>
  <c r="G511" i="10" s="1"/>
  <c r="AM27" i="8"/>
  <c r="C394" i="10"/>
  <c r="D31" i="7"/>
  <c r="D44" i="7"/>
  <c r="H27" i="8"/>
  <c r="Z27" i="8"/>
  <c r="L27" i="8"/>
  <c r="B11" i="11"/>
  <c r="B12" i="11"/>
  <c r="C519" i="10"/>
  <c r="C704" i="10"/>
  <c r="C705" i="10"/>
  <c r="F21" i="10"/>
  <c r="G21" i="10" s="1"/>
  <c r="G147" i="10"/>
  <c r="D38" i="7"/>
  <c r="B13" i="8"/>
  <c r="B30" i="8" s="1"/>
  <c r="F8" i="7" s="1"/>
  <c r="B18" i="8"/>
  <c r="D54" i="7"/>
  <c r="X17" i="8"/>
  <c r="G338" i="10"/>
  <c r="G340" i="10" s="1"/>
  <c r="E18" i="8"/>
  <c r="AF17" i="8"/>
  <c r="D18" i="8"/>
  <c r="AN17" i="8"/>
  <c r="F13" i="8"/>
  <c r="F22" i="8" s="1"/>
  <c r="D52" i="7"/>
  <c r="U17" i="8"/>
  <c r="R18" i="8"/>
  <c r="D58" i="7"/>
  <c r="A3" i="13"/>
  <c r="AD17" i="8"/>
  <c r="D53" i="7"/>
  <c r="AO17" i="8"/>
  <c r="D24" i="7"/>
  <c r="D40" i="7"/>
  <c r="Q18" i="8"/>
  <c r="E17" i="8"/>
  <c r="BB17" i="8"/>
  <c r="E13" i="8"/>
  <c r="E30" i="8" s="1"/>
  <c r="F11" i="7" s="1"/>
  <c r="AT17" i="8"/>
  <c r="C17" i="8"/>
  <c r="D25" i="7"/>
  <c r="Y18" i="8"/>
  <c r="D27" i="7"/>
  <c r="Y15" i="8"/>
  <c r="Y16" i="8" s="1"/>
  <c r="J21" i="8"/>
  <c r="D9" i="7"/>
  <c r="J17" i="8"/>
  <c r="G13" i="8"/>
  <c r="G30" i="8" s="1"/>
  <c r="F13" i="7" s="1"/>
  <c r="AS13" i="8"/>
  <c r="AS22" i="8" s="1"/>
  <c r="Q17" i="8"/>
  <c r="D16" i="7"/>
  <c r="BB21" i="8"/>
  <c r="D29" i="7"/>
  <c r="J18" i="8"/>
  <c r="AM17" i="8"/>
  <c r="F15" i="8"/>
  <c r="F16" i="8" s="1"/>
  <c r="AP13" i="8"/>
  <c r="AP30" i="8" s="1"/>
  <c r="F48" i="7" s="1"/>
  <c r="A128" i="10"/>
  <c r="AV17" i="8"/>
  <c r="G710" i="10"/>
  <c r="I21" i="8"/>
  <c r="G18" i="8"/>
  <c r="AX22" i="8"/>
  <c r="AD18" i="8"/>
  <c r="AB18" i="8"/>
  <c r="D11" i="7"/>
  <c r="F18" i="8"/>
  <c r="D43" i="7"/>
  <c r="AZ17" i="8"/>
  <c r="V18" i="8"/>
  <c r="G772" i="10"/>
  <c r="AQ22" i="8"/>
  <c r="T22" i="8"/>
  <c r="AI17" i="8"/>
  <c r="AC13" i="8"/>
  <c r="AC30" i="8" s="1"/>
  <c r="F35" i="7" s="1"/>
  <c r="AH22" i="8"/>
  <c r="J22" i="8"/>
  <c r="D49" i="7"/>
  <c r="D19" i="7"/>
  <c r="AQ17" i="8"/>
  <c r="BA17" i="8"/>
  <c r="AK22" i="8"/>
  <c r="AK30" i="8"/>
  <c r="F43" i="7" s="1"/>
  <c r="AX18" i="8"/>
  <c r="AN22" i="8"/>
  <c r="D36" i="7"/>
  <c r="R17" i="8"/>
  <c r="AA18" i="8"/>
  <c r="AO22" i="8"/>
  <c r="AA17" i="8"/>
  <c r="N22" i="8"/>
  <c r="R22" i="8"/>
  <c r="T18" i="8"/>
  <c r="I17" i="8"/>
  <c r="D28" i="7"/>
  <c r="AY13" i="8"/>
  <c r="AY30" i="8" s="1"/>
  <c r="F57" i="7" s="1"/>
  <c r="G711" i="10"/>
  <c r="G29" i="10"/>
  <c r="AM22" i="8"/>
  <c r="G462" i="10"/>
  <c r="G153" i="10"/>
  <c r="AW18" i="8"/>
  <c r="AI18" i="8"/>
  <c r="BD22" i="8"/>
  <c r="C146" i="10"/>
  <c r="F20" i="10"/>
  <c r="G20" i="10" s="1"/>
  <c r="C455" i="10"/>
  <c r="AD22" i="8"/>
  <c r="AD23" i="8"/>
  <c r="AD21" i="8"/>
  <c r="U22" i="8"/>
  <c r="U21" i="8"/>
  <c r="U15" i="8"/>
  <c r="U16" i="8" s="1"/>
  <c r="M23" i="8"/>
  <c r="M15" i="8"/>
  <c r="M16" i="8" s="1"/>
  <c r="M22" i="8"/>
  <c r="X23" i="8"/>
  <c r="AG30" i="8"/>
  <c r="F39" i="7" s="1"/>
  <c r="AG21" i="8"/>
  <c r="AG22" i="8"/>
  <c r="K15" i="8"/>
  <c r="K16" i="8" s="1"/>
  <c r="K30" i="8"/>
  <c r="F17" i="7" s="1"/>
  <c r="K22" i="8"/>
  <c r="X30" i="8"/>
  <c r="F30" i="7" s="1"/>
  <c r="X15" i="8"/>
  <c r="X16" i="8" s="1"/>
  <c r="X22" i="8"/>
  <c r="C30" i="8"/>
  <c r="F9" i="7" s="1"/>
  <c r="C22" i="8"/>
  <c r="C23" i="8"/>
  <c r="C21" i="8"/>
  <c r="AQ21" i="8"/>
  <c r="AQ15" i="8"/>
  <c r="AQ16" i="8" s="1"/>
  <c r="AG17" i="8"/>
  <c r="F25" i="13"/>
  <c r="I22" i="8"/>
  <c r="Y22" i="8"/>
  <c r="BB22" i="8"/>
  <c r="A635" i="10"/>
  <c r="D635" i="10" s="1"/>
  <c r="AK15" i="8"/>
  <c r="AK16" i="8" s="1"/>
  <c r="F17" i="8"/>
  <c r="D17" i="7"/>
  <c r="AM18" i="8"/>
  <c r="D47" i="7"/>
  <c r="X18" i="8"/>
  <c r="D39" i="7"/>
  <c r="AC18" i="8"/>
  <c r="AQ18" i="8"/>
  <c r="T21" i="8"/>
  <c r="Y27" i="8"/>
  <c r="AC27" i="8"/>
  <c r="M21" i="8"/>
  <c r="C18" i="8"/>
  <c r="G347" i="10"/>
  <c r="G587" i="10"/>
  <c r="D45" i="7"/>
  <c r="A201" i="10"/>
  <c r="D201" i="10" s="1"/>
  <c r="B29" i="14"/>
  <c r="E29" i="14" s="1"/>
  <c r="I29" i="14" s="1"/>
  <c r="O17" i="8"/>
  <c r="BD17" i="8"/>
  <c r="AO18" i="8"/>
  <c r="AL18" i="8"/>
  <c r="AG18" i="8"/>
  <c r="AC17" i="8"/>
  <c r="K18" i="8"/>
  <c r="N21" i="8"/>
  <c r="I23" i="8"/>
  <c r="O27" i="8"/>
  <c r="AL27" i="8"/>
  <c r="G14" i="8"/>
  <c r="AB13" i="8"/>
  <c r="AB22" i="8" s="1"/>
  <c r="G400" i="10"/>
  <c r="G214" i="10"/>
  <c r="G276" i="10"/>
  <c r="BC13" i="8"/>
  <c r="BC22" i="8" s="1"/>
  <c r="AK21" i="8"/>
  <c r="C15" i="8"/>
  <c r="C16" i="8" s="1"/>
  <c r="AK23" i="8"/>
  <c r="A387" i="10"/>
  <c r="AX15" i="8"/>
  <c r="AX16" i="8" s="1"/>
  <c r="N18" i="8"/>
  <c r="D21" i="7"/>
  <c r="BC17" i="8"/>
  <c r="BD18" i="8"/>
  <c r="N17" i="8"/>
  <c r="K17" i="8"/>
  <c r="AW17" i="8"/>
  <c r="AS17" i="8"/>
  <c r="N30" i="8"/>
  <c r="F20" i="7" s="1"/>
  <c r="AB17" i="8"/>
  <c r="X27" i="8"/>
  <c r="S27" i="8"/>
  <c r="Q13" i="8"/>
  <c r="C270" i="10"/>
  <c r="G773" i="10"/>
  <c r="D20" i="7"/>
  <c r="AY18" i="8"/>
  <c r="AE27" i="8"/>
  <c r="AJ27" i="8"/>
  <c r="C84" i="10"/>
  <c r="AQ23" i="8"/>
  <c r="B24" i="11"/>
  <c r="E24" i="11" s="1"/>
  <c r="I24" i="11" s="1"/>
  <c r="AY17" i="8"/>
  <c r="BC18" i="8"/>
  <c r="AL13" i="8"/>
  <c r="AM21" i="8"/>
  <c r="M27" i="8"/>
  <c r="V27" i="8"/>
  <c r="F70" i="8"/>
  <c r="E28" i="8" s="1"/>
  <c r="G648" i="10"/>
  <c r="G277" i="10"/>
  <c r="D61" i="7"/>
  <c r="U18" i="8"/>
  <c r="AR18" i="8"/>
  <c r="AS18" i="8"/>
  <c r="AE17" i="8"/>
  <c r="A3" i="5"/>
  <c r="A77" i="10"/>
  <c r="E77" i="10" s="1"/>
  <c r="G77" i="10" s="1"/>
  <c r="D17" i="8"/>
  <c r="L18" i="8"/>
  <c r="AE18" i="8"/>
  <c r="AQ30" i="8"/>
  <c r="F49" i="7" s="1"/>
  <c r="Y17" i="8"/>
  <c r="AJ17" i="8"/>
  <c r="J30" i="8"/>
  <c r="F16" i="7" s="1"/>
  <c r="AJ18" i="8"/>
  <c r="BD27" i="8"/>
  <c r="AI27" i="8"/>
  <c r="AX17" i="8"/>
  <c r="AZ18" i="8"/>
  <c r="AG23" i="8"/>
  <c r="J23" i="8"/>
  <c r="C331" i="10"/>
  <c r="G152" i="10"/>
  <c r="G586" i="10"/>
  <c r="F35" i="13"/>
  <c r="F41" i="13"/>
  <c r="A407" i="10"/>
  <c r="A35" i="10"/>
  <c r="B14" i="11"/>
  <c r="E14" i="11" s="1"/>
  <c r="G355" i="10"/>
  <c r="C579" i="10"/>
  <c r="C642" i="10"/>
  <c r="C766" i="10"/>
  <c r="G781" i="10"/>
  <c r="B11" i="14"/>
  <c r="G595" i="10"/>
  <c r="G657" i="10"/>
  <c r="C703" i="10"/>
  <c r="A593" i="10"/>
  <c r="G37" i="10"/>
  <c r="F765" i="10"/>
  <c r="G765" i="10" s="1"/>
  <c r="A654" i="10"/>
  <c r="A283" i="10"/>
  <c r="B14" i="14"/>
  <c r="B10" i="11"/>
  <c r="E10" i="11" s="1"/>
  <c r="A717" i="10"/>
  <c r="A96" i="10"/>
  <c r="C209" i="10"/>
  <c r="G91" i="10"/>
  <c r="A469" i="10"/>
  <c r="A158" i="10"/>
  <c r="A345" i="10"/>
  <c r="C269" i="10"/>
  <c r="C581" i="10"/>
  <c r="G401" i="10"/>
  <c r="G215" i="10"/>
  <c r="G649" i="10"/>
  <c r="G706" i="10"/>
  <c r="A34" i="10"/>
  <c r="A282" i="10"/>
  <c r="A592" i="10"/>
  <c r="C333" i="10"/>
  <c r="G285" i="10"/>
  <c r="B9" i="11"/>
  <c r="C207" i="10"/>
  <c r="G83" i="10"/>
  <c r="B17" i="11"/>
  <c r="G99" i="10"/>
  <c r="G719" i="10"/>
  <c r="G471" i="10"/>
  <c r="G161" i="10"/>
  <c r="G223" i="10"/>
  <c r="G727" i="10"/>
  <c r="G169" i="10"/>
  <c r="G409" i="10"/>
  <c r="G533" i="10"/>
  <c r="G45" i="10"/>
  <c r="G665" i="10"/>
  <c r="G231" i="10"/>
  <c r="A3" i="16"/>
  <c r="A190" i="10"/>
  <c r="A376" i="10"/>
  <c r="P3" i="8"/>
  <c r="A3" i="15"/>
  <c r="A686" i="10"/>
  <c r="A3" i="10"/>
  <c r="A314" i="10"/>
  <c r="A3" i="6"/>
  <c r="A3" i="17"/>
  <c r="A3" i="4"/>
  <c r="A3" i="14"/>
  <c r="A438" i="10"/>
  <c r="A3" i="11"/>
  <c r="A624" i="10"/>
  <c r="A3" i="9"/>
  <c r="A562" i="10"/>
  <c r="B3" i="8"/>
  <c r="A66" i="10"/>
  <c r="A3" i="7"/>
  <c r="A252" i="10"/>
  <c r="AD3" i="8"/>
  <c r="A748" i="10"/>
  <c r="A500" i="10"/>
  <c r="AR3" i="8"/>
  <c r="AP17" i="8"/>
  <c r="AP18" i="8"/>
  <c r="AP14" i="8"/>
  <c r="W14" i="8"/>
  <c r="W15" i="8" s="1"/>
  <c r="W16" i="8" s="1"/>
  <c r="W18" i="8"/>
  <c r="W17" i="8"/>
  <c r="BE30" i="8"/>
  <c r="BE23" i="8"/>
  <c r="BE21" i="8"/>
  <c r="BE15" i="8"/>
  <c r="BE16" i="8" s="1"/>
  <c r="AT21" i="8"/>
  <c r="AT30" i="8"/>
  <c r="F52" i="7" s="1"/>
  <c r="AT23" i="8"/>
  <c r="AT15" i="8"/>
  <c r="AT16" i="8" s="1"/>
  <c r="AT22" i="8"/>
  <c r="AH23" i="8"/>
  <c r="AH21" i="8"/>
  <c r="AH30" i="8"/>
  <c r="F40" i="7" s="1"/>
  <c r="AH15" i="8"/>
  <c r="AU14" i="8"/>
  <c r="AU17" i="8"/>
  <c r="AU18" i="8"/>
  <c r="AO15" i="8"/>
  <c r="AO16" i="8" s="1"/>
  <c r="V21" i="8"/>
  <c r="V15" i="8"/>
  <c r="V16" i="8" s="1"/>
  <c r="V23" i="8"/>
  <c r="V22" i="8"/>
  <c r="BE18" i="8"/>
  <c r="BE17" i="8"/>
  <c r="AN15" i="8"/>
  <c r="AN23" i="8"/>
  <c r="AN21" i="8"/>
  <c r="P23" i="8"/>
  <c r="P15" i="8"/>
  <c r="P16" i="8" s="1"/>
  <c r="P21" i="8"/>
  <c r="P30" i="8"/>
  <c r="F22" i="7" s="1"/>
  <c r="P22" i="8"/>
  <c r="AZ23" i="8"/>
  <c r="AZ21" i="8"/>
  <c r="AZ15" i="8"/>
  <c r="AZ16" i="8" s="1"/>
  <c r="AZ22" i="8"/>
  <c r="BE22" i="8"/>
  <c r="B22" i="11"/>
  <c r="E22" i="11" s="1"/>
  <c r="I22" i="11" s="1"/>
  <c r="I20" i="11" s="1"/>
  <c r="A449" i="10"/>
  <c r="B26" i="11"/>
  <c r="E26" i="11" s="1"/>
  <c r="I26" i="11" s="1"/>
  <c r="B30" i="14"/>
  <c r="E30" i="14" s="1"/>
  <c r="I30" i="14" s="1"/>
  <c r="A697" i="10"/>
  <c r="B25" i="11"/>
  <c r="E25" i="11" s="1"/>
  <c r="I25" i="11" s="1"/>
  <c r="A14" i="10"/>
  <c r="B28" i="14"/>
  <c r="E28" i="14" s="1"/>
  <c r="I28" i="14" s="1"/>
  <c r="A573" i="10"/>
  <c r="A139" i="10"/>
  <c r="A325" i="10"/>
  <c r="A263" i="10"/>
  <c r="AO23" i="8"/>
  <c r="AI13" i="8"/>
  <c r="D41" i="7"/>
  <c r="K21" i="8"/>
  <c r="K23" i="8"/>
  <c r="AV14" i="8"/>
  <c r="AV15" i="8" s="1"/>
  <c r="AV16" i="8" s="1"/>
  <c r="AV18" i="8"/>
  <c r="AK17" i="8"/>
  <c r="AK18" i="8"/>
  <c r="B14" i="8"/>
  <c r="B17" i="8"/>
  <c r="U23" i="8"/>
  <c r="BD30" i="8"/>
  <c r="BD23" i="8"/>
  <c r="BD21" i="8"/>
  <c r="AN18" i="8"/>
  <c r="D46" i="7"/>
  <c r="P17" i="8"/>
  <c r="P18" i="8"/>
  <c r="BD15" i="8"/>
  <c r="D55" i="7"/>
  <c r="AW13" i="8"/>
  <c r="AR13" i="8"/>
  <c r="AR17" i="8"/>
  <c r="AM30" i="8"/>
  <c r="F45" i="7" s="1"/>
  <c r="AM23" i="8"/>
  <c r="AM15" i="8"/>
  <c r="Z17" i="8"/>
  <c r="Z18" i="8"/>
  <c r="Z13" i="8"/>
  <c r="T30" i="8"/>
  <c r="F26" i="7" s="1"/>
  <c r="T23" i="8"/>
  <c r="T15" i="8"/>
  <c r="O30" i="8"/>
  <c r="F21" i="7" s="1"/>
  <c r="I15" i="8"/>
  <c r="I30" i="8"/>
  <c r="F15" i="7" s="1"/>
  <c r="BB23" i="8"/>
  <c r="BB30" i="8"/>
  <c r="F60" i="7" s="1"/>
  <c r="BB15" i="8"/>
  <c r="AV30" i="8"/>
  <c r="F54" i="7" s="1"/>
  <c r="Y23" i="8"/>
  <c r="Y21" i="8"/>
  <c r="Y30" i="8"/>
  <c r="F31" i="7" s="1"/>
  <c r="T17" i="8"/>
  <c r="D26" i="7"/>
  <c r="N23" i="8"/>
  <c r="N15" i="8"/>
  <c r="H18" i="8"/>
  <c r="H17" i="8"/>
  <c r="H13" i="8"/>
  <c r="AF14" i="8"/>
  <c r="AF18" i="8"/>
  <c r="O18" i="8"/>
  <c r="O14" i="8"/>
  <c r="AX23" i="8"/>
  <c r="AX21" i="8"/>
  <c r="AX30" i="8"/>
  <c r="F56" i="7" s="1"/>
  <c r="BA18" i="8"/>
  <c r="BA13" i="8"/>
  <c r="D37" i="7"/>
  <c r="AE13" i="8"/>
  <c r="G17" i="8"/>
  <c r="F59" i="8"/>
  <c r="AD15" i="8"/>
  <c r="AD30" i="8"/>
  <c r="F36" i="7" s="1"/>
  <c r="R23" i="8"/>
  <c r="R21" i="8"/>
  <c r="R15" i="8"/>
  <c r="L13" i="8"/>
  <c r="L17" i="8"/>
  <c r="D18" i="7"/>
  <c r="S17" i="8"/>
  <c r="S14" i="8"/>
  <c r="D13" i="8"/>
  <c r="J15" i="8"/>
  <c r="D56" i="7"/>
  <c r="S18" i="8"/>
  <c r="A530" i="10"/>
  <c r="A468" i="10"/>
  <c r="A655" i="10"/>
  <c r="AO30" i="8"/>
  <c r="F47" i="7" s="1"/>
  <c r="AG15" i="8"/>
  <c r="AG27" i="8"/>
  <c r="W27" i="8"/>
  <c r="AH27" i="8"/>
  <c r="R27" i="8"/>
  <c r="G293" i="10"/>
  <c r="G463" i="10"/>
  <c r="G520" i="10"/>
  <c r="G525" i="10"/>
  <c r="G603" i="10"/>
  <c r="M17" i="8"/>
  <c r="D60" i="7"/>
  <c r="AH17" i="8"/>
  <c r="V17" i="8"/>
  <c r="AT18" i="8"/>
  <c r="A531" i="10"/>
  <c r="A220" i="10"/>
  <c r="M18" i="8"/>
  <c r="X21" i="8"/>
  <c r="AO21" i="8"/>
  <c r="B12" i="14"/>
  <c r="E12" i="14" s="1"/>
  <c r="I12" i="14" s="1"/>
  <c r="AF27" i="8"/>
  <c r="AD27" i="8"/>
  <c r="AB27" i="8"/>
  <c r="G210" i="10"/>
  <c r="BB18" i="8"/>
  <c r="AA13" i="8"/>
  <c r="G524" i="10"/>
  <c r="G90" i="10"/>
  <c r="D15" i="7"/>
  <c r="AH18" i="8"/>
  <c r="AL17" i="8"/>
  <c r="A716" i="10"/>
  <c r="A344" i="10"/>
  <c r="A97" i="10"/>
  <c r="A778" i="10"/>
  <c r="AJ13" i="8"/>
  <c r="N27" i="8"/>
  <c r="P27" i="8"/>
  <c r="AK27" i="8"/>
  <c r="I18" i="8"/>
  <c r="A159" i="10"/>
  <c r="A221" i="10"/>
  <c r="A406" i="10"/>
  <c r="B10" i="14"/>
  <c r="A779" i="10"/>
  <c r="BE27" i="8"/>
  <c r="BC27" i="8"/>
  <c r="G417" i="10"/>
  <c r="G541" i="10"/>
  <c r="I27" i="11"/>
  <c r="G107" i="10"/>
  <c r="G479" i="10"/>
  <c r="C22" i="10"/>
  <c r="C518" i="10"/>
  <c r="G145" i="10"/>
  <c r="C271" i="10"/>
  <c r="F332" i="10"/>
  <c r="G332" i="10" s="1"/>
  <c r="G334" i="10" s="1"/>
  <c r="F393" i="10"/>
  <c r="G393" i="10" s="1"/>
  <c r="G396" i="10" s="1"/>
  <c r="F457" i="10"/>
  <c r="G457" i="10" s="1"/>
  <c r="G458" i="10" s="1"/>
  <c r="F643" i="10"/>
  <c r="G643" i="10" s="1"/>
  <c r="C23" i="10"/>
  <c r="C517" i="10"/>
  <c r="G85" i="10"/>
  <c r="F580" i="10"/>
  <c r="G580" i="10" s="1"/>
  <c r="G582" i="10" s="1"/>
  <c r="F641" i="10"/>
  <c r="G641" i="10" s="1"/>
  <c r="C7" i="17"/>
  <c r="F767" i="10"/>
  <c r="G767" i="10" s="1"/>
  <c r="C767" i="10"/>
  <c r="C208" i="10"/>
  <c r="G339" i="10"/>
  <c r="C456" i="10"/>
  <c r="C395" i="10"/>
  <c r="G789" i="10"/>
  <c r="G28" i="8" l="1"/>
  <c r="AZ28" i="8"/>
  <c r="AX28" i="8"/>
  <c r="AN28" i="8"/>
  <c r="BB28" i="8"/>
  <c r="L28" i="8"/>
  <c r="D759" i="10"/>
  <c r="E9" i="11"/>
  <c r="D511" i="10"/>
  <c r="E635" i="10"/>
  <c r="G635" i="10" s="1"/>
  <c r="AO28" i="8"/>
  <c r="AO29" i="8" s="1"/>
  <c r="AO32" i="8" s="1"/>
  <c r="E47" i="7" s="1"/>
  <c r="F42" i="13"/>
  <c r="E12" i="11"/>
  <c r="E11" i="11"/>
  <c r="G24" i="10"/>
  <c r="G148" i="10"/>
  <c r="G768" i="10"/>
  <c r="G30" i="10"/>
  <c r="G588" i="10"/>
  <c r="F21" i="8"/>
  <c r="F23" i="8"/>
  <c r="F30" i="8"/>
  <c r="F12" i="7" s="1"/>
  <c r="G774" i="10"/>
  <c r="G21" i="8"/>
  <c r="G22" i="8"/>
  <c r="G712" i="10"/>
  <c r="E15" i="8"/>
  <c r="E16" i="8" s="1"/>
  <c r="E23" i="8"/>
  <c r="E21" i="8"/>
  <c r="G278" i="10"/>
  <c r="E10" i="14"/>
  <c r="I10" i="14" s="1"/>
  <c r="E22" i="8"/>
  <c r="BC30" i="8"/>
  <c r="F61" i="7" s="1"/>
  <c r="G402" i="10"/>
  <c r="BC21" i="8"/>
  <c r="E17" i="11"/>
  <c r="BC23" i="8"/>
  <c r="AP22" i="8"/>
  <c r="AS23" i="8"/>
  <c r="AS21" i="8"/>
  <c r="AS15" i="8"/>
  <c r="AS16" i="8" s="1"/>
  <c r="AS30" i="8"/>
  <c r="F51" i="7" s="1"/>
  <c r="AV23" i="8"/>
  <c r="AY23" i="8"/>
  <c r="AY21" i="8"/>
  <c r="BC15" i="8"/>
  <c r="BC16" i="8" s="1"/>
  <c r="E11" i="14"/>
  <c r="I11" i="14" s="1"/>
  <c r="I9" i="14" s="1"/>
  <c r="AC23" i="8"/>
  <c r="E14" i="14"/>
  <c r="I14" i="14" s="1"/>
  <c r="I13" i="14" s="1"/>
  <c r="G23" i="8"/>
  <c r="AC15" i="8"/>
  <c r="AC16" i="8" s="1"/>
  <c r="G216" i="10"/>
  <c r="AX29" i="8"/>
  <c r="AX31" i="8" s="1"/>
  <c r="G56" i="7" s="1"/>
  <c r="H56" i="7" s="1"/>
  <c r="AC22" i="8"/>
  <c r="AC21" i="8"/>
  <c r="G464" i="10"/>
  <c r="AV21" i="8"/>
  <c r="AY15" i="8"/>
  <c r="AY16" i="8" s="1"/>
  <c r="AY22" i="8"/>
  <c r="BA28" i="8"/>
  <c r="K28" i="8"/>
  <c r="K29" i="8" s="1"/>
  <c r="G650" i="10"/>
  <c r="G154" i="10"/>
  <c r="BC28" i="8"/>
  <c r="B28" i="8"/>
  <c r="AP28" i="8"/>
  <c r="AU28" i="8"/>
  <c r="F28" i="8"/>
  <c r="C28" i="8"/>
  <c r="C29" i="8" s="1"/>
  <c r="Q21" i="8"/>
  <c r="Q30" i="8"/>
  <c r="F23" i="7" s="1"/>
  <c r="Q22" i="8"/>
  <c r="P28" i="8"/>
  <c r="P29" i="8" s="1"/>
  <c r="AS28" i="8"/>
  <c r="AT28" i="8"/>
  <c r="AT29" i="8" s="1"/>
  <c r="AT32" i="8" s="1"/>
  <c r="E52" i="7" s="1"/>
  <c r="G15" i="8"/>
  <c r="G16" i="8" s="1"/>
  <c r="AZ29" i="8"/>
  <c r="AZ31" i="8" s="1"/>
  <c r="G58" i="7" s="1"/>
  <c r="H58" i="7" s="1"/>
  <c r="AY28" i="8"/>
  <c r="I28" i="8"/>
  <c r="AR28" i="8"/>
  <c r="AP23" i="8"/>
  <c r="E387" i="10"/>
  <c r="G387" i="10" s="1"/>
  <c r="D387" i="10"/>
  <c r="AB23" i="8"/>
  <c r="D28" i="8"/>
  <c r="AQ28" i="8"/>
  <c r="AQ29" i="8" s="1"/>
  <c r="AQ31" i="8" s="1"/>
  <c r="G49" i="7" s="1"/>
  <c r="H49" i="7" s="1"/>
  <c r="J28" i="8"/>
  <c r="E201" i="10"/>
  <c r="G201" i="10" s="1"/>
  <c r="AB15" i="8"/>
  <c r="AB16" i="8" s="1"/>
  <c r="AW28" i="8"/>
  <c r="M28" i="8"/>
  <c r="M29" i="8" s="1"/>
  <c r="M32" i="8" s="1"/>
  <c r="E19" i="7" s="1"/>
  <c r="H28" i="8"/>
  <c r="AB21" i="8"/>
  <c r="AL21" i="8"/>
  <c r="AL15" i="8"/>
  <c r="AL16" i="8" s="1"/>
  <c r="AL22" i="8"/>
  <c r="AL30" i="8"/>
  <c r="F44" i="7" s="1"/>
  <c r="AL23" i="8"/>
  <c r="Q15" i="8"/>
  <c r="Q16" i="8" s="1"/>
  <c r="Q23" i="8"/>
  <c r="O28" i="8"/>
  <c r="AV28" i="8"/>
  <c r="N28" i="8"/>
  <c r="AB30" i="8"/>
  <c r="F34" i="7" s="1"/>
  <c r="D77" i="10"/>
  <c r="G86" i="10"/>
  <c r="I23" i="11"/>
  <c r="G644" i="10"/>
  <c r="E697" i="10"/>
  <c r="G697" i="10" s="1"/>
  <c r="D697" i="10"/>
  <c r="AH16" i="8"/>
  <c r="E13" i="17"/>
  <c r="E14" i="17"/>
  <c r="E12" i="17"/>
  <c r="G92" i="10"/>
  <c r="J16" i="8"/>
  <c r="BA23" i="8"/>
  <c r="BA21" i="8"/>
  <c r="BA30" i="8"/>
  <c r="F59" i="7" s="1"/>
  <c r="BA15" i="8"/>
  <c r="BA16" i="8" s="1"/>
  <c r="BA22" i="8"/>
  <c r="AF23" i="8"/>
  <c r="AF15" i="8"/>
  <c r="AF16" i="8" s="1"/>
  <c r="AF21" i="8"/>
  <c r="AF22" i="8"/>
  <c r="T16" i="8"/>
  <c r="E263" i="10"/>
  <c r="G263" i="10" s="1"/>
  <c r="D263" i="10"/>
  <c r="E573" i="10"/>
  <c r="G573" i="10" s="1"/>
  <c r="D573" i="10"/>
  <c r="AP21" i="8"/>
  <c r="AJ21" i="8"/>
  <c r="AJ15" i="8"/>
  <c r="AJ16" i="8" s="1"/>
  <c r="AJ30" i="8"/>
  <c r="F42" i="7" s="1"/>
  <c r="AJ22" i="8"/>
  <c r="AJ23" i="8"/>
  <c r="D21" i="8"/>
  <c r="D15" i="8"/>
  <c r="D16" i="8" s="1"/>
  <c r="D23" i="8"/>
  <c r="D22" i="8"/>
  <c r="D30" i="8"/>
  <c r="F10" i="7" s="1"/>
  <c r="H15" i="8"/>
  <c r="H16" i="8" s="1"/>
  <c r="H23" i="8"/>
  <c r="H21" i="8"/>
  <c r="H30" i="8"/>
  <c r="F14" i="7" s="1"/>
  <c r="H22" i="8"/>
  <c r="BD16" i="8"/>
  <c r="AP15" i="8"/>
  <c r="AP16" i="8" s="1"/>
  <c r="R16" i="8"/>
  <c r="S21" i="8"/>
  <c r="S23" i="8"/>
  <c r="S22" i="8"/>
  <c r="S15" i="8"/>
  <c r="S16" i="8" s="1"/>
  <c r="AR21" i="8"/>
  <c r="AR23" i="8"/>
  <c r="AR22" i="8"/>
  <c r="AR15" i="8"/>
  <c r="AR16" i="8" s="1"/>
  <c r="AR30" i="8"/>
  <c r="F50" i="7" s="1"/>
  <c r="AI30" i="8"/>
  <c r="F41" i="7" s="1"/>
  <c r="AI23" i="8"/>
  <c r="AI15" i="8"/>
  <c r="AI16" i="8" s="1"/>
  <c r="AI21" i="8"/>
  <c r="AI22" i="8"/>
  <c r="AA30" i="8"/>
  <c r="F33" i="7" s="1"/>
  <c r="AA23" i="8"/>
  <c r="AA15" i="8"/>
  <c r="AA16" i="8" s="1"/>
  <c r="AA21" i="8"/>
  <c r="AA22" i="8"/>
  <c r="AD16" i="8"/>
  <c r="Z15" i="8"/>
  <c r="Z16" i="8" s="1"/>
  <c r="Z21" i="8"/>
  <c r="Z23" i="8"/>
  <c r="Z30" i="8"/>
  <c r="F32" i="7" s="1"/>
  <c r="Z22" i="8"/>
  <c r="AW15" i="8"/>
  <c r="AW16" i="8" s="1"/>
  <c r="AW30" i="8"/>
  <c r="F55" i="7" s="1"/>
  <c r="AW21" i="8"/>
  <c r="AW23" i="8"/>
  <c r="AW22" i="8"/>
  <c r="G526" i="10"/>
  <c r="AC28" i="8"/>
  <c r="AE28" i="8"/>
  <c r="BE28" i="8"/>
  <c r="BE29" i="8" s="1"/>
  <c r="AK28" i="8"/>
  <c r="AK29" i="8" s="1"/>
  <c r="AM28" i="8"/>
  <c r="R28" i="8"/>
  <c r="V28" i="8"/>
  <c r="V29" i="8" s="1"/>
  <c r="X28" i="8"/>
  <c r="X29" i="8" s="1"/>
  <c r="Z28" i="8"/>
  <c r="AL28" i="8"/>
  <c r="AF28" i="8"/>
  <c r="AH28" i="8"/>
  <c r="T28" i="8"/>
  <c r="S28" i="8"/>
  <c r="BD28" i="8"/>
  <c r="AI28" i="8"/>
  <c r="U28" i="8"/>
  <c r="U29" i="8" s="1"/>
  <c r="W28" i="8"/>
  <c r="AG28" i="8"/>
  <c r="Y28" i="8"/>
  <c r="Y29" i="8" s="1"/>
  <c r="AB28" i="8"/>
  <c r="AJ28" i="8"/>
  <c r="Q28" i="8"/>
  <c r="AD28" i="8"/>
  <c r="AA28" i="8"/>
  <c r="N16" i="8"/>
  <c r="D325" i="10"/>
  <c r="E325" i="10"/>
  <c r="G325" i="10" s="1"/>
  <c r="D449" i="10"/>
  <c r="E449" i="10"/>
  <c r="G449" i="10" s="1"/>
  <c r="O15" i="8"/>
  <c r="O16" i="8" s="1"/>
  <c r="O22" i="8"/>
  <c r="O23" i="8"/>
  <c r="I16" i="8"/>
  <c r="I29" i="8" s="1"/>
  <c r="B21" i="8"/>
  <c r="B15" i="8"/>
  <c r="B16" i="8" s="1"/>
  <c r="B23" i="8"/>
  <c r="B22" i="8"/>
  <c r="E139" i="10"/>
  <c r="G139" i="10" s="1"/>
  <c r="D139" i="10"/>
  <c r="D14" i="10"/>
  <c r="E14" i="10"/>
  <c r="G14" i="10" s="1"/>
  <c r="AN16" i="8"/>
  <c r="AN29" i="8" s="1"/>
  <c r="BB16" i="8"/>
  <c r="AG16" i="8"/>
  <c r="L21" i="8"/>
  <c r="L30" i="8"/>
  <c r="F18" i="7" s="1"/>
  <c r="L15" i="8"/>
  <c r="L16" i="8" s="1"/>
  <c r="L23" i="8"/>
  <c r="L22" i="8"/>
  <c r="AE21" i="8"/>
  <c r="AE15" i="8"/>
  <c r="AE16" i="8" s="1"/>
  <c r="AE30" i="8"/>
  <c r="F37" i="7" s="1"/>
  <c r="AE23" i="8"/>
  <c r="AE22" i="8"/>
  <c r="O21" i="8"/>
  <c r="AM16" i="8"/>
  <c r="AV22" i="8"/>
  <c r="AU15" i="8"/>
  <c r="AU16" i="8" s="1"/>
  <c r="AU23" i="8"/>
  <c r="AU21" i="8"/>
  <c r="AU22" i="8"/>
  <c r="W21" i="8"/>
  <c r="W23" i="8"/>
  <c r="W22" i="8"/>
  <c r="BB29" i="8" l="1"/>
  <c r="J29" i="8"/>
  <c r="AD29" i="8"/>
  <c r="AM29" i="8"/>
  <c r="N29" i="8"/>
  <c r="N31" i="8" s="1"/>
  <c r="G20" i="7" s="1"/>
  <c r="H20" i="7" s="1"/>
  <c r="F29" i="8"/>
  <c r="F31" i="8" s="1"/>
  <c r="G12" i="7" s="1"/>
  <c r="H12" i="7" s="1"/>
  <c r="AX32" i="8"/>
  <c r="E56" i="7" s="1"/>
  <c r="E29" i="8"/>
  <c r="E32" i="8" s="1"/>
  <c r="E11" i="7" s="1"/>
  <c r="BC29" i="8"/>
  <c r="BC31" i="8" s="1"/>
  <c r="G61" i="7" s="1"/>
  <c r="H61" i="7" s="1"/>
  <c r="I20" i="14"/>
  <c r="AS29" i="8"/>
  <c r="R29" i="8"/>
  <c r="R32" i="8" s="1"/>
  <c r="E24" i="7" s="1"/>
  <c r="AB29" i="8"/>
  <c r="AB32" i="8" s="1"/>
  <c r="E34" i="7" s="1"/>
  <c r="G29" i="8"/>
  <c r="G31" i="8" s="1"/>
  <c r="G13" i="7" s="1"/>
  <c r="H13" i="7" s="1"/>
  <c r="AC29" i="8"/>
  <c r="AC32" i="8" s="1"/>
  <c r="E35" i="7" s="1"/>
  <c r="AZ32" i="8"/>
  <c r="E58" i="7" s="1"/>
  <c r="AQ32" i="8"/>
  <c r="E49" i="7" s="1"/>
  <c r="AY29" i="8"/>
  <c r="AY32" i="8" s="1"/>
  <c r="E57" i="7" s="1"/>
  <c r="AH29" i="8"/>
  <c r="AH32" i="8" s="1"/>
  <c r="E40" i="7" s="1"/>
  <c r="AO31" i="8"/>
  <c r="G47" i="7" s="1"/>
  <c r="H47" i="7" s="1"/>
  <c r="AA29" i="8"/>
  <c r="AA32" i="8" s="1"/>
  <c r="E33" i="7" s="1"/>
  <c r="AP29" i="8"/>
  <c r="AP31" i="8" s="1"/>
  <c r="G48" i="7" s="1"/>
  <c r="H48" i="7" s="1"/>
  <c r="T29" i="8"/>
  <c r="T31" i="8" s="1"/>
  <c r="G26" i="7" s="1"/>
  <c r="H26" i="7" s="1"/>
  <c r="C32" i="8"/>
  <c r="E9" i="7" s="1"/>
  <c r="C31" i="8"/>
  <c r="G9" i="7" s="1"/>
  <c r="H9" i="7" s="1"/>
  <c r="P32" i="8"/>
  <c r="E22" i="7" s="1"/>
  <c r="F14" i="11" s="1"/>
  <c r="I14" i="11" s="1"/>
  <c r="I13" i="11" s="1"/>
  <c r="P31" i="8"/>
  <c r="G22" i="7" s="1"/>
  <c r="H22" i="7" s="1"/>
  <c r="S29" i="8"/>
  <c r="S31" i="8" s="1"/>
  <c r="G25" i="7" s="1"/>
  <c r="H25" i="7" s="1"/>
  <c r="I16" i="14"/>
  <c r="F32" i="8"/>
  <c r="E12" i="7" s="1"/>
  <c r="F12" i="11" s="1"/>
  <c r="I12" i="11" s="1"/>
  <c r="AG29" i="8"/>
  <c r="AG31" i="8" s="1"/>
  <c r="G39" i="7" s="1"/>
  <c r="H39" i="7" s="1"/>
  <c r="B29" i="8"/>
  <c r="B31" i="8" s="1"/>
  <c r="G8" i="7" s="1"/>
  <c r="H8" i="7" s="1"/>
  <c r="AL29" i="8"/>
  <c r="AL31" i="8" s="1"/>
  <c r="G44" i="7" s="1"/>
  <c r="H44" i="7" s="1"/>
  <c r="Q29" i="8"/>
  <c r="Q31" i="8" s="1"/>
  <c r="G23" i="7" s="1"/>
  <c r="H23" i="7" s="1"/>
  <c r="Z29" i="8"/>
  <c r="Z31" i="8" s="1"/>
  <c r="G32" i="7" s="1"/>
  <c r="H32" i="7" s="1"/>
  <c r="BD29" i="8"/>
  <c r="BD31" i="8" s="1"/>
  <c r="M31" i="8"/>
  <c r="G19" i="7" s="1"/>
  <c r="H19" i="7" s="1"/>
  <c r="AT31" i="8"/>
  <c r="G52" i="7" s="1"/>
  <c r="H52" i="7" s="1"/>
  <c r="W29" i="8"/>
  <c r="W31" i="8" s="1"/>
  <c r="G29" i="7" s="1"/>
  <c r="H29" i="7" s="1"/>
  <c r="AV29" i="8"/>
  <c r="AV32" i="8" s="1"/>
  <c r="E54" i="7" s="1"/>
  <c r="AI29" i="8"/>
  <c r="AI32" i="8" s="1"/>
  <c r="E41" i="7" s="1"/>
  <c r="AR29" i="8"/>
  <c r="AR32" i="8" s="1"/>
  <c r="E50" i="7" s="1"/>
  <c r="H29" i="8"/>
  <c r="H31" i="8" s="1"/>
  <c r="G14" i="7" s="1"/>
  <c r="H14" i="7" s="1"/>
  <c r="AU29" i="8"/>
  <c r="AU31" i="8" s="1"/>
  <c r="G53" i="7" s="1"/>
  <c r="H53" i="7" s="1"/>
  <c r="BE31" i="8"/>
  <c r="BE32" i="8"/>
  <c r="I31" i="8"/>
  <c r="G15" i="7" s="1"/>
  <c r="H15" i="7" s="1"/>
  <c r="I32" i="8"/>
  <c r="E15" i="7" s="1"/>
  <c r="F11" i="11" s="1"/>
  <c r="I11" i="11" s="1"/>
  <c r="U32" i="8"/>
  <c r="E27" i="7" s="1"/>
  <c r="U31" i="8"/>
  <c r="G27" i="7" s="1"/>
  <c r="H27" i="7" s="1"/>
  <c r="Z32" i="8"/>
  <c r="E32" i="7" s="1"/>
  <c r="J32" i="8"/>
  <c r="E16" i="7" s="1"/>
  <c r="J31" i="8"/>
  <c r="G16" i="7" s="1"/>
  <c r="H16" i="7" s="1"/>
  <c r="AS31" i="8"/>
  <c r="G51" i="7" s="1"/>
  <c r="H51" i="7" s="1"/>
  <c r="AS32" i="8"/>
  <c r="E51" i="7" s="1"/>
  <c r="BB32" i="8"/>
  <c r="E60" i="7" s="1"/>
  <c r="BB31" i="8"/>
  <c r="G60" i="7" s="1"/>
  <c r="H60" i="7" s="1"/>
  <c r="X31" i="8"/>
  <c r="G30" i="7" s="1"/>
  <c r="H30" i="7" s="1"/>
  <c r="X32" i="8"/>
  <c r="E30" i="7" s="1"/>
  <c r="V31" i="8"/>
  <c r="G28" i="7" s="1"/>
  <c r="H28" i="7" s="1"/>
  <c r="V32" i="8"/>
  <c r="E28" i="7" s="1"/>
  <c r="AM32" i="8"/>
  <c r="AM31" i="8"/>
  <c r="G45" i="7" s="1"/>
  <c r="H45" i="7" s="1"/>
  <c r="BD32" i="8"/>
  <c r="AN32" i="8"/>
  <c r="E46" i="7" s="1"/>
  <c r="AN31" i="8"/>
  <c r="G46" i="7" s="1"/>
  <c r="H46" i="7" s="1"/>
  <c r="Y31" i="8"/>
  <c r="G31" i="7" s="1"/>
  <c r="H31" i="7" s="1"/>
  <c r="Y32" i="8"/>
  <c r="E31" i="7" s="1"/>
  <c r="D29" i="8"/>
  <c r="AP32" i="8"/>
  <c r="E48" i="7" s="1"/>
  <c r="L29" i="8"/>
  <c r="AK31" i="8"/>
  <c r="G43" i="7" s="1"/>
  <c r="H43" i="7" s="1"/>
  <c r="AK32" i="8"/>
  <c r="E43" i="7" s="1"/>
  <c r="BA29" i="8"/>
  <c r="AD32" i="8"/>
  <c r="E36" i="7" s="1"/>
  <c r="AD31" i="8"/>
  <c r="G36" i="7" s="1"/>
  <c r="H36" i="7" s="1"/>
  <c r="O29" i="8"/>
  <c r="AF29" i="8"/>
  <c r="AE29" i="8"/>
  <c r="AW29" i="8"/>
  <c r="AJ29" i="8"/>
  <c r="K31" i="8"/>
  <c r="G17" i="7" s="1"/>
  <c r="H17" i="7" s="1"/>
  <c r="K32" i="8"/>
  <c r="E17" i="7" s="1"/>
  <c r="E259" i="3" l="1"/>
  <c r="G259" i="3" s="1"/>
  <c r="E146" i="3"/>
  <c r="G146" i="3" s="1"/>
  <c r="G32" i="8"/>
  <c r="E13" i="7" s="1"/>
  <c r="T32" i="8"/>
  <c r="E26" i="7" s="1"/>
  <c r="N32" i="8"/>
  <c r="E20" i="7" s="1"/>
  <c r="F17" i="11" s="1"/>
  <c r="I17" i="11" s="1"/>
  <c r="I16" i="11" s="1"/>
  <c r="E33" i="3"/>
  <c r="G33" i="3" s="1"/>
  <c r="E88" i="3"/>
  <c r="G88" i="3" s="1"/>
  <c r="G262" i="3"/>
  <c r="BC32" i="8"/>
  <c r="E61" i="7" s="1"/>
  <c r="AC31" i="8"/>
  <c r="G35" i="7" s="1"/>
  <c r="H35" i="7" s="1"/>
  <c r="E45" i="7"/>
  <c r="G23" i="24"/>
  <c r="H23" i="24" s="1"/>
  <c r="H24" i="24" s="1"/>
  <c r="I23" i="14"/>
  <c r="H25" i="15"/>
  <c r="H28" i="15"/>
  <c r="I22" i="14"/>
  <c r="H27" i="15"/>
  <c r="H24" i="15"/>
  <c r="I21" i="14"/>
  <c r="H26" i="15"/>
  <c r="AH31" i="8"/>
  <c r="G40" i="7" s="1"/>
  <c r="H40" i="7" s="1"/>
  <c r="E282" i="10" s="1"/>
  <c r="G282" i="10" s="1"/>
  <c r="H32" i="8"/>
  <c r="E14" i="7" s="1"/>
  <c r="AR31" i="8"/>
  <c r="G50" i="7" s="1"/>
  <c r="H50" i="7" s="1"/>
  <c r="R31" i="8"/>
  <c r="G24" i="7" s="1"/>
  <c r="H24" i="7" s="1"/>
  <c r="AB31" i="8"/>
  <c r="G34" i="7" s="1"/>
  <c r="H34" i="7" s="1"/>
  <c r="S32" i="8"/>
  <c r="E25" i="7" s="1"/>
  <c r="AU32" i="8"/>
  <c r="E53" i="7" s="1"/>
  <c r="E31" i="8"/>
  <c r="G11" i="7" s="1"/>
  <c r="H11" i="7" s="1"/>
  <c r="AA31" i="8"/>
  <c r="G33" i="7" s="1"/>
  <c r="H33" i="7" s="1"/>
  <c r="W32" i="8"/>
  <c r="E29" i="7" s="1"/>
  <c r="AG32" i="8"/>
  <c r="E39" i="7" s="1"/>
  <c r="B32" i="8"/>
  <c r="E8" i="7" s="1"/>
  <c r="AY31" i="8"/>
  <c r="G57" i="7" s="1"/>
  <c r="H57" i="7" s="1"/>
  <c r="AV31" i="8"/>
  <c r="G54" i="7" s="1"/>
  <c r="H54" i="7" s="1"/>
  <c r="Q32" i="8"/>
  <c r="E23" i="7" s="1"/>
  <c r="AI31" i="8"/>
  <c r="G41" i="7" s="1"/>
  <c r="H41" i="7" s="1"/>
  <c r="AL32" i="8"/>
  <c r="E44" i="7" s="1"/>
  <c r="G17" i="21"/>
  <c r="E407" i="10"/>
  <c r="G407" i="10" s="1"/>
  <c r="E283" i="10"/>
  <c r="G283" i="10" s="1"/>
  <c r="E717" i="10"/>
  <c r="G717" i="10" s="1"/>
  <c r="E593" i="10"/>
  <c r="G593" i="10" s="1"/>
  <c r="E469" i="10"/>
  <c r="G469" i="10" s="1"/>
  <c r="E35" i="10"/>
  <c r="G35" i="10" s="1"/>
  <c r="E345" i="10"/>
  <c r="G345" i="10" s="1"/>
  <c r="E97" i="10"/>
  <c r="G97" i="10" s="1"/>
  <c r="E779" i="10"/>
  <c r="G779" i="10" s="1"/>
  <c r="E221" i="10"/>
  <c r="G221" i="10" s="1"/>
  <c r="E531" i="10"/>
  <c r="G531" i="10" s="1"/>
  <c r="E159" i="10"/>
  <c r="G159" i="10" s="1"/>
  <c r="E655" i="10"/>
  <c r="G655" i="10" s="1"/>
  <c r="AW31" i="8"/>
  <c r="G55" i="7" s="1"/>
  <c r="H55" i="7" s="1"/>
  <c r="AW32" i="8"/>
  <c r="E55" i="7" s="1"/>
  <c r="E96" i="10"/>
  <c r="G96" i="10" s="1"/>
  <c r="E592" i="10"/>
  <c r="G592" i="10" s="1"/>
  <c r="E406" i="10"/>
  <c r="G406" i="10" s="1"/>
  <c r="E778" i="10"/>
  <c r="G778" i="10" s="1"/>
  <c r="L32" i="8"/>
  <c r="E18" i="7" s="1"/>
  <c r="L31" i="8"/>
  <c r="G18" i="7" s="1"/>
  <c r="H18" i="7" s="1"/>
  <c r="AJ31" i="8"/>
  <c r="G42" i="7" s="1"/>
  <c r="H42" i="7" s="1"/>
  <c r="AJ32" i="8"/>
  <c r="E42" i="7" s="1"/>
  <c r="AE31" i="8"/>
  <c r="G37" i="7" s="1"/>
  <c r="H37" i="7" s="1"/>
  <c r="E319" i="3" s="1"/>
  <c r="G319" i="3" s="1"/>
  <c r="AE32" i="8"/>
  <c r="E37" i="7" s="1"/>
  <c r="AF31" i="8"/>
  <c r="G38" i="7" s="1"/>
  <c r="H38" i="7" s="1"/>
  <c r="E320" i="3" s="1"/>
  <c r="G320" i="3" s="1"/>
  <c r="AF32" i="8"/>
  <c r="E38" i="7" s="1"/>
  <c r="O31" i="8"/>
  <c r="G21" i="7" s="1"/>
  <c r="H21" i="7" s="1"/>
  <c r="O32" i="8"/>
  <c r="E21" i="7" s="1"/>
  <c r="D31" i="8"/>
  <c r="G10" i="7" s="1"/>
  <c r="H10" i="7" s="1"/>
  <c r="D32" i="8"/>
  <c r="E10" i="7" s="1"/>
  <c r="F10" i="11" s="1"/>
  <c r="I10" i="11" s="1"/>
  <c r="BA31" i="8"/>
  <c r="G59" i="7" s="1"/>
  <c r="H59" i="7" s="1"/>
  <c r="BA32" i="8"/>
  <c r="E59" i="7" s="1"/>
  <c r="G322" i="3" l="1"/>
  <c r="G90" i="3"/>
  <c r="E71" i="3" s="1"/>
  <c r="G71" i="3" s="1"/>
  <c r="G72" i="3" s="1"/>
  <c r="G99" i="3" s="1"/>
  <c r="G65" i="3" s="1"/>
  <c r="E204" i="3"/>
  <c r="G204" i="3" s="1"/>
  <c r="E32" i="3"/>
  <c r="G32" i="3" s="1"/>
  <c r="G35" i="3" s="1"/>
  <c r="E15" i="3" s="1"/>
  <c r="G15" i="3" s="1"/>
  <c r="E145" i="3"/>
  <c r="G145" i="3" s="1"/>
  <c r="G147" i="3" s="1"/>
  <c r="E125" i="3" s="1"/>
  <c r="G125" i="3" s="1"/>
  <c r="G127" i="3" s="1"/>
  <c r="G156" i="3" s="1"/>
  <c r="G163" i="3" s="1"/>
  <c r="E203" i="3"/>
  <c r="G203" i="3" s="1"/>
  <c r="A242" i="3"/>
  <c r="F242" i="3"/>
  <c r="E119" i="3"/>
  <c r="F9" i="11"/>
  <c r="I9" i="11" s="1"/>
  <c r="I8" i="11" s="1"/>
  <c r="E468" i="10"/>
  <c r="G468" i="10" s="1"/>
  <c r="G472" i="10" s="1"/>
  <c r="E654" i="10"/>
  <c r="G654" i="10" s="1"/>
  <c r="G658" i="10" s="1"/>
  <c r="A636" i="10" s="1"/>
  <c r="E344" i="10"/>
  <c r="G344" i="10" s="1"/>
  <c r="G348" i="10" s="1"/>
  <c r="A326" i="10" s="1"/>
  <c r="E34" i="10"/>
  <c r="G34" i="10" s="1"/>
  <c r="G38" i="10" s="1"/>
  <c r="A15" i="10" s="1"/>
  <c r="E220" i="10"/>
  <c r="G220" i="10" s="1"/>
  <c r="G224" i="10" s="1"/>
  <c r="E716" i="10"/>
  <c r="G716" i="10" s="1"/>
  <c r="G720" i="10" s="1"/>
  <c r="A698" i="10" s="1"/>
  <c r="E158" i="10"/>
  <c r="G158" i="10" s="1"/>
  <c r="G162" i="10" s="1"/>
  <c r="A140" i="10" s="1"/>
  <c r="E530" i="10"/>
  <c r="G530" i="10" s="1"/>
  <c r="G534" i="10" s="1"/>
  <c r="A512" i="10" s="1"/>
  <c r="G9" i="16"/>
  <c r="H9" i="16" s="1"/>
  <c r="I24" i="14"/>
  <c r="H23" i="15"/>
  <c r="G596" i="10"/>
  <c r="F574" i="10" s="1"/>
  <c r="G100" i="10"/>
  <c r="F78" i="10" s="1"/>
  <c r="G782" i="10"/>
  <c r="F760" i="10" s="1"/>
  <c r="G410" i="10"/>
  <c r="F388" i="10" s="1"/>
  <c r="G286" i="10"/>
  <c r="F264" i="10" s="1"/>
  <c r="G10" i="2" l="1"/>
  <c r="H10" i="2" s="1"/>
  <c r="F300" i="3"/>
  <c r="A300" i="3"/>
  <c r="G16" i="3"/>
  <c r="G44" i="3" s="1"/>
  <c r="G206" i="3"/>
  <c r="F183" i="3" s="1"/>
  <c r="G162" i="3"/>
  <c r="B242" i="3"/>
  <c r="E242" i="3"/>
  <c r="G242" i="3" s="1"/>
  <c r="G243" i="3" s="1"/>
  <c r="G270" i="3" s="1"/>
  <c r="D242" i="3"/>
  <c r="G106" i="3"/>
  <c r="G105" i="3"/>
  <c r="E65" i="3"/>
  <c r="H18" i="16"/>
  <c r="E35" i="14" s="1"/>
  <c r="I35" i="14" s="1"/>
  <c r="I36" i="14" s="1"/>
  <c r="A574" i="10"/>
  <c r="E574" i="10" s="1"/>
  <c r="G574" i="10" s="1"/>
  <c r="G575" i="10" s="1"/>
  <c r="G605" i="10" s="1"/>
  <c r="F326" i="10"/>
  <c r="F698" i="10"/>
  <c r="A78" i="10"/>
  <c r="B78" i="10" s="1"/>
  <c r="F636" i="10"/>
  <c r="A760" i="10"/>
  <c r="B760" i="10" s="1"/>
  <c r="F15" i="10"/>
  <c r="A388" i="10"/>
  <c r="B388" i="10" s="1"/>
  <c r="A264" i="10"/>
  <c r="D264" i="10" s="1"/>
  <c r="F140" i="10"/>
  <c r="F512" i="10"/>
  <c r="D512" i="10"/>
  <c r="E512" i="10"/>
  <c r="B512" i="10"/>
  <c r="A202" i="10"/>
  <c r="F202" i="10"/>
  <c r="E636" i="10"/>
  <c r="D636" i="10"/>
  <c r="B636" i="10"/>
  <c r="D326" i="10"/>
  <c r="E326" i="10"/>
  <c r="B326" i="10"/>
  <c r="A450" i="10"/>
  <c r="F450" i="10"/>
  <c r="B140" i="10"/>
  <c r="D140" i="10"/>
  <c r="E140" i="10"/>
  <c r="E698" i="10"/>
  <c r="D698" i="10"/>
  <c r="B698" i="10"/>
  <c r="E15" i="10"/>
  <c r="G15" i="10" s="1"/>
  <c r="G16" i="10" s="1"/>
  <c r="G47" i="10" s="1"/>
  <c r="D15" i="10"/>
  <c r="B15" i="10"/>
  <c r="D300" i="3" l="1"/>
  <c r="E300" i="3"/>
  <c r="G300" i="3" s="1"/>
  <c r="G301" i="3" s="1"/>
  <c r="B300" i="3"/>
  <c r="G51" i="3"/>
  <c r="G50" i="3"/>
  <c r="A183" i="3"/>
  <c r="E183" i="3" s="1"/>
  <c r="G183" i="3" s="1"/>
  <c r="G184" i="3" s="1"/>
  <c r="G214" i="3" s="1"/>
  <c r="G276" i="3"/>
  <c r="G277" i="3"/>
  <c r="G698" i="10"/>
  <c r="G699" i="10" s="1"/>
  <c r="G729" i="10" s="1"/>
  <c r="G736" i="10" s="1"/>
  <c r="E78" i="10"/>
  <c r="G78" i="10" s="1"/>
  <c r="G79" i="10" s="1"/>
  <c r="G109" i="10" s="1"/>
  <c r="G115" i="10" s="1"/>
  <c r="G636" i="10"/>
  <c r="G637" i="10" s="1"/>
  <c r="G667" i="10" s="1"/>
  <c r="G674" i="10" s="1"/>
  <c r="D78" i="10"/>
  <c r="D574" i="10"/>
  <c r="B574" i="10"/>
  <c r="B264" i="10"/>
  <c r="G326" i="10"/>
  <c r="G327" i="10" s="1"/>
  <c r="G357" i="10" s="1"/>
  <c r="G363" i="10" s="1"/>
  <c r="E388" i="10"/>
  <c r="G388" i="10" s="1"/>
  <c r="G389" i="10" s="1"/>
  <c r="G419" i="10" s="1"/>
  <c r="G426" i="10" s="1"/>
  <c r="D388" i="10"/>
  <c r="E264" i="10"/>
  <c r="G264" i="10" s="1"/>
  <c r="G265" i="10" s="1"/>
  <c r="G295" i="10" s="1"/>
  <c r="G301" i="10" s="1"/>
  <c r="G140" i="10"/>
  <c r="G141" i="10" s="1"/>
  <c r="G171" i="10" s="1"/>
  <c r="G177" i="10" s="1"/>
  <c r="D760" i="10"/>
  <c r="E760" i="10"/>
  <c r="G760" i="10" s="1"/>
  <c r="G761" i="10" s="1"/>
  <c r="G791" i="10" s="1"/>
  <c r="G797" i="10" s="1"/>
  <c r="G512" i="10"/>
  <c r="G513" i="10" s="1"/>
  <c r="G543" i="10" s="1"/>
  <c r="G549" i="10" s="1"/>
  <c r="D450" i="10"/>
  <c r="E450" i="10"/>
  <c r="G450" i="10" s="1"/>
  <c r="G451" i="10" s="1"/>
  <c r="G481" i="10" s="1"/>
  <c r="B450" i="10"/>
  <c r="G54" i="10"/>
  <c r="G53" i="10"/>
  <c r="G611" i="10"/>
  <c r="G612" i="10"/>
  <c r="E202" i="10"/>
  <c r="G202" i="10" s="1"/>
  <c r="G203" i="10" s="1"/>
  <c r="G233" i="10" s="1"/>
  <c r="D202" i="10"/>
  <c r="B202" i="10"/>
  <c r="B183" i="3" l="1"/>
  <c r="D183" i="3"/>
  <c r="G735" i="10"/>
  <c r="G220" i="3"/>
  <c r="G221" i="3"/>
  <c r="G116" i="10"/>
  <c r="G673" i="10"/>
  <c r="G364" i="10"/>
  <c r="G798" i="10"/>
  <c r="G425" i="10"/>
  <c r="G302" i="10"/>
  <c r="G178" i="10"/>
  <c r="G550" i="10"/>
  <c r="G487" i="10"/>
  <c r="G488" i="10"/>
  <c r="G239" i="10"/>
  <c r="G240" i="10"/>
  <c r="F65" i="3" l="1"/>
  <c r="F119" i="3" l="1"/>
  <c r="I40" i="14" l="1"/>
  <c r="H15" i="25"/>
  <c r="H16" i="25" s="1"/>
  <c r="H17" i="25" l="1"/>
  <c r="H18" i="25" s="1"/>
  <c r="I33" i="11"/>
  <c r="I34" i="11"/>
  <c r="E35" i="11"/>
  <c r="I35" i="11"/>
  <c r="E37" i="11"/>
  <c r="I37" i="11"/>
  <c r="E38" i="11"/>
  <c r="I38" i="11"/>
  <c r="E39" i="11"/>
  <c r="I39" i="11"/>
  <c r="E40" i="11"/>
  <c r="I40" i="11"/>
  <c r="E41" i="11"/>
  <c r="I41" i="11"/>
  <c r="I42" i="11"/>
  <c r="I43" i="11"/>
  <c r="I44" i="11"/>
  <c r="I45" i="11"/>
  <c r="I46" i="11"/>
  <c r="I49" i="11"/>
  <c r="G8" i="3"/>
  <c r="F49" i="3"/>
  <c r="G49" i="3"/>
  <c r="F52" i="3"/>
  <c r="G52" i="3"/>
  <c r="G54" i="3"/>
  <c r="F104" i="3"/>
  <c r="G104" i="3"/>
  <c r="F107" i="3"/>
  <c r="G107" i="3"/>
  <c r="G109" i="3"/>
  <c r="G119" i="3"/>
  <c r="F161" i="3"/>
  <c r="G161" i="3"/>
  <c r="F164" i="3"/>
  <c r="G164" i="3"/>
  <c r="G166" i="3"/>
  <c r="G176" i="3"/>
  <c r="F219" i="3"/>
  <c r="G219" i="3"/>
  <c r="F222" i="3"/>
  <c r="G222" i="3"/>
  <c r="G224" i="3"/>
  <c r="G235" i="3"/>
  <c r="F275" i="3"/>
  <c r="G275" i="3"/>
  <c r="F278" i="3"/>
  <c r="G278" i="3"/>
  <c r="G280" i="3"/>
  <c r="G293" i="3"/>
  <c r="F307" i="3"/>
  <c r="G307" i="3"/>
  <c r="G308" i="3"/>
  <c r="G330" i="3"/>
  <c r="F335" i="3"/>
  <c r="G335" i="3"/>
  <c r="G336" i="3"/>
  <c r="G337" i="3"/>
  <c r="F338" i="3"/>
  <c r="G338" i="3"/>
  <c r="G340" i="3"/>
  <c r="G8" i="10"/>
  <c r="F52" i="10"/>
  <c r="G52" i="10"/>
  <c r="F55" i="10"/>
  <c r="G55" i="10"/>
  <c r="G57" i="10"/>
  <c r="G71" i="10"/>
  <c r="F114" i="10"/>
  <c r="G114" i="10"/>
  <c r="F117" i="10"/>
  <c r="G117" i="10"/>
  <c r="G119" i="10"/>
  <c r="G133" i="10"/>
  <c r="F176" i="10"/>
  <c r="G176" i="10"/>
  <c r="F179" i="10"/>
  <c r="G179" i="10"/>
  <c r="G181" i="10"/>
  <c r="G195" i="10"/>
  <c r="F238" i="10"/>
  <c r="G238" i="10"/>
  <c r="F241" i="10"/>
  <c r="G241" i="10"/>
  <c r="G243" i="10"/>
  <c r="G257" i="10"/>
  <c r="F300" i="10"/>
  <c r="G300" i="10"/>
  <c r="F303" i="10"/>
  <c r="G303" i="10"/>
  <c r="G305" i="10"/>
  <c r="G319" i="10"/>
  <c r="F362" i="10"/>
  <c r="G362" i="10"/>
  <c r="F365" i="10"/>
  <c r="G365" i="10"/>
  <c r="G367" i="10"/>
  <c r="G381" i="10"/>
  <c r="F424" i="10"/>
  <c r="G424" i="10"/>
  <c r="F427" i="10"/>
  <c r="G427" i="10"/>
  <c r="G429" i="10"/>
  <c r="G443" i="10"/>
  <c r="F486" i="10"/>
  <c r="G486" i="10"/>
  <c r="F489" i="10"/>
  <c r="G489" i="10"/>
  <c r="G491" i="10"/>
  <c r="G505" i="10"/>
  <c r="F548" i="10"/>
  <c r="G548" i="10"/>
  <c r="F551" i="10"/>
  <c r="G551" i="10"/>
  <c r="G553" i="10"/>
  <c r="G567" i="10"/>
  <c r="F610" i="10"/>
  <c r="G610" i="10"/>
  <c r="F613" i="10"/>
  <c r="G613" i="10"/>
  <c r="G615" i="10"/>
  <c r="G629" i="10"/>
  <c r="F672" i="10"/>
  <c r="G672" i="10"/>
  <c r="F675" i="10"/>
  <c r="G675" i="10"/>
  <c r="G677" i="10"/>
  <c r="G691" i="10"/>
  <c r="F734" i="10"/>
  <c r="G734" i="10"/>
  <c r="F737" i="10"/>
  <c r="G737" i="10"/>
  <c r="G739" i="10"/>
  <c r="G753" i="10"/>
  <c r="F796" i="10"/>
  <c r="G796" i="10"/>
  <c r="F799" i="10"/>
  <c r="G799" i="10"/>
  <c r="G801" i="10"/>
  <c r="H29" i="15"/>
  <c r="G30" i="15"/>
  <c r="H30" i="15"/>
  <c r="G31" i="15"/>
  <c r="H31" i="15"/>
  <c r="D32" i="15"/>
  <c r="G32" i="15"/>
  <c r="H32" i="15"/>
  <c r="D33" i="15"/>
  <c r="G33" i="15"/>
  <c r="H33" i="15"/>
  <c r="D34" i="15"/>
  <c r="G34" i="15"/>
  <c r="H34" i="15"/>
  <c r="D35" i="15"/>
  <c r="G35" i="15"/>
  <c r="H35" i="15"/>
  <c r="H36" i="15"/>
  <c r="H37" i="15"/>
  <c r="H38" i="15"/>
  <c r="H39" i="15"/>
  <c r="D9" i="5"/>
  <c r="D10" i="5"/>
  <c r="D11" i="5"/>
  <c r="D12" i="5"/>
  <c r="D13" i="5"/>
  <c r="D14" i="5"/>
  <c r="D15" i="5"/>
  <c r="D16" i="5"/>
  <c r="D17" i="5"/>
  <c r="D18" i="5"/>
  <c r="D19" i="5"/>
  <c r="D20" i="5"/>
  <c r="D21" i="5"/>
  <c r="I17" i="14"/>
  <c r="I18" i="14"/>
  <c r="I25" i="14"/>
  <c r="I27" i="14"/>
  <c r="I37" i="14"/>
  <c r="I38" i="14"/>
  <c r="I39" i="14"/>
  <c r="I41" i="14"/>
  <c r="G18" i="21"/>
  <c r="G19" i="21"/>
  <c r="B6" i="17"/>
  <c r="C6" i="17"/>
  <c r="C8" i="17"/>
  <c r="C12" i="17"/>
  <c r="D12" i="17"/>
  <c r="G12" i="17"/>
  <c r="C13" i="17"/>
  <c r="D13" i="17"/>
  <c r="G13" i="17"/>
  <c r="C14" i="17"/>
  <c r="D14" i="17"/>
  <c r="G14" i="17"/>
  <c r="C15" i="17"/>
  <c r="D15" i="17"/>
  <c r="E15" i="17"/>
  <c r="G15" i="17"/>
  <c r="A17" i="17"/>
  <c r="C17" i="17"/>
  <c r="G17" i="17"/>
  <c r="G18" i="17"/>
  <c r="G19" i="17"/>
  <c r="G20" i="17"/>
  <c r="G21" i="17"/>
  <c r="G22" i="17"/>
  <c r="G9" i="2"/>
  <c r="H9" i="2"/>
  <c r="G11" i="2"/>
  <c r="H11" i="2"/>
  <c r="G12" i="2"/>
  <c r="H12" i="2"/>
  <c r="G13" i="2"/>
  <c r="H13" i="2"/>
  <c r="G14" i="2"/>
  <c r="H14" i="2"/>
  <c r="H15" i="2"/>
  <c r="H16" i="2"/>
  <c r="H17" i="2"/>
  <c r="H18" i="2"/>
  <c r="H19" i="2"/>
  <c r="H20" i="2"/>
</calcChain>
</file>

<file path=xl/sharedStrings.xml><?xml version="1.0" encoding="utf-8"?>
<sst xmlns="http://schemas.openxmlformats.org/spreadsheetml/2006/main" count="2982" uniqueCount="962">
  <si>
    <t>DEPARTAMENTO DE ANTIOQUIA</t>
  </si>
  <si>
    <t>DATOS INICIALES</t>
  </si>
  <si>
    <t>ENTIDAD:</t>
  </si>
  <si>
    <t>NOMBRE DEL PROYECTO:</t>
  </si>
  <si>
    <t>RESPONSABLE:</t>
  </si>
  <si>
    <t>CARGO DE RESPONSABLE:</t>
  </si>
  <si>
    <t>DEPENDENCIA DE RESPONSABLE:</t>
  </si>
  <si>
    <t>MATRÍCULA PROFESIONAL RESPONSABLE:</t>
  </si>
  <si>
    <t>SALARIO MÍNIMO MENSUAL VIGENTE:</t>
  </si>
  <si>
    <t>AUXILIO DE TRANSPORTE VIGENTE:</t>
  </si>
  <si>
    <t>EXONERADO ART 114-1 ET PARA LA OBRA:</t>
  </si>
  <si>
    <t>EXONERADO ART 114-1 ET PARA LA INTERVENTORÍA</t>
  </si>
  <si>
    <t>NIVEL DE RIESGO ARL APLICABLE</t>
  </si>
  <si>
    <t>% ARL</t>
  </si>
  <si>
    <t>DURACIÓN ESTIMADA DE OBRA (MESES)</t>
  </si>
  <si>
    <t>DISTANCIA A SITIO DE BOTADA DE TIERRA (KM)</t>
  </si>
  <si>
    <t>DISTANCIA A SITIO DE BOTADA DE ESCOMBROS (KM)</t>
  </si>
  <si>
    <t>DISTANCIA A SITIO DE PROVISIÓN  DE MATERIAL GRANULAR (KM)</t>
  </si>
  <si>
    <t>DISTANCIA A SITIO DE PROVISIÓN  DE INSUMOS GENERALES (KM)</t>
  </si>
  <si>
    <t>DISTANCIA A SITIO DE PROVISIÓN  DE ASFALTOS (KM)</t>
  </si>
  <si>
    <t>PÓLIZA DE RCE EXIGIBLE A LA INTERVENTORÍA</t>
  </si>
  <si>
    <t>SI</t>
  </si>
  <si>
    <t>V</t>
  </si>
  <si>
    <t>MARLON ASDRUBAL PEREZ HERRERA</t>
  </si>
  <si>
    <t>INGENIERO BANCO DE PROYECTOS</t>
  </si>
  <si>
    <t>BANCO DE PROYECTOS - SECRETARÍA DE PLANEACIÓN</t>
  </si>
  <si>
    <t>Elija el municipio de la lista desplegable</t>
  </si>
  <si>
    <t>Digite el nombre del proyecto. Recuerde que debe coincidir con el objeto del contrato resultante de este proceso.</t>
  </si>
  <si>
    <t>Digite el nombre del profesional responsable del presupuesto.</t>
  </si>
  <si>
    <t>Digite el cargo del profesional responsable del presupuesto.</t>
  </si>
  <si>
    <t>Digite el nombre de la dependencia del profesional responsable del presupuesto.</t>
  </si>
  <si>
    <t>Digite la matrícula profesional del profesional responsable del presupuesto.</t>
  </si>
  <si>
    <r>
      <t>Elegir de las listas desplegables</t>
    </r>
    <r>
      <rPr>
        <b/>
        <i/>
        <u/>
        <sz val="11"/>
        <color rgb="FFFF0000"/>
        <rFont val="Calibri"/>
        <family val="2"/>
        <scheme val="minor"/>
      </rPr>
      <t xml:space="preserve"> (Ver artículo 114-1 del Estatuto Tributario.</t>
    </r>
    <r>
      <rPr>
        <b/>
        <i/>
        <sz val="11"/>
        <color rgb="FFFF0000"/>
        <rFont val="Calibri"/>
        <family val="2"/>
        <scheme val="minor"/>
      </rPr>
      <t xml:space="preserve">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t>
    </r>
  </si>
  <si>
    <r>
      <rPr>
        <b/>
        <i/>
        <sz val="11"/>
        <color rgb="FFFF0000"/>
        <rFont val="Calibri"/>
        <family val="2"/>
        <scheme val="minor"/>
      </rPr>
      <t>Elegir de la lista desplegable (</t>
    </r>
    <r>
      <rPr>
        <b/>
        <i/>
        <u/>
        <sz val="11"/>
        <color rgb="FFFF0000"/>
        <rFont val="Calibri"/>
        <family val="2"/>
        <scheme val="minor"/>
      </rPr>
      <t xml:space="preserve">Ver Decreto 1607 de 2002 </t>
    </r>
    <r>
      <rPr>
        <b/>
        <i/>
        <sz val="11"/>
        <color rgb="FFFF0000"/>
        <rFont val="Calibri"/>
        <family val="2"/>
        <scheme val="minor"/>
      </rPr>
      <t>para asignación de Riesgo ARL Aplicable).</t>
    </r>
  </si>
  <si>
    <t>Digite la duración de la obra de acuerdo al cronograma</t>
  </si>
  <si>
    <t>Digite la distancia al sitio de botada de tierra de acuerdo al certificado expedido por la entidad.</t>
  </si>
  <si>
    <t>Digite la distancia al sitio de botada de escombros de acuerdo al certificado expedido por la entidad.</t>
  </si>
  <si>
    <t>Digite la distancia al sitio de provisión de material de playa de acuerdo al certificado expedido por la entidad.</t>
  </si>
  <si>
    <t>Digite la distancia al sitio de provisión de material granular de acuerdo al certificado expedido por la entidad.</t>
  </si>
  <si>
    <t>Digite la distancia al sitio de provisión de insumos generales de acuerdo al certificado expedido por la entidad.</t>
  </si>
  <si>
    <t>Digite la distancia al sitio de provisión de asfaltos de acuerdo al certificado expedido por la entidad.</t>
  </si>
  <si>
    <t>Elegir de la lista desplegable si se solicitará a la interventoría la póliza de responsabilidad civil extracontractual</t>
  </si>
  <si>
    <t>Nota 1: El archivo contiene referencias circulares, por lo tanto se debe tener activo el calculo iterativo de las fórmulas</t>
  </si>
  <si>
    <t>Fecha de actualización: 22 de FEBRERO de 2021</t>
  </si>
  <si>
    <t>PRESUPUESTO GENERAL</t>
  </si>
  <si>
    <t>ITEM</t>
  </si>
  <si>
    <t>DESCRIPCIÓN</t>
  </si>
  <si>
    <t>UNIDAD</t>
  </si>
  <si>
    <t>CANTIDAD</t>
  </si>
  <si>
    <t>VR.UNITARIO</t>
  </si>
  <si>
    <t>VALOR TOTAL</t>
  </si>
  <si>
    <t>1.1</t>
  </si>
  <si>
    <t/>
  </si>
  <si>
    <t>ANÁLISIS DE PRECIOS UNITARIOS</t>
  </si>
  <si>
    <t>COSTO DIRECTO</t>
  </si>
  <si>
    <t>1. COSTOS DIRECTOS</t>
  </si>
  <si>
    <t>I. EQUIPO</t>
  </si>
  <si>
    <t>CÓDIGO</t>
  </si>
  <si>
    <t>TARIFA</t>
  </si>
  <si>
    <t>RENDIMIENTO</t>
  </si>
  <si>
    <t>VR. UNITARIO</t>
  </si>
  <si>
    <t>NIVEL DE PRECISIÓN</t>
  </si>
  <si>
    <t>SUBTOTAL</t>
  </si>
  <si>
    <t>II. MATERIALES</t>
  </si>
  <si>
    <t>DESP.</t>
  </si>
  <si>
    <t>PRECIO UNIT.</t>
  </si>
  <si>
    <t>III. TRANSPORTES</t>
  </si>
  <si>
    <t>TIPO</t>
  </si>
  <si>
    <t>VOLUMEN/PESO</t>
  </si>
  <si>
    <t>DISTANCIA</t>
  </si>
  <si>
    <t>IV. MANO DE OBRA</t>
  </si>
  <si>
    <t>CARGOS PERSONAL</t>
  </si>
  <si>
    <t>JORNAL TOTAL</t>
  </si>
  <si>
    <t>TOPÓGRAFO</t>
  </si>
  <si>
    <t>CADENERO 1</t>
  </si>
  <si>
    <t>CADENERO 2</t>
  </si>
  <si>
    <t>V. SERVICIOS</t>
  </si>
  <si>
    <t>TOTAL COSTO DIRECTO</t>
  </si>
  <si>
    <t>2. COSTOS INDIRECTOS</t>
  </si>
  <si>
    <t>PORCENTAJE</t>
  </si>
  <si>
    <t>ADMINISTRACION</t>
  </si>
  <si>
    <t>IMPREVISTOS</t>
  </si>
  <si>
    <t>UTILIDADES</t>
  </si>
  <si>
    <t>TOTAL COSTO INDIRECTO</t>
  </si>
  <si>
    <t>PRECIO UNITARIO TOTAL APROXIMADO AL PESO</t>
  </si>
  <si>
    <t>FIRMA RESPONSABLE</t>
  </si>
  <si>
    <t>MAT No. 05202-354756ANT</t>
  </si>
  <si>
    <t>LISTADO DE INSUMOS - EQUIPOS</t>
  </si>
  <si>
    <t>VALOR UNITARIO</t>
  </si>
  <si>
    <t>EQ001</t>
  </si>
  <si>
    <t>%</t>
  </si>
  <si>
    <t>EQ002</t>
  </si>
  <si>
    <t>DÍA</t>
  </si>
  <si>
    <t>EQ003</t>
  </si>
  <si>
    <t>EQ004</t>
  </si>
  <si>
    <t>CONCRETADORA 1.5 SACOS A GASOLINA</t>
  </si>
  <si>
    <t>EQ005</t>
  </si>
  <si>
    <t>VEHÍCULO DOBLE TRACCIÓN, DOBLE CABINA, 2000 CC O SUPERIOR (MODELO 2015 O SUPERIOR)  TARIFA DE ALQUILER TIEMPO COMPLETO, INCLUYE COMBUSTIBLE Y CONDUCTOR. SE DEBE GARANTIZAR PERMANENCIA DE LOS VEHÍCULOS DURANTE TODA LA EJECUCIÓN DEL PROYECTO.</t>
  </si>
  <si>
    <t>MES</t>
  </si>
  <si>
    <t>EQ006</t>
  </si>
  <si>
    <t xml:space="preserve">MOTO ALQUILER MODELO 2014 O SUPERIOR  - TARIFA DE ALQUILER </t>
  </si>
  <si>
    <t>EQ007</t>
  </si>
  <si>
    <t>TARIFA PUESTO DE TRABAJO DEL PERSONAL DE OFICINA DE CAMPO, INCLUYE: ALQUILER DE UN (1) EQUIPO DE COMPUTO COMPLETO, ESCRITORIO, SILLA Y OTROS ENSERES DE OFICINA POR PUESTO DE TRABAJO</t>
  </si>
  <si>
    <t>EQ008</t>
  </si>
  <si>
    <t>IMPRESORA EN OBRA (ALQUILER)</t>
  </si>
  <si>
    <t>EQ009</t>
  </si>
  <si>
    <t>COMUNICACIONES (TELÉFONO, FAX, CELULAR, INTERNET, ETC.) MENSUAL EN CAMPO</t>
  </si>
  <si>
    <t>EQ010</t>
  </si>
  <si>
    <t>RADIOTELÉFONOS PARE-SIGA</t>
  </si>
  <si>
    <t>EQ011</t>
  </si>
  <si>
    <t>ALQUILER BAÑOS PORTÁTILES + MANTENIMIENTO Y LIMPIEZA</t>
  </si>
  <si>
    <t>EQ012</t>
  </si>
  <si>
    <t>EQUIPO COMPLETO PARA GEORREFERENCIACIÓN Y CAPTURA , ALMACENAMIENTO, ANALISIS, TRANSFORMACIÓN Y PRESENTACIÓN DE TODA LA INFORMACIÓN GEOGRÁFICA Y SUS ATRIBUTOS, INCLUYE SOFTWARE</t>
  </si>
  <si>
    <t>EQ013</t>
  </si>
  <si>
    <t>EQ014</t>
  </si>
  <si>
    <t>RETROEXCAVADORA ORUGA</t>
  </si>
  <si>
    <t>HORA</t>
  </si>
  <si>
    <t>EQ015</t>
  </si>
  <si>
    <t>EQ016</t>
  </si>
  <si>
    <t>COMPACTADOR VIBRATORIO INGERSOLL RAND DD-110HF O EQUIVALENTE</t>
  </si>
  <si>
    <t>EQ017</t>
  </si>
  <si>
    <t>MOTONIVELADORA CATERPILLAR 120 - 140</t>
  </si>
  <si>
    <t>EQ018</t>
  </si>
  <si>
    <t>CARROTANQUE  AGUA</t>
  </si>
  <si>
    <t>EQ019</t>
  </si>
  <si>
    <t>EQ020</t>
  </si>
  <si>
    <t>RETROEXCAVADORA LLANTA</t>
  </si>
  <si>
    <t>EQ021</t>
  </si>
  <si>
    <t>COMPACTADOR VIBRATORIO 11 TON.</t>
  </si>
  <si>
    <t>EQ022</t>
  </si>
  <si>
    <t>CIZALLA DE BANCO CORTA PERNO, INCLUYE DADOS</t>
  </si>
  <si>
    <t>EQ023</t>
  </si>
  <si>
    <t>EQ024</t>
  </si>
  <si>
    <t>VIBRADOR DE CONCRETO A GASOLINA (ALQUILER)</t>
  </si>
  <si>
    <t>EQ025</t>
  </si>
  <si>
    <t>EQ026</t>
  </si>
  <si>
    <t>VEHÍCULO DELINEADOR PARA PINTAR LÍNEAS DE 10 A 20 CM</t>
  </si>
  <si>
    <t>EQ027</t>
  </si>
  <si>
    <t>CAMIONETA D300</t>
  </si>
  <si>
    <t>EQ028</t>
  </si>
  <si>
    <t>EQ029</t>
  </si>
  <si>
    <t>EQ030</t>
  </si>
  <si>
    <t xml:space="preserve">FORMALETA METALICA (CONCRETO HIDRAULICO) </t>
  </si>
  <si>
    <t>DIA</t>
  </si>
  <si>
    <t>EQ031</t>
  </si>
  <si>
    <t>CIZALLA MANUAL</t>
  </si>
  <si>
    <t>EQ032</t>
  </si>
  <si>
    <t>VOLQUETA 15 M3</t>
  </si>
  <si>
    <t>LISTADO DE INSUMOS - MATERIALES</t>
  </si>
  <si>
    <t>APU AUXILIARES</t>
  </si>
  <si>
    <t>MA001</t>
  </si>
  <si>
    <t>CONCRETO 2000 PSI (140 MPA) EN OBRA</t>
  </si>
  <si>
    <t>M3</t>
  </si>
  <si>
    <t>MA002</t>
  </si>
  <si>
    <t>CONCRETO 2500 PSI (175 MPA) EN OBRA</t>
  </si>
  <si>
    <t>MA003</t>
  </si>
  <si>
    <t>CONCRETO 3000 PSI (210 MPA) EN OBRA</t>
  </si>
  <si>
    <t>MA004</t>
  </si>
  <si>
    <t>CONCRETO 3500 PSI (245 MPA) EN OBRA</t>
  </si>
  <si>
    <t>MA005</t>
  </si>
  <si>
    <t>CONCRETO 4000 PSI (280 MPA) EN OBRA</t>
  </si>
  <si>
    <t>MA006</t>
  </si>
  <si>
    <t>MORTERO 1:2 EN OBRA (REVOQUE)</t>
  </si>
  <si>
    <t>MA007</t>
  </si>
  <si>
    <t>MORTERO 1:2 EN OBRA (GROUT)</t>
  </si>
  <si>
    <t>MA008</t>
  </si>
  <si>
    <t>MORTERO 1:3 EN OBRA (REVOQUE)</t>
  </si>
  <si>
    <t>MA009</t>
  </si>
  <si>
    <t>MORTERO 1:3 EN OBRA (GROUT)</t>
  </si>
  <si>
    <t>MA010</t>
  </si>
  <si>
    <t>MORTERO 1:3 EN OBRA (PEGA)</t>
  </si>
  <si>
    <t>MA011</t>
  </si>
  <si>
    <t>MORTERO 1:4 EN OBRA (REVOQUE)</t>
  </si>
  <si>
    <t>MA012</t>
  </si>
  <si>
    <t>MORTERO 1:4 EN OBRA (GROUT)</t>
  </si>
  <si>
    <t>MA013</t>
  </si>
  <si>
    <t>MORTERO 1:4 EN OBRA (PEGA)</t>
  </si>
  <si>
    <t>MA014</t>
  </si>
  <si>
    <t>MORTERO 1:5 EN OBRA (REVOQUE)</t>
  </si>
  <si>
    <t>MA015</t>
  </si>
  <si>
    <t>MORTERO 1:5 EN OBRA (PEGA)</t>
  </si>
  <si>
    <t>MA016</t>
  </si>
  <si>
    <t>MORTERO 1:6 EN OBRA (PEGA)</t>
  </si>
  <si>
    <t>MA017</t>
  </si>
  <si>
    <t>FORMALETA PARA MUROS, ALETAS, DISIPADORES Y ESTRIBOS (6 USOS)</t>
  </si>
  <si>
    <t>M2</t>
  </si>
  <si>
    <t>MA018</t>
  </si>
  <si>
    <t>MA019</t>
  </si>
  <si>
    <t>MATERIALES</t>
  </si>
  <si>
    <t>MA020</t>
  </si>
  <si>
    <t>CEMENTO GRIS (50 KG) PORTLAND TIPO I</t>
  </si>
  <si>
    <t>MA021</t>
  </si>
  <si>
    <t xml:space="preserve">ARENA DE PEGA </t>
  </si>
  <si>
    <t>MA022</t>
  </si>
  <si>
    <t xml:space="preserve">ARENA DE REVOQUE </t>
  </si>
  <si>
    <t>MA023</t>
  </si>
  <si>
    <t>ARENA FINA PARA CONCRETOS</t>
  </si>
  <si>
    <t>MA024</t>
  </si>
  <si>
    <t>MA025</t>
  </si>
  <si>
    <t>AGUA</t>
  </si>
  <si>
    <t>MA026</t>
  </si>
  <si>
    <t>MA027</t>
  </si>
  <si>
    <t>MA028</t>
  </si>
  <si>
    <t>MA029</t>
  </si>
  <si>
    <t>MA030</t>
  </si>
  <si>
    <t>UN</t>
  </si>
  <si>
    <t>MA031</t>
  </si>
  <si>
    <t>MA032</t>
  </si>
  <si>
    <t>MA033</t>
  </si>
  <si>
    <t>MA034</t>
  </si>
  <si>
    <t>GAL</t>
  </si>
  <si>
    <t>MA035</t>
  </si>
  <si>
    <t>MA036</t>
  </si>
  <si>
    <t>MA037</t>
  </si>
  <si>
    <t>MA038</t>
  </si>
  <si>
    <t>MA039</t>
  </si>
  <si>
    <t>MA040</t>
  </si>
  <si>
    <t>MA041</t>
  </si>
  <si>
    <t>MA042</t>
  </si>
  <si>
    <t>LISTADO DE INSUMOS - TRANSPORTES</t>
  </si>
  <si>
    <t>TR001</t>
  </si>
  <si>
    <t>TON-KM</t>
  </si>
  <si>
    <t>TR002</t>
  </si>
  <si>
    <t>M3-KM</t>
  </si>
  <si>
    <t>TR003</t>
  </si>
  <si>
    <t>TRANSPORTE DE MATERIAL DE EXCAVACIÓN</t>
  </si>
  <si>
    <t>TR004</t>
  </si>
  <si>
    <t>TRANSPORTE DE ESCOMBROS</t>
  </si>
  <si>
    <t>TR005</t>
  </si>
  <si>
    <t>TRANSPORTE DE MATERIALES GRANULARES</t>
  </si>
  <si>
    <t>TR006</t>
  </si>
  <si>
    <t>TRANSPORTE DE MEZCLAS ASFÁLTICAS</t>
  </si>
  <si>
    <t>TR007</t>
  </si>
  <si>
    <t>TR008</t>
  </si>
  <si>
    <t>TR009</t>
  </si>
  <si>
    <t>TR010</t>
  </si>
  <si>
    <t>TR011</t>
  </si>
  <si>
    <t>TR012</t>
  </si>
  <si>
    <t>TR013</t>
  </si>
  <si>
    <t>TR014</t>
  </si>
  <si>
    <t>TR015</t>
  </si>
  <si>
    <t>TR016</t>
  </si>
  <si>
    <t>TR017</t>
  </si>
  <si>
    <t>TR018</t>
  </si>
  <si>
    <t>TR019</t>
  </si>
  <si>
    <t>TR020</t>
  </si>
  <si>
    <t>LISTADO DE INSUMOS - MANO DE OBRA</t>
  </si>
  <si>
    <t>CARGO</t>
  </si>
  <si>
    <t>CLASE</t>
  </si>
  <si>
    <t>SALARIO MENSUAL</t>
  </si>
  <si>
    <t>FACTOR PRESTACIONAL</t>
  </si>
  <si>
    <t>JORNAL</t>
  </si>
  <si>
    <t>PRESTACIONES</t>
  </si>
  <si>
    <t>CÁLCULO DE FACTOR PRESTACIONAL</t>
  </si>
  <si>
    <t>SALARIO MENSUAL SMMLV</t>
  </si>
  <si>
    <t>(A) SALARIO MES</t>
  </si>
  <si>
    <t>(B) AUXILIO TRANSPORTE MES</t>
  </si>
  <si>
    <t>(C) SUELDO ANUAL 
(A x 12)</t>
  </si>
  <si>
    <t>(D) AUXILIO TRANSPORTE ANUAL 
(B x 12)</t>
  </si>
  <si>
    <t>INTERES DE CESANTIA 
(F x 12%)</t>
  </si>
  <si>
    <t>VACACIONES 
(A + B) / 2</t>
  </si>
  <si>
    <t>PRIMA DE SERVICIOS
(A + B)</t>
  </si>
  <si>
    <t>FONDO INDUSTRIA DE LA CONSTRUCCIÓN SENA - FIC
(SMMLV x 12 / 40)</t>
  </si>
  <si>
    <t>EPS (SALUD) - VERIFICAR CREE
(C + D) x 8.5%</t>
  </si>
  <si>
    <t>AFP (PENSION)
(C + D) x 12%</t>
  </si>
  <si>
    <t>RIESGOS PROFESIONALES 
(C + D) x FACTOR DE RIESGO</t>
  </si>
  <si>
    <t>CAJA DE COMPENSACION 
(C + D) x 4%</t>
  </si>
  <si>
    <t>SENA - VERIFICAR CREE
(C + D) X 2%</t>
  </si>
  <si>
    <t>ICBF - VERIFICAR CREE
(C + D) X 3%</t>
  </si>
  <si>
    <t>EXAMEN DE INGRESO - EGRESO</t>
  </si>
  <si>
    <t xml:space="preserve">DOTACIÓN </t>
  </si>
  <si>
    <t>KIT ELEMENTOS DE PROTECCIÓN PERSONAL</t>
  </si>
  <si>
    <t>TOTAL ANUAL</t>
  </si>
  <si>
    <t>MO001</t>
  </si>
  <si>
    <t>MO002</t>
  </si>
  <si>
    <t>MO003</t>
  </si>
  <si>
    <t>MO004</t>
  </si>
  <si>
    <t>MO005</t>
  </si>
  <si>
    <t>MO006</t>
  </si>
  <si>
    <t>MO007</t>
  </si>
  <si>
    <t>MO008</t>
  </si>
  <si>
    <t>MO009</t>
  </si>
  <si>
    <t>MO010</t>
  </si>
  <si>
    <t>MO011</t>
  </si>
  <si>
    <t>MO012</t>
  </si>
  <si>
    <t>MO013</t>
  </si>
  <si>
    <t>MO014</t>
  </si>
  <si>
    <t>MO015</t>
  </si>
  <si>
    <t>MO016</t>
  </si>
  <si>
    <t>MO017</t>
  </si>
  <si>
    <t>MO018</t>
  </si>
  <si>
    <t>MO019</t>
  </si>
  <si>
    <t>MO020</t>
  </si>
  <si>
    <t>MO021</t>
  </si>
  <si>
    <t>MO022</t>
  </si>
  <si>
    <t>MO023</t>
  </si>
  <si>
    <t>MO024</t>
  </si>
  <si>
    <t>MO025</t>
  </si>
  <si>
    <t>MO026</t>
  </si>
  <si>
    <t>MO027</t>
  </si>
  <si>
    <t>MO028</t>
  </si>
  <si>
    <t>MO029</t>
  </si>
  <si>
    <t>MO030</t>
  </si>
  <si>
    <t>MO031</t>
  </si>
  <si>
    <t>MO032</t>
  </si>
  <si>
    <t>MO033</t>
  </si>
  <si>
    <t>MO034</t>
  </si>
  <si>
    <t>MO035</t>
  </si>
  <si>
    <t>MO036</t>
  </si>
  <si>
    <t>MO037</t>
  </si>
  <si>
    <t>MO038</t>
  </si>
  <si>
    <t>MO039</t>
  </si>
  <si>
    <t>MO040</t>
  </si>
  <si>
    <t>MO041</t>
  </si>
  <si>
    <t>MO042</t>
  </si>
  <si>
    <t>MO043</t>
  </si>
  <si>
    <t>MO044</t>
  </si>
  <si>
    <t>MO045</t>
  </si>
  <si>
    <t>MO046</t>
  </si>
  <si>
    <t>MO047</t>
  </si>
  <si>
    <t>MO048</t>
  </si>
  <si>
    <t>MO049</t>
  </si>
  <si>
    <t>MO050</t>
  </si>
  <si>
    <t>MO051</t>
  </si>
  <si>
    <t>MO052</t>
  </si>
  <si>
    <t>MO053</t>
  </si>
  <si>
    <t>MO054</t>
  </si>
  <si>
    <t>MO055</t>
  </si>
  <si>
    <t>MO056</t>
  </si>
  <si>
    <t>DIRECTOR DE OBRA</t>
  </si>
  <si>
    <t>DIRECTOR DE INTERVENTORÍA</t>
  </si>
  <si>
    <t>RESIDENTE DE OBRA</t>
  </si>
  <si>
    <t>RESIDENTE DE INTERVENTORÍA</t>
  </si>
  <si>
    <t>RESIDENTE AMBIENTAL</t>
  </si>
  <si>
    <t>RESIDENTE SOCIAL</t>
  </si>
  <si>
    <t>AUXILIAR DE RESIDENCIA</t>
  </si>
  <si>
    <t>TECNÓLOGO SST</t>
  </si>
  <si>
    <t>ASESOR LEGAL</t>
  </si>
  <si>
    <t>CONTADOR</t>
  </si>
  <si>
    <t>ALMACENISTA</t>
  </si>
  <si>
    <t>AUXILIAR DE ALMACÉN</t>
  </si>
  <si>
    <t>SECRETARIA</t>
  </si>
  <si>
    <t>MENSAJERO</t>
  </si>
  <si>
    <t>VIGILANTE</t>
  </si>
  <si>
    <t>MAESTRO SEGUNDO</t>
  </si>
  <si>
    <t>OFICIAL ELÉCTRICO</t>
  </si>
  <si>
    <t>AYUDANTE ELÉCTRICO</t>
  </si>
  <si>
    <t>OFICIAL PLOMERO</t>
  </si>
  <si>
    <t>AYUDANTE PLOMERO</t>
  </si>
  <si>
    <t>OFICIAL CARPINTERO</t>
  </si>
  <si>
    <t>AYUDANTE CARPINTERO</t>
  </si>
  <si>
    <t>OFICIAL PINTOR</t>
  </si>
  <si>
    <t>OFICIAL DE OBRA BLANCA</t>
  </si>
  <si>
    <t>OFICIAL DE OBRA NEGRA</t>
  </si>
  <si>
    <t>OFICIAL HIERRO</t>
  </si>
  <si>
    <t>AYUDANTE ENTENDIDO</t>
  </si>
  <si>
    <t>AYUDANTE RASO</t>
  </si>
  <si>
    <t>OPERADOR EQUIPO LIVIANO</t>
  </si>
  <si>
    <t>OPERADOR EQUIPO MEDIANO</t>
  </si>
  <si>
    <t>OPERADOR EQUIPO PESADO</t>
  </si>
  <si>
    <t>AUXILIAR HERRAMIENTA</t>
  </si>
  <si>
    <t>PATIERO</t>
  </si>
  <si>
    <t>AUXILIAR PARE-SIGA</t>
  </si>
  <si>
    <t>INGENIERO SIG</t>
  </si>
  <si>
    <t>TECNÓLOGO SIG</t>
  </si>
  <si>
    <t>DIRECTOR DE CONSULTORÍA</t>
  </si>
  <si>
    <t>DIBUJANTE</t>
  </si>
  <si>
    <t>INGENIERO ESPECIALISTA GEOTECNIA</t>
  </si>
  <si>
    <t>GEÓLOGO</t>
  </si>
  <si>
    <t xml:space="preserve">ARQUITECTO ESPECIALISTA URBANISMO </t>
  </si>
  <si>
    <t>ARQUITECTO ESPECIALISTA PAISAJISMO</t>
  </si>
  <si>
    <t>ARQUITECTO DISEÑADOR</t>
  </si>
  <si>
    <t>INGENIERO ESPECIALISTA ESTRUCTURAL</t>
  </si>
  <si>
    <t>INGENIERO REVISOR ESTRUCTURAL</t>
  </si>
  <si>
    <t>INGENIERO ESPECIALISTA HIDRÁULICO</t>
  </si>
  <si>
    <t>INGENIERO ELECTRICISTA</t>
  </si>
  <si>
    <t>INGENIERO AMBIENTAL</t>
  </si>
  <si>
    <t>INGENIERO FORESTAL</t>
  </si>
  <si>
    <t>TÉCNICO AMBIENTAL</t>
  </si>
  <si>
    <t>ADMÓN</t>
  </si>
  <si>
    <t>OBRA</t>
  </si>
  <si>
    <t>(F) CESANTIAS 
(C + D) x12%</t>
  </si>
  <si>
    <t>VALOR / UN</t>
  </si>
  <si>
    <t>OBSERVACIONES</t>
  </si>
  <si>
    <t>Calzado</t>
  </si>
  <si>
    <t>Pantalón</t>
  </si>
  <si>
    <t>Camisa</t>
  </si>
  <si>
    <t>Par</t>
  </si>
  <si>
    <t>Unidad</t>
  </si>
  <si>
    <t>Total Dotación</t>
  </si>
  <si>
    <t>Frecuencia</t>
  </si>
  <si>
    <t>Total anual</t>
  </si>
  <si>
    <t>BOTA TRABAJO PUNTA ACERO MIAMI</t>
  </si>
  <si>
    <t>JEAN CLASICO LABORAL INDIGO AZUL</t>
  </si>
  <si>
    <t>BLUSA 3/4 MANGA LARGA CAQUI</t>
  </si>
  <si>
    <t>CÁLCULO EPP PARA PERSONAL DE OBRA (NO INCLUYE DOTACIÓN PAPSO)</t>
  </si>
  <si>
    <t>VR. UNIT.</t>
  </si>
  <si>
    <t>VR. TOTAL</t>
  </si>
  <si>
    <t>CASCO</t>
  </si>
  <si>
    <t>CASCO ECO TIPO I CREMALLERA
1 ANUAL POR PERSONA</t>
  </si>
  <si>
    <t>TAFILETES</t>
  </si>
  <si>
    <t>TAFILETE CINTA CASCO
2 ANUALES ADICIONAL POR PERSONA</t>
  </si>
  <si>
    <t>GUANTES CARNAZA</t>
  </si>
  <si>
    <t>PAR</t>
  </si>
  <si>
    <t>GUANTE CARNAZA REFORZADO LARGO
1 SEMANAL CADA 10 PERSONAS (FIERREROS)</t>
  </si>
  <si>
    <t>GUANTES GENERALES</t>
  </si>
  <si>
    <t>GUANTE ALGODÓN LATEX
1 QUINCENAL A CADA TRABAJADOR</t>
  </si>
  <si>
    <t>GUANTES LARGOS</t>
  </si>
  <si>
    <t>GUANTE PVC SEMICORRUGADO AZUL MANGA 60CM
1 QUINCENAL CADA 20 PERSONAS (CORTADORES)</t>
  </si>
  <si>
    <t>CHALECOS REFLECTIVOS</t>
  </si>
  <si>
    <t>CHALECO CONSTRUCCIÓN
1 TRIMESTRAL A CADA TRABAJADOR</t>
  </si>
  <si>
    <t>DELANTAL IMPERMEABLE</t>
  </si>
  <si>
    <t>DELANTAL NEGRO VESTIFLEX 81X118CM
1 MENSUAL CADA 20 PERSONAS (CORTADORES)</t>
  </si>
  <si>
    <t>MONOGAFAS</t>
  </si>
  <si>
    <t>GAFAS DE SEGURIDAD LENTE CLARO
1 SEMANAL CADA 5 TRABAJADORES (DEMOLICIÓN)</t>
  </si>
  <si>
    <t>TAPONES AUDITIVOS SENCILLOS</t>
  </si>
  <si>
    <t>TAPON OIDO 32 DECÍBELES DESECHABLE CORDON 
1 SEMANAL POR CADA TRABAJADOR</t>
  </si>
  <si>
    <t>PROTECTORES AUDITIVOS DE COPA</t>
  </si>
  <si>
    <t>PROTECTOR OIDO COPA 23 DECÍBELES 
1 MENSUAL CADA 10 TRABAJADORES</t>
  </si>
  <si>
    <t>ARNÉS DE SEGURIDAD  + ESLINGA</t>
  </si>
  <si>
    <t>KIT DE ARNÉS CON ESLINGA INTEGRADA - 3M 
1 ANUAL CADA 4 PERSONAS</t>
  </si>
  <si>
    <t>TOTAL EPP ANUAL</t>
  </si>
  <si>
    <t>CÁLCULO EPP PARA PERSONAL DE OFICINA (NO INCLUYE DOTACIÓN PAPSO)</t>
  </si>
  <si>
    <t>CASCO ECO DIELECTRICO RATCHET BLANCO
1 ANUAL POR PERSONA</t>
  </si>
  <si>
    <t>GAFAS SEGURIDAD CREONTE LENTE OSCURO AF
2 ANUALES POR PERSONA</t>
  </si>
  <si>
    <t>TAPABOCAS</t>
  </si>
  <si>
    <t>RESPIRADOR N95 VÁLVULA CARBÓN ACTIVADO
2 ANUALES POR PERSONA</t>
  </si>
  <si>
    <t>TAPON OIDO SILICONADO
1 MENSUAL POR CADA TRABAJADOR</t>
  </si>
  <si>
    <t>CHALECO MULTIFUNCIONAL
1 SEMESTRAL A CADA TRABAJADOR</t>
  </si>
  <si>
    <t>SE005</t>
  </si>
  <si>
    <t>ADQUISICIÓN DE CARTOGRAFIA (IMÁGENES DE SATELITE Y FOTOS AÉREAS EXISTENTES) S/COMPROBANTE PAGO</t>
  </si>
  <si>
    <t>SE003</t>
  </si>
  <si>
    <t>ARRIENDO OFICINA DE CAMPO + DOTACIÓN</t>
  </si>
  <si>
    <t>SE001</t>
  </si>
  <si>
    <t>COMISIÓN TOPOGRÁFICA (1 TOP. + 1 CAD. 1 + 1 CAD. 2)</t>
  </si>
  <si>
    <t>SE002</t>
  </si>
  <si>
    <t>COMISIÓN TOPOGRÁFICA (1 TOP. + 1 CAD. 1)</t>
  </si>
  <si>
    <t>SEL009</t>
  </si>
  <si>
    <t>Compactación, densidad, estabilidad y flujo por briqueta para asfaltos</t>
  </si>
  <si>
    <t>SE004</t>
  </si>
  <si>
    <t>DERECHO A BOTADERO</t>
  </si>
  <si>
    <t>SEL003</t>
  </si>
  <si>
    <t>Determinación de terrones de arcilla y partículas deleznables en los agregados</t>
  </si>
  <si>
    <t>SEL006</t>
  </si>
  <si>
    <t>Diseños de mezcla para una resistencia determinada (Incluye ensayos a agregados y verificación de resistencia)</t>
  </si>
  <si>
    <t>SEL008</t>
  </si>
  <si>
    <t>SEL001</t>
  </si>
  <si>
    <t>Granulometría por tamizado con lavado sobre tamiz No 200</t>
  </si>
  <si>
    <t>SEL005</t>
  </si>
  <si>
    <t>Relación de Soporte del Suelo en el laboratorio (CBR en el laboratorio) remodelado y sumergido. Suelos granulares (3 puntos)</t>
  </si>
  <si>
    <t>SEL004</t>
  </si>
  <si>
    <t>Relaciones de humedad - masa unitaria seca en los suelos (ensayo modificado de compactación - Proctor Modificado) con corrección del peso unitario y contenido de agua</t>
  </si>
  <si>
    <t>SEL007</t>
  </si>
  <si>
    <t>Resistencia a la compresión de cilindros de concreto (método normal)</t>
  </si>
  <si>
    <t>SEL002</t>
  </si>
  <si>
    <t>Resistencia al desgaste de los agregados de tamaños menores a 37,5 mm (1 1/2") por medio de la máquina de los ángeles.</t>
  </si>
  <si>
    <t>N.D</t>
  </si>
  <si>
    <t>PLAYA</t>
  </si>
  <si>
    <t>INSUMOS</t>
  </si>
  <si>
    <t>TRANSPORTE DE INSUMOS GENERALES 0-10 KM</t>
  </si>
  <si>
    <t>TRANSPORTE DE INSUMOS GENERALES 11-30 KM</t>
  </si>
  <si>
    <t>TRANSPORTE DE INSUMOS GENERALES 31-70 KM</t>
  </si>
  <si>
    <t>TRANSPORTE DE INSUMOS GENERALES 71-150 KM</t>
  </si>
  <si>
    <t>TRANSPORTE DE INSUMOS GENERALES 151-310 KM</t>
  </si>
  <si>
    <t>TRANSPORTE DE INSUMOS GENERALES MAYOR A 310 KM</t>
  </si>
  <si>
    <t>TRANSPORTE DE MATERIALES DE PLAYA, TIERRA O ESCOMBROS 0-10 KM</t>
  </si>
  <si>
    <t>TRANSPORTE DE MATERIALES DE PLAYA, TIERRA O ESCOMBROS 11-30 KM</t>
  </si>
  <si>
    <t>TRANSPORTE DE MATERIALES DE PLAYA, TIERRA O ESCOMBROS 31-70 KM</t>
  </si>
  <si>
    <t>TRANSPORTE DE MATERIALES DE PLAYA, TIERRA O ESCOMBROS 71-150 KM</t>
  </si>
  <si>
    <t>TRANSPORTE DE MATERIALES DE PLAYA, TIERRA O ESCOMBROS 151-310 KM</t>
  </si>
  <si>
    <t>TRANSPORTE DE MATERIALES DE PLAYA, TIERRA O ESCOMBROS MAYOR A 310 KM</t>
  </si>
  <si>
    <t>ACARREO INTERNO DE MATERIALES</t>
  </si>
  <si>
    <t>CANT</t>
  </si>
  <si>
    <t>VALOR MENSUAL</t>
  </si>
  <si>
    <t xml:space="preserve">PREST. SOC. </t>
  </si>
  <si>
    <t>DEDIC. %</t>
  </si>
  <si>
    <t>PLAZO</t>
  </si>
  <si>
    <t>VALOR PARCIAL</t>
  </si>
  <si>
    <t>EQUIPO PROFESIONAL</t>
  </si>
  <si>
    <t>ADMINISTRACIÓN, IMPREVISTOS Y UTILIDADES - AIU</t>
  </si>
  <si>
    <t>1.2</t>
  </si>
  <si>
    <t>PERSONAL TÉCNICO NO PROFESIONAL DE  OBRA - VIÁTICOS</t>
  </si>
  <si>
    <t>2.1</t>
  </si>
  <si>
    <t>2.4</t>
  </si>
  <si>
    <t>GASTOS OFICINA CENTRAL</t>
  </si>
  <si>
    <t>3.1</t>
  </si>
  <si>
    <t>3.4</t>
  </si>
  <si>
    <t>3.5</t>
  </si>
  <si>
    <t>PAPELERIA</t>
  </si>
  <si>
    <t>ARRENDAMIENTO + SERVICIOS</t>
  </si>
  <si>
    <t>OFICINA Y CAMPAMENTO EN OBRA</t>
  </si>
  <si>
    <t>4.1</t>
  </si>
  <si>
    <t>4.2</t>
  </si>
  <si>
    <t>SISTEMA DE CÓMPUTO Y COMUNICACIONES</t>
  </si>
  <si>
    <t>5.1</t>
  </si>
  <si>
    <t>5.2</t>
  </si>
  <si>
    <t>5.3</t>
  </si>
  <si>
    <t>6.1</t>
  </si>
  <si>
    <t>6.2</t>
  </si>
  <si>
    <t>SERVICIOS DE LABORATORIO</t>
  </si>
  <si>
    <t>VALLA CONTRACTUAL</t>
  </si>
  <si>
    <t>7.1</t>
  </si>
  <si>
    <t>GASTOS DE LEGALIZACIÓN DEL CONTRATO</t>
  </si>
  <si>
    <t>8.1</t>
  </si>
  <si>
    <t>8.2</t>
  </si>
  <si>
    <t>8.3</t>
  </si>
  <si>
    <t>PÓLIZAS</t>
  </si>
  <si>
    <t>IMPUESTO DE CONTRIBUCIÓN ESPECIAL 5%</t>
  </si>
  <si>
    <t>ESTAMPILLAS</t>
  </si>
  <si>
    <t>8.3.1</t>
  </si>
  <si>
    <t>8.3.2</t>
  </si>
  <si>
    <t>8.3.3</t>
  </si>
  <si>
    <t>8.3.4</t>
  </si>
  <si>
    <t>Pro Hospital</t>
  </si>
  <si>
    <t>Pro cultura</t>
  </si>
  <si>
    <t>Pro Anciano</t>
  </si>
  <si>
    <t>Pro Deporte y Recreación</t>
  </si>
  <si>
    <t>SUBTOTAL DE COSTOS DE ADMINISTRACIÓN</t>
  </si>
  <si>
    <t>AJUSTE ADMINISTRACIÓN POR REDONDE DE DECIMALES</t>
  </si>
  <si>
    <t>TOTAL COSTOS DE ADMINISTRACIÓN</t>
  </si>
  <si>
    <t>TOTAL COSTOS DIRECTOS</t>
  </si>
  <si>
    <t>% ADMINISTRACIÓN</t>
  </si>
  <si>
    <t>%IMPREVISTOS</t>
  </si>
  <si>
    <t>%UTILIDADES</t>
  </si>
  <si>
    <t>TOTAL AIU</t>
  </si>
  <si>
    <t>_______________________________________</t>
  </si>
  <si>
    <t>ml</t>
  </si>
  <si>
    <t>SUBTOTAL COSTOS DIRECTOS</t>
  </si>
  <si>
    <t>CÁLCULO DE PÓLIZAS DE OBRA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</si>
  <si>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</si>
  <si>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</si>
  <si>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</si>
  <si>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</si>
  <si>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</si>
  <si>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</si>
  <si>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</si>
  <si>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</si>
  <si>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</si>
  <si>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</si>
  <si>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</si>
  <si>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</si>
  <si>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</si>
  <si>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CALIDAD DEL SERVICIO</t>
  </si>
  <si>
    <t>DECRETO 1082 SMMLV RESPONSABILIDAD CIVIL</t>
  </si>
  <si>
    <t>SMMLV</t>
  </si>
  <si>
    <t>MONTO ASEGURABLE</t>
  </si>
  <si>
    <t>PLAZO MESES</t>
  </si>
  <si>
    <t>TASA ANUAL</t>
  </si>
  <si>
    <t>SUBTOTAL PRIMA</t>
  </si>
  <si>
    <t>GASTOS DE EXPEDICIÓN</t>
  </si>
  <si>
    <t>IVA</t>
  </si>
  <si>
    <t>TOTAL POLIZAS</t>
  </si>
  <si>
    <t>MA043</t>
  </si>
  <si>
    <t>3.2</t>
  </si>
  <si>
    <t>2.2</t>
  </si>
  <si>
    <t>PROGRAMA / PROYECTO GESTIÓN AMBIENTAL</t>
  </si>
  <si>
    <t>CUMPLIMIENTO DE REQUISITOS LEGALES</t>
  </si>
  <si>
    <t xml:space="preserve">TRAMITE DE PERMISO DE OCUPACIÓN DE CAUCE </t>
  </si>
  <si>
    <t xml:space="preserve">MANEJO Y DISPOSICION FINAL DE RESIDUOS SOLIDOS CONVENCIONALES Y ESPECIALES  </t>
  </si>
  <si>
    <t>BOLSAS POLIETILENO ALTA DENSIDAD (PAQUETE 100 UNIDADES DE  100 X 100). INCLUYE IVA</t>
  </si>
  <si>
    <t xml:space="preserve">DISPOSICIÓN DE RESIDUOS PELIGROSOS Y ESPECIALES CON EMPRESAS CERTIFICADAS </t>
  </si>
  <si>
    <t>M</t>
  </si>
  <si>
    <t>CINTA SEÑALIZACIÓN CALIBRE 4, 12 CM DE ALTO, COLOR NARANJA - BLANCO O AMARILLO- NEGRO, DE 500 M. (INCLUYE IVA)</t>
  </si>
  <si>
    <t>ROLLO</t>
  </si>
  <si>
    <t xml:space="preserve">PROYECTO DE MANEJO INTEGRAL DE MATERIALES DE CONSTRUCCION Y MANEJO DE FUENTES DE EMISIONES ATMOSFÉRICAS </t>
  </si>
  <si>
    <t>HUMECTACIÓN DE VÍA/ÁREAS DE TRABAJO PARA CONTROL DE MATERIAL PARTICULADO (INCLUYE IVA)</t>
  </si>
  <si>
    <t xml:space="preserve">TELERAS 1,35M X 0,90 M </t>
  </si>
  <si>
    <t>LAVADERO DE LLANTAS</t>
  </si>
  <si>
    <t xml:space="preserve">PLÁSTICO NEGRO POLIETILENO DE GRUESO CALIBRE,  (150 M, CALIBRE 3.5 ANCHO DE 3 M). </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</si>
  <si>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</si>
  <si>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</si>
  <si>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</si>
  <si>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</si>
  <si>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</si>
  <si>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SEÑALES DE CAMPAMENTO - AVISOS EN POLIETILENO DE 30 X 50 CM    (INCLUYE IVA)</t>
  </si>
  <si>
    <t>CAMILLA EMERGENCIA POLIETILENO 185X45CM (INCLUYE IVA)</t>
  </si>
  <si>
    <t>EXTINTOR ABC 20 LB (INCLUYE IVA)</t>
  </si>
  <si>
    <t xml:space="preserve">BOTIQUÍN CRUZ ROJA DE PRIMEROS AUXILIOS REF. 115 EN LONA </t>
  </si>
  <si>
    <t>IMAGEN INSTITUCIONAL</t>
  </si>
  <si>
    <t>LONA PARA VEHÍCULO (VOLQUETA O CAMIÓN) DE 1,50 X 0,80 M, IMPRESIÓN INJEKT RESISTENTE A LA INTEMPERIE</t>
  </si>
  <si>
    <t xml:space="preserve">CARNÉ PERSONAL. </t>
  </si>
  <si>
    <t>SUBTOTAL GESTIÓN SEGURIDAD Y SALUD EN EL TRABAJO</t>
  </si>
  <si>
    <t>GESTIÓN SOCIAL</t>
  </si>
  <si>
    <t xml:space="preserve">INFORMACIÓN Y DIVULGACIÓN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</si>
  <si>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</si>
  <si>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</si>
  <si>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</si>
  <si>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SUBTOTAL GESTIÓN SOCIAL</t>
  </si>
  <si>
    <t>TOTAL PLAN DE MANEJO AMBIENTAL - PMA</t>
  </si>
  <si>
    <t>N/A</t>
  </si>
  <si>
    <t xml:space="preserve">SEÑALIZACIÓN FRENTES DE OBRAS Y SITIOS TEMPORALES (DEMARCACIÓN DE ÁREAS DE TRABAJO Y CENTROS DE ACOPIO) </t>
  </si>
  <si>
    <t>ML</t>
  </si>
  <si>
    <t>JUEGO DE TRES RECIPIENTES O CANECAS DE 55 GALONES, PUNTO ECOLOGICO CON SEÑALIZACIÓN INCLUYE IVA</t>
  </si>
  <si>
    <t>EQ033</t>
  </si>
  <si>
    <t xml:space="preserve">CORTADORA DE PAVIMENTOS </t>
  </si>
  <si>
    <t>3.3</t>
  </si>
  <si>
    <t>4.3</t>
  </si>
  <si>
    <t>MA044</t>
  </si>
  <si>
    <t>MA045</t>
  </si>
  <si>
    <t>MA046</t>
  </si>
  <si>
    <t>DISTANCIA A SITIO DE PROVISIÓN  DE MATERIAL DE PLAYA (ARENILLON, PIEDRA RODADA DE RIO) (KM)</t>
  </si>
  <si>
    <t>MA047</t>
  </si>
  <si>
    <t>MA048</t>
  </si>
  <si>
    <t>MA049</t>
  </si>
  <si>
    <t>MA050</t>
  </si>
  <si>
    <t>MA051</t>
  </si>
  <si>
    <t>DISTANCIA A SITIO DE PROVISIÓN DE MATERIAL DE PLAYA (TRITURADO) (KM)</t>
  </si>
  <si>
    <t>PLAYATRITURADO</t>
  </si>
  <si>
    <t>TRANSPORTE DE INSUMOS GENERALES 0-1KM</t>
  </si>
  <si>
    <t>MA052</t>
  </si>
  <si>
    <t>PRESUPUESTO INTERVENTORÍA</t>
  </si>
  <si>
    <t>A</t>
  </si>
  <si>
    <t>COSTOS DIRECTOS DE PERSONAL</t>
  </si>
  <si>
    <t>SALARIO BÁSICO</t>
  </si>
  <si>
    <t>FACTOR MULTIPLICADOR INTERVENTORÍA</t>
  </si>
  <si>
    <t>PRESTACIONES SOCIALES</t>
  </si>
  <si>
    <t>PRIMA ANUAL</t>
  </si>
  <si>
    <t xml:space="preserve">CESANTÍA ANUAL </t>
  </si>
  <si>
    <t>INTERÉS A LAS CESANTÍAS</t>
  </si>
  <si>
    <t>VACACIONES ANUALES</t>
  </si>
  <si>
    <t>EPS</t>
  </si>
  <si>
    <t>PENSIONES (AFP)</t>
  </si>
  <si>
    <t>SENA</t>
  </si>
  <si>
    <t>ICBF</t>
  </si>
  <si>
    <t>SUBSIDIO FAMILIAR (CAJA DE COMPENSACIÓN)</t>
  </si>
  <si>
    <t xml:space="preserve"> ARP 6,96 % NORMAL</t>
  </si>
  <si>
    <t>DOTACIÓN</t>
  </si>
  <si>
    <t>EPP</t>
  </si>
  <si>
    <t>EXÁMENES DE INGRESO - EGRESO</t>
  </si>
  <si>
    <t>ENTRE 0.5% Y 1.5%</t>
  </si>
  <si>
    <t>ENTRE 1% Y 2%</t>
  </si>
  <si>
    <t>ENTRE 0.35% Y 0.65%</t>
  </si>
  <si>
    <t>COSTOS INDIRECTOS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</si>
  <si>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</si>
  <si>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</si>
  <si>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</si>
  <si>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</si>
  <si>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</si>
  <si>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 xml:space="preserve">Calculo del costo a reconocer por concepto de prestaciones sociales en caso de que el interventor este obligado a realizar aportes a salud, ICBF y SENA </t>
  </si>
  <si>
    <t>GASTOS DE LEGALIZACIÓN DE CONTRATO</t>
  </si>
  <si>
    <t>2.3</t>
  </si>
  <si>
    <t>2.5</t>
  </si>
  <si>
    <t>2.6</t>
  </si>
  <si>
    <t>2.7</t>
  </si>
  <si>
    <t>2.8</t>
  </si>
  <si>
    <t>2.9</t>
  </si>
  <si>
    <t>2.10</t>
  </si>
  <si>
    <t>2.11</t>
  </si>
  <si>
    <t>2.12</t>
  </si>
  <si>
    <t>2.13</t>
  </si>
  <si>
    <t>4.2.1</t>
  </si>
  <si>
    <t>4.2.2</t>
  </si>
  <si>
    <t>4.2.3</t>
  </si>
  <si>
    <t>4.2.4</t>
  </si>
  <si>
    <t>HONORARIOS</t>
  </si>
  <si>
    <t>FACTOR MULTIPLICADOR AJUSTADO A 2 CIFRAS DECIMALES</t>
  </si>
  <si>
    <t>COLOCAR LAS ESTAMPILLAS APLICABLES AL MUNICIPIO</t>
  </si>
  <si>
    <t>ENTRE 8% Y 12%</t>
  </si>
  <si>
    <t xml:space="preserve">EQUIPO PROFESIONAL </t>
  </si>
  <si>
    <t>APLICACIÓN FACTOR MULTIPLICADOR</t>
  </si>
  <si>
    <t>SUBTOTAL COSTOS DE PERSONAL</t>
  </si>
  <si>
    <t>FACTOR MULTIPLICADOR</t>
  </si>
  <si>
    <t xml:space="preserve">VALOR TOTAL </t>
  </si>
  <si>
    <t>VALOR TOTAL COSTOS DE PERSONAL</t>
  </si>
  <si>
    <t>TOTAL COSTOS DIRECTOS DE PERSONAL</t>
  </si>
  <si>
    <t>B</t>
  </si>
  <si>
    <t>OTROS COSTOS DIRECTOS</t>
  </si>
  <si>
    <t>GASTOS DE TRANSPORTE, ALQUILER DE EQUIPO Y OTROS (SE PAGAN CONTRA FACTURA Y RESULTADOS SI APLICA):</t>
  </si>
  <si>
    <t>5.4</t>
  </si>
  <si>
    <t>5.5</t>
  </si>
  <si>
    <t>5.6</t>
  </si>
  <si>
    <t>5.7</t>
  </si>
  <si>
    <t>PAPSO</t>
  </si>
  <si>
    <t>PAPSO INTERVENTORIA</t>
  </si>
  <si>
    <t>5.8</t>
  </si>
  <si>
    <t>Unidad de medida</t>
  </si>
  <si>
    <t>Ocasión</t>
  </si>
  <si>
    <t>Cant. Mensual</t>
  </si>
  <si>
    <t>Cant.max y Especificación</t>
  </si>
  <si>
    <t>Valor Unitario</t>
  </si>
  <si>
    <t>Valor total</t>
  </si>
  <si>
    <t>Und/mes</t>
  </si>
  <si>
    <t>Alcohol antiseptico  al 70%</t>
  </si>
  <si>
    <t>Litro</t>
  </si>
  <si>
    <t>0,006 Litro por día por persona - Antiséptico 70%. Ingrediente activo alcohol etílico potabilizado al 96%. Debe contar con registro INVIMA</t>
  </si>
  <si>
    <t>Gel antibacterial</t>
  </si>
  <si>
    <t>0,003 litros por día por persona - No requiere enjuague. Antiséptico para manos. Anticorrosivo. PH entre 6 y 7,5. Gel en base Glicerina + Alcohol antiséptico al 70%. Contenido de agua máximo 30%. Adicionado con emulientes y humectantes. Debe contar con registro INVIMA</t>
  </si>
  <si>
    <t>Jabón líquido antibacterial</t>
  </si>
  <si>
    <t>0,005 litros por día por persona - Agente limpiador 6%. Agente humectante 3%, PH 5,5 a 7,0.</t>
  </si>
  <si>
    <t>Hipoclorito de uso doméstico</t>
  </si>
  <si>
    <t>0,05 litros por cada litro de solución a 2500 ppm, para lavado rutinario. Hipoclorito de sodio al 5%(NaOCl), solución acuosa, libre de partículas, de control bacteriológico y microbiológico.</t>
  </si>
  <si>
    <t>Tapabocas reutilizable en tela</t>
  </si>
  <si>
    <t>4 unidades por mes por persona - Se deben seguir las especificaciones de la Resolución 666 del 24 de abril de 2020 y el documento soporte GIPS18 expedidos por el Ministerio de Salud</t>
  </si>
  <si>
    <t>Guantes de nitrilo</t>
  </si>
  <si>
    <t xml:space="preserve">2 pares por semana por persona - NTC 2190; UNE EN 374, UNE EN 388, UNE EN 420, UNE EN 455. No esteril. Reutilizables o lavables de calibre de 0.05 mm o 2 mils.
</t>
  </si>
  <si>
    <t>Termómetro digital infrarrojo</t>
  </si>
  <si>
    <t>1 por la obra, Sensibilidad a 0.1 °C. Debe ser específicamente diseñado para leer temperatura corporal y no para cualquier superficie.</t>
  </si>
  <si>
    <t>Bomba de espalda</t>
  </si>
  <si>
    <t>1 por la obra, Aspersor tipo agrícola, portátil, 20 lts de capacidad con sistema, con bomba de acción manual, válvula de descompresión, boquillas plásticas y válvula de diafragma para regular el flujo</t>
  </si>
  <si>
    <t>SUBTOTAL PAPSO</t>
  </si>
  <si>
    <t>SISO (10% de dedicación)</t>
  </si>
  <si>
    <t>PAPSO INTERVENTORIA (Incluye SISO 10% de dedicación)</t>
  </si>
  <si>
    <t>TOTAL OTROS COSTOS DIRECTOS</t>
  </si>
  <si>
    <t>VALOR BÁSICO TOTAL</t>
  </si>
  <si>
    <t>TOTAL INTERVENTORÍA</t>
  </si>
  <si>
    <t xml:space="preserve">% </t>
  </si>
  <si>
    <t>COSTO TOTAL DE LA OBRA</t>
  </si>
  <si>
    <t>MA053</t>
  </si>
  <si>
    <t>MA054</t>
  </si>
  <si>
    <t>MA055</t>
  </si>
  <si>
    <t>MA056</t>
  </si>
  <si>
    <t>MA057</t>
  </si>
  <si>
    <t>MA058</t>
  </si>
  <si>
    <t>MA059</t>
  </si>
  <si>
    <t>MA060</t>
  </si>
  <si>
    <t>MA061</t>
  </si>
  <si>
    <t>Formaleta de cuerpo MH D=1,20m</t>
  </si>
  <si>
    <t>MA062</t>
  </si>
  <si>
    <t>EQ034</t>
  </si>
  <si>
    <t>MA063</t>
  </si>
  <si>
    <t>MA064</t>
  </si>
  <si>
    <t>MA065</t>
  </si>
  <si>
    <t>MA066</t>
  </si>
  <si>
    <t>MA067</t>
  </si>
  <si>
    <t>MA068</t>
  </si>
  <si>
    <t>MEMORIA DE CANTIDADES</t>
  </si>
  <si>
    <t>DETALLE</t>
  </si>
  <si>
    <t>FACTOR</t>
  </si>
  <si>
    <t>A (ML)</t>
  </si>
  <si>
    <t>B(M2)</t>
  </si>
  <si>
    <t>C(M3)</t>
  </si>
  <si>
    <t>TOTAL</t>
  </si>
  <si>
    <t>1.3</t>
  </si>
  <si>
    <t>MA069</t>
  </si>
  <si>
    <t>MA070</t>
  </si>
  <si>
    <t>MA071</t>
  </si>
  <si>
    <t>MA072</t>
  </si>
  <si>
    <t>Limpiador PVC</t>
  </si>
  <si>
    <t>1/4 galon</t>
  </si>
  <si>
    <t>MA073</t>
  </si>
  <si>
    <t>MA074</t>
  </si>
  <si>
    <t>MA075</t>
  </si>
  <si>
    <t>unidad</t>
  </si>
  <si>
    <t>MA076</t>
  </si>
  <si>
    <t>MA077</t>
  </si>
  <si>
    <t>MA078</t>
  </si>
  <si>
    <t>MA079</t>
  </si>
  <si>
    <t>MA080</t>
  </si>
  <si>
    <t>OCASIÓN</t>
  </si>
  <si>
    <t>% TOTAL IMPLEMENTACIÓN PROTOCOLO DE BIOSEGURIDAD</t>
  </si>
  <si>
    <t>VALOR COSTO DIRECTO DE OBRA</t>
  </si>
  <si>
    <t>COSTO TOTAL IMPLEMENTACIÓN PROTOCOLO DE BIOSEGURIDAD COVID 19</t>
  </si>
  <si>
    <t>Aspersor tipo agrícola, portátil, 20 lts de capacidad con sistema, con bomba de acción manual, válvula de descompresión, boquillas plásticas y válvula de diafragma para regular el flujo</t>
  </si>
  <si>
    <t>1 por la obra</t>
  </si>
  <si>
    <t>Sensibilidad a 0.1 °C. Debe ser específicamente diseñado para leer temperatura corporal y no para cualquier superficie.</t>
  </si>
  <si>
    <t xml:space="preserve">NTC 2190; UNE EN 374, UNE EN 388, UNE EN 420, UNE EN 455. No esteril. Reutilizables o lavables de calibre de 0.05 mm o 2 mils.
</t>
  </si>
  <si>
    <t>2 pares por semana por persona</t>
  </si>
  <si>
    <t>Se deben seguir las especificaciones de la Resolución 666 del 24 de abril de 2020 y el documento soporte GIPS18 expedidos por el Ministerio de Salud</t>
  </si>
  <si>
    <t>4 unidades por mes por persona</t>
  </si>
  <si>
    <t>Hipoclorito de sodio al 5%(NaOCl), solución acuosa, libre de partículas, de control bacteriológico y microbiológico.</t>
  </si>
  <si>
    <t>0,05 litros por cada litro de solución a 2500 ppm, para lavado rutinario.</t>
  </si>
  <si>
    <t>Agente limpiador 6%. Agente humectante 3%, PH 5,5 a 7,0.</t>
  </si>
  <si>
    <t>0,005 litros por día por persona</t>
  </si>
  <si>
    <t>No requiere enjuague. Antiséptico para manos. Anticorrosivo. PH entre 6 y 7,5. Gel en base Glicerina + Alcohol antiséptico al 70%. Contenido de agua máximo 30%. Adicionado con emulientes y humectantes. Debe contar con registro INVIMA</t>
  </si>
  <si>
    <t>0,003 litros por día por persona.</t>
  </si>
  <si>
    <t>Antiséptico 70%. Ingrediente activo alcohol etílico potabilizado al 96%. Debe contar con registro INVIMA</t>
  </si>
  <si>
    <t>0,006 Litro por día por persona</t>
  </si>
  <si>
    <t>Alcohol antiséptico al 70%</t>
  </si>
  <si>
    <t>ESPECIFICACIÓN</t>
  </si>
  <si>
    <t>CANTIDADES MAXIMAS</t>
  </si>
  <si>
    <t>CANTIDAD MENSUAL</t>
  </si>
  <si>
    <t>UNIDAD DE MEDIDA</t>
  </si>
  <si>
    <t xml:space="preserve">Presupuesto de Implementación Protocolo de Bioseguridad </t>
  </si>
  <si>
    <t>Plazo</t>
  </si>
  <si>
    <t>PROTOCOLO DE BIOSEGURIDAD COVID 19</t>
  </si>
  <si>
    <t>PRESUPUESTO OFICIAL</t>
  </si>
  <si>
    <t>EQUIPOS</t>
  </si>
  <si>
    <t>TRANSPORTES</t>
  </si>
  <si>
    <t>MANO DE OBRA</t>
  </si>
  <si>
    <t>SERVICIOS</t>
  </si>
  <si>
    <t>Secretaría de Planeación e Infraestructura</t>
  </si>
  <si>
    <t>SECRETARIA DE PLANEACIÓN E INFRAESTRUCTURA</t>
  </si>
  <si>
    <t>LISTADO DE INSUMOS - SERVICIOS</t>
  </si>
  <si>
    <t>EQ035</t>
  </si>
  <si>
    <t>RETROEXCAVADORA DE ORUGA CON MARTILLO</t>
  </si>
  <si>
    <t>HR</t>
  </si>
  <si>
    <t>Densidad de compactación del suelo en campo, método del cono de arena</t>
  </si>
  <si>
    <t>TRANSPORTE DE MATERIALES  (TRITURADO), 0-90 KM</t>
  </si>
  <si>
    <t>MA081</t>
  </si>
  <si>
    <t>1.4</t>
  </si>
  <si>
    <t>1.6</t>
  </si>
  <si>
    <t>(6) seis meses</t>
  </si>
  <si>
    <t xml:space="preserve">Nota 1: de conformidad con las cantidades máximas para insumos y elementos requeridos para el protocolo de bioseguridad covid 19 establecidas en la circular externa 003 del 07 de mayo de 2020 del Ministerio de Transporte, en el presente proyecto se determina en obra 27 personas, que corresponden a (16) obreros, (4) oficiales, (1) topografo, (1) cadenero, (1) residente de obra contratista, (1) director de obra contratista, (1) Tecnologo SST, (1) Residente ambiental. </t>
  </si>
  <si>
    <t>6.3</t>
  </si>
  <si>
    <t xml:space="preserve">TELA VERDE ZARÁN DE H=2,50 Y ESTACONES REDONDOS CADA 1,50M </t>
  </si>
  <si>
    <t xml:space="preserve">PROGRAMA DE ADAPTACION DE LA GUIA AMBIENTAL DE INVIAS – PAGA.
</t>
  </si>
  <si>
    <t>PLAN DE MANEJO DE TRÁNSITO - PMT</t>
  </si>
  <si>
    <t>1. DISPOSITIVOS DE CONTROL</t>
  </si>
  <si>
    <t>BARRICADAS</t>
  </si>
  <si>
    <t>PALETAS DE PARE Y SIGA</t>
  </si>
  <si>
    <t>DELINEADORES TUBULARES (COLOMBINAS)</t>
  </si>
  <si>
    <t>CINTA PLASTICA PELIGRO NO PASE</t>
  </si>
  <si>
    <t>2. SEÑALIZACION</t>
  </si>
  <si>
    <t>SEÑALIZACION PRIMER NIVEL (PASAVIAS EN TELA)</t>
  </si>
  <si>
    <t>SEÑALES MOVILES DE APROXIMACION</t>
  </si>
  <si>
    <t xml:space="preserve">3. EQUIPOS VARIOS </t>
  </si>
  <si>
    <t>VOLANTES INFORMATIVOS</t>
  </si>
  <si>
    <t>PITOS PARA AUXILIARES DE TRANSITO</t>
  </si>
  <si>
    <t>PAPELERIA E INFORMES</t>
  </si>
  <si>
    <t>4. PERSONAL</t>
  </si>
  <si>
    <t>TOTAL PLAN DE MANEJO DE TRÁNSITO - PMT</t>
  </si>
  <si>
    <t>Tablero en lamina galvanizada cal. 16" de 60cmx60cm</t>
  </si>
  <si>
    <t>HADY LORENA</t>
  </si>
  <si>
    <t>MUNICIPIO DE DABEIBA</t>
  </si>
  <si>
    <t>MA082</t>
  </si>
  <si>
    <t>MA083</t>
  </si>
  <si>
    <t>MA084</t>
  </si>
  <si>
    <t>MA085</t>
  </si>
  <si>
    <t>MA086</t>
  </si>
  <si>
    <t>MA087</t>
  </si>
  <si>
    <t>MA088</t>
  </si>
  <si>
    <t>MA089</t>
  </si>
  <si>
    <t>MA090</t>
  </si>
  <si>
    <t>MARLON A PEREZ HERRERA</t>
  </si>
  <si>
    <t>TR021</t>
  </si>
  <si>
    <t xml:space="preserve">MARLON A PEREZ HERRERA </t>
  </si>
  <si>
    <t>MARLON A PEREZ H</t>
  </si>
  <si>
    <t xml:space="preserve">TALADRO PERCUTOR </t>
  </si>
  <si>
    <t xml:space="preserve">DIA </t>
  </si>
  <si>
    <t>EQ036</t>
  </si>
  <si>
    <t xml:space="preserve">PULIDORA DE CORTE </t>
  </si>
  <si>
    <t>EQ037</t>
  </si>
  <si>
    <t xml:space="preserve">und </t>
  </si>
  <si>
    <t>kg</t>
  </si>
  <si>
    <t>HERRAMIENTA MENOR (10% DE LA MANO DE OBRA)</t>
  </si>
  <si>
    <t>VOLUMEN</t>
  </si>
  <si>
    <t>DISPOSICION FINAL DERECHO A BOTADERO</t>
  </si>
  <si>
    <t>TR022</t>
  </si>
  <si>
    <t xml:space="preserve">Grapas y otros
</t>
  </si>
  <si>
    <t>m</t>
  </si>
  <si>
    <t>COMPRENSOR NEUMATICO. UN MARTILLO, OPERADOR Y COMBUSTIBLE (HR)</t>
  </si>
  <si>
    <t>COMPACTADOR TIPO CANGURO (INCLUYE COMBUSTIBLE) (DIA)</t>
  </si>
  <si>
    <t>TRANSPORTE DE MATERIALES DE PLAYA (ARENILLON, PIEDRA RODADA DE RIO DMAX=3/4") 0-10KM</t>
  </si>
  <si>
    <t xml:space="preserve">MATERIAL MIXTO DE RIO -  </t>
  </si>
  <si>
    <t>SIERRA CIRCULAR  MANUAL PARA 8 1/4" (dia)</t>
  </si>
  <si>
    <t>Andamio estructural multidireccional modulo estandar 1.4 x
1.4 x 2 m</t>
  </si>
  <si>
    <t>Taco metalico corto 1.80 - 2.80m [dia]</t>
  </si>
  <si>
    <t>Planta Gasolina 110volts/220volts 8 Kva [dia]</t>
  </si>
  <si>
    <t>ESTACIÓN TOTAL Y NIVEL DE PRECISION</t>
  </si>
  <si>
    <t>COSTOS TOTALES OBRA (DIRECTOS + INDIRECTOS)</t>
  </si>
  <si>
    <t>%ADMINISTRACIÓN OBRA</t>
  </si>
  <si>
    <t xml:space="preserve">%UTILIDADES OBRA </t>
  </si>
  <si>
    <t xml:space="preserve">UND </t>
  </si>
  <si>
    <t>m2</t>
  </si>
  <si>
    <t xml:space="preserve">chasos y tornillos de ensamble </t>
  </si>
  <si>
    <t xml:space="preserve">UNION DE EMT 3/4 </t>
  </si>
  <si>
    <t>Terminal Emt 3/4 Acero-Tub</t>
  </si>
  <si>
    <t>Curva Emt 3/4</t>
  </si>
  <si>
    <t xml:space="preserve">kit de tornillo de ensamble </t>
  </si>
  <si>
    <t>Cable #10 100M Rojo</t>
  </si>
  <si>
    <t xml:space="preserve">ML </t>
  </si>
  <si>
    <t>TOMA HEMBRA LEVINTON</t>
  </si>
  <si>
    <t>Taco 2 polos 40 amperios LX enchufe DSE</t>
  </si>
  <si>
    <t>CAJA 12X12X5  incluye tapa</t>
  </si>
  <si>
    <t>TERMINAL Emt 1/2 Acero-Tub</t>
  </si>
  <si>
    <t>TUBO EMT 1/2</t>
  </si>
  <si>
    <t xml:space="preserve">UNION EMT 1/2 </t>
  </si>
  <si>
    <t>CURVA EMT 1/2</t>
  </si>
  <si>
    <t xml:space="preserve">CABLE N°12  BLANCO </t>
  </si>
  <si>
    <t xml:space="preserve">CABLE N° 12 VERDE </t>
  </si>
  <si>
    <t xml:space="preserve">CABLE N°12  ROJA </t>
  </si>
  <si>
    <t>Panel Led Redondo De Incrustar 18w Luz Fria</t>
  </si>
  <si>
    <t xml:space="preserve">ENCARGADO DE OBRA </t>
  </si>
  <si>
    <t>LAMINA DE CIELO RAZO PVC</t>
  </si>
  <si>
    <t>Angulo 20 x 20 x 0.38mm 2.44m</t>
  </si>
  <si>
    <t>Canal Base 6 2-1/2 x 1pg</t>
  </si>
  <si>
    <t>Propack Cinta Papel Sellapanel 2X150 Metros</t>
  </si>
  <si>
    <t>GL</t>
  </si>
  <si>
    <t>Disolvente Para Epoxicas 1 Galones</t>
  </si>
  <si>
    <t xml:space="preserve">Pintura para Exterior X 5 GALONES </t>
  </si>
  <si>
    <t xml:space="preserve">VOLUMEN </t>
  </si>
  <si>
    <t xml:space="preserve">DISTANCIA </t>
  </si>
  <si>
    <t>Grifería Institucional De Mesa Tipo Push Para Lavamanos</t>
  </si>
  <si>
    <t>Kit Lavamos Con Desague Sencillo Con Repuesto</t>
  </si>
  <si>
    <t>Canal amazonas blanca</t>
  </si>
  <si>
    <t>Unión canal amazonas</t>
  </si>
  <si>
    <t>Amarre Teja Tapa Metálica 26cm Cal 18</t>
  </si>
  <si>
    <t>Soldadura Pvc 1/4Gl 946Ml</t>
  </si>
  <si>
    <t>Caja O Tablero Para 6 Tacos Homologada Certificada</t>
  </si>
  <si>
    <t>CAJA 2X4</t>
  </si>
  <si>
    <t xml:space="preserve">PLAFON SENCILLO </t>
  </si>
  <si>
    <t xml:space="preserve">CAJA OCTAGONAL </t>
  </si>
  <si>
    <t xml:space="preserve">INTERRUPTOR </t>
  </si>
  <si>
    <t>Bombillo De Led 20w E27 1700 Lúmenes Luz Blanca</t>
  </si>
  <si>
    <t xml:space="preserve">BASE DE FOTOCELDA </t>
  </si>
  <si>
    <t xml:space="preserve">Cable encauchetado 2x14 </t>
  </si>
  <si>
    <t>8.3.5</t>
  </si>
  <si>
    <t xml:space="preserve">Pro justicia familiar </t>
  </si>
  <si>
    <t xml:space="preserve">CAJA 4X4 CON TAPA LISA </t>
  </si>
  <si>
    <t>TUBERIA SCH 40 DE 3/4</t>
  </si>
  <si>
    <t>MA091</t>
  </si>
  <si>
    <t>MA092</t>
  </si>
  <si>
    <t>MA093</t>
  </si>
  <si>
    <t>MA094</t>
  </si>
  <si>
    <t>MA095</t>
  </si>
  <si>
    <t xml:space="preserve">CABLE 7 HILOS N° 8 </t>
  </si>
  <si>
    <t>TERMINAL SCH 40 DE 3/4</t>
  </si>
  <si>
    <t>acero de refuero fy=4200 KG/cm2</t>
  </si>
  <si>
    <t>Tablero Monofásico Enchufable 8 Circuitos 75Amp 120V C/Puerta</t>
  </si>
  <si>
    <t>Grapa 3/4Doble Oreja</t>
  </si>
  <si>
    <t>Cable #10 100M ROJO</t>
  </si>
  <si>
    <t>Placa de Yeso ST 1/2pg 1.22x2.44m 12.7mm</t>
  </si>
  <si>
    <t>Omega  0.35mm x 2.44 mt</t>
  </si>
  <si>
    <t>Vigueta  0.35mm x 2.44</t>
  </si>
  <si>
    <t>pintura a dos manos en superficie homogenea</t>
  </si>
  <si>
    <t>und</t>
  </si>
  <si>
    <t>paral base 9 3-5/8 x 1-1/4 pg</t>
  </si>
  <si>
    <t>placa fibrocemento 10 mm</t>
  </si>
  <si>
    <t xml:space="preserve">orinal mediano con griferia tradicional </t>
  </si>
  <si>
    <t>teja 2 mm 5.9x1.13 mm blanco UPVC</t>
  </si>
  <si>
    <t>gl</t>
  </si>
  <si>
    <t>pintura base de aceite</t>
  </si>
  <si>
    <t>taladro</t>
  </si>
  <si>
    <t xml:space="preserve">  </t>
  </si>
  <si>
    <t>sanitario acuaplus blanco</t>
  </si>
  <si>
    <t xml:space="preserve">acople sanitario </t>
  </si>
  <si>
    <t>varilla 1/2 corrugaddo x 6m</t>
  </si>
  <si>
    <t>angulo de hierro de 1" x6m</t>
  </si>
  <si>
    <t xml:space="preserve">PINTURA MULTISUPERFISIAL AL AGUA </t>
  </si>
  <si>
    <t>Teja Termoacustica Ecoroof UPVC 2.5mm Blanco 1.07 x 5.90 Mts</t>
  </si>
  <si>
    <t xml:space="preserve">HONORARIOS EDURHA </t>
  </si>
  <si>
    <t>perfil C   100x50x2.00 mm x 6 m</t>
  </si>
  <si>
    <t>m3</t>
  </si>
  <si>
    <t>tiner/garrafa</t>
  </si>
  <si>
    <t xml:space="preserve">cinta de enmascarar </t>
  </si>
  <si>
    <t>arena fina</t>
  </si>
  <si>
    <t xml:space="preserve">Reflector Led 200 w 
</t>
  </si>
  <si>
    <t>Grifería Tanque Conjunto Hidrostatica Entrada-Salida</t>
  </si>
  <si>
    <t xml:space="preserve">suministro e instalacion de silla yee 8x4 en acometidas de viviendas, incluye transporte y todo lo necesario para su correcto funcionamiento </t>
  </si>
  <si>
    <t xml:space="preserve"> sector a intervenir pablo VI</t>
  </si>
  <si>
    <t xml:space="preserve"> excavación en sector a intervenir pablo VI</t>
  </si>
  <si>
    <t>viviendas pablo VI</t>
  </si>
  <si>
    <t>dia</t>
  </si>
  <si>
    <t>1.5</t>
  </si>
  <si>
    <t xml:space="preserve">excavacion de material heterogeneo a una pofundiad entre 1.20m - 1.50m, incluye retiro, transporte y disposicion final de material resultante de las actividades </t>
  </si>
  <si>
    <t xml:space="preserve">suministro e instalacion de tuberia novafort 8 ", incluye transportes, arenas y material granular  necesarios para su correcto funcionamiento </t>
  </si>
  <si>
    <t>Tubo Alcantarillado S4 200mm 8X6m Novafort</t>
  </si>
  <si>
    <t xml:space="preserve">lubricante para instalación de tuberia </t>
  </si>
  <si>
    <t xml:space="preserve">ml </t>
  </si>
  <si>
    <t xml:space="preserve">material mixto de rio </t>
  </si>
  <si>
    <t>silla yee 8x4</t>
  </si>
  <si>
    <t>brecha excavada</t>
  </si>
  <si>
    <t>Trazado localización y replanteo  para tramo de alcantarillado y control permanente de alineamientos</t>
  </si>
  <si>
    <t>8 casas</t>
  </si>
  <si>
    <t>construccion de caja de registro en concreto de 21 mpa incluye tapa en concreto con herraje en angulo 3.13x1./2"</t>
  </si>
  <si>
    <t xml:space="preserve">caja de registro </t>
  </si>
  <si>
    <t xml:space="preserve">TOTAL DE COSTOS DIRECTOS MAS INDIRECTOS </t>
  </si>
  <si>
    <t xml:space="preserve">Relleno con material de excavación </t>
  </si>
  <si>
    <t>cemento x 50 kg</t>
  </si>
  <si>
    <t>tabla madera comun 3x0.20</t>
  </si>
  <si>
    <t>herraje en angulo 3.16x1.1/2" - 60x60</t>
  </si>
  <si>
    <t xml:space="preserve">AMPLIACIÓN DEL SISTEMA DE ALCANTARILLADO EN SECTOR DEL BARRIO PABLO VI  DEL MUNICIPIO DE DABEIBA ANTIOQUIA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</si>
</sst>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 #,##0;\-&quot;$&quot;\ #,##0"/>
    <numFmt numFmtId="42" formatCode="_-&quot;$&quot;\ * #,##0_-;\-&quot;$&quot;\ * #,##0_-;_-&quot;$&quot;\ * &quot;-&quot;_-;_-@_-"/>
    <numFmt numFmtId="41" formatCode="_-* #,##0_-;\-* #,##0_-;_-* &quot;-&quot;_-;_-@_-"/>
    <numFmt numFmtId="44" formatCode="_-&quot;$&quot;\ * #,##0.00_-;\-&quot;$&quot;\ * #,##0.00_-;_-&quot;$&quot;\ * &quot;-&quot;??_-;_-@_-"/>
    <numFmt numFmtId="164" formatCode="0.000%"/>
    <numFmt numFmtId="165" formatCode="#,##0.0&quot; MESES&quot;"/>
    <numFmt numFmtId="166" formatCode="#,##0.00&quot; KM&quot;"/>
    <numFmt numFmtId="167" formatCode="&quot;$&quot;\ #,##0"/>
    <numFmt numFmtId="168" formatCode="0.00000_ ;\-0.00000\ "/>
    <numFmt numFmtId="169" formatCode="#,##0.000000"/>
    <numFmt numFmtId="170" formatCode="&quot;$&quot;#,##0."/>
    <numFmt numFmtId="171" formatCode="#,##0.00000"/>
    <numFmt numFmtId="172" formatCode="#,##0.00&quot; SMMLV&quot;"/>
    <numFmt numFmtId="173" formatCode="#,##0&quot; DÍAS&quot;"/>
    <numFmt numFmtId="174" formatCode="_-&quot;$&quot;\ * #,##0_-;\-&quot;$&quot;\ * #,##0_-;_-&quot;$&quot;\ * &quot;-&quot;??_-;_-@_-"/>
    <numFmt numFmtId="175" formatCode="_-&quot;$&quot;* #,##0.00_-;\-&quot;$&quot;* #,##0.00_-;_-&quot;$&quot;* &quot;-&quot;??_-;_-@_-"/>
    <numFmt numFmtId="176" formatCode="&quot;$&quot;#,##0.00;[Red]\-&quot;$&quot;#,##0.00"/>
    <numFmt numFmtId="177" formatCode="#,##0.00_ ;\-#,##0.00\ "/>
    <numFmt numFmtId="178" formatCode="_(&quot;$&quot;\ * #,##0_);_(&quot;$&quot;\ * \(#,##0\);_(&quot;$&quot;\ * &quot;-&quot;??_);_(@_)"/>
    <numFmt numFmtId="179" formatCode="_(&quot;$&quot;\ * #,##0.00_);_(&quot;$&quot;\ * \(#,##0.00\);_(&quot;$&quot;\ * &quot;-&quot;??_);_(@_)"/>
    <numFmt numFmtId="180" formatCode="_ &quot;$&quot;\ * #,##0_ ;_ &quot;$&quot;\ * \-#,##0_ ;_ &quot;$&quot;\ * &quot;-&quot;_ ;_ @_ "/>
    <numFmt numFmtId="181" formatCode="_-&quot;$&quot;* #,##0_-;\-&quot;$&quot;* #,##0_-;_-&quot;$&quot;* &quot;-&quot;??_-;_-@_-"/>
    <numFmt numFmtId="182" formatCode="#,##0\ _P_t_s"/>
    <numFmt numFmtId="183" formatCode="_(* #,##0.00_);_(* \(#,##0.00\);_(* &quot;-&quot;??_);_(@_)"/>
  </numFmts>
  <fonts count="51">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10"/>
      <color indexed="8"/>
      <name val="Calibri"/>
      <family val="2"/>
    </font>
    <font>
      <b/>
      <sz val="11"/>
      <color theme="1"/>
      <name val="Calibri"/>
      <family val="2"/>
    </font>
    <font>
      <sz val="11"/>
      <color theme="1"/>
      <name val="Calibri"/>
      <family val="2"/>
    </font>
    <font>
      <u/>
      <sz val="11"/>
      <color theme="10"/>
      <name val="Calibri"/>
      <family val="2"/>
      <scheme val="minor"/>
    </font>
    <font>
      <b/>
      <i/>
      <sz val="11"/>
      <color rgb="FFFF0000"/>
      <name val="Calibri"/>
      <family val="2"/>
    </font>
    <font>
      <b/>
      <i/>
      <sz val="11"/>
      <color rgb="FFFF0000"/>
      <name val="Calibri"/>
      <family val="2"/>
      <scheme val="minor"/>
    </font>
    <font>
      <b/>
      <i/>
      <u/>
      <sz val="11"/>
      <color rgb="FFFF0000"/>
      <name val="Calibri"/>
      <family val="2"/>
      <scheme val="minor"/>
    </font>
    <font>
      <sz val="11"/>
      <color indexed="8"/>
      <name val="Calibri"/>
      <family val="2"/>
    </font>
    <font>
      <b/>
      <sz val="11"/>
      <color theme="3"/>
      <name val="Arial Narrow"/>
      <family val="2"/>
    </font>
    <font>
      <b/>
      <u/>
      <sz val="11"/>
      <color rgb="FFC00000"/>
      <name val="Arial Narrow"/>
      <family val="2"/>
    </font>
    <font>
      <b/>
      <sz val="11"/>
      <color indexed="8"/>
      <name val="Calibri"/>
      <family val="2"/>
    </font>
    <font>
      <b/>
      <sz val="9"/>
      <color indexed="8"/>
      <name val="Calibri"/>
      <family val="2"/>
    </font>
    <font>
      <b/>
      <sz val="14"/>
      <color indexed="8"/>
      <name val="Calibri"/>
      <family val="2"/>
    </font>
    <font>
      <b/>
      <sz val="8"/>
      <color indexed="8"/>
      <name val="Calibri"/>
      <family val="2"/>
    </font>
    <font>
      <sz val="8"/>
      <color indexed="8"/>
      <name val="Calibri"/>
      <family val="2"/>
    </font>
    <font>
      <sz val="9"/>
      <color indexed="8"/>
      <name val="Calibri"/>
      <family val="2"/>
    </font>
    <font>
      <b/>
      <sz val="8"/>
      <color rgb="FF000000"/>
      <name val="Calibri"/>
      <family val="2"/>
    </font>
    <font>
      <sz val="8"/>
      <color theme="1"/>
      <name val="Calibri"/>
      <family val="2"/>
    </font>
    <font>
      <sz val="8"/>
      <name val="Calibri"/>
      <family val="2"/>
    </font>
    <font>
      <sz val="8"/>
      <color rgb="FF000000"/>
      <name val="Calibri"/>
      <family val="2"/>
    </font>
    <font>
      <b/>
      <sz val="8"/>
      <color theme="1"/>
      <name val="Calibri"/>
      <family val="2"/>
    </font>
    <font>
      <sz val="9"/>
      <name val="Calibri"/>
      <family val="2"/>
    </font>
    <font>
      <b/>
      <sz val="9"/>
      <name val="Calibri"/>
      <family val="2"/>
    </font>
    <font>
      <sz val="9"/>
      <color theme="1"/>
      <name val="Calibri"/>
      <family val="2"/>
      <scheme val="minor"/>
    </font>
    <font>
      <sz val="10"/>
      <name val="Calibri"/>
      <family val="2"/>
    </font>
    <font>
      <b/>
      <sz val="18"/>
      <color indexed="8"/>
      <name val="Calibri"/>
      <family val="2"/>
    </font>
    <font>
      <b/>
      <sz val="9"/>
      <color theme="1"/>
      <name val="Calibri"/>
      <family val="2"/>
    </font>
    <font>
      <b/>
      <sz val="9"/>
      <color theme="1"/>
      <name val="Calibri"/>
      <family val="2"/>
      <scheme val="minor"/>
    </font>
    <font>
      <sz val="8"/>
      <name val="Calibri"/>
      <family val="2"/>
      <scheme val="minor"/>
    </font>
    <font>
      <sz val="11"/>
      <color rgb="FFFF0000"/>
      <name val="Calibri"/>
      <family val="2"/>
      <scheme val="minor"/>
    </font>
    <font>
      <sz val="10"/>
      <color theme="1"/>
      <name val="Calibri"/>
      <family val="2"/>
      <scheme val="minor"/>
    </font>
    <font>
      <b/>
      <sz val="10"/>
      <color theme="1"/>
      <name val="Calibri"/>
      <family val="2"/>
      <scheme val="minor"/>
    </font>
    <font>
      <sz val="9"/>
      <color rgb="FFFF0000"/>
      <name val="Calibri"/>
      <family val="2"/>
    </font>
    <font>
      <b/>
      <i/>
      <sz val="10"/>
      <color rgb="FFFF0000"/>
      <name val="Calibri"/>
      <family val="2"/>
    </font>
    <font>
      <sz val="10"/>
      <name val="Arial"/>
      <family val="2"/>
    </font>
    <font>
      <b/>
      <sz val="9"/>
      <name val="Calibri  "/>
    </font>
    <font>
      <sz val="9"/>
      <name val="Calibri  "/>
    </font>
    <font>
      <sz val="12"/>
      <color theme="1"/>
      <name val="Verdana"/>
      <family val="2"/>
    </font>
    <font>
      <b/>
      <sz val="12"/>
      <color theme="1"/>
      <name val="Verdana"/>
      <family val="2"/>
    </font>
    <font>
      <sz val="10"/>
      <color theme="1"/>
      <name val="Calibri"/>
      <family val="2"/>
    </font>
    <font>
      <strike/>
      <sz val="11"/>
      <color theme="1"/>
      <name val="Calibri"/>
      <family val="2"/>
      <scheme val="minor"/>
    </font>
    <font>
      <sz val="10"/>
      <color rgb="FF000000"/>
      <name val="Arial"/>
      <family val="2"/>
    </font>
    <font>
      <b/>
      <sz val="9"/>
      <color rgb="FF333333"/>
      <name val="Calibri"/>
      <family val="2"/>
      <scheme val="minor"/>
    </font>
    <font>
      <sz val="10"/>
      <name val="Times New Roman"/>
      <family val="1"/>
    </font>
  </fonts>
  <fills count="19">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BFBFBF"/>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
      <patternFill patternType="gray125">
        <fgColor auto="1"/>
      </patternFill>
    </fill>
    <fill>
      <patternFill patternType="solid">
        <fgColor theme="3" tint="0.39997558519241921"/>
        <bgColor indexed="64"/>
      </patternFill>
    </fill>
    <fill>
      <patternFill patternType="solid">
        <fgColor theme="5" tint="0.59999389629810485"/>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16">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applyNumberFormat="0" applyFill="0" applyBorder="0" applyAlignment="0" applyProtection="0"/>
    <xf numFmtId="0" fontId="14" fillId="0" borderId="0"/>
    <xf numFmtId="44" fontId="1" fillId="0" borderId="0" applyFont="0" applyFill="0" applyBorder="0" applyAlignment="0" applyProtection="0"/>
    <xf numFmtId="41" fontId="1" fillId="0" borderId="0" applyFont="0" applyFill="0" applyBorder="0" applyAlignment="0" applyProtection="0"/>
    <xf numFmtId="0" fontId="41" fillId="0" borderId="0"/>
    <xf numFmtId="175" fontId="1" fillId="0" borderId="0" applyFont="0" applyFill="0" applyBorder="0" applyAlignment="0" applyProtection="0"/>
    <xf numFmtId="176" fontId="41" fillId="0" borderId="0" applyFont="0" applyFill="0" applyBorder="0" applyAlignment="0" applyProtection="0"/>
    <xf numFmtId="0" fontId="1" fillId="0" borderId="0"/>
    <xf numFmtId="180" fontId="41" fillId="0" borderId="0" applyFont="0" applyFill="0" applyBorder="0" applyAlignment="0" applyProtection="0"/>
    <xf numFmtId="0" fontId="41" fillId="0" borderId="0"/>
    <xf numFmtId="179" fontId="1" fillId="0" borderId="0" applyFont="0" applyFill="0" applyBorder="0" applyAlignment="0" applyProtection="0"/>
    <xf numFmtId="182" fontId="50" fillId="0" borderId="0" applyFont="0" applyFill="0" applyBorder="0" applyAlignment="0" applyProtection="0"/>
  </cellStyleXfs>
  <cellXfs count="644">
    <xf numFmtId="0" fontId="0" fillId="0" borderId="0" xfId="0"/>
    <xf numFmtId="0" fontId="3" fillId="2" borderId="1" xfId="3" applyFont="1" applyFill="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6" fillId="0" borderId="0" xfId="3" applyFont="1" applyAlignment="1">
      <alignment vertical="center"/>
    </xf>
    <xf numFmtId="0" fontId="7" fillId="5" borderId="1" xfId="3" applyFont="1" applyFill="1" applyBorder="1" applyAlignment="1">
      <alignment horizontal="center" vertical="center"/>
    </xf>
    <xf numFmtId="0" fontId="8" fillId="0" borderId="1" xfId="0" applyFont="1" applyBorder="1" applyAlignment="1">
      <alignment vertical="center" wrapText="1"/>
    </xf>
    <xf numFmtId="0" fontId="9" fillId="6" borderId="1" xfId="0" applyFont="1" applyFill="1" applyBorder="1" applyAlignment="1">
      <alignment vertical="center"/>
    </xf>
    <xf numFmtId="5" fontId="9" fillId="0" borderId="1" xfId="1" applyNumberFormat="1" applyFont="1" applyFill="1" applyBorder="1" applyAlignment="1">
      <alignment horizontal="left" vertical="center"/>
    </xf>
    <xf numFmtId="164" fontId="9" fillId="0" borderId="1" xfId="2" applyNumberFormat="1" applyFont="1" applyBorder="1" applyAlignment="1">
      <alignment horizontal="left" vertical="center"/>
    </xf>
    <xf numFmtId="165" fontId="9" fillId="6" borderId="1" xfId="2" applyNumberFormat="1" applyFont="1" applyFill="1" applyBorder="1" applyAlignment="1">
      <alignment horizontal="left" vertical="center"/>
    </xf>
    <xf numFmtId="166" fontId="9" fillId="6" borderId="1" xfId="2" applyNumberFormat="1" applyFont="1" applyFill="1" applyBorder="1" applyAlignment="1">
      <alignment horizontal="left" vertical="center"/>
    </xf>
    <xf numFmtId="0" fontId="9" fillId="6" borderId="1" xfId="0" applyFont="1" applyFill="1" applyBorder="1" applyAlignment="1">
      <alignment horizontal="left" vertical="center" wrapText="1"/>
    </xf>
    <xf numFmtId="0" fontId="11" fillId="0" borderId="0" xfId="0" applyFont="1" applyAlignment="1">
      <alignment horizontal="justify" vertical="center"/>
    </xf>
    <xf numFmtId="0" fontId="13" fillId="0" borderId="0" xfId="4" applyFont="1" applyAlignment="1">
      <alignment horizontal="justify" vertical="center" wrapText="1"/>
    </xf>
    <xf numFmtId="0" fontId="15" fillId="0" borderId="0" xfId="5" applyFont="1"/>
    <xf numFmtId="0" fontId="16" fillId="0" borderId="0" xfId="5" applyFont="1"/>
    <xf numFmtId="0" fontId="6" fillId="0" borderId="0" xfId="3" applyFont="1" applyAlignment="1">
      <alignment horizontal="center" vertical="center"/>
    </xf>
    <xf numFmtId="0" fontId="0" fillId="0" borderId="0" xfId="0" applyAlignment="1">
      <alignment horizontal="center"/>
    </xf>
    <xf numFmtId="0" fontId="21" fillId="0" borderId="0" xfId="3" applyFont="1" applyAlignment="1">
      <alignment vertical="center"/>
    </xf>
    <xf numFmtId="0" fontId="21" fillId="0" borderId="0" xfId="3" applyFont="1" applyAlignment="1">
      <alignment horizontal="center" vertical="center" wrapText="1"/>
    </xf>
    <xf numFmtId="167" fontId="21" fillId="0" borderId="0" xfId="3" applyNumberFormat="1" applyFont="1" applyAlignment="1">
      <alignment vertical="center"/>
    </xf>
    <xf numFmtId="0" fontId="18" fillId="8" borderId="1" xfId="3" applyFont="1" applyFill="1" applyBorder="1" applyAlignment="1">
      <alignment horizontal="center" vertical="center" wrapText="1"/>
    </xf>
    <xf numFmtId="0" fontId="18" fillId="8" borderId="1" xfId="3" applyFont="1" applyFill="1" applyBorder="1" applyAlignment="1">
      <alignment horizontal="center" vertical="center"/>
    </xf>
    <xf numFmtId="167" fontId="18" fillId="8" borderId="1" xfId="3" applyNumberFormat="1" applyFont="1" applyFill="1" applyBorder="1" applyAlignment="1">
      <alignment horizontal="center" vertical="center"/>
    </xf>
    <xf numFmtId="0" fontId="22" fillId="6" borderId="1" xfId="3" applyFont="1" applyFill="1" applyBorder="1" applyAlignment="1">
      <alignment horizontal="center" vertical="center" wrapText="1"/>
    </xf>
    <xf numFmtId="4" fontId="25" fillId="0" borderId="1" xfId="3" applyNumberFormat="1" applyFont="1" applyBorder="1" applyAlignment="1">
      <alignment horizontal="center" vertical="center"/>
    </xf>
    <xf numFmtId="0" fontId="26" fillId="0" borderId="1" xfId="0" applyFont="1" applyBorder="1" applyAlignment="1">
      <alignment horizontal="center" vertical="center" readingOrder="1"/>
    </xf>
    <xf numFmtId="167" fontId="26" fillId="0" borderId="1" xfId="0" applyNumberFormat="1" applyFont="1" applyBorder="1" applyAlignment="1">
      <alignment horizontal="center" vertical="center" readingOrder="1"/>
    </xf>
    <xf numFmtId="168" fontId="26" fillId="6" borderId="1" xfId="0" applyNumberFormat="1" applyFont="1" applyFill="1" applyBorder="1" applyAlignment="1">
      <alignment horizontal="center" vertical="center" readingOrder="1"/>
    </xf>
    <xf numFmtId="167" fontId="26" fillId="0" borderId="1" xfId="0" applyNumberFormat="1" applyFont="1" applyBorder="1" applyAlignment="1">
      <alignment horizontal="right" vertical="center" readingOrder="1"/>
    </xf>
    <xf numFmtId="0" fontId="24" fillId="0" borderId="1" xfId="0" applyFont="1" applyBorder="1" applyAlignment="1">
      <alignment horizontal="center" vertical="center"/>
    </xf>
    <xf numFmtId="9" fontId="26" fillId="0" borderId="1" xfId="2" applyFont="1" applyFill="1" applyBorder="1" applyAlignment="1">
      <alignment horizontal="center" vertical="center" readingOrder="1"/>
    </xf>
    <xf numFmtId="5" fontId="26" fillId="0" borderId="1" xfId="0" applyNumberFormat="1" applyFont="1" applyBorder="1" applyAlignment="1">
      <alignment horizontal="center" vertical="center" readingOrder="1"/>
    </xf>
    <xf numFmtId="0" fontId="27" fillId="0" borderId="0" xfId="0" applyFont="1" applyAlignment="1">
      <alignment vertical="center"/>
    </xf>
    <xf numFmtId="0" fontId="23" fillId="0" borderId="0" xfId="0" applyFont="1" applyAlignment="1">
      <alignment vertical="center" readingOrder="1"/>
    </xf>
    <xf numFmtId="169" fontId="23" fillId="0" borderId="0" xfId="0" applyNumberFormat="1" applyFont="1" applyAlignment="1">
      <alignment horizontal="left" vertical="center" readingOrder="1"/>
    </xf>
    <xf numFmtId="0" fontId="23" fillId="0" borderId="1" xfId="0" applyFont="1" applyBorder="1" applyAlignment="1">
      <alignment horizontal="center" vertical="center" readingOrder="1"/>
    </xf>
    <xf numFmtId="170" fontId="23" fillId="0" borderId="1" xfId="0" applyNumberFormat="1" applyFont="1" applyBorder="1" applyAlignment="1">
      <alignment horizontal="right" vertical="center" readingOrder="1"/>
    </xf>
    <xf numFmtId="0" fontId="23" fillId="0" borderId="0" xfId="0" applyFont="1" applyAlignment="1">
      <alignment horizontal="center" vertical="center" readingOrder="1"/>
    </xf>
    <xf numFmtId="170" fontId="23" fillId="0" borderId="0" xfId="0" applyNumberFormat="1" applyFont="1" applyAlignment="1">
      <alignment horizontal="right" vertical="center" readingOrder="1"/>
    </xf>
    <xf numFmtId="0" fontId="23" fillId="9" borderId="15" xfId="0" applyFont="1" applyFill="1" applyBorder="1" applyAlignment="1">
      <alignment horizontal="center" vertical="center" readingOrder="1"/>
    </xf>
    <xf numFmtId="0" fontId="23" fillId="9" borderId="16" xfId="0" applyFont="1" applyFill="1" applyBorder="1" applyAlignment="1">
      <alignment horizontal="center" vertical="center" readingOrder="1"/>
    </xf>
    <xf numFmtId="4" fontId="25" fillId="6" borderId="1" xfId="3" applyNumberFormat="1" applyFont="1" applyFill="1" applyBorder="1" applyAlignment="1">
      <alignment horizontal="left" vertical="center" wrapText="1"/>
    </xf>
    <xf numFmtId="0" fontId="26" fillId="0" borderId="15" xfId="0" applyFont="1" applyBorder="1" applyAlignment="1">
      <alignment horizontal="center" vertical="center" readingOrder="1"/>
    </xf>
    <xf numFmtId="171" fontId="26" fillId="6" borderId="16" xfId="0" applyNumberFormat="1" applyFont="1" applyFill="1" applyBorder="1" applyAlignment="1">
      <alignment horizontal="center" vertical="center" readingOrder="1"/>
    </xf>
    <xf numFmtId="9" fontId="26" fillId="6" borderId="16" xfId="2" applyFont="1" applyFill="1" applyBorder="1" applyAlignment="1">
      <alignment horizontal="center" vertical="center" readingOrder="1"/>
    </xf>
    <xf numFmtId="167" fontId="26" fillId="0" borderId="15" xfId="0" applyNumberFormat="1" applyFont="1" applyBorder="1" applyAlignment="1">
      <alignment horizontal="center" vertical="center" readingOrder="1"/>
    </xf>
    <xf numFmtId="0" fontId="23" fillId="0" borderId="17" xfId="0" applyFont="1" applyBorder="1" applyAlignment="1">
      <alignment vertical="center" readingOrder="1"/>
    </xf>
    <xf numFmtId="0" fontId="23" fillId="0" borderId="0" xfId="0" applyFont="1" applyAlignment="1">
      <alignment horizontal="right" vertical="center" readingOrder="1"/>
    </xf>
    <xf numFmtId="0" fontId="26" fillId="6" borderId="1" xfId="0" applyFont="1" applyFill="1" applyBorder="1" applyAlignment="1">
      <alignment horizontal="center" vertical="center" readingOrder="1"/>
    </xf>
    <xf numFmtId="4" fontId="26" fillId="0" borderId="16" xfId="0" applyNumberFormat="1" applyFont="1" applyBorder="1" applyAlignment="1">
      <alignment horizontal="center" vertical="center" readingOrder="1"/>
    </xf>
    <xf numFmtId="0" fontId="23" fillId="0" borderId="8" xfId="0" applyFont="1" applyBorder="1" applyAlignment="1">
      <alignment horizontal="left" vertical="center" readingOrder="1"/>
    </xf>
    <xf numFmtId="4" fontId="26" fillId="6" borderId="16" xfId="0" applyNumberFormat="1" applyFont="1" applyFill="1" applyBorder="1" applyAlignment="1">
      <alignment horizontal="center" vertical="center" readingOrder="1"/>
    </xf>
    <xf numFmtId="167" fontId="26" fillId="0" borderId="16" xfId="0" applyNumberFormat="1" applyFont="1" applyBorder="1" applyAlignment="1">
      <alignment horizontal="right" vertical="center" readingOrder="1"/>
    </xf>
    <xf numFmtId="171" fontId="26" fillId="0" borderId="1" xfId="0" applyNumberFormat="1" applyFont="1" applyBorder="1" applyAlignment="1">
      <alignment horizontal="center" vertical="center" readingOrder="1"/>
    </xf>
    <xf numFmtId="0" fontId="26" fillId="0" borderId="0" xfId="0" applyFont="1" applyAlignment="1">
      <alignment horizontal="center" vertical="center" readingOrder="1"/>
    </xf>
    <xf numFmtId="0" fontId="24" fillId="0" borderId="0" xfId="0" applyFont="1" applyAlignment="1">
      <alignment vertical="center"/>
    </xf>
    <xf numFmtId="171" fontId="26" fillId="6" borderId="1" xfId="0" applyNumberFormat="1" applyFont="1" applyFill="1" applyBorder="1" applyAlignment="1">
      <alignment horizontal="center" vertical="center" readingOrder="1"/>
    </xf>
    <xf numFmtId="0" fontId="23" fillId="0" borderId="6" xfId="0" applyFont="1" applyBorder="1" applyAlignment="1">
      <alignment horizontal="center" vertical="center" readingOrder="1"/>
    </xf>
    <xf numFmtId="167" fontId="23" fillId="10" borderId="1" xfId="0" applyNumberFormat="1" applyFont="1" applyFill="1" applyBorder="1" applyAlignment="1">
      <alignment horizontal="right" vertical="center" readingOrder="1"/>
    </xf>
    <xf numFmtId="170" fontId="23" fillId="9" borderId="1" xfId="0" applyNumberFormat="1" applyFont="1" applyFill="1" applyBorder="1" applyAlignment="1">
      <alignment horizontal="center" vertical="center" readingOrder="1"/>
    </xf>
    <xf numFmtId="10" fontId="26" fillId="0" borderId="1" xfId="0" applyNumberFormat="1" applyFont="1" applyBorder="1" applyAlignment="1">
      <alignment horizontal="right" vertical="center" readingOrder="1"/>
    </xf>
    <xf numFmtId="170" fontId="26" fillId="0" borderId="1" xfId="0" applyNumberFormat="1" applyFont="1" applyBorder="1" applyAlignment="1">
      <alignment horizontal="right" vertical="center" readingOrder="1"/>
    </xf>
    <xf numFmtId="10" fontId="23" fillId="10" borderId="1" xfId="0" applyNumberFormat="1" applyFont="1" applyFill="1" applyBorder="1" applyAlignment="1">
      <alignment horizontal="right" vertical="center" readingOrder="1"/>
    </xf>
    <xf numFmtId="170" fontId="23" fillId="10" borderId="1" xfId="0" applyNumberFormat="1" applyFont="1" applyFill="1" applyBorder="1" applyAlignment="1">
      <alignment horizontal="right" vertical="center" readingOrder="1"/>
    </xf>
    <xf numFmtId="170" fontId="26" fillId="0" borderId="0" xfId="0" applyNumberFormat="1" applyFont="1" applyAlignment="1">
      <alignment horizontal="right" vertical="center" readingOrder="1"/>
    </xf>
    <xf numFmtId="170" fontId="23" fillId="7" borderId="1" xfId="0" applyNumberFormat="1" applyFont="1" applyFill="1" applyBorder="1" applyAlignment="1">
      <alignment horizontal="right" vertical="center" readingOrder="1"/>
    </xf>
    <xf numFmtId="0" fontId="21" fillId="0" borderId="13" xfId="3" applyFont="1" applyBorder="1" applyAlignment="1">
      <alignment vertical="center"/>
    </xf>
    <xf numFmtId="0" fontId="6" fillId="0" borderId="0" xfId="3" applyFont="1" applyAlignment="1">
      <alignment vertical="center" wrapText="1"/>
    </xf>
    <xf numFmtId="0" fontId="6" fillId="0" borderId="0" xfId="3" applyFont="1" applyAlignment="1">
      <alignment horizontal="center" vertical="center" wrapText="1"/>
    </xf>
    <xf numFmtId="167" fontId="6" fillId="0" borderId="0" xfId="3" applyNumberFormat="1" applyFont="1" applyAlignment="1">
      <alignment vertical="center"/>
    </xf>
    <xf numFmtId="0" fontId="18" fillId="11" borderId="1" xfId="3" applyFont="1" applyFill="1" applyBorder="1" applyAlignment="1">
      <alignment horizontal="center" vertical="center" wrapText="1"/>
    </xf>
    <xf numFmtId="167" fontId="18"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wrapText="1"/>
    </xf>
    <xf numFmtId="4" fontId="28" fillId="0" borderId="1" xfId="3" applyNumberFormat="1" applyFont="1" applyBorder="1" applyAlignment="1">
      <alignment horizontal="left" vertical="center" wrapText="1"/>
    </xf>
    <xf numFmtId="9" fontId="28" fillId="6" borderId="1" xfId="2" applyFont="1" applyFill="1" applyBorder="1" applyAlignment="1">
      <alignment horizontal="center" vertical="center"/>
    </xf>
    <xf numFmtId="4" fontId="28" fillId="6" borderId="1" xfId="3" applyNumberFormat="1" applyFont="1" applyFill="1" applyBorder="1" applyAlignment="1">
      <alignment horizontal="left" vertical="center" wrapText="1"/>
    </xf>
    <xf numFmtId="4" fontId="28" fillId="6" borderId="1" xfId="3" applyNumberFormat="1" applyFont="1" applyFill="1" applyBorder="1" applyAlignment="1">
      <alignment horizontal="center" vertical="center" wrapText="1"/>
    </xf>
    <xf numFmtId="167" fontId="28" fillId="6" borderId="1" xfId="3" applyNumberFormat="1" applyFont="1" applyFill="1" applyBorder="1" applyAlignment="1">
      <alignment horizontal="center" vertical="center"/>
    </xf>
    <xf numFmtId="0" fontId="0" fillId="0" borderId="1" xfId="0" applyBorder="1"/>
    <xf numFmtId="0" fontId="18" fillId="7" borderId="1" xfId="3" applyFont="1" applyFill="1" applyBorder="1" applyAlignment="1">
      <alignment horizontal="center" vertical="center"/>
    </xf>
    <xf numFmtId="0" fontId="22" fillId="0" borderId="1" xfId="3" applyFont="1" applyBorder="1" applyAlignment="1">
      <alignment horizontal="center" vertical="center" wrapText="1"/>
    </xf>
    <xf numFmtId="0" fontId="7" fillId="11" borderId="1" xfId="3" applyFont="1" applyFill="1" applyBorder="1" applyAlignment="1">
      <alignment horizontal="center" vertical="center" wrapText="1"/>
    </xf>
    <xf numFmtId="167" fontId="7"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xf>
    <xf numFmtId="167" fontId="28" fillId="0" borderId="1" xfId="3" applyNumberFormat="1" applyFont="1" applyBorder="1" applyAlignment="1">
      <alignment horizontal="center" vertical="center"/>
    </xf>
    <xf numFmtId="4" fontId="28" fillId="6" borderId="1" xfId="3" applyNumberFormat="1" applyFont="1" applyFill="1" applyBorder="1" applyAlignment="1">
      <alignment horizontal="center" vertical="center"/>
    </xf>
    <xf numFmtId="4" fontId="28" fillId="6" borderId="3" xfId="3" applyNumberFormat="1" applyFont="1" applyFill="1" applyBorder="1" applyAlignment="1">
      <alignment horizontal="left" vertical="center" wrapText="1"/>
    </xf>
    <xf numFmtId="4" fontId="29" fillId="0" borderId="2" xfId="3" applyNumberFormat="1" applyFont="1" applyBorder="1" applyAlignment="1">
      <alignment vertical="center" wrapText="1"/>
    </xf>
    <xf numFmtId="4" fontId="29" fillId="0" borderId="3" xfId="3" applyNumberFormat="1" applyFont="1" applyBorder="1" applyAlignment="1">
      <alignment vertical="center" wrapText="1"/>
    </xf>
    <xf numFmtId="4" fontId="29" fillId="0" borderId="4" xfId="3" applyNumberFormat="1" applyFont="1" applyBorder="1" applyAlignment="1">
      <alignment vertical="center" wrapText="1"/>
    </xf>
    <xf numFmtId="4" fontId="31" fillId="0" borderId="1" xfId="3" applyNumberFormat="1" applyFont="1" applyBorder="1" applyAlignment="1">
      <alignment horizontal="center" vertical="center" wrapText="1"/>
    </xf>
    <xf numFmtId="4" fontId="31" fillId="0" borderId="1" xfId="3" applyNumberFormat="1" applyFont="1" applyBorder="1" applyAlignment="1">
      <alignment horizontal="center" vertical="center"/>
    </xf>
    <xf numFmtId="167" fontId="31" fillId="6" borderId="1" xfId="3" applyNumberFormat="1" applyFont="1" applyFill="1" applyBorder="1" applyAlignment="1">
      <alignment horizontal="center" vertical="center"/>
    </xf>
    <xf numFmtId="0" fontId="6" fillId="6" borderId="1" xfId="3" applyFont="1" applyFill="1" applyBorder="1" applyAlignment="1">
      <alignment horizontal="left" vertical="center" wrapText="1"/>
    </xf>
    <xf numFmtId="0" fontId="6" fillId="6" borderId="1" xfId="3" applyFont="1" applyFill="1" applyBorder="1" applyAlignment="1">
      <alignment horizontal="center" vertical="center" wrapText="1"/>
    </xf>
    <xf numFmtId="4" fontId="6" fillId="0" borderId="0" xfId="3" applyNumberFormat="1" applyFont="1" applyAlignment="1">
      <alignment horizontal="center" vertical="center"/>
    </xf>
    <xf numFmtId="4" fontId="6" fillId="0" borderId="0" xfId="3" applyNumberFormat="1" applyFont="1" applyAlignment="1">
      <alignment vertical="center"/>
    </xf>
    <xf numFmtId="4" fontId="7" fillId="11" borderId="1" xfId="3"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6" fillId="0" borderId="0" xfId="3" applyFont="1" applyAlignment="1">
      <alignment horizontal="left" vertical="center"/>
    </xf>
    <xf numFmtId="0" fontId="29" fillId="7" borderId="1" xfId="3" applyFont="1" applyFill="1" applyBorder="1" applyAlignment="1">
      <alignment horizontal="center" vertical="center" wrapText="1"/>
    </xf>
    <xf numFmtId="0" fontId="33" fillId="11" borderId="1" xfId="0" applyFont="1" applyFill="1" applyBorder="1" applyAlignment="1">
      <alignment horizontal="center" vertical="center"/>
    </xf>
    <xf numFmtId="0" fontId="33" fillId="8" borderId="1" xfId="0" applyFont="1" applyFill="1" applyBorder="1" applyAlignment="1">
      <alignment horizontal="center" vertical="center"/>
    </xf>
    <xf numFmtId="4" fontId="28" fillId="10" borderId="1" xfId="3" applyNumberFormat="1" applyFont="1" applyFill="1" applyBorder="1" applyAlignment="1">
      <alignment vertical="center" wrapText="1"/>
    </xf>
    <xf numFmtId="4" fontId="28" fillId="0" borderId="1" xfId="3" applyNumberFormat="1" applyFont="1" applyBorder="1" applyAlignment="1">
      <alignment horizontal="left" vertical="center"/>
    </xf>
    <xf numFmtId="4" fontId="22" fillId="0" borderId="1" xfId="3" applyNumberFormat="1" applyFont="1" applyBorder="1" applyAlignment="1">
      <alignment vertical="center" wrapText="1"/>
    </xf>
    <xf numFmtId="4" fontId="29" fillId="0" borderId="1" xfId="3" applyNumberFormat="1" applyFont="1" applyBorder="1" applyAlignment="1">
      <alignment vertical="center"/>
    </xf>
    <xf numFmtId="0" fontId="18" fillId="10" borderId="1" xfId="3" applyFont="1" applyFill="1" applyBorder="1" applyAlignment="1">
      <alignment vertical="center" wrapText="1"/>
    </xf>
    <xf numFmtId="0" fontId="29" fillId="7" borderId="1" xfId="3" applyFont="1" applyFill="1" applyBorder="1" applyAlignment="1">
      <alignment horizontal="center" vertical="center"/>
    </xf>
    <xf numFmtId="4" fontId="29" fillId="6" borderId="1" xfId="3" applyNumberFormat="1" applyFont="1" applyFill="1" applyBorder="1" applyAlignment="1">
      <alignment horizontal="center" vertical="center"/>
    </xf>
    <xf numFmtId="4" fontId="22" fillId="6" borderId="1" xfId="3" applyNumberFormat="1" applyFont="1" applyFill="1" applyBorder="1" applyAlignment="1">
      <alignment horizontal="center" vertical="center"/>
    </xf>
    <xf numFmtId="44" fontId="6" fillId="0" borderId="0" xfId="6" applyFont="1" applyAlignment="1">
      <alignment horizontal="left" vertical="center"/>
    </xf>
    <xf numFmtId="44" fontId="29" fillId="7" borderId="1" xfId="6" applyFont="1" applyFill="1" applyBorder="1" applyAlignment="1">
      <alignment horizontal="center" vertical="center"/>
    </xf>
    <xf numFmtId="44" fontId="18" fillId="11" borderId="1" xfId="6" applyFont="1" applyFill="1" applyBorder="1" applyAlignment="1">
      <alignment horizontal="center" vertical="center" wrapText="1"/>
    </xf>
    <xf numFmtId="44" fontId="18" fillId="8" borderId="1" xfId="6" applyFont="1" applyFill="1" applyBorder="1" applyAlignment="1">
      <alignment horizontal="center" vertical="center" wrapText="1"/>
    </xf>
    <xf numFmtId="44" fontId="28" fillId="6" borderId="1" xfId="6" applyFont="1" applyFill="1" applyBorder="1" applyAlignment="1">
      <alignment horizontal="center" vertical="center"/>
    </xf>
    <xf numFmtId="44" fontId="0" fillId="0" borderId="0" xfId="6" applyFont="1"/>
    <xf numFmtId="0" fontId="23" fillId="0" borderId="0" xfId="0" applyFont="1" applyAlignment="1">
      <alignment horizontal="left" vertical="center" readingOrder="1"/>
    </xf>
    <xf numFmtId="0" fontId="23" fillId="9" borderId="1" xfId="0" applyFont="1" applyFill="1" applyBorder="1" applyAlignment="1">
      <alignment horizontal="center" vertical="center" readingOrder="1"/>
    </xf>
    <xf numFmtId="0" fontId="26" fillId="0" borderId="0" xfId="0" applyFont="1" applyAlignment="1">
      <alignment horizontal="left" vertical="center" readingOrder="1"/>
    </xf>
    <xf numFmtId="0" fontId="0" fillId="0" borderId="1" xfId="0" applyBorder="1" applyAlignment="1">
      <alignment horizontal="center"/>
    </xf>
    <xf numFmtId="44" fontId="0" fillId="0" borderId="1" xfId="6" applyFont="1" applyBorder="1" applyAlignment="1">
      <alignment horizontal="center"/>
    </xf>
    <xf numFmtId="44" fontId="0" fillId="0" borderId="1" xfId="6" applyFont="1" applyBorder="1"/>
    <xf numFmtId="0" fontId="34" fillId="0" borderId="1" xfId="0" applyFont="1" applyBorder="1" applyAlignment="1">
      <alignment horizontal="center"/>
    </xf>
    <xf numFmtId="44" fontId="34" fillId="0" borderId="1" xfId="6" applyFont="1" applyBorder="1" applyAlignment="1">
      <alignment horizontal="center"/>
    </xf>
    <xf numFmtId="0" fontId="30" fillId="0" borderId="1" xfId="0" applyFont="1" applyBorder="1" applyAlignment="1">
      <alignment horizontal="center"/>
    </xf>
    <xf numFmtId="44" fontId="30" fillId="0" borderId="1" xfId="6" applyFont="1" applyBorder="1" applyAlignment="1">
      <alignment horizontal="center"/>
    </xf>
    <xf numFmtId="44" fontId="30" fillId="0" borderId="1" xfId="0" applyNumberFormat="1" applyFont="1" applyBorder="1"/>
    <xf numFmtId="44" fontId="30" fillId="0" borderId="1" xfId="6" applyFont="1" applyBorder="1"/>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167" fontId="28" fillId="0" borderId="1" xfId="3" applyNumberFormat="1" applyFont="1" applyBorder="1" applyAlignment="1">
      <alignment horizontal="right" vertical="center" wrapText="1"/>
    </xf>
    <xf numFmtId="167" fontId="22" fillId="0" borderId="1" xfId="7" applyNumberFormat="1" applyFont="1" applyFill="1" applyBorder="1" applyAlignment="1">
      <alignment horizontal="right" vertical="center"/>
    </xf>
    <xf numFmtId="0" fontId="18" fillId="11" borderId="1" xfId="3" applyFont="1" applyFill="1" applyBorder="1" applyAlignment="1">
      <alignment horizontal="left" vertical="center" wrapText="1"/>
    </xf>
    <xf numFmtId="4" fontId="18" fillId="11" borderId="1" xfId="3" applyNumberFormat="1" applyFont="1" applyFill="1" applyBorder="1" applyAlignment="1">
      <alignment horizontal="center" vertical="center" wrapText="1"/>
    </xf>
    <xf numFmtId="167" fontId="18" fillId="11" borderId="1" xfId="3" applyNumberFormat="1" applyFont="1" applyFill="1" applyBorder="1" applyAlignment="1">
      <alignment horizontal="right" vertical="center" wrapText="1"/>
    </xf>
    <xf numFmtId="167" fontId="18" fillId="11" borderId="1" xfId="3" applyNumberFormat="1" applyFont="1" applyFill="1" applyBorder="1" applyAlignment="1">
      <alignment horizontal="right" vertical="center"/>
    </xf>
    <xf numFmtId="0" fontId="22" fillId="0" borderId="0" xfId="3" applyFont="1" applyAlignment="1">
      <alignment vertical="center"/>
    </xf>
    <xf numFmtId="14" fontId="0" fillId="0" borderId="0" xfId="0" applyNumberFormat="1"/>
    <xf numFmtId="44" fontId="2" fillId="0" borderId="1" xfId="6" applyFont="1" applyBorder="1"/>
    <xf numFmtId="2" fontId="2" fillId="0" borderId="1" xfId="6" applyNumberFormat="1" applyFont="1" applyBorder="1" applyAlignment="1">
      <alignment horizontal="center"/>
    </xf>
    <xf numFmtId="4" fontId="6" fillId="0" borderId="1" xfId="3" applyNumberFormat="1" applyFont="1" applyBorder="1" applyAlignment="1">
      <alignment horizontal="center" vertical="center" wrapText="1"/>
    </xf>
    <xf numFmtId="44" fontId="6" fillId="0" borderId="0" xfId="6" applyFont="1" applyAlignment="1">
      <alignment horizontal="center" vertical="center"/>
    </xf>
    <xf numFmtId="44" fontId="6" fillId="0" borderId="0" xfId="6" applyFont="1" applyAlignment="1">
      <alignment vertical="center"/>
    </xf>
    <xf numFmtId="44" fontId="7" fillId="11" borderId="1" xfId="6" applyFont="1" applyFill="1" applyBorder="1" applyAlignment="1">
      <alignment horizontal="center" vertical="center" wrapText="1"/>
    </xf>
    <xf numFmtId="4" fontId="31" fillId="0" borderId="2" xfId="3" applyNumberFormat="1" applyFont="1" applyBorder="1" applyAlignment="1">
      <alignment horizontal="center" vertical="center" wrapText="1"/>
    </xf>
    <xf numFmtId="4" fontId="31" fillId="6" borderId="1" xfId="3" applyNumberFormat="1" applyFont="1" applyFill="1" applyBorder="1" applyAlignment="1">
      <alignment horizontal="left" vertical="center"/>
    </xf>
    <xf numFmtId="4" fontId="31" fillId="6" borderId="1" xfId="3" applyNumberFormat="1" applyFont="1" applyFill="1" applyBorder="1" applyAlignment="1">
      <alignment horizontal="center" vertical="center"/>
    </xf>
    <xf numFmtId="167" fontId="31" fillId="0" borderId="1" xfId="3" applyNumberFormat="1" applyFont="1" applyBorder="1" applyAlignment="1">
      <alignment horizontal="center" vertical="center"/>
    </xf>
    <xf numFmtId="0" fontId="6" fillId="0" borderId="1" xfId="3" applyFont="1" applyBorder="1" applyAlignment="1">
      <alignment vertical="center" wrapText="1"/>
    </xf>
    <xf numFmtId="0" fontId="6" fillId="0" borderId="1" xfId="3" applyFont="1" applyBorder="1" applyAlignment="1">
      <alignment vertical="center"/>
    </xf>
    <xf numFmtId="44" fontId="22" fillId="0" borderId="1" xfId="6" applyFont="1" applyBorder="1" applyAlignment="1">
      <alignment vertical="center" wrapText="1"/>
    </xf>
    <xf numFmtId="167" fontId="18" fillId="7" borderId="1" xfId="3" applyNumberFormat="1" applyFont="1" applyFill="1" applyBorder="1" applyAlignment="1">
      <alignment horizontal="right" vertical="center"/>
    </xf>
    <xf numFmtId="0" fontId="18" fillId="8" borderId="1" xfId="3" applyFont="1" applyFill="1" applyBorder="1" applyAlignment="1">
      <alignment vertical="center"/>
    </xf>
    <xf numFmtId="167" fontId="18" fillId="8" borderId="1" xfId="3" applyNumberFormat="1" applyFont="1" applyFill="1" applyBorder="1" applyAlignment="1">
      <alignment horizontal="right" vertical="center"/>
    </xf>
    <xf numFmtId="0" fontId="30" fillId="0" borderId="0" xfId="0" applyFont="1"/>
    <xf numFmtId="44" fontId="18" fillId="7" borderId="1" xfId="6" applyFont="1" applyFill="1" applyBorder="1" applyAlignment="1">
      <alignment horizontal="center" vertical="center"/>
    </xf>
    <xf numFmtId="44" fontId="18" fillId="8" borderId="1" xfId="6" applyFont="1" applyFill="1" applyBorder="1" applyAlignment="1">
      <alignment vertical="center"/>
    </xf>
    <xf numFmtId="0" fontId="30" fillId="0" borderId="1" xfId="0" applyFont="1" applyBorder="1"/>
    <xf numFmtId="0" fontId="30" fillId="6" borderId="1" xfId="0" applyFont="1" applyFill="1" applyBorder="1"/>
    <xf numFmtId="44" fontId="30" fillId="0" borderId="0" xfId="6" applyFont="1"/>
    <xf numFmtId="44" fontId="28" fillId="0" borderId="1" xfId="6" applyFont="1" applyBorder="1" applyAlignment="1">
      <alignment horizontal="center" vertical="center"/>
    </xf>
    <xf numFmtId="44" fontId="30" fillId="6" borderId="1" xfId="6" applyFont="1" applyFill="1" applyBorder="1"/>
    <xf numFmtId="2" fontId="30" fillId="0" borderId="1" xfId="0" applyNumberFormat="1" applyFont="1" applyBorder="1" applyAlignment="1">
      <alignment horizontal="center"/>
    </xf>
    <xf numFmtId="9" fontId="30" fillId="6" borderId="1" xfId="2" applyFont="1" applyFill="1" applyBorder="1" applyAlignment="1">
      <alignment horizontal="center"/>
    </xf>
    <xf numFmtId="0" fontId="30" fillId="6" borderId="1" xfId="0" applyFont="1" applyFill="1" applyBorder="1" applyAlignment="1">
      <alignment horizontal="center"/>
    </xf>
    <xf numFmtId="0" fontId="30" fillId="12" borderId="1" xfId="0" applyFont="1" applyFill="1" applyBorder="1" applyAlignment="1">
      <alignment horizontal="center"/>
    </xf>
    <xf numFmtId="0" fontId="30" fillId="0" borderId="1" xfId="0" applyFont="1" applyBorder="1" applyAlignment="1">
      <alignment horizontal="center" vertical="center"/>
    </xf>
    <xf numFmtId="0" fontId="30" fillId="6" borderId="1" xfId="0" applyFont="1" applyFill="1" applyBorder="1" applyAlignment="1">
      <alignment horizontal="left" vertical="center" wrapText="1"/>
    </xf>
    <xf numFmtId="0" fontId="30" fillId="6" borderId="1" xfId="0" applyFont="1" applyFill="1" applyBorder="1" applyAlignment="1">
      <alignment horizontal="center" vertical="center"/>
    </xf>
    <xf numFmtId="44" fontId="30" fillId="0" borderId="1" xfId="6" applyFont="1" applyBorder="1" applyAlignment="1">
      <alignment vertical="center"/>
    </xf>
    <xf numFmtId="2" fontId="30" fillId="0" borderId="1" xfId="0" applyNumberFormat="1" applyFont="1" applyBorder="1" applyAlignment="1">
      <alignment horizontal="center" vertical="center"/>
    </xf>
    <xf numFmtId="0" fontId="30" fillId="6" borderId="1" xfId="0" applyFont="1" applyFill="1" applyBorder="1" applyAlignment="1">
      <alignment wrapText="1"/>
    </xf>
    <xf numFmtId="0" fontId="30" fillId="0" borderId="1" xfId="0" applyFont="1" applyBorder="1" applyAlignment="1">
      <alignment vertical="center"/>
    </xf>
    <xf numFmtId="167" fontId="29" fillId="0" borderId="2" xfId="3" applyNumberFormat="1" applyFont="1" applyBorder="1" applyAlignment="1">
      <alignment vertical="center" wrapText="1"/>
    </xf>
    <xf numFmtId="167" fontId="29" fillId="0" borderId="3" xfId="3" applyNumberFormat="1" applyFont="1" applyBorder="1" applyAlignment="1">
      <alignment vertical="center" wrapText="1"/>
    </xf>
    <xf numFmtId="167" fontId="29" fillId="0" borderId="4" xfId="3" applyNumberFormat="1" applyFont="1" applyBorder="1" applyAlignment="1">
      <alignment vertical="center" wrapText="1"/>
    </xf>
    <xf numFmtId="9" fontId="30" fillId="0" borderId="1" xfId="2" applyFont="1" applyBorder="1" applyAlignment="1">
      <alignment horizontal="center"/>
    </xf>
    <xf numFmtId="0" fontId="34" fillId="0" borderId="0" xfId="0" applyFont="1"/>
    <xf numFmtId="0" fontId="0" fillId="0" borderId="0" xfId="0" applyAlignment="1">
      <alignment horizontal="center" vertical="center"/>
    </xf>
    <xf numFmtId="44" fontId="0" fillId="0" borderId="0" xfId="6" applyFont="1" applyAlignment="1">
      <alignment horizontal="center" vertical="center"/>
    </xf>
    <xf numFmtId="9" fontId="2" fillId="0" borderId="1" xfId="6" applyNumberFormat="1" applyFont="1" applyBorder="1" applyAlignment="1">
      <alignment horizontal="center" vertical="center"/>
    </xf>
    <xf numFmtId="0" fontId="20" fillId="0" borderId="0" xfId="3" applyFont="1" applyAlignment="1">
      <alignment horizontal="center" vertical="center"/>
    </xf>
    <xf numFmtId="0" fontId="7" fillId="0" borderId="1" xfId="3" applyFont="1" applyBorder="1" applyAlignment="1">
      <alignment horizontal="left" vertical="center" wrapText="1"/>
    </xf>
    <xf numFmtId="167" fontId="6" fillId="0" borderId="1" xfId="3" applyNumberFormat="1" applyFont="1" applyBorder="1" applyAlignment="1">
      <alignment horizontal="center" vertical="center" wrapText="1"/>
    </xf>
    <xf numFmtId="165" fontId="9" fillId="0" borderId="1" xfId="2" applyNumberFormat="1" applyFont="1" applyFill="1" applyBorder="1" applyAlignment="1">
      <alignment horizontal="center" vertical="center"/>
    </xf>
    <xf numFmtId="10" fontId="6" fillId="6" borderId="1" xfId="2" applyNumberFormat="1" applyFont="1" applyFill="1" applyBorder="1" applyAlignment="1">
      <alignment horizontal="center" vertical="center" wrapText="1"/>
    </xf>
    <xf numFmtId="174" fontId="30" fillId="0" borderId="1" xfId="6" applyNumberFormat="1" applyFont="1" applyBorder="1"/>
    <xf numFmtId="174" fontId="30" fillId="0" borderId="1" xfId="6" applyNumberFormat="1" applyFont="1" applyBorder="1" applyAlignment="1">
      <alignment horizontal="center"/>
    </xf>
    <xf numFmtId="167" fontId="18" fillId="7" borderId="5" xfId="3" applyNumberFormat="1" applyFont="1" applyFill="1" applyBorder="1" applyAlignment="1">
      <alignment horizontal="center" vertical="center"/>
    </xf>
    <xf numFmtId="0" fontId="18" fillId="7" borderId="5" xfId="3" applyFont="1" applyFill="1" applyBorder="1" applyAlignment="1">
      <alignment horizontal="center" vertical="center"/>
    </xf>
    <xf numFmtId="4" fontId="29" fillId="8" borderId="1" xfId="3" applyNumberFormat="1" applyFont="1" applyFill="1" applyBorder="1" applyAlignment="1">
      <alignment horizontal="left" vertical="center" wrapText="1"/>
    </xf>
    <xf numFmtId="4" fontId="29" fillId="8" borderId="1" xfId="3" applyNumberFormat="1" applyFont="1" applyFill="1" applyBorder="1" applyAlignment="1">
      <alignment horizontal="center" vertical="center"/>
    </xf>
    <xf numFmtId="167" fontId="29" fillId="8" borderId="1" xfId="3" applyNumberFormat="1" applyFont="1" applyFill="1" applyBorder="1" applyAlignment="1">
      <alignment horizontal="center" vertical="center"/>
    </xf>
    <xf numFmtId="167" fontId="29" fillId="8" borderId="1" xfId="2" applyNumberFormat="1" applyFont="1" applyFill="1" applyBorder="1" applyAlignment="1">
      <alignment horizontal="center" vertical="center"/>
    </xf>
    <xf numFmtId="4" fontId="29" fillId="10" borderId="1" xfId="3" applyNumberFormat="1" applyFont="1" applyFill="1" applyBorder="1" applyAlignment="1">
      <alignment horizontal="left" vertical="center" wrapText="1"/>
    </xf>
    <xf numFmtId="167" fontId="29" fillId="10" borderId="1" xfId="3" applyNumberFormat="1" applyFont="1" applyFill="1" applyBorder="1" applyAlignment="1">
      <alignment horizontal="center" vertical="center"/>
    </xf>
    <xf numFmtId="167" fontId="29" fillId="10" borderId="1" xfId="2" applyNumberFormat="1" applyFont="1" applyFill="1" applyBorder="1" applyAlignment="1">
      <alignment horizontal="center" vertical="center"/>
    </xf>
    <xf numFmtId="0" fontId="22" fillId="0" borderId="1" xfId="3" applyFont="1" applyBorder="1" applyAlignment="1">
      <alignment horizontal="center" vertical="center"/>
    </xf>
    <xf numFmtId="167" fontId="28" fillId="0" borderId="1" xfId="2" applyNumberFormat="1" applyFont="1" applyFill="1" applyBorder="1" applyAlignment="1">
      <alignment horizontal="center" vertical="center"/>
    </xf>
    <xf numFmtId="0" fontId="29" fillId="10" borderId="1" xfId="3" applyFont="1" applyFill="1" applyBorder="1" applyAlignment="1">
      <alignment horizontal="center" vertical="center"/>
    </xf>
    <xf numFmtId="0" fontId="18" fillId="0" borderId="1" xfId="3" applyFont="1" applyBorder="1" applyAlignment="1">
      <alignment horizontal="center" vertical="center"/>
    </xf>
    <xf numFmtId="4" fontId="29" fillId="0" borderId="1" xfId="3" applyNumberFormat="1" applyFont="1" applyBorder="1" applyAlignment="1">
      <alignment horizontal="left" vertical="center" wrapText="1"/>
    </xf>
    <xf numFmtId="4" fontId="29" fillId="0" borderId="1" xfId="3" applyNumberFormat="1" applyFont="1" applyBorder="1" applyAlignment="1">
      <alignment horizontal="center" vertical="center"/>
    </xf>
    <xf numFmtId="167" fontId="29" fillId="0" borderId="1" xfId="3" applyNumberFormat="1" applyFont="1" applyBorder="1" applyAlignment="1">
      <alignment horizontal="center" vertical="center"/>
    </xf>
    <xf numFmtId="167" fontId="29" fillId="0" borderId="1" xfId="2" applyNumberFormat="1" applyFont="1" applyFill="1" applyBorder="1" applyAlignment="1">
      <alignment horizontal="center" vertical="center"/>
    </xf>
    <xf numFmtId="167" fontId="0" fillId="0" borderId="0" xfId="0" applyNumberFormat="1"/>
    <xf numFmtId="44" fontId="0" fillId="0" borderId="0" xfId="0" applyNumberFormat="1"/>
    <xf numFmtId="0" fontId="0" fillId="12" borderId="1" xfId="0" applyFill="1" applyBorder="1" applyAlignment="1">
      <alignment horizontal="center" vertical="center"/>
    </xf>
    <xf numFmtId="170" fontId="23" fillId="0" borderId="6" xfId="0" applyNumberFormat="1" applyFont="1" applyBorder="1" applyAlignment="1">
      <alignment horizontal="right" vertical="center" readingOrder="1"/>
    </xf>
    <xf numFmtId="0" fontId="36" fillId="0" borderId="0" xfId="0" applyFont="1"/>
    <xf numFmtId="0" fontId="37" fillId="0" borderId="0" xfId="0" applyFont="1"/>
    <xf numFmtId="0" fontId="7" fillId="7" borderId="5" xfId="3" applyFont="1" applyFill="1" applyBorder="1" applyAlignment="1">
      <alignment horizontal="center" vertical="center"/>
    </xf>
    <xf numFmtId="167" fontId="7" fillId="7" borderId="5" xfId="3" applyNumberFormat="1" applyFont="1" applyFill="1" applyBorder="1" applyAlignment="1">
      <alignment horizontal="right" vertical="center"/>
    </xf>
    <xf numFmtId="0" fontId="38" fillId="13" borderId="1" xfId="0" applyFont="1" applyFill="1" applyBorder="1" applyAlignment="1">
      <alignment horizontal="center"/>
    </xf>
    <xf numFmtId="0" fontId="38" fillId="14" borderId="1" xfId="0" applyFont="1" applyFill="1" applyBorder="1" applyAlignment="1">
      <alignment horizontal="center"/>
    </xf>
    <xf numFmtId="0" fontId="38" fillId="14" borderId="1" xfId="0" applyFont="1" applyFill="1" applyBorder="1"/>
    <xf numFmtId="0" fontId="18" fillId="10" borderId="1" xfId="3" applyFont="1" applyFill="1" applyBorder="1" applyAlignment="1">
      <alignment vertical="center"/>
    </xf>
    <xf numFmtId="10" fontId="18" fillId="10" borderId="1" xfId="2" applyNumberFormat="1" applyFont="1" applyFill="1" applyBorder="1" applyAlignment="1">
      <alignment horizontal="right" vertical="center"/>
    </xf>
    <xf numFmtId="10" fontId="28" fillId="0" borderId="1" xfId="2" applyNumberFormat="1" applyFont="1" applyFill="1" applyBorder="1" applyAlignment="1">
      <alignment horizontal="right" vertical="center"/>
    </xf>
    <xf numFmtId="10" fontId="28" fillId="6" borderId="1" xfId="2" applyNumberFormat="1" applyFont="1" applyFill="1" applyBorder="1" applyAlignment="1">
      <alignment horizontal="right" vertical="center"/>
    </xf>
    <xf numFmtId="4" fontId="39" fillId="0" borderId="1" xfId="3" applyNumberFormat="1" applyFont="1" applyBorder="1" applyAlignment="1">
      <alignment horizontal="left" vertical="center"/>
    </xf>
    <xf numFmtId="0" fontId="40" fillId="0" borderId="0" xfId="3" applyFont="1" applyAlignment="1">
      <alignment vertical="center"/>
    </xf>
    <xf numFmtId="0" fontId="33" fillId="10" borderId="1" xfId="0" applyFont="1" applyFill="1" applyBorder="1" applyAlignment="1">
      <alignment vertical="center"/>
    </xf>
    <xf numFmtId="2" fontId="28" fillId="0" borderId="1" xfId="7" applyNumberFormat="1" applyFont="1" applyFill="1" applyBorder="1" applyAlignment="1">
      <alignment horizontal="center" vertical="center"/>
    </xf>
    <xf numFmtId="9" fontId="28" fillId="0" borderId="1" xfId="2" applyFont="1" applyFill="1" applyBorder="1" applyAlignment="1">
      <alignment horizontal="center" vertical="center"/>
    </xf>
    <xf numFmtId="0" fontId="38" fillId="14" borderId="1" xfId="0" applyFont="1" applyFill="1" applyBorder="1" applyAlignment="1">
      <alignment horizontal="center" vertical="center"/>
    </xf>
    <xf numFmtId="167" fontId="28" fillId="0" borderId="1" xfId="3" applyNumberFormat="1" applyFont="1" applyBorder="1" applyAlignment="1">
      <alignment horizontal="right" vertical="center"/>
    </xf>
    <xf numFmtId="10" fontId="22" fillId="0" borderId="1" xfId="3" applyNumberFormat="1" applyFont="1" applyBorder="1" applyAlignment="1">
      <alignment vertical="center"/>
    </xf>
    <xf numFmtId="10" fontId="22" fillId="0" borderId="1" xfId="2" applyNumberFormat="1" applyFont="1" applyBorder="1" applyAlignment="1">
      <alignment vertical="center"/>
    </xf>
    <xf numFmtId="10" fontId="18" fillId="10" borderId="1" xfId="2" applyNumberFormat="1" applyFont="1" applyFill="1" applyBorder="1" applyAlignment="1">
      <alignment vertical="center"/>
    </xf>
    <xf numFmtId="10" fontId="29" fillId="0" borderId="1" xfId="2" applyNumberFormat="1" applyFont="1" applyFill="1" applyBorder="1" applyAlignment="1">
      <alignment horizontal="right" vertical="center"/>
    </xf>
    <xf numFmtId="4" fontId="29" fillId="0" borderId="1" xfId="3" applyNumberFormat="1" applyFont="1" applyBorder="1" applyAlignment="1">
      <alignment horizontal="right" vertical="center"/>
    </xf>
    <xf numFmtId="0" fontId="40" fillId="0" borderId="10" xfId="3" applyFont="1" applyBorder="1" applyAlignment="1">
      <alignment vertical="center" wrapText="1"/>
    </xf>
    <xf numFmtId="0" fontId="39" fillId="0" borderId="1" xfId="3" applyFont="1" applyBorder="1" applyAlignment="1">
      <alignment horizontal="center" vertical="center"/>
    </xf>
    <xf numFmtId="4" fontId="39" fillId="0" borderId="1" xfId="3" applyNumberFormat="1" applyFont="1" applyBorder="1" applyAlignment="1">
      <alignment horizontal="center" vertical="center"/>
    </xf>
    <xf numFmtId="167" fontId="39" fillId="0" borderId="1" xfId="3" applyNumberFormat="1" applyFont="1" applyBorder="1" applyAlignment="1">
      <alignment horizontal="center" vertical="center"/>
    </xf>
    <xf numFmtId="10" fontId="39" fillId="0" borderId="1" xfId="2" applyNumberFormat="1" applyFont="1" applyFill="1" applyBorder="1" applyAlignment="1">
      <alignment horizontal="right" vertical="center"/>
    </xf>
    <xf numFmtId="167" fontId="28" fillId="15" borderId="1" xfId="3" applyNumberFormat="1" applyFont="1" applyFill="1" applyBorder="1" applyAlignment="1">
      <alignment horizontal="center" vertical="center"/>
    </xf>
    <xf numFmtId="9" fontId="28" fillId="15" borderId="1" xfId="3" applyNumberFormat="1" applyFont="1" applyFill="1" applyBorder="1" applyAlignment="1">
      <alignment horizontal="center" vertical="center"/>
    </xf>
    <xf numFmtId="167" fontId="29" fillId="0" borderId="1" xfId="2" applyNumberFormat="1" applyFont="1" applyFill="1" applyBorder="1" applyAlignment="1">
      <alignment horizontal="right" vertical="center"/>
    </xf>
    <xf numFmtId="0" fontId="37" fillId="0" borderId="1" xfId="0" applyFont="1" applyBorder="1"/>
    <xf numFmtId="10" fontId="28" fillId="0" borderId="1" xfId="2" applyNumberFormat="1" applyFont="1" applyFill="1" applyBorder="1" applyAlignment="1">
      <alignment horizontal="center" vertical="center"/>
    </xf>
    <xf numFmtId="167" fontId="28" fillId="0" borderId="1" xfId="2" applyNumberFormat="1" applyFont="1" applyFill="1" applyBorder="1" applyAlignment="1">
      <alignment horizontal="right" vertical="center"/>
    </xf>
    <xf numFmtId="0" fontId="18" fillId="16" borderId="1" xfId="3" applyFont="1" applyFill="1" applyBorder="1" applyAlignment="1">
      <alignment horizontal="center" vertical="center"/>
    </xf>
    <xf numFmtId="167" fontId="18" fillId="16" borderId="1" xfId="3" applyNumberFormat="1" applyFont="1" applyFill="1" applyBorder="1" applyAlignment="1">
      <alignment horizontal="right" vertical="center"/>
    </xf>
    <xf numFmtId="0" fontId="30" fillId="0" borderId="0" xfId="0" applyFont="1" applyAlignment="1">
      <alignment horizontal="center"/>
    </xf>
    <xf numFmtId="0" fontId="7" fillId="0" borderId="8" xfId="3" applyFont="1" applyBorder="1" applyAlignment="1">
      <alignment vertical="center"/>
    </xf>
    <xf numFmtId="0" fontId="7" fillId="0" borderId="9" xfId="3" applyFont="1" applyBorder="1" applyAlignment="1">
      <alignment vertical="center"/>
    </xf>
    <xf numFmtId="0" fontId="7" fillId="0" borderId="0" xfId="3" applyFont="1" applyAlignment="1">
      <alignment vertical="center"/>
    </xf>
    <xf numFmtId="0" fontId="7" fillId="0" borderId="11" xfId="3" applyFont="1" applyBorder="1" applyAlignment="1">
      <alignment vertical="center"/>
    </xf>
    <xf numFmtId="0" fontId="7" fillId="0" borderId="13" xfId="3" applyFont="1" applyBorder="1" applyAlignment="1">
      <alignment vertical="center"/>
    </xf>
    <xf numFmtId="0" fontId="7" fillId="0" borderId="14" xfId="3" applyFont="1" applyBorder="1" applyAlignment="1">
      <alignment vertical="center"/>
    </xf>
    <xf numFmtId="0" fontId="42" fillId="0" borderId="18" xfId="8" applyFont="1" applyBorder="1" applyAlignment="1">
      <alignment horizontal="center" vertical="center"/>
    </xf>
    <xf numFmtId="0" fontId="42" fillId="0" borderId="19" xfId="8" applyFont="1" applyBorder="1" applyAlignment="1">
      <alignment horizontal="left" vertical="center" wrapText="1"/>
    </xf>
    <xf numFmtId="0" fontId="42" fillId="0" borderId="20" xfId="8" applyFont="1" applyBorder="1" applyAlignment="1">
      <alignment horizontal="center" vertical="center" wrapText="1"/>
    </xf>
    <xf numFmtId="175" fontId="42" fillId="0" borderId="20" xfId="9" applyFont="1" applyBorder="1" applyAlignment="1">
      <alignment horizontal="center" vertical="center"/>
    </xf>
    <xf numFmtId="0" fontId="42" fillId="0" borderId="20" xfId="8" applyFont="1" applyBorder="1" applyAlignment="1">
      <alignment horizontal="center" vertical="center"/>
    </xf>
    <xf numFmtId="0" fontId="42" fillId="0" borderId="20" xfId="8" applyFont="1" applyBorder="1" applyAlignment="1">
      <alignment horizontal="left" vertical="center"/>
    </xf>
    <xf numFmtId="0" fontId="42" fillId="0" borderId="21" xfId="8" applyFont="1" applyBorder="1" applyAlignment="1">
      <alignment horizontal="center" vertical="center"/>
    </xf>
    <xf numFmtId="0" fontId="43" fillId="0" borderId="22" xfId="8" applyFont="1" applyBorder="1" applyAlignment="1">
      <alignment horizontal="center" vertical="center"/>
    </xf>
    <xf numFmtId="0" fontId="43" fillId="0" borderId="14" xfId="8" applyFont="1" applyBorder="1" applyAlignment="1">
      <alignment horizontal="left" vertical="center" wrapText="1"/>
    </xf>
    <xf numFmtId="0" fontId="43" fillId="0" borderId="6" xfId="8" applyFont="1" applyBorder="1" applyAlignment="1">
      <alignment horizontal="center" vertical="center"/>
    </xf>
    <xf numFmtId="0" fontId="43" fillId="0" borderId="6" xfId="9" applyNumberFormat="1" applyFont="1" applyBorder="1" applyAlignment="1">
      <alignment horizontal="center" vertical="center"/>
    </xf>
    <xf numFmtId="9" fontId="43" fillId="0" borderId="6" xfId="8" applyNumberFormat="1" applyFont="1" applyBorder="1" applyAlignment="1">
      <alignment horizontal="center" vertical="center"/>
    </xf>
    <xf numFmtId="175" fontId="43" fillId="0" borderId="6" xfId="9" applyFont="1" applyBorder="1" applyAlignment="1">
      <alignment horizontal="center" vertical="center"/>
    </xf>
    <xf numFmtId="177" fontId="43" fillId="0" borderId="23" xfId="10" applyNumberFormat="1" applyFont="1" applyBorder="1" applyAlignment="1" applyProtection="1">
      <alignment vertical="center"/>
      <protection locked="0"/>
    </xf>
    <xf numFmtId="0" fontId="43" fillId="0" borderId="24" xfId="8" applyFont="1" applyBorder="1" applyAlignment="1">
      <alignment horizontal="center" vertical="center"/>
    </xf>
    <xf numFmtId="9" fontId="43" fillId="0" borderId="6" xfId="8" applyNumberFormat="1" applyFont="1" applyBorder="1" applyAlignment="1">
      <alignment horizontal="center" vertical="center" wrapText="1"/>
    </xf>
    <xf numFmtId="175" fontId="43" fillId="0" borderId="25" xfId="9" applyFont="1" applyBorder="1" applyAlignment="1" applyProtection="1">
      <alignment vertical="center"/>
      <protection locked="0"/>
    </xf>
    <xf numFmtId="0" fontId="43" fillId="0" borderId="26" xfId="8" applyFont="1" applyBorder="1" applyAlignment="1">
      <alignment vertical="center"/>
    </xf>
    <xf numFmtId="44" fontId="42" fillId="17" borderId="25" xfId="6" applyFont="1" applyFill="1" applyBorder="1" applyAlignment="1" applyProtection="1">
      <alignment vertical="center"/>
      <protection locked="0"/>
    </xf>
    <xf numFmtId="167" fontId="29" fillId="8" borderId="1" xfId="3" applyNumberFormat="1" applyFont="1" applyFill="1" applyBorder="1" applyAlignment="1">
      <alignment horizontal="right" vertical="center"/>
    </xf>
    <xf numFmtId="167" fontId="18" fillId="13" borderId="1" xfId="3" applyNumberFormat="1" applyFont="1" applyFill="1" applyBorder="1" applyAlignment="1">
      <alignment horizontal="right" vertical="center"/>
    </xf>
    <xf numFmtId="9" fontId="18" fillId="8" borderId="1" xfId="3" applyNumberFormat="1" applyFont="1" applyFill="1" applyBorder="1" applyAlignment="1">
      <alignment horizontal="center" vertical="center"/>
    </xf>
    <xf numFmtId="0" fontId="33" fillId="10" borderId="1" xfId="0" applyFont="1" applyFill="1" applyBorder="1" applyAlignment="1">
      <alignment horizontal="center" vertical="center"/>
    </xf>
    <xf numFmtId="0" fontId="18" fillId="0" borderId="1" xfId="3" applyFont="1" applyBorder="1" applyAlignment="1">
      <alignment horizontal="justify" vertical="center" wrapText="1"/>
    </xf>
    <xf numFmtId="9" fontId="22" fillId="6" borderId="1" xfId="3" applyNumberFormat="1" applyFont="1" applyFill="1" applyBorder="1" applyAlignment="1">
      <alignment horizontal="center" vertical="center" wrapText="1"/>
    </xf>
    <xf numFmtId="167" fontId="30" fillId="0" borderId="1" xfId="0" applyNumberFormat="1" applyFont="1" applyBorder="1"/>
    <xf numFmtId="10" fontId="22" fillId="0" borderId="1" xfId="2" applyNumberFormat="1" applyFont="1" applyBorder="1" applyAlignment="1">
      <alignment horizontal="center" vertical="center"/>
    </xf>
    <xf numFmtId="0" fontId="18" fillId="10" borderId="1" xfId="3" applyFont="1" applyFill="1" applyBorder="1" applyAlignment="1">
      <alignment horizontal="justify" vertical="center" wrapText="1"/>
    </xf>
    <xf numFmtId="0" fontId="18" fillId="10" borderId="1" xfId="3" applyFont="1" applyFill="1" applyBorder="1" applyAlignment="1">
      <alignment horizontal="center" vertical="center" wrapText="1"/>
    </xf>
    <xf numFmtId="167" fontId="18" fillId="10" borderId="1" xfId="3" applyNumberFormat="1" applyFont="1" applyFill="1" applyBorder="1" applyAlignment="1">
      <alignment horizontal="center" vertical="center"/>
    </xf>
    <xf numFmtId="0" fontId="18" fillId="0" borderId="1" xfId="3" applyFont="1" applyBorder="1" applyAlignment="1">
      <alignment horizontal="center" vertical="center" wrapText="1"/>
    </xf>
    <xf numFmtId="5" fontId="30" fillId="0" borderId="1" xfId="0" applyNumberFormat="1" applyFont="1" applyBorder="1"/>
    <xf numFmtId="165" fontId="30" fillId="0" borderId="1" xfId="0" applyNumberFormat="1" applyFont="1" applyBorder="1"/>
    <xf numFmtId="10" fontId="22" fillId="0" borderId="1" xfId="2" applyNumberFormat="1" applyFont="1" applyFill="1" applyBorder="1" applyAlignment="1">
      <alignment horizontal="center" vertical="center"/>
    </xf>
    <xf numFmtId="44" fontId="30" fillId="0" borderId="1" xfId="6" applyFont="1" applyFill="1" applyBorder="1"/>
    <xf numFmtId="10" fontId="30" fillId="0" borderId="1" xfId="2" applyNumberFormat="1" applyFont="1" applyBorder="1"/>
    <xf numFmtId="4" fontId="34" fillId="0" borderId="1" xfId="0" applyNumberFormat="1" applyFont="1" applyBorder="1"/>
    <xf numFmtId="10" fontId="29" fillId="8" borderId="1" xfId="2" applyNumberFormat="1" applyFont="1" applyFill="1" applyBorder="1" applyAlignment="1">
      <alignment horizontal="right" vertical="center"/>
    </xf>
    <xf numFmtId="10" fontId="2" fillId="0" borderId="1" xfId="6" applyNumberFormat="1" applyFont="1" applyBorder="1" applyAlignment="1">
      <alignment horizontal="center" vertical="center"/>
    </xf>
    <xf numFmtId="0" fontId="34" fillId="8" borderId="1" xfId="0" applyFont="1" applyFill="1" applyBorder="1" applyAlignment="1">
      <alignment horizontal="center"/>
    </xf>
    <xf numFmtId="4" fontId="18" fillId="0" borderId="1" xfId="3" applyNumberFormat="1" applyFont="1" applyBorder="1" applyAlignment="1">
      <alignment horizontal="center" vertical="center"/>
    </xf>
    <xf numFmtId="2" fontId="28" fillId="0" borderId="1" xfId="6" applyNumberFormat="1" applyFont="1" applyBorder="1" applyAlignment="1">
      <alignment horizontal="center" vertical="center"/>
    </xf>
    <xf numFmtId="42" fontId="0" fillId="0" borderId="0" xfId="1" applyFont="1"/>
    <xf numFmtId="0" fontId="44" fillId="0" borderId="0" xfId="0" applyFont="1"/>
    <xf numFmtId="0" fontId="44" fillId="0" borderId="0" xfId="0" applyFont="1" applyAlignment="1">
      <alignment wrapText="1"/>
    </xf>
    <xf numFmtId="181" fontId="44" fillId="0" borderId="0" xfId="0" applyNumberFormat="1" applyFont="1" applyAlignment="1">
      <alignment wrapText="1"/>
    </xf>
    <xf numFmtId="0" fontId="44" fillId="0" borderId="0" xfId="0" applyFont="1" applyAlignment="1">
      <alignment horizontal="left"/>
    </xf>
    <xf numFmtId="175" fontId="44" fillId="0" borderId="0" xfId="0" applyNumberFormat="1" applyFont="1" applyAlignment="1">
      <alignment horizontal="left"/>
    </xf>
    <xf numFmtId="179" fontId="44" fillId="0" borderId="0" xfId="14" applyFont="1" applyAlignment="1">
      <alignment horizontal="left"/>
    </xf>
    <xf numFmtId="0" fontId="44" fillId="0" borderId="0" xfId="0" applyFont="1" applyAlignment="1">
      <alignment horizontal="center"/>
    </xf>
    <xf numFmtId="10" fontId="45" fillId="0" borderId="32" xfId="2" applyNumberFormat="1" applyFont="1" applyBorder="1" applyAlignment="1">
      <alignment horizontal="center"/>
    </xf>
    <xf numFmtId="181" fontId="45" fillId="0" borderId="1" xfId="0" applyNumberFormat="1" applyFont="1" applyBorder="1" applyAlignment="1">
      <alignment horizontal="left"/>
    </xf>
    <xf numFmtId="0" fontId="44" fillId="0" borderId="25" xfId="0" applyFont="1" applyBorder="1" applyAlignment="1">
      <alignment horizontal="center" vertical="center" wrapText="1"/>
    </xf>
    <xf numFmtId="0" fontId="44" fillId="0" borderId="1" xfId="0" applyFont="1" applyBorder="1" applyAlignment="1">
      <alignment horizontal="center" vertical="center" wrapText="1"/>
    </xf>
    <xf numFmtId="181" fontId="44" fillId="0" borderId="1" xfId="0" applyNumberFormat="1" applyFont="1" applyBorder="1" applyAlignment="1">
      <alignment horizontal="left" vertical="center"/>
    </xf>
    <xf numFmtId="178" fontId="44" fillId="0" borderId="1" xfId="9" applyNumberFormat="1" applyFont="1" applyBorder="1" applyAlignment="1">
      <alignment horizontal="center" vertical="center"/>
    </xf>
    <xf numFmtId="0" fontId="44" fillId="0" borderId="1" xfId="0" applyFont="1" applyBorder="1" applyAlignment="1">
      <alignment horizontal="center" vertical="center"/>
    </xf>
    <xf numFmtId="0" fontId="44" fillId="0" borderId="24" xfId="0" applyFont="1" applyBorder="1" applyAlignment="1">
      <alignment horizontal="center" vertical="center"/>
    </xf>
    <xf numFmtId="0" fontId="44" fillId="0" borderId="24" xfId="0" applyFont="1" applyBorder="1" applyAlignment="1">
      <alignment horizontal="center"/>
    </xf>
    <xf numFmtId="178" fontId="44" fillId="0" borderId="1" xfId="9" applyNumberFormat="1" applyFont="1" applyBorder="1" applyAlignment="1">
      <alignment horizontal="center" vertical="center" wrapText="1"/>
    </xf>
    <xf numFmtId="178" fontId="44" fillId="0" borderId="1" xfId="14" applyNumberFormat="1" applyFont="1" applyBorder="1" applyAlignment="1">
      <alignment horizontal="left" vertical="center"/>
    </xf>
    <xf numFmtId="0" fontId="45" fillId="0" borderId="25"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1" xfId="0" applyFont="1" applyBorder="1" applyAlignment="1">
      <alignment horizontal="center" vertical="center"/>
    </xf>
    <xf numFmtId="0" fontId="45" fillId="0" borderId="24" xfId="0" applyFont="1" applyBorder="1" applyAlignment="1">
      <alignment horizontal="center" vertical="center"/>
    </xf>
    <xf numFmtId="0" fontId="45" fillId="0" borderId="1" xfId="0" applyFont="1" applyBorder="1" applyAlignment="1">
      <alignment horizontal="center"/>
    </xf>
    <xf numFmtId="0" fontId="45" fillId="0" borderId="24" xfId="0" applyFont="1" applyBorder="1"/>
    <xf numFmtId="42" fontId="0" fillId="0" borderId="0" xfId="1" applyFont="1" applyAlignment="1">
      <alignment vertical="center"/>
    </xf>
    <xf numFmtId="174" fontId="0" fillId="0" borderId="0" xfId="0" applyNumberFormat="1"/>
    <xf numFmtId="174" fontId="0" fillId="0" borderId="0" xfId="1" applyNumberFormat="1" applyFont="1"/>
    <xf numFmtId="0" fontId="9" fillId="6" borderId="1" xfId="0" applyFont="1" applyFill="1" applyBorder="1" applyAlignment="1">
      <alignment horizontal="center" vertical="center"/>
    </xf>
    <xf numFmtId="0" fontId="9" fillId="6" borderId="1" xfId="0" applyFont="1" applyFill="1" applyBorder="1" applyAlignment="1">
      <alignment vertical="center" wrapText="1"/>
    </xf>
    <xf numFmtId="0" fontId="2" fillId="0" borderId="0" xfId="0" applyFont="1"/>
    <xf numFmtId="10" fontId="30" fillId="0" borderId="1" xfId="2" applyNumberFormat="1" applyFont="1" applyBorder="1" applyAlignment="1">
      <alignment horizontal="center"/>
    </xf>
    <xf numFmtId="10" fontId="30" fillId="6" borderId="1" xfId="2" applyNumberFormat="1" applyFont="1" applyFill="1" applyBorder="1" applyAlignment="1">
      <alignment horizontal="center"/>
    </xf>
    <xf numFmtId="4" fontId="46" fillId="0" borderId="1" xfId="3" applyNumberFormat="1" applyFont="1" applyBorder="1" applyAlignment="1">
      <alignment horizontal="center" vertical="center" wrapText="1"/>
    </xf>
    <xf numFmtId="4" fontId="46" fillId="0" borderId="1" xfId="3" applyNumberFormat="1" applyFont="1" applyBorder="1" applyAlignment="1">
      <alignment horizontal="left" vertical="center"/>
    </xf>
    <xf numFmtId="4" fontId="46" fillId="0" borderId="1" xfId="3" applyNumberFormat="1" applyFont="1" applyBorder="1" applyAlignment="1">
      <alignment horizontal="center" vertical="center"/>
    </xf>
    <xf numFmtId="167" fontId="46" fillId="6" borderId="1" xfId="3" applyNumberFormat="1" applyFont="1" applyFill="1" applyBorder="1" applyAlignment="1">
      <alignment horizontal="center" vertical="center"/>
    </xf>
    <xf numFmtId="4" fontId="46" fillId="0" borderId="1" xfId="3" applyNumberFormat="1" applyFont="1" applyBorder="1" applyAlignment="1">
      <alignment horizontal="left" vertical="center" wrapText="1"/>
    </xf>
    <xf numFmtId="167" fontId="46" fillId="0" borderId="1" xfId="3" applyNumberFormat="1" applyFont="1" applyBorder="1" applyAlignment="1">
      <alignment horizontal="center" vertical="center"/>
    </xf>
    <xf numFmtId="0" fontId="46" fillId="12" borderId="1" xfId="3" applyFont="1" applyFill="1" applyBorder="1" applyAlignment="1">
      <alignment horizontal="left" vertical="center" wrapText="1"/>
    </xf>
    <xf numFmtId="5" fontId="0" fillId="0" borderId="0" xfId="0" applyNumberFormat="1"/>
    <xf numFmtId="0" fontId="26" fillId="6" borderId="1" xfId="0" applyFont="1" applyFill="1" applyBorder="1" applyAlignment="1">
      <alignment horizontal="center" vertical="center" wrapText="1" readingOrder="1"/>
    </xf>
    <xf numFmtId="167" fontId="18" fillId="7" borderId="1" xfId="3" applyNumberFormat="1" applyFont="1" applyFill="1" applyBorder="1" applyAlignment="1">
      <alignment vertical="center"/>
    </xf>
    <xf numFmtId="0" fontId="47" fillId="0" borderId="0" xfId="0" applyFont="1"/>
    <xf numFmtId="42" fontId="0" fillId="0" borderId="0" xfId="1" applyFont="1" applyAlignment="1">
      <alignment horizontal="center" vertical="center"/>
    </xf>
    <xf numFmtId="4" fontId="28" fillId="0" borderId="0" xfId="3" applyNumberFormat="1" applyFont="1" applyAlignment="1">
      <alignment horizontal="center" vertical="center" wrapText="1"/>
    </xf>
    <xf numFmtId="4" fontId="28" fillId="6" borderId="0" xfId="3" applyNumberFormat="1" applyFont="1" applyFill="1" applyAlignment="1">
      <alignment horizontal="left" vertical="center" wrapText="1"/>
    </xf>
    <xf numFmtId="4" fontId="28" fillId="6" borderId="0" xfId="3" applyNumberFormat="1" applyFont="1" applyFill="1" applyAlignment="1">
      <alignment horizontal="center" vertical="center"/>
    </xf>
    <xf numFmtId="167" fontId="28" fillId="6" borderId="0" xfId="3" applyNumberFormat="1" applyFont="1" applyFill="1" applyAlignment="1">
      <alignment horizontal="center" vertical="center"/>
    </xf>
    <xf numFmtId="0" fontId="23" fillId="9" borderId="1" xfId="0" applyFont="1" applyFill="1" applyBorder="1" applyAlignment="1">
      <alignment horizontal="center" vertical="center" wrapText="1" readingOrder="1"/>
    </xf>
    <xf numFmtId="167" fontId="46" fillId="0" borderId="33" xfId="3" applyNumberFormat="1" applyFont="1" applyBorder="1" applyAlignment="1">
      <alignment horizontal="center" vertical="center"/>
    </xf>
    <xf numFmtId="0" fontId="6" fillId="0" borderId="38" xfId="3" applyFont="1" applyBorder="1" applyAlignment="1">
      <alignment horizontal="center" vertical="center"/>
    </xf>
    <xf numFmtId="0" fontId="0" fillId="0" borderId="38" xfId="0" applyBorder="1" applyAlignment="1">
      <alignment horizontal="center" vertical="center"/>
    </xf>
    <xf numFmtId="44" fontId="0" fillId="0" borderId="0" xfId="6" applyFont="1" applyBorder="1" applyAlignment="1">
      <alignment horizontal="center" vertical="center"/>
    </xf>
    <xf numFmtId="0" fontId="0" fillId="0" borderId="37" xfId="0" applyBorder="1" applyAlignment="1">
      <alignment horizontal="center" vertical="center"/>
    </xf>
    <xf numFmtId="174" fontId="2" fillId="0" borderId="25" xfId="0" applyNumberFormat="1" applyFont="1" applyBorder="1" applyAlignment="1">
      <alignment horizontal="center" vertical="center"/>
    </xf>
    <xf numFmtId="174" fontId="2" fillId="0" borderId="25" xfId="6" applyNumberFormat="1" applyFont="1" applyBorder="1" applyAlignment="1">
      <alignment horizontal="center" vertical="center"/>
    </xf>
    <xf numFmtId="0" fontId="18" fillId="7" borderId="9" xfId="3" applyFont="1" applyFill="1" applyBorder="1" applyAlignment="1">
      <alignment horizontal="center" vertical="center"/>
    </xf>
    <xf numFmtId="0" fontId="18" fillId="7" borderId="14" xfId="3" applyFont="1" applyFill="1" applyBorder="1" applyAlignment="1">
      <alignment horizontal="center" vertical="center"/>
    </xf>
    <xf numFmtId="0" fontId="30" fillId="0" borderId="3" xfId="0" applyFont="1" applyBorder="1"/>
    <xf numFmtId="44" fontId="30" fillId="0" borderId="3" xfId="6" applyFont="1" applyBorder="1"/>
    <xf numFmtId="0" fontId="30" fillId="0" borderId="4" xfId="0" applyFont="1" applyBorder="1"/>
    <xf numFmtId="3" fontId="48" fillId="0" borderId="0" xfId="0" applyNumberFormat="1" applyFont="1"/>
    <xf numFmtId="44" fontId="0" fillId="0" borderId="0" xfId="1" applyNumberFormat="1" applyFont="1" applyAlignment="1">
      <alignment horizontal="center" vertical="center"/>
    </xf>
    <xf numFmtId="4" fontId="0" fillId="12" borderId="1" xfId="0" applyNumberFormat="1" applyFill="1" applyBorder="1" applyAlignment="1">
      <alignment horizontal="center" vertical="center"/>
    </xf>
    <xf numFmtId="0" fontId="0" fillId="12" borderId="1" xfId="0" applyFill="1" applyBorder="1" applyAlignment="1">
      <alignment horizontal="left" vertical="center" wrapText="1"/>
    </xf>
    <xf numFmtId="44" fontId="0" fillId="12" borderId="0" xfId="6" applyFont="1" applyFill="1" applyBorder="1" applyAlignment="1">
      <alignment horizontal="left" vertical="top" wrapText="1"/>
    </xf>
    <xf numFmtId="0" fontId="49" fillId="0" borderId="0" xfId="0" applyFont="1" applyAlignment="1">
      <alignment horizontal="left" vertical="center" wrapText="1"/>
    </xf>
    <xf numFmtId="44" fontId="0" fillId="12" borderId="1" xfId="6" applyFont="1" applyFill="1" applyBorder="1" applyAlignment="1">
      <alignment horizontal="left" vertical="center" wrapText="1"/>
    </xf>
    <xf numFmtId="0" fontId="22" fillId="12" borderId="1" xfId="3" applyFont="1" applyFill="1" applyBorder="1" applyAlignment="1">
      <alignment horizontal="center" vertical="center" wrapText="1"/>
    </xf>
    <xf numFmtId="4" fontId="25" fillId="12" borderId="1" xfId="3" applyNumberFormat="1" applyFont="1" applyFill="1" applyBorder="1" applyAlignment="1">
      <alignment horizontal="center" vertical="center"/>
    </xf>
    <xf numFmtId="0" fontId="26" fillId="12" borderId="1" xfId="0" applyFont="1" applyFill="1" applyBorder="1" applyAlignment="1">
      <alignment horizontal="center" vertical="center" readingOrder="1"/>
    </xf>
    <xf numFmtId="167" fontId="26" fillId="12" borderId="1" xfId="0" applyNumberFormat="1" applyFont="1" applyFill="1" applyBorder="1" applyAlignment="1">
      <alignment horizontal="center" vertical="center" readingOrder="1"/>
    </xf>
    <xf numFmtId="168" fontId="26" fillId="12" borderId="1" xfId="0" applyNumberFormat="1" applyFont="1" applyFill="1" applyBorder="1" applyAlignment="1">
      <alignment horizontal="center" vertical="center" readingOrder="1"/>
    </xf>
    <xf numFmtId="167" fontId="26" fillId="12" borderId="1" xfId="0" applyNumberFormat="1" applyFont="1" applyFill="1" applyBorder="1" applyAlignment="1">
      <alignment horizontal="right" vertical="center" readingOrder="1"/>
    </xf>
    <xf numFmtId="4" fontId="25" fillId="12" borderId="1" xfId="3" applyNumberFormat="1" applyFont="1" applyFill="1" applyBorder="1" applyAlignment="1">
      <alignment horizontal="left" vertical="center" wrapText="1"/>
    </xf>
    <xf numFmtId="0" fontId="26" fillId="12" borderId="15" xfId="0" applyFont="1" applyFill="1" applyBorder="1" applyAlignment="1">
      <alignment horizontal="center" vertical="center" readingOrder="1"/>
    </xf>
    <xf numFmtId="4" fontId="26" fillId="12" borderId="16" xfId="0" applyNumberFormat="1" applyFont="1" applyFill="1" applyBorder="1" applyAlignment="1">
      <alignment horizontal="center" vertical="center" readingOrder="1"/>
    </xf>
    <xf numFmtId="9" fontId="26" fillId="12" borderId="16" xfId="2" applyFont="1" applyFill="1" applyBorder="1" applyAlignment="1">
      <alignment horizontal="center" vertical="center" readingOrder="1"/>
    </xf>
    <xf numFmtId="167" fontId="26" fillId="12" borderId="15" xfId="0" applyNumberFormat="1" applyFont="1" applyFill="1" applyBorder="1" applyAlignment="1">
      <alignment horizontal="center" vertical="center" readingOrder="1"/>
    </xf>
    <xf numFmtId="171" fontId="26" fillId="12" borderId="16" xfId="0" applyNumberFormat="1" applyFont="1" applyFill="1" applyBorder="1" applyAlignment="1">
      <alignment horizontal="center" vertical="center" readingOrder="1"/>
    </xf>
    <xf numFmtId="167" fontId="26" fillId="12" borderId="16" xfId="0" applyNumberFormat="1" applyFont="1" applyFill="1" applyBorder="1" applyAlignment="1">
      <alignment horizontal="right" vertical="center" readingOrder="1"/>
    </xf>
    <xf numFmtId="171" fontId="26" fillId="12" borderId="1" xfId="0" applyNumberFormat="1" applyFont="1" applyFill="1" applyBorder="1" applyAlignment="1">
      <alignment horizontal="center" vertical="center" readingOrder="1"/>
    </xf>
    <xf numFmtId="0" fontId="24" fillId="12" borderId="1" xfId="0" applyFont="1" applyFill="1" applyBorder="1" applyAlignment="1">
      <alignment horizontal="center" vertical="center"/>
    </xf>
    <xf numFmtId="9" fontId="26" fillId="12" borderId="1" xfId="2" applyFont="1" applyFill="1" applyBorder="1" applyAlignment="1">
      <alignment horizontal="center" vertical="center" readingOrder="1"/>
    </xf>
    <xf numFmtId="5" fontId="26" fillId="12" borderId="1" xfId="0" applyNumberFormat="1" applyFont="1" applyFill="1" applyBorder="1" applyAlignment="1">
      <alignment horizontal="center" vertical="center" readingOrder="1"/>
    </xf>
    <xf numFmtId="4" fontId="22" fillId="0" borderId="1" xfId="3" applyNumberFormat="1" applyFont="1" applyBorder="1" applyAlignment="1">
      <alignment horizontal="center" vertical="center" wrapText="1"/>
    </xf>
    <xf numFmtId="0" fontId="0" fillId="12" borderId="1" xfId="0" applyFill="1" applyBorder="1" applyAlignment="1">
      <alignment wrapText="1"/>
    </xf>
    <xf numFmtId="4" fontId="22" fillId="12" borderId="1" xfId="3" applyNumberFormat="1" applyFont="1" applyFill="1" applyBorder="1" applyAlignment="1">
      <alignment horizontal="center" vertical="center"/>
    </xf>
    <xf numFmtId="0" fontId="0" fillId="12" borderId="1" xfId="0" applyFill="1" applyBorder="1"/>
    <xf numFmtId="4" fontId="18" fillId="12" borderId="1" xfId="3" applyNumberFormat="1" applyFont="1" applyFill="1" applyBorder="1" applyAlignment="1">
      <alignment horizontal="center" vertical="center"/>
    </xf>
    <xf numFmtId="44" fontId="26" fillId="12" borderId="1" xfId="6" applyFont="1" applyFill="1" applyBorder="1" applyAlignment="1">
      <alignment horizontal="center" vertical="center" readingOrder="1"/>
    </xf>
    <xf numFmtId="174" fontId="26" fillId="12" borderId="1" xfId="6" applyNumberFormat="1" applyFont="1" applyFill="1" applyBorder="1" applyAlignment="1">
      <alignment horizontal="center" vertical="center" readingOrder="1"/>
    </xf>
    <xf numFmtId="4" fontId="26" fillId="12" borderId="1" xfId="0" applyNumberFormat="1" applyFont="1" applyFill="1" applyBorder="1" applyAlignment="1">
      <alignment horizontal="center" vertical="center" readingOrder="1"/>
    </xf>
    <xf numFmtId="174" fontId="0" fillId="0" borderId="0" xfId="0" applyNumberFormat="1" applyAlignment="1">
      <alignment horizontal="center" vertical="center"/>
    </xf>
    <xf numFmtId="0" fontId="30" fillId="12" borderId="1" xfId="0" applyFont="1" applyFill="1" applyBorder="1"/>
    <xf numFmtId="9" fontId="30" fillId="12" borderId="1" xfId="2" applyFont="1" applyFill="1" applyBorder="1" applyAlignment="1">
      <alignment horizontal="center"/>
    </xf>
    <xf numFmtId="0" fontId="30" fillId="12" borderId="3" xfId="0" applyFont="1" applyFill="1" applyBorder="1"/>
    <xf numFmtId="9" fontId="30" fillId="12" borderId="3" xfId="2" applyFont="1" applyFill="1" applyBorder="1" applyAlignment="1">
      <alignment horizontal="center"/>
    </xf>
    <xf numFmtId="0" fontId="2" fillId="0" borderId="26" xfId="0" applyFont="1" applyBorder="1" applyAlignment="1">
      <alignment horizontal="right" vertical="center"/>
    </xf>
    <xf numFmtId="0" fontId="2" fillId="0" borderId="3" xfId="0" applyFont="1" applyBorder="1" applyAlignment="1">
      <alignment horizontal="right" vertical="center"/>
    </xf>
    <xf numFmtId="0" fontId="23" fillId="9" borderId="42" xfId="0" applyFont="1" applyFill="1" applyBorder="1" applyAlignment="1">
      <alignment horizontal="center" vertical="center" readingOrder="1"/>
    </xf>
    <xf numFmtId="0" fontId="23" fillId="9" borderId="43" xfId="0" applyFont="1" applyFill="1" applyBorder="1" applyAlignment="1">
      <alignment horizontal="center" vertical="center" readingOrder="1"/>
    </xf>
    <xf numFmtId="4" fontId="25" fillId="12" borderId="6" xfId="3" applyNumberFormat="1" applyFont="1" applyFill="1" applyBorder="1" applyAlignment="1">
      <alignment horizontal="left" vertical="center" wrapText="1"/>
    </xf>
    <xf numFmtId="0" fontId="26" fillId="12" borderId="44" xfId="0" applyFont="1" applyFill="1" applyBorder="1" applyAlignment="1">
      <alignment horizontal="center" vertical="center" readingOrder="1"/>
    </xf>
    <xf numFmtId="4" fontId="26" fillId="12" borderId="45" xfId="0" applyNumberFormat="1" applyFont="1" applyFill="1" applyBorder="1" applyAlignment="1">
      <alignment horizontal="center" vertical="center" readingOrder="1"/>
    </xf>
    <xf numFmtId="9" fontId="26" fillId="12" borderId="45" xfId="2" applyFont="1" applyFill="1" applyBorder="1" applyAlignment="1">
      <alignment horizontal="center" vertical="center" readingOrder="1"/>
    </xf>
    <xf numFmtId="167" fontId="26" fillId="12" borderId="44" xfId="0" applyNumberFormat="1" applyFont="1" applyFill="1" applyBorder="1" applyAlignment="1">
      <alignment horizontal="center" vertical="center" readingOrder="1"/>
    </xf>
    <xf numFmtId="167" fontId="26" fillId="12" borderId="6" xfId="0" applyNumberFormat="1" applyFont="1" applyFill="1" applyBorder="1" applyAlignment="1">
      <alignment horizontal="right" vertical="center" readingOrder="1"/>
    </xf>
    <xf numFmtId="4" fontId="26" fillId="12" borderId="1" xfId="0" applyNumberFormat="1" applyFont="1" applyFill="1" applyBorder="1" applyAlignment="1">
      <alignment horizontal="left" vertical="center" readingOrder="1"/>
    </xf>
    <xf numFmtId="183" fontId="41" fillId="12" borderId="1" xfId="15" applyNumberFormat="1" applyFont="1" applyFill="1" applyBorder="1" applyAlignment="1">
      <alignment horizontal="center" vertical="center"/>
    </xf>
    <xf numFmtId="0" fontId="34" fillId="12" borderId="1" xfId="0" applyFont="1" applyFill="1" applyBorder="1" applyAlignment="1">
      <alignment horizontal="center"/>
    </xf>
    <xf numFmtId="0" fontId="0" fillId="12" borderId="1" xfId="0" applyFill="1" applyBorder="1" applyAlignment="1">
      <alignment horizontal="left" vertical="center"/>
    </xf>
    <xf numFmtId="3" fontId="26" fillId="12" borderId="16" xfId="0" applyNumberFormat="1" applyFont="1" applyFill="1" applyBorder="1" applyAlignment="1">
      <alignment horizontal="center" vertical="center" readingOrder="1"/>
    </xf>
    <xf numFmtId="0" fontId="23" fillId="9" borderId="5" xfId="0" applyFont="1" applyFill="1" applyBorder="1" applyAlignment="1">
      <alignment horizontal="center" vertical="center" readingOrder="1"/>
    </xf>
    <xf numFmtId="0" fontId="14" fillId="12" borderId="1" xfId="3" applyFont="1" applyFill="1" applyBorder="1" applyAlignment="1">
      <alignment horizontal="center" vertical="center"/>
    </xf>
    <xf numFmtId="0" fontId="17" fillId="12" borderId="1" xfId="3" applyFont="1" applyFill="1" applyBorder="1" applyAlignment="1">
      <alignment horizontal="center" vertical="center"/>
    </xf>
    <xf numFmtId="0" fontId="14" fillId="12" borderId="1" xfId="3" applyFont="1" applyFill="1" applyBorder="1" applyAlignment="1">
      <alignment horizontal="left" vertical="center" wrapText="1"/>
    </xf>
    <xf numFmtId="44" fontId="14" fillId="12" borderId="1" xfId="6" applyFont="1" applyFill="1" applyBorder="1" applyAlignment="1">
      <alignment horizontal="center" vertical="center"/>
    </xf>
    <xf numFmtId="167" fontId="14" fillId="12" borderId="1" xfId="3" applyNumberFormat="1" applyFont="1" applyFill="1" applyBorder="1" applyAlignment="1">
      <alignment horizontal="center" vertical="center"/>
    </xf>
    <xf numFmtId="0" fontId="18" fillId="12" borderId="1" xfId="3" applyFont="1" applyFill="1" applyBorder="1" applyAlignment="1">
      <alignment horizontal="center" vertical="center"/>
    </xf>
    <xf numFmtId="4" fontId="14" fillId="12" borderId="1" xfId="3" applyNumberFormat="1" applyFont="1" applyFill="1" applyBorder="1" applyAlignment="1">
      <alignment horizontal="center" vertical="center"/>
    </xf>
    <xf numFmtId="0" fontId="0" fillId="18" borderId="1" xfId="0" applyFill="1" applyBorder="1" applyAlignment="1">
      <alignment wrapText="1"/>
    </xf>
    <xf numFmtId="0" fontId="34" fillId="8" borderId="10" xfId="0" applyFont="1" applyFill="1" applyBorder="1" applyAlignment="1">
      <alignment horizontal="center"/>
    </xf>
    <xf numFmtId="0" fontId="0" fillId="10" borderId="0" xfId="0" applyFill="1"/>
    <xf numFmtId="0" fontId="2" fillId="0" borderId="4" xfId="0" applyFont="1" applyBorder="1" applyAlignment="1">
      <alignment vertical="center"/>
    </xf>
    <xf numFmtId="0" fontId="0" fillId="0" borderId="1" xfId="0" applyBorder="1" applyAlignment="1">
      <alignment wrapText="1"/>
    </xf>
    <xf numFmtId="167" fontId="22" fillId="0" borderId="1" xfId="6" applyNumberFormat="1" applyFont="1" applyBorder="1" applyAlignment="1">
      <alignment vertical="center" wrapText="1"/>
    </xf>
    <xf numFmtId="0" fontId="0" fillId="0" borderId="1" xfId="0" applyBorder="1" applyAlignment="1">
      <alignment horizontal="left" vertical="center"/>
    </xf>
    <xf numFmtId="44" fontId="23" fillId="0" borderId="6" xfId="6" applyFont="1" applyBorder="1" applyAlignment="1">
      <alignment horizontal="right" vertical="center" readingOrder="1"/>
    </xf>
    <xf numFmtId="0" fontId="12" fillId="0" borderId="0" xfId="4" applyFont="1" applyFill="1" applyAlignment="1">
      <alignment horizontal="justify" wrapText="1"/>
    </xf>
    <xf numFmtId="0" fontId="0" fillId="0" borderId="0" xfId="0" applyAlignment="1">
      <alignment horizontal="center"/>
    </xf>
    <xf numFmtId="174" fontId="0" fillId="0" borderId="0" xfId="0" applyNumberFormat="1" applyAlignment="1">
      <alignment horizontal="center" vertical="center"/>
    </xf>
    <xf numFmtId="42" fontId="0" fillId="0" borderId="0" xfId="1" applyFont="1" applyAlignment="1">
      <alignment horizontal="center" vertical="center"/>
    </xf>
    <xf numFmtId="0" fontId="0" fillId="0" borderId="36"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37"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3" fillId="2" borderId="34" xfId="3" applyFont="1" applyFill="1" applyBorder="1" applyAlignment="1">
      <alignment horizontal="center" vertical="center"/>
    </xf>
    <xf numFmtId="0" fontId="3" fillId="2" borderId="35" xfId="3" applyFont="1" applyFill="1" applyBorder="1" applyAlignment="1">
      <alignment horizontal="center" vertical="center"/>
    </xf>
    <xf numFmtId="0" fontId="4" fillId="3" borderId="26" xfId="3" applyFont="1" applyFill="1" applyBorder="1" applyAlignment="1">
      <alignment horizontal="center" vertical="center" wrapText="1"/>
    </xf>
    <xf numFmtId="0" fontId="4" fillId="3" borderId="3" xfId="3" applyFont="1" applyFill="1" applyBorder="1" applyAlignment="1">
      <alignment horizontal="center" vertical="center" wrapText="1"/>
    </xf>
    <xf numFmtId="0" fontId="19" fillId="4" borderId="26" xfId="3" applyFont="1" applyFill="1" applyBorder="1" applyAlignment="1">
      <alignment horizontal="center" vertical="center" wrapText="1"/>
    </xf>
    <xf numFmtId="0" fontId="19" fillId="4" borderId="3" xfId="3" applyFont="1" applyFill="1" applyBorder="1" applyAlignment="1">
      <alignment horizontal="center" vertical="center" wrapText="1"/>
    </xf>
    <xf numFmtId="0" fontId="17" fillId="5" borderId="26" xfId="3" applyFont="1" applyFill="1" applyBorder="1" applyAlignment="1">
      <alignment horizontal="center" vertical="center"/>
    </xf>
    <xf numFmtId="0" fontId="17" fillId="5" borderId="3" xfId="3" applyFont="1" applyFill="1" applyBorder="1" applyAlignment="1">
      <alignment horizontal="center" vertical="center"/>
    </xf>
    <xf numFmtId="44" fontId="18" fillId="7" borderId="5" xfId="6" applyFont="1" applyFill="1" applyBorder="1" applyAlignment="1">
      <alignment horizontal="center" vertical="center"/>
    </xf>
    <xf numFmtId="44" fontId="18" fillId="7" borderId="6" xfId="6" applyFont="1" applyFill="1" applyBorder="1" applyAlignment="1">
      <alignment horizontal="center" vertical="center"/>
    </xf>
    <xf numFmtId="167" fontId="18" fillId="7" borderId="41" xfId="3" applyNumberFormat="1" applyFont="1" applyFill="1" applyBorder="1" applyAlignment="1">
      <alignment horizontal="center" vertical="center"/>
    </xf>
    <xf numFmtId="167" fontId="18" fillId="7" borderId="23" xfId="3" applyNumberFormat="1" applyFont="1" applyFill="1" applyBorder="1" applyAlignment="1">
      <alignment horizontal="center" vertical="center"/>
    </xf>
    <xf numFmtId="0" fontId="18" fillId="7" borderId="5" xfId="3" applyFont="1" applyFill="1" applyBorder="1" applyAlignment="1">
      <alignment horizontal="center" vertical="center"/>
    </xf>
    <xf numFmtId="0" fontId="18" fillId="7" borderId="6" xfId="3" applyFont="1" applyFill="1" applyBorder="1" applyAlignment="1">
      <alignment horizontal="center" vertical="center"/>
    </xf>
    <xf numFmtId="0" fontId="18" fillId="7" borderId="40" xfId="3" applyFont="1" applyFill="1" applyBorder="1" applyAlignment="1">
      <alignment horizontal="center" vertical="center"/>
    </xf>
    <xf numFmtId="0" fontId="18" fillId="7" borderId="22" xfId="3" applyFont="1" applyFill="1" applyBorder="1" applyAlignment="1">
      <alignment horizontal="center" vertical="center"/>
    </xf>
    <xf numFmtId="0" fontId="2" fillId="0" borderId="24" xfId="0" applyFont="1" applyBorder="1" applyAlignment="1">
      <alignment horizontal="right" vertical="center" wrapText="1"/>
    </xf>
    <xf numFmtId="0" fontId="2" fillId="0" borderId="4" xfId="0" applyFont="1" applyBorder="1" applyAlignment="1">
      <alignment horizontal="right" vertical="center" wrapText="1"/>
    </xf>
    <xf numFmtId="0" fontId="2" fillId="0" borderId="1" xfId="0" applyFont="1" applyBorder="1" applyAlignment="1">
      <alignment horizontal="right" vertical="center" wrapText="1"/>
    </xf>
    <xf numFmtId="0" fontId="2" fillId="0" borderId="24" xfId="0" applyFont="1" applyBorder="1" applyAlignment="1">
      <alignment horizontal="right" vertical="center"/>
    </xf>
    <xf numFmtId="0" fontId="2" fillId="0" borderId="4" xfId="0" applyFont="1" applyBorder="1" applyAlignment="1">
      <alignment horizontal="right" vertical="center"/>
    </xf>
    <xf numFmtId="0" fontId="2" fillId="0" borderId="1" xfId="0" applyFont="1" applyBorder="1" applyAlignment="1">
      <alignment horizontal="right" vertical="center"/>
    </xf>
    <xf numFmtId="0" fontId="2" fillId="0" borderId="26" xfId="0" applyFont="1" applyBorder="1" applyAlignment="1">
      <alignment horizontal="right" vertical="center"/>
    </xf>
    <xf numFmtId="0" fontId="2" fillId="0" borderId="3" xfId="0" applyFont="1" applyBorder="1" applyAlignment="1">
      <alignment horizontal="right" vertical="center"/>
    </xf>
    <xf numFmtId="0" fontId="23" fillId="0" borderId="0" xfId="0" applyFont="1" applyAlignment="1">
      <alignment horizontal="left" vertical="center" readingOrder="1"/>
    </xf>
    <xf numFmtId="0" fontId="24" fillId="0" borderId="0" xfId="0" applyFont="1" applyAlignment="1">
      <alignment horizontal="left" vertical="center" readingOrder="1"/>
    </xf>
    <xf numFmtId="0" fontId="27" fillId="7" borderId="1" xfId="0" applyFont="1" applyFill="1" applyBorder="1" applyAlignment="1">
      <alignment horizontal="left" vertical="center" readingOrder="1"/>
    </xf>
    <xf numFmtId="0" fontId="24" fillId="7" borderId="1" xfId="0" applyFont="1" applyFill="1" applyBorder="1" applyAlignment="1">
      <alignment horizontal="left" vertical="center" readingOrder="1"/>
    </xf>
    <xf numFmtId="0" fontId="18" fillId="8" borderId="2" xfId="3" applyFont="1" applyFill="1" applyBorder="1" applyAlignment="1">
      <alignment horizontal="center" vertical="center" wrapText="1"/>
    </xf>
    <xf numFmtId="0" fontId="18" fillId="8" borderId="3" xfId="3" applyFont="1" applyFill="1" applyBorder="1" applyAlignment="1">
      <alignment horizontal="center" vertical="center" wrapText="1"/>
    </xf>
    <xf numFmtId="0" fontId="18" fillId="8" borderId="4" xfId="3" applyFont="1" applyFill="1" applyBorder="1" applyAlignment="1">
      <alignment horizontal="center" vertical="center" wrapText="1"/>
    </xf>
    <xf numFmtId="0" fontId="22" fillId="0" borderId="2" xfId="3" applyFont="1" applyBorder="1" applyAlignment="1">
      <alignment horizontal="justify" vertical="center" wrapText="1"/>
    </xf>
    <xf numFmtId="0" fontId="22" fillId="0" borderId="3" xfId="3" applyFont="1" applyBorder="1" applyAlignment="1">
      <alignment horizontal="justify" vertical="center" wrapText="1"/>
    </xf>
    <xf numFmtId="0" fontId="22" fillId="0" borderId="4" xfId="3" applyFont="1" applyBorder="1" applyAlignment="1">
      <alignment horizontal="justify" vertical="center" wrapText="1"/>
    </xf>
    <xf numFmtId="0" fontId="23" fillId="0" borderId="13" xfId="0" applyFont="1" applyBorder="1" applyAlignment="1">
      <alignment horizontal="left" vertical="center" readingOrder="1"/>
    </xf>
    <xf numFmtId="0" fontId="24" fillId="0" borderId="13" xfId="0" applyFont="1" applyBorder="1" applyAlignment="1">
      <alignment horizontal="left" vertical="center" readingOrder="1"/>
    </xf>
    <xf numFmtId="0" fontId="23" fillId="9" borderId="2" xfId="0" applyFont="1" applyFill="1" applyBorder="1" applyAlignment="1">
      <alignment horizontal="center" vertical="center" readingOrder="1"/>
    </xf>
    <xf numFmtId="0" fontId="23" fillId="9" borderId="4" xfId="0" applyFont="1" applyFill="1" applyBorder="1" applyAlignment="1">
      <alignment horizontal="center" vertical="center" readingOrder="1"/>
    </xf>
    <xf numFmtId="0" fontId="26" fillId="12" borderId="2" xfId="0" applyFont="1" applyFill="1" applyBorder="1" applyAlignment="1">
      <alignment horizontal="left" vertical="center" wrapText="1" readingOrder="1"/>
    </xf>
    <xf numFmtId="0" fontId="26" fillId="12" borderId="4" xfId="0" applyFont="1" applyFill="1" applyBorder="1" applyAlignment="1">
      <alignment horizontal="left" vertical="center" wrapText="1" readingOrder="1"/>
    </xf>
    <xf numFmtId="0" fontId="19" fillId="2" borderId="1" xfId="3" applyFont="1" applyFill="1" applyBorder="1" applyAlignment="1">
      <alignment horizontal="center" vertical="center"/>
    </xf>
    <xf numFmtId="0" fontId="19" fillId="2" borderId="2" xfId="3" applyFont="1" applyFill="1" applyBorder="1" applyAlignment="1">
      <alignment horizontal="center" vertical="center"/>
    </xf>
    <xf numFmtId="0" fontId="20" fillId="0" borderId="1" xfId="3" applyFont="1" applyBorder="1" applyAlignment="1">
      <alignment horizontal="center" vertical="center"/>
    </xf>
    <xf numFmtId="0" fontId="5" fillId="3" borderId="1" xfId="3" applyFont="1" applyFill="1" applyBorder="1" applyAlignment="1">
      <alignment horizontal="center" vertical="center" wrapText="1"/>
    </xf>
    <xf numFmtId="0" fontId="5" fillId="3" borderId="2" xfId="3" applyFont="1" applyFill="1" applyBorder="1" applyAlignment="1">
      <alignment horizontal="center" vertical="center" wrapText="1"/>
    </xf>
    <xf numFmtId="0" fontId="17" fillId="4" borderId="1" xfId="3" applyFont="1" applyFill="1" applyBorder="1" applyAlignment="1">
      <alignment horizontal="center" wrapText="1"/>
    </xf>
    <xf numFmtId="0" fontId="17" fillId="4" borderId="2" xfId="3" applyFont="1" applyFill="1" applyBorder="1" applyAlignment="1">
      <alignment horizontal="center" wrapText="1"/>
    </xf>
    <xf numFmtId="0" fontId="21" fillId="0" borderId="3" xfId="3" applyFont="1" applyBorder="1" applyAlignment="1">
      <alignment horizontal="center" vertical="center" wrapText="1"/>
    </xf>
    <xf numFmtId="0" fontId="21" fillId="0" borderId="4" xfId="3" applyFont="1" applyBorder="1" applyAlignment="1">
      <alignment horizontal="center" vertical="center" wrapText="1"/>
    </xf>
    <xf numFmtId="0" fontId="7" fillId="5" borderId="1" xfId="3" applyFont="1" applyFill="1" applyBorder="1" applyAlignment="1">
      <alignment horizontal="center" vertical="center"/>
    </xf>
    <xf numFmtId="0" fontId="7" fillId="5" borderId="2" xfId="3" applyFont="1" applyFill="1" applyBorder="1" applyAlignment="1">
      <alignment horizontal="center" vertical="center"/>
    </xf>
    <xf numFmtId="0" fontId="21" fillId="0" borderId="3" xfId="3" applyFont="1" applyBorder="1" applyAlignment="1">
      <alignment horizontal="center" vertical="center"/>
    </xf>
    <xf numFmtId="0" fontId="26" fillId="12" borderId="2" xfId="0" applyFont="1" applyFill="1" applyBorder="1" applyAlignment="1">
      <alignment horizontal="left" vertical="center" readingOrder="1"/>
    </xf>
    <xf numFmtId="0" fontId="26" fillId="12" borderId="4" xfId="0" applyFont="1" applyFill="1" applyBorder="1" applyAlignment="1">
      <alignment horizontal="left" vertical="center" readingOrder="1"/>
    </xf>
    <xf numFmtId="0" fontId="23" fillId="10" borderId="1" xfId="0" applyFont="1" applyFill="1" applyBorder="1" applyAlignment="1">
      <alignment horizontal="left" vertical="center" readingOrder="1"/>
    </xf>
    <xf numFmtId="0" fontId="27" fillId="8" borderId="1" xfId="0" applyFont="1" applyFill="1" applyBorder="1" applyAlignment="1">
      <alignment horizontal="left" vertical="center" readingOrder="1"/>
    </xf>
    <xf numFmtId="0" fontId="24" fillId="0" borderId="1" xfId="0" applyFont="1" applyBorder="1" applyAlignment="1">
      <alignment horizontal="left" vertical="center" readingOrder="1"/>
    </xf>
    <xf numFmtId="0" fontId="27" fillId="10" borderId="1" xfId="0" applyFont="1" applyFill="1" applyBorder="1" applyAlignment="1">
      <alignment horizontal="left" vertical="center" readingOrder="1"/>
    </xf>
    <xf numFmtId="0" fontId="24" fillId="10" borderId="1" xfId="0" applyFont="1" applyFill="1" applyBorder="1" applyAlignment="1">
      <alignment horizontal="left" vertical="center" readingOrder="1"/>
    </xf>
    <xf numFmtId="0" fontId="26" fillId="0" borderId="0" xfId="0" applyFont="1" applyAlignment="1">
      <alignment horizontal="left" vertical="center" readingOrder="1"/>
    </xf>
    <xf numFmtId="0" fontId="23" fillId="9" borderId="1" xfId="0" applyFont="1" applyFill="1" applyBorder="1" applyAlignment="1">
      <alignment horizontal="center" vertical="center" readingOrder="1"/>
    </xf>
    <xf numFmtId="4" fontId="26" fillId="12" borderId="2" xfId="0" applyNumberFormat="1" applyFont="1" applyFill="1" applyBorder="1" applyAlignment="1">
      <alignment horizontal="left" vertical="center" readingOrder="1"/>
    </xf>
    <xf numFmtId="0" fontId="26" fillId="0" borderId="2" xfId="0" applyFont="1" applyBorder="1" applyAlignment="1">
      <alignment horizontal="left" vertical="center" readingOrder="1"/>
    </xf>
    <xf numFmtId="0" fontId="26" fillId="0" borderId="4" xfId="0" applyFont="1" applyBorder="1" applyAlignment="1">
      <alignment horizontal="left" vertical="center" readingOrder="1"/>
    </xf>
    <xf numFmtId="0" fontId="18" fillId="0" borderId="2" xfId="3" applyFont="1" applyBorder="1" applyAlignment="1">
      <alignment horizontal="right" vertical="center"/>
    </xf>
    <xf numFmtId="0" fontId="18" fillId="0" borderId="3" xfId="3" applyFont="1" applyBorder="1" applyAlignment="1">
      <alignment horizontal="right" vertical="center"/>
    </xf>
    <xf numFmtId="0" fontId="18" fillId="0" borderId="4" xfId="3" applyFont="1" applyBorder="1" applyAlignment="1">
      <alignment horizontal="right" vertical="center"/>
    </xf>
    <xf numFmtId="0" fontId="3" fillId="2" borderId="2" xfId="3" applyFont="1" applyFill="1" applyBorder="1" applyAlignment="1">
      <alignment horizontal="center" vertical="center"/>
    </xf>
    <xf numFmtId="0" fontId="3" fillId="2" borderId="4" xfId="3" applyFont="1" applyFill="1" applyBorder="1" applyAlignment="1">
      <alignment horizontal="center" vertical="center"/>
    </xf>
    <xf numFmtId="0" fontId="4" fillId="0" borderId="8" xfId="3" applyFont="1" applyBorder="1" applyAlignment="1">
      <alignment horizontal="center" vertical="center"/>
    </xf>
    <xf numFmtId="0" fontId="4" fillId="0" borderId="9" xfId="3" applyFont="1" applyBorder="1" applyAlignment="1">
      <alignment horizontal="center" vertical="center"/>
    </xf>
    <xf numFmtId="0" fontId="4" fillId="0" borderId="0" xfId="3" applyFont="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4" fillId="3" borderId="2" xfId="3" applyFont="1" applyFill="1" applyBorder="1" applyAlignment="1">
      <alignment horizontal="center" vertical="center" wrapText="1"/>
    </xf>
    <xf numFmtId="0" fontId="4" fillId="3" borderId="4" xfId="3" applyFont="1" applyFill="1" applyBorder="1" applyAlignment="1">
      <alignment horizontal="center" vertical="center" wrapText="1"/>
    </xf>
    <xf numFmtId="0" fontId="5" fillId="4" borderId="2"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17" fillId="5" borderId="2" xfId="3" applyFont="1" applyFill="1" applyBorder="1" applyAlignment="1">
      <alignment horizontal="center" vertical="top" wrapText="1"/>
    </xf>
    <xf numFmtId="0" fontId="17" fillId="5" borderId="4" xfId="3" applyFont="1" applyFill="1" applyBorder="1" applyAlignment="1">
      <alignment horizontal="center" vertical="top" wrapText="1"/>
    </xf>
    <xf numFmtId="0" fontId="3" fillId="2" borderId="3" xfId="3" applyFont="1" applyFill="1" applyBorder="1" applyAlignment="1">
      <alignment horizontal="center" vertical="center"/>
    </xf>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17" fillId="5" borderId="2" xfId="3" applyFont="1" applyFill="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18" fillId="10" borderId="2" xfId="3"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20" fillId="0" borderId="0" xfId="3" applyFont="1" applyAlignment="1">
      <alignment horizontal="center" vertical="center"/>
    </xf>
    <xf numFmtId="0" fontId="44" fillId="0" borderId="0" xfId="0" applyFont="1" applyAlignment="1">
      <alignment horizontal="center"/>
    </xf>
    <xf numFmtId="0" fontId="44" fillId="0" borderId="31" xfId="0" applyFont="1" applyBorder="1" applyAlignment="1">
      <alignment horizontal="center"/>
    </xf>
    <xf numFmtId="0" fontId="44" fillId="0" borderId="28" xfId="0" applyFont="1" applyBorder="1" applyAlignment="1">
      <alignment horizontal="center"/>
    </xf>
    <xf numFmtId="0" fontId="44" fillId="0" borderId="27" xfId="0" applyFont="1" applyBorder="1" applyAlignment="1">
      <alignment horizontal="center"/>
    </xf>
    <xf numFmtId="0" fontId="45" fillId="0" borderId="24"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25" xfId="0" applyFont="1" applyBorder="1" applyAlignment="1">
      <alignment horizontal="center" vertical="center" wrapText="1"/>
    </xf>
    <xf numFmtId="0" fontId="45" fillId="0" borderId="1" xfId="0" applyFont="1" applyBorder="1" applyAlignment="1">
      <alignment horizontal="center"/>
    </xf>
    <xf numFmtId="0" fontId="45" fillId="0" borderId="25" xfId="0" applyFont="1" applyBorder="1" applyAlignment="1">
      <alignment horizontal="center"/>
    </xf>
    <xf numFmtId="0" fontId="45" fillId="0" borderId="24" xfId="0" applyFont="1" applyBorder="1" applyAlignment="1">
      <alignment horizontal="left"/>
    </xf>
    <xf numFmtId="0" fontId="45" fillId="0" borderId="1" xfId="0" applyFont="1" applyBorder="1" applyAlignment="1">
      <alignment horizontal="left"/>
    </xf>
    <xf numFmtId="0" fontId="45" fillId="0" borderId="25" xfId="0" applyFont="1" applyBorder="1" applyAlignment="1">
      <alignment horizontal="left"/>
    </xf>
    <xf numFmtId="0" fontId="45" fillId="0" borderId="24" xfId="0" applyFont="1" applyBorder="1" applyAlignment="1">
      <alignment horizontal="right"/>
    </xf>
    <xf numFmtId="0" fontId="45" fillId="0" borderId="1" xfId="0" applyFont="1" applyBorder="1" applyAlignment="1">
      <alignment horizontal="right"/>
    </xf>
    <xf numFmtId="0" fontId="44" fillId="0" borderId="1" xfId="0" applyFont="1" applyBorder="1" applyAlignment="1">
      <alignment horizontal="center"/>
    </xf>
    <xf numFmtId="0" fontId="44" fillId="0" borderId="25" xfId="0" applyFont="1" applyBorder="1" applyAlignment="1">
      <alignment horizontal="center"/>
    </xf>
    <xf numFmtId="0" fontId="44" fillId="0" borderId="32" xfId="0" applyFont="1" applyBorder="1" applyAlignment="1">
      <alignment horizontal="center"/>
    </xf>
    <xf numFmtId="0" fontId="44" fillId="0" borderId="29" xfId="0" applyFont="1" applyBorder="1" applyAlignment="1">
      <alignment horizontal="center"/>
    </xf>
    <xf numFmtId="0" fontId="45" fillId="0" borderId="30" xfId="0" applyFont="1" applyBorder="1" applyAlignment="1">
      <alignment horizontal="right"/>
    </xf>
    <xf numFmtId="0" fontId="45" fillId="0" borderId="32" xfId="0" applyFont="1" applyBorder="1" applyAlignment="1">
      <alignment horizontal="right"/>
    </xf>
    <xf numFmtId="0" fontId="45" fillId="0" borderId="0" xfId="0" applyFont="1" applyAlignment="1">
      <alignment horizontal="left" vertical="top" wrapText="1"/>
    </xf>
    <xf numFmtId="0" fontId="18" fillId="8" borderId="2" xfId="3" applyFont="1" applyFill="1" applyBorder="1" applyAlignment="1">
      <alignment horizontal="left" vertical="center"/>
    </xf>
    <xf numFmtId="0" fontId="18" fillId="8" borderId="3" xfId="3" applyFont="1" applyFill="1" applyBorder="1" applyAlignment="1">
      <alignment horizontal="left" vertical="center"/>
    </xf>
    <xf numFmtId="0" fontId="18" fillId="8" borderId="4" xfId="3" applyFont="1" applyFill="1" applyBorder="1" applyAlignment="1">
      <alignment horizontal="left" vertical="center"/>
    </xf>
    <xf numFmtId="0" fontId="18" fillId="8" borderId="1" xfId="3" applyFont="1" applyFill="1" applyBorder="1" applyAlignment="1">
      <alignment horizontal="left" vertical="center"/>
    </xf>
    <xf numFmtId="0" fontId="33" fillId="8" borderId="1" xfId="0" applyFont="1" applyFill="1" applyBorder="1" applyAlignment="1">
      <alignment horizontal="left" vertical="center"/>
    </xf>
    <xf numFmtId="0" fontId="33" fillId="0" borderId="1" xfId="0" applyFont="1" applyBorder="1" applyAlignment="1">
      <alignment horizontal="left" vertical="center"/>
    </xf>
    <xf numFmtId="0" fontId="18" fillId="16" borderId="1" xfId="3" applyFont="1" applyFill="1" applyBorder="1" applyAlignment="1">
      <alignment horizontal="left" vertical="center"/>
    </xf>
    <xf numFmtId="0" fontId="33" fillId="16" borderId="1" xfId="0" applyFont="1" applyFill="1" applyBorder="1" applyAlignment="1">
      <alignment horizontal="left" vertical="center"/>
    </xf>
    <xf numFmtId="0" fontId="38" fillId="14" borderId="1" xfId="0" applyFont="1" applyFill="1" applyBorder="1" applyAlignment="1">
      <alignment horizontal="left"/>
    </xf>
    <xf numFmtId="0" fontId="38" fillId="14" borderId="1" xfId="0" applyFont="1" applyFill="1" applyBorder="1" applyAlignment="1">
      <alignment horizontal="left" vertical="top" wrapText="1"/>
    </xf>
    <xf numFmtId="0" fontId="3" fillId="2" borderId="1" xfId="3" applyFont="1" applyFill="1" applyBorder="1" applyAlignment="1">
      <alignment horizontal="center" vertical="center"/>
    </xf>
    <xf numFmtId="0" fontId="7" fillId="0" borderId="8" xfId="3" applyFont="1" applyBorder="1" applyAlignment="1">
      <alignment horizontal="center" vertical="center"/>
    </xf>
    <xf numFmtId="0" fontId="7" fillId="0" borderId="9" xfId="3" applyFont="1" applyBorder="1" applyAlignment="1">
      <alignment horizontal="center" vertical="center"/>
    </xf>
    <xf numFmtId="0" fontId="7" fillId="0" borderId="0" xfId="3" applyFont="1" applyAlignment="1">
      <alignment horizontal="center" vertical="center"/>
    </xf>
    <xf numFmtId="0" fontId="7" fillId="0" borderId="11" xfId="3" applyFont="1" applyBorder="1" applyAlignment="1">
      <alignment horizontal="center" vertical="center"/>
    </xf>
    <xf numFmtId="0" fontId="7" fillId="0" borderId="13" xfId="3" applyFont="1" applyBorder="1" applyAlignment="1">
      <alignment horizontal="center" vertical="center"/>
    </xf>
    <xf numFmtId="0" fontId="7" fillId="0" borderId="14" xfId="3" applyFont="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38" fillId="13" borderId="1" xfId="0" applyFont="1" applyFill="1" applyBorder="1" applyAlignment="1">
      <alignment horizontal="left"/>
    </xf>
    <xf numFmtId="0" fontId="18" fillId="0" borderId="2" xfId="3" applyFont="1" applyBorder="1" applyAlignment="1">
      <alignment horizontal="left" vertical="center"/>
    </xf>
    <xf numFmtId="0" fontId="18" fillId="0" borderId="3" xfId="3" applyFont="1" applyBorder="1" applyAlignment="1">
      <alignment horizontal="left" vertical="center"/>
    </xf>
    <xf numFmtId="0" fontId="40" fillId="0" borderId="10" xfId="3" applyFont="1" applyBorder="1" applyAlignment="1">
      <alignment horizontal="center" vertical="center" wrapText="1"/>
    </xf>
    <xf numFmtId="0" fontId="34" fillId="0" borderId="1" xfId="0" applyFont="1" applyBorder="1" applyAlignment="1">
      <alignment horizontal="right"/>
    </xf>
    <xf numFmtId="0" fontId="18" fillId="0" borderId="1" xfId="3" applyFont="1" applyBorder="1" applyAlignment="1">
      <alignment horizontal="right" vertical="center" wrapText="1"/>
    </xf>
    <xf numFmtId="167" fontId="18" fillId="11" borderId="1" xfId="3" applyNumberFormat="1" applyFont="1" applyFill="1" applyBorder="1" applyAlignment="1">
      <alignment horizontal="center" vertical="center"/>
    </xf>
    <xf numFmtId="0" fontId="18" fillId="10" borderId="1" xfId="3" applyFont="1" applyFill="1" applyBorder="1" applyAlignment="1">
      <alignment horizontal="center" vertical="center" wrapText="1"/>
    </xf>
    <xf numFmtId="44" fontId="30" fillId="0" borderId="1" xfId="6" applyFont="1" applyBorder="1" applyAlignment="1">
      <alignment wrapText="1"/>
    </xf>
    <xf numFmtId="0" fontId="18" fillId="11" borderId="1" xfId="3" applyFont="1" applyFill="1" applyBorder="1" applyAlignment="1">
      <alignment horizontal="center" vertical="center" wrapText="1"/>
    </xf>
    <xf numFmtId="173" fontId="9" fillId="0" borderId="1" xfId="2" applyNumberFormat="1" applyFont="1" applyFill="1" applyBorder="1" applyAlignment="1">
      <alignment horizontal="center" vertical="center"/>
    </xf>
    <xf numFmtId="167" fontId="6" fillId="0" borderId="1" xfId="3" applyNumberFormat="1" applyFont="1" applyBorder="1" applyAlignment="1">
      <alignment horizontal="center" vertical="center" wrapText="1"/>
    </xf>
    <xf numFmtId="0" fontId="18" fillId="11" borderId="1" xfId="3" applyFont="1" applyFill="1" applyBorder="1" applyAlignment="1">
      <alignment horizontal="center" vertical="center"/>
    </xf>
    <xf numFmtId="172" fontId="6" fillId="0" borderId="2" xfId="3" applyNumberFormat="1" applyFont="1" applyBorder="1" applyAlignment="1">
      <alignment horizontal="center" vertical="center" wrapText="1"/>
    </xf>
    <xf numFmtId="172" fontId="6" fillId="0" borderId="4" xfId="3" applyNumberFormat="1" applyFont="1" applyBorder="1" applyAlignment="1">
      <alignment horizontal="center" vertical="center" wrapText="1"/>
    </xf>
    <xf numFmtId="0" fontId="32" fillId="2" borderId="1" xfId="3" applyFont="1" applyFill="1" applyBorder="1" applyAlignment="1">
      <alignment horizontal="center" vertical="center"/>
    </xf>
    <xf numFmtId="0" fontId="32" fillId="2" borderId="2" xfId="3" applyFont="1" applyFill="1" applyBorder="1" applyAlignment="1">
      <alignment horizontal="center" vertical="center"/>
    </xf>
    <xf numFmtId="0" fontId="4" fillId="0" borderId="1" xfId="3" applyFont="1" applyBorder="1" applyAlignment="1">
      <alignment horizontal="center" vertical="center"/>
    </xf>
    <xf numFmtId="0" fontId="7" fillId="4" borderId="1"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42" fillId="0" borderId="3" xfId="8" applyFont="1" applyBorder="1" applyAlignment="1">
      <alignment horizontal="center" vertical="center"/>
    </xf>
    <xf numFmtId="0" fontId="42" fillId="0" borderId="4" xfId="8" applyFont="1" applyBorder="1" applyAlignment="1">
      <alignment horizontal="center" vertical="center"/>
    </xf>
    <xf numFmtId="0" fontId="0" fillId="0" borderId="1" xfId="0" applyBorder="1" applyAlignment="1">
      <alignment horizontal="left" vertical="center" wrapText="1"/>
    </xf>
    <xf numFmtId="0" fontId="34" fillId="8" borderId="1" xfId="0" applyFont="1" applyFill="1" applyBorder="1" applyAlignment="1">
      <alignment horizontal="center"/>
    </xf>
    <xf numFmtId="0" fontId="18" fillId="12" borderId="2" xfId="3" applyFont="1" applyFill="1" applyBorder="1" applyAlignment="1">
      <alignment horizontal="right" vertical="center" wrapText="1"/>
    </xf>
    <xf numFmtId="0" fontId="18" fillId="12" borderId="3" xfId="3" applyFont="1" applyFill="1" applyBorder="1" applyAlignment="1">
      <alignment horizontal="right" vertical="center" wrapText="1"/>
    </xf>
    <xf numFmtId="0" fontId="18" fillId="12" borderId="4" xfId="3" applyFont="1" applyFill="1" applyBorder="1" applyAlignment="1">
      <alignment horizontal="right" vertical="center" wrapText="1"/>
    </xf>
    <xf numFmtId="0" fontId="18" fillId="0" borderId="2" xfId="3" applyFont="1" applyBorder="1" applyAlignment="1">
      <alignment horizontal="right" vertical="center" wrapText="1"/>
    </xf>
    <xf numFmtId="0" fontId="18" fillId="0" borderId="3" xfId="3" applyFont="1" applyBorder="1" applyAlignment="1">
      <alignment horizontal="right" vertical="center" wrapText="1"/>
    </xf>
    <xf numFmtId="0" fontId="18" fillId="0" borderId="4" xfId="3" applyFont="1" applyBorder="1" applyAlignment="1">
      <alignment horizontal="right" vertical="center" wrapText="1"/>
    </xf>
    <xf numFmtId="0" fontId="0" fillId="0" borderId="1" xfId="0" applyBorder="1" applyAlignment="1">
      <alignment horizontal="left" vertical="top" wrapText="1"/>
    </xf>
    <xf numFmtId="0" fontId="18" fillId="0" borderId="7"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9" xfId="3" applyFont="1" applyBorder="1" applyAlignment="1">
      <alignment horizontal="center" vertical="center" wrapText="1"/>
    </xf>
    <xf numFmtId="0" fontId="0" fillId="0" borderId="1" xfId="0" applyBorder="1" applyAlignment="1">
      <alignment horizontal="center"/>
    </xf>
    <xf numFmtId="0" fontId="20" fillId="0" borderId="0" xfId="3" applyFont="1" applyAlignment="1">
      <alignment horizontal="left" vertical="center"/>
    </xf>
    <xf numFmtId="0" fontId="19" fillId="4" borderId="1" xfId="3" applyFont="1" applyFill="1" applyBorder="1" applyAlignment="1">
      <alignment horizontal="center" vertical="center" wrapText="1"/>
    </xf>
    <xf numFmtId="0" fontId="19" fillId="4" borderId="2" xfId="3" applyFont="1" applyFill="1" applyBorder="1" applyAlignment="1">
      <alignment horizontal="center" vertical="center" wrapText="1"/>
    </xf>
    <xf numFmtId="0" fontId="5" fillId="5" borderId="1" xfId="3" applyFont="1" applyFill="1" applyBorder="1" applyAlignment="1">
      <alignment horizontal="center" vertical="center"/>
    </xf>
    <xf numFmtId="0" fontId="5" fillId="5" borderId="2" xfId="3" applyFont="1" applyFill="1" applyBorder="1" applyAlignment="1">
      <alignment horizontal="center" vertical="center"/>
    </xf>
    <xf numFmtId="0" fontId="26" fillId="6" borderId="2" xfId="0" applyFont="1" applyFill="1" applyBorder="1" applyAlignment="1">
      <alignment horizontal="left" vertical="center" readingOrder="1"/>
    </xf>
    <xf numFmtId="0" fontId="26" fillId="6" borderId="4" xfId="0" applyFont="1" applyFill="1" applyBorder="1" applyAlignment="1">
      <alignment horizontal="left" vertical="center" readingOrder="1"/>
    </xf>
    <xf numFmtId="0" fontId="26" fillId="6" borderId="2" xfId="0" applyFont="1" applyFill="1" applyBorder="1" applyAlignment="1">
      <alignment horizontal="left" vertical="center" wrapText="1" readingOrder="1"/>
    </xf>
    <xf numFmtId="0" fontId="26" fillId="6" borderId="4" xfId="0" applyFont="1" applyFill="1" applyBorder="1" applyAlignment="1">
      <alignment horizontal="left" vertical="center" wrapText="1" readingOrder="1"/>
    </xf>
    <xf numFmtId="0" fontId="30" fillId="0" borderId="1" xfId="0" applyFont="1" applyBorder="1" applyAlignment="1">
      <alignment horizontal="right"/>
    </xf>
    <xf numFmtId="0" fontId="18" fillId="0" borderId="1" xfId="3" applyFont="1" applyBorder="1" applyAlignment="1">
      <alignment horizontal="left" vertical="center"/>
    </xf>
    <xf numFmtId="0" fontId="30" fillId="0" borderId="2" xfId="0" applyFont="1" applyBorder="1" applyAlignment="1">
      <alignment horizontal="right"/>
    </xf>
    <xf numFmtId="0" fontId="30" fillId="0" borderId="3" xfId="0" applyFont="1" applyBorder="1" applyAlignment="1">
      <alignment horizontal="right"/>
    </xf>
    <xf numFmtId="0" fontId="30" fillId="0" borderId="4" xfId="0" applyFont="1" applyBorder="1" applyAlignment="1">
      <alignment horizontal="right"/>
    </xf>
    <xf numFmtId="0" fontId="17" fillId="5" borderId="1" xfId="3" applyFont="1" applyFill="1" applyBorder="1" applyAlignment="1">
      <alignment horizontal="center" vertical="center"/>
    </xf>
    <xf numFmtId="44" fontId="32" fillId="0" borderId="1" xfId="6" applyFont="1" applyBorder="1" applyAlignment="1">
      <alignment horizontal="center" vertical="center"/>
    </xf>
    <xf numFmtId="0" fontId="6" fillId="0" borderId="1" xfId="3" applyFont="1" applyBorder="1" applyAlignment="1">
      <alignment horizontal="center" vertical="center" wrapText="1"/>
    </xf>
    <xf numFmtId="0" fontId="30" fillId="0" borderId="1" xfId="0" applyFont="1" applyBorder="1" applyAlignment="1">
      <alignment horizontal="center"/>
    </xf>
    <xf numFmtId="0" fontId="34" fillId="0" borderId="1" xfId="0" applyFont="1" applyBorder="1" applyAlignment="1">
      <alignment horizontal="center"/>
    </xf>
    <xf numFmtId="0" fontId="22" fillId="0" borderId="3" xfId="3" applyFont="1" applyBorder="1" applyAlignment="1">
      <alignment horizontal="left" vertical="center" wrapText="1"/>
    </xf>
    <xf numFmtId="0" fontId="22" fillId="0" borderId="4" xfId="3" applyFont="1" applyBorder="1" applyAlignment="1">
      <alignment horizontal="left" vertical="center" wrapText="1"/>
    </xf>
    <xf numFmtId="4" fontId="29" fillId="11" borderId="1" xfId="3" applyNumberFormat="1" applyFont="1" applyFill="1" applyBorder="1" applyAlignment="1">
      <alignment horizontal="center" vertical="center"/>
    </xf>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4" fontId="29" fillId="0" borderId="2" xfId="3" applyNumberFormat="1" applyFont="1" applyBorder="1" applyAlignment="1">
      <alignment horizontal="center" vertical="center" wrapText="1"/>
    </xf>
    <xf numFmtId="4" fontId="29" fillId="0" borderId="4" xfId="3" applyNumberFormat="1" applyFont="1" applyBorder="1" applyAlignment="1">
      <alignment horizontal="center" vertical="center" wrapText="1"/>
    </xf>
    <xf numFmtId="0" fontId="22" fillId="0" borderId="2" xfId="3" applyFont="1" applyBorder="1" applyAlignment="1">
      <alignment horizontal="left" vertical="center" wrapText="1"/>
    </xf>
    <xf numFmtId="0" fontId="18" fillId="0" borderId="2" xfId="3" applyFont="1" applyBorder="1" applyAlignment="1">
      <alignment horizontal="center" vertical="center" wrapText="1"/>
    </xf>
    <xf numFmtId="0" fontId="18" fillId="0" borderId="4" xfId="3" applyFont="1" applyBorder="1" applyAlignment="1">
      <alignment horizontal="center" vertical="center" wrapText="1"/>
    </xf>
    <xf numFmtId="0" fontId="5" fillId="0" borderId="0" xfId="3" applyFont="1" applyAlignment="1">
      <alignment horizontal="center" vertical="center"/>
    </xf>
  </cellXfs>
  <cellStyles count="16">
    <cellStyle name="Hipervínculo" xfId="4" builtinId="8"/>
    <cellStyle name="Millares [0]" xfId="7" builtinId="6"/>
    <cellStyle name="Millares 3 2 3" xfId="15" xr:uid="{9B1718D0-2E83-43FB-A795-FF2CB48FC6BC}"/>
    <cellStyle name="Moneda" xfId="6" builtinId="4"/>
    <cellStyle name="Moneda [0]" xfId="1" builtinId="7"/>
    <cellStyle name="Moneda 11" xfId="9" xr:uid="{00000000-0005-0000-0000-000004000000}"/>
    <cellStyle name="Moneda 2" xfId="14" xr:uid="{00000000-0005-0000-0000-000005000000}"/>
    <cellStyle name="Moneda 3 2 2" xfId="12" xr:uid="{00000000-0005-0000-0000-000006000000}"/>
    <cellStyle name="Moneda 6 2" xfId="10" xr:uid="{00000000-0005-0000-0000-000007000000}"/>
    <cellStyle name="Normal" xfId="0" builtinId="0"/>
    <cellStyle name="Normal 12" xfId="11" xr:uid="{00000000-0005-0000-0000-000009000000}"/>
    <cellStyle name="Normal 2 2 2 2 2" xfId="8" xr:uid="{00000000-0005-0000-0000-00000A000000}"/>
    <cellStyle name="Normal 2 3 2 3" xfId="13" xr:uid="{00000000-0005-0000-0000-00000B000000}"/>
    <cellStyle name="Normal 3" xfId="5" xr:uid="{00000000-0005-0000-0000-00000C000000}"/>
    <cellStyle name="Normal 6 2" xfId="3" xr:uid="{00000000-0005-0000-0000-00000D000000}"/>
    <cellStyle name="Porcentaje" xfId="2" builtinId="5"/>
  </cellStyles>
  <dxfs count="1">
    <dxf>
      <fill>
        <patternFill>
          <bgColor theme="7"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837970</xdr:colOff>
      <xdr:row>0</xdr:row>
      <xdr:rowOff>203200</xdr:rowOff>
    </xdr:from>
    <xdr:to>
      <xdr:col>0</xdr:col>
      <xdr:colOff>1777999</xdr:colOff>
      <xdr:row>3</xdr:row>
      <xdr:rowOff>82350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37970" y="203200"/>
          <a:ext cx="940029" cy="1098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79375</xdr:colOff>
      <xdr:row>1</xdr:row>
      <xdr:rowOff>190500</xdr:rowOff>
    </xdr:from>
    <xdr:to>
      <xdr:col>7</xdr:col>
      <xdr:colOff>425450</xdr:colOff>
      <xdr:row>2</xdr:row>
      <xdr:rowOff>848360</xdr:rowOff>
    </xdr:to>
    <xdr:pic>
      <xdr:nvPicPr>
        <xdr:cNvPr id="3" name="Imagen 2">
          <a:extLst>
            <a:ext uri="{FF2B5EF4-FFF2-40B4-BE49-F238E27FC236}">
              <a16:creationId xmlns:a16="http://schemas.microsoft.com/office/drawing/2014/main" id="{27AD8EBC-D3B5-3D6D-E57F-5890E3DB74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41875" y="523875"/>
          <a:ext cx="2171700" cy="927735"/>
        </a:xfrm>
        <a:prstGeom prst="rect">
          <a:avLst/>
        </a:prstGeom>
        <a:ln>
          <a:noFill/>
        </a:ln>
        <a:effectLst>
          <a:glow rad="139700">
            <a:schemeClr val="accent6">
              <a:satMod val="175000"/>
              <a:alpha val="40000"/>
            </a:schemeClr>
          </a:glow>
          <a:outerShdw blurRad="292100" dist="139700" dir="2700000" algn="tl" rotWithShape="0">
            <a:srgbClr val="333333">
              <a:alpha val="65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30841</xdr:colOff>
      <xdr:row>0</xdr:row>
      <xdr:rowOff>31294</xdr:rowOff>
    </xdr:from>
    <xdr:to>
      <xdr:col>7</xdr:col>
      <xdr:colOff>274175</xdr:colOff>
      <xdr:row>3</xdr:row>
      <xdr:rowOff>61735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7121674" y="31294"/>
          <a:ext cx="1374949" cy="16355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742950</xdr:colOff>
      <xdr:row>58</xdr:row>
      <xdr:rowOff>57150</xdr:rowOff>
    </xdr:from>
    <xdr:ext cx="619125" cy="726330"/>
    <xdr:pic>
      <xdr:nvPicPr>
        <xdr:cNvPr id="22" name="Imagen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1"/>
        <a:stretch>
          <a:fillRect/>
        </a:stretch>
      </xdr:blipFill>
      <xdr:spPr>
        <a:xfrm>
          <a:off x="6591300" y="295275"/>
          <a:ext cx="619125" cy="726330"/>
        </a:xfrm>
        <a:prstGeom prst="rect">
          <a:avLst/>
        </a:prstGeom>
      </xdr:spPr>
    </xdr:pic>
    <xdr:clientData/>
  </xdr:oneCellAnchor>
  <xdr:oneCellAnchor>
    <xdr:from>
      <xdr:col>5</xdr:col>
      <xdr:colOff>142875</xdr:colOff>
      <xdr:row>111</xdr:row>
      <xdr:rowOff>142875</xdr:rowOff>
    </xdr:from>
    <xdr:ext cx="619125" cy="724132"/>
    <xdr:pic>
      <xdr:nvPicPr>
        <xdr:cNvPr id="30" name="Imagen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
        <a:stretch>
          <a:fillRect/>
        </a:stretch>
      </xdr:blipFill>
      <xdr:spPr>
        <a:xfrm>
          <a:off x="5506183" y="133358060"/>
          <a:ext cx="619125" cy="724132"/>
        </a:xfrm>
        <a:prstGeom prst="rect">
          <a:avLst/>
        </a:prstGeom>
      </xdr:spPr>
    </xdr:pic>
    <xdr:clientData/>
  </xdr:oneCellAnchor>
  <xdr:oneCellAnchor>
    <xdr:from>
      <xdr:col>5</xdr:col>
      <xdr:colOff>790575</xdr:colOff>
      <xdr:row>168</xdr:row>
      <xdr:rowOff>114300</xdr:rowOff>
    </xdr:from>
    <xdr:ext cx="619125" cy="724132"/>
    <xdr:pic>
      <xdr:nvPicPr>
        <xdr:cNvPr id="6" name="Imagen 5">
          <a:extLst>
            <a:ext uri="{FF2B5EF4-FFF2-40B4-BE49-F238E27FC236}">
              <a16:creationId xmlns:a16="http://schemas.microsoft.com/office/drawing/2014/main" id="{EAFC451E-3D41-4649-B51F-9A948CD68DD0}"/>
            </a:ext>
          </a:extLst>
        </xdr:cNvPr>
        <xdr:cNvPicPr>
          <a:picLocks noChangeAspect="1"/>
        </xdr:cNvPicPr>
      </xdr:nvPicPr>
      <xdr:blipFill>
        <a:blip xmlns:r="http://schemas.openxmlformats.org/officeDocument/2006/relationships" r:embed="rId1"/>
        <a:stretch>
          <a:fillRect/>
        </a:stretch>
      </xdr:blipFill>
      <xdr:spPr>
        <a:xfrm>
          <a:off x="6638925" y="37623750"/>
          <a:ext cx="619125" cy="724132"/>
        </a:xfrm>
        <a:prstGeom prst="rect">
          <a:avLst/>
        </a:prstGeom>
      </xdr:spPr>
    </xdr:pic>
    <xdr:clientData/>
  </xdr:oneCellAnchor>
  <xdr:oneCellAnchor>
    <xdr:from>
      <xdr:col>5</xdr:col>
      <xdr:colOff>114300</xdr:colOff>
      <xdr:row>227</xdr:row>
      <xdr:rowOff>123825</xdr:rowOff>
    </xdr:from>
    <xdr:ext cx="619125" cy="724132"/>
    <xdr:pic>
      <xdr:nvPicPr>
        <xdr:cNvPr id="7" name="Imagen 6">
          <a:extLst>
            <a:ext uri="{FF2B5EF4-FFF2-40B4-BE49-F238E27FC236}">
              <a16:creationId xmlns:a16="http://schemas.microsoft.com/office/drawing/2014/main" id="{4FDBA1C8-26B2-4D4B-A8B5-399F5E93866E}"/>
            </a:ext>
          </a:extLst>
        </xdr:cNvPr>
        <xdr:cNvPicPr>
          <a:picLocks noChangeAspect="1"/>
        </xdr:cNvPicPr>
      </xdr:nvPicPr>
      <xdr:blipFill>
        <a:blip xmlns:r="http://schemas.openxmlformats.org/officeDocument/2006/relationships" r:embed="rId1"/>
        <a:stretch>
          <a:fillRect/>
        </a:stretch>
      </xdr:blipFill>
      <xdr:spPr>
        <a:xfrm>
          <a:off x="5962650" y="38804850"/>
          <a:ext cx="619125" cy="724132"/>
        </a:xfrm>
        <a:prstGeom prst="rect">
          <a:avLst/>
        </a:prstGeom>
      </xdr:spPr>
    </xdr:pic>
    <xdr:clientData/>
  </xdr:oneCellAnchor>
  <xdr:oneCellAnchor>
    <xdr:from>
      <xdr:col>5</xdr:col>
      <xdr:colOff>742950</xdr:colOff>
      <xdr:row>1</xdr:row>
      <xdr:rowOff>57150</xdr:rowOff>
    </xdr:from>
    <xdr:ext cx="619125" cy="726330"/>
    <xdr:pic>
      <xdr:nvPicPr>
        <xdr:cNvPr id="3" name="Imagen 2">
          <a:extLst>
            <a:ext uri="{FF2B5EF4-FFF2-40B4-BE49-F238E27FC236}">
              <a16:creationId xmlns:a16="http://schemas.microsoft.com/office/drawing/2014/main" id="{A7470F83-01B3-4EAF-A0B0-7002C6D2CEA4}"/>
            </a:ext>
          </a:extLst>
        </xdr:cNvPr>
        <xdr:cNvPicPr>
          <a:picLocks noChangeAspect="1"/>
        </xdr:cNvPicPr>
      </xdr:nvPicPr>
      <xdr:blipFill>
        <a:blip xmlns:r="http://schemas.openxmlformats.org/officeDocument/2006/relationships" r:embed="rId1"/>
        <a:stretch>
          <a:fillRect/>
        </a:stretch>
      </xdr:blipFill>
      <xdr:spPr>
        <a:xfrm>
          <a:off x="6591300" y="12934950"/>
          <a:ext cx="619125" cy="726330"/>
        </a:xfrm>
        <a:prstGeom prst="rect">
          <a:avLst/>
        </a:prstGeom>
      </xdr:spPr>
    </xdr:pic>
    <xdr:clientData/>
  </xdr:oneCellAnchor>
  <xdr:oneCellAnchor>
    <xdr:from>
      <xdr:col>5</xdr:col>
      <xdr:colOff>114300</xdr:colOff>
      <xdr:row>285</xdr:row>
      <xdr:rowOff>123825</xdr:rowOff>
    </xdr:from>
    <xdr:ext cx="619125" cy="724132"/>
    <xdr:pic>
      <xdr:nvPicPr>
        <xdr:cNvPr id="8" name="Imagen 7">
          <a:extLst>
            <a:ext uri="{FF2B5EF4-FFF2-40B4-BE49-F238E27FC236}">
              <a16:creationId xmlns:a16="http://schemas.microsoft.com/office/drawing/2014/main" id="{FEBF4398-AEB5-45F8-9738-80FBE1B9E44D}"/>
            </a:ext>
          </a:extLst>
        </xdr:cNvPr>
        <xdr:cNvPicPr>
          <a:picLocks noChangeAspect="1"/>
        </xdr:cNvPicPr>
      </xdr:nvPicPr>
      <xdr:blipFill>
        <a:blip xmlns:r="http://schemas.openxmlformats.org/officeDocument/2006/relationships" r:embed="rId1"/>
        <a:stretch>
          <a:fillRect/>
        </a:stretch>
      </xdr:blipFill>
      <xdr:spPr>
        <a:xfrm>
          <a:off x="6149340" y="45036105"/>
          <a:ext cx="619125" cy="724132"/>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5</xdr:col>
      <xdr:colOff>50800</xdr:colOff>
      <xdr:row>0</xdr:row>
      <xdr:rowOff>172721</xdr:rowOff>
    </xdr:from>
    <xdr:to>
      <xdr:col>5</xdr:col>
      <xdr:colOff>607060</xdr:colOff>
      <xdr:row>2</xdr:row>
      <xdr:rowOff>269241</xdr:rowOff>
    </xdr:to>
    <xdr:pic>
      <xdr:nvPicPr>
        <xdr:cNvPr id="3" name="Imagen 2">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3000" y="172721"/>
          <a:ext cx="556260" cy="591820"/>
        </a:xfrm>
        <a:prstGeom prst="rect">
          <a:avLst/>
        </a:prstGeom>
        <a:noFill/>
        <a:ln>
          <a:noFill/>
        </a:ln>
      </xdr:spPr>
    </xdr:pic>
    <xdr:clientData/>
  </xdr:twoCellAnchor>
  <xdr:twoCellAnchor editAs="oneCell">
    <xdr:from>
      <xdr:col>5</xdr:col>
      <xdr:colOff>655322</xdr:colOff>
      <xdr:row>0</xdr:row>
      <xdr:rowOff>167640</xdr:rowOff>
    </xdr:from>
    <xdr:to>
      <xdr:col>6</xdr:col>
      <xdr:colOff>777240</xdr:colOff>
      <xdr:row>2</xdr:row>
      <xdr:rowOff>160020</xdr:rowOff>
    </xdr:to>
    <xdr:pic>
      <xdr:nvPicPr>
        <xdr:cNvPr id="4" name="Imagen 3">
          <a:extLst>
            <a:ext uri="{FF2B5EF4-FFF2-40B4-BE49-F238E27FC236}">
              <a16:creationId xmlns:a16="http://schemas.microsoft.com/office/drawing/2014/main"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46522" y="167640"/>
          <a:ext cx="922018" cy="48768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oneCellAnchor>
    <xdr:from>
      <xdr:col>5</xdr:col>
      <xdr:colOff>250372</xdr:colOff>
      <xdr:row>16</xdr:row>
      <xdr:rowOff>108858</xdr:rowOff>
    </xdr:from>
    <xdr:ext cx="619125" cy="723399"/>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6836229" y="108858"/>
          <a:ext cx="619125" cy="723399"/>
        </a:xfrm>
        <a:prstGeom prst="rect">
          <a:avLst/>
        </a:prstGeom>
      </xdr:spPr>
    </xdr:pic>
    <xdr:clientData/>
  </xdr:oneCellAnchor>
  <xdr:oneCellAnchor>
    <xdr:from>
      <xdr:col>5</xdr:col>
      <xdr:colOff>250371</xdr:colOff>
      <xdr:row>31</xdr:row>
      <xdr:rowOff>108857</xdr:rowOff>
    </xdr:from>
    <xdr:ext cx="619125" cy="723399"/>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stretch>
          <a:fillRect/>
        </a:stretch>
      </xdr:blipFill>
      <xdr:spPr>
        <a:xfrm>
          <a:off x="6836228" y="5334000"/>
          <a:ext cx="619125" cy="723399"/>
        </a:xfrm>
        <a:prstGeom prst="rect">
          <a:avLst/>
        </a:prstGeom>
      </xdr:spPr>
    </xdr:pic>
    <xdr:clientData/>
  </xdr:oneCellAnchor>
  <xdr:oneCellAnchor>
    <xdr:from>
      <xdr:col>5</xdr:col>
      <xdr:colOff>843643</xdr:colOff>
      <xdr:row>46</xdr:row>
      <xdr:rowOff>27214</xdr:rowOff>
    </xdr:from>
    <xdr:ext cx="619125" cy="723399"/>
    <xdr:pic>
      <xdr:nvPicPr>
        <xdr:cNvPr id="44" name="Imagen 43">
          <a:extLst>
            <a:ext uri="{FF2B5EF4-FFF2-40B4-BE49-F238E27FC236}">
              <a16:creationId xmlns:a16="http://schemas.microsoft.com/office/drawing/2014/main" id="{7C76F436-E85B-4DA4-992C-5200FE9F29A5}"/>
            </a:ext>
          </a:extLst>
        </xdr:cNvPr>
        <xdr:cNvPicPr>
          <a:picLocks noChangeAspect="1"/>
        </xdr:cNvPicPr>
      </xdr:nvPicPr>
      <xdr:blipFill>
        <a:blip xmlns:r="http://schemas.openxmlformats.org/officeDocument/2006/relationships" r:embed="rId1"/>
        <a:stretch>
          <a:fillRect/>
        </a:stretch>
      </xdr:blipFill>
      <xdr:spPr>
        <a:xfrm>
          <a:off x="7320643" y="7660821"/>
          <a:ext cx="619125" cy="723399"/>
        </a:xfrm>
        <a:prstGeom prst="rect">
          <a:avLst/>
        </a:prstGeom>
      </xdr:spPr>
    </xdr:pic>
    <xdr:clientData/>
  </xdr:oneCellAnchor>
  <xdr:oneCellAnchor>
    <xdr:from>
      <xdr:col>5</xdr:col>
      <xdr:colOff>250372</xdr:colOff>
      <xdr:row>0</xdr:row>
      <xdr:rowOff>108858</xdr:rowOff>
    </xdr:from>
    <xdr:ext cx="619125" cy="723399"/>
    <xdr:pic>
      <xdr:nvPicPr>
        <xdr:cNvPr id="3" name="Imagen 2">
          <a:extLst>
            <a:ext uri="{FF2B5EF4-FFF2-40B4-BE49-F238E27FC236}">
              <a16:creationId xmlns:a16="http://schemas.microsoft.com/office/drawing/2014/main" id="{14FE7B14-132F-4BE5-B62B-FE871FDA9375}"/>
            </a:ext>
          </a:extLst>
        </xdr:cNvPr>
        <xdr:cNvPicPr>
          <a:picLocks noChangeAspect="1"/>
        </xdr:cNvPicPr>
      </xdr:nvPicPr>
      <xdr:blipFill>
        <a:blip xmlns:r="http://schemas.openxmlformats.org/officeDocument/2006/relationships" r:embed="rId1"/>
        <a:stretch>
          <a:fillRect/>
        </a:stretch>
      </xdr:blipFill>
      <xdr:spPr>
        <a:xfrm>
          <a:off x="6727372" y="4191001"/>
          <a:ext cx="619125" cy="723399"/>
        </a:xfrm>
        <a:prstGeom prst="rect">
          <a:avLst/>
        </a:prstGeom>
      </xdr:spPr>
    </xdr:pic>
    <xdr:clientData/>
  </xdr:oneCellAnchor>
  <xdr:oneCellAnchor>
    <xdr:from>
      <xdr:col>5</xdr:col>
      <xdr:colOff>843643</xdr:colOff>
      <xdr:row>62</xdr:row>
      <xdr:rowOff>27214</xdr:rowOff>
    </xdr:from>
    <xdr:ext cx="619125" cy="723399"/>
    <xdr:pic>
      <xdr:nvPicPr>
        <xdr:cNvPr id="7" name="Imagen 6">
          <a:extLst>
            <a:ext uri="{FF2B5EF4-FFF2-40B4-BE49-F238E27FC236}">
              <a16:creationId xmlns:a16="http://schemas.microsoft.com/office/drawing/2014/main" id="{0C689F7E-D9E8-4A38-9FE1-7ACAEE409A10}"/>
            </a:ext>
          </a:extLst>
        </xdr:cNvPr>
        <xdr:cNvPicPr>
          <a:picLocks noChangeAspect="1"/>
        </xdr:cNvPicPr>
      </xdr:nvPicPr>
      <xdr:blipFill>
        <a:blip xmlns:r="http://schemas.openxmlformats.org/officeDocument/2006/relationships" r:embed="rId1"/>
        <a:stretch>
          <a:fillRect/>
        </a:stretch>
      </xdr:blipFill>
      <xdr:spPr>
        <a:xfrm>
          <a:off x="7513191" y="12809149"/>
          <a:ext cx="619125" cy="723399"/>
        </a:xfrm>
        <a:prstGeom prst="rect">
          <a:avLst/>
        </a:prstGeom>
      </xdr:spPr>
    </xdr:pic>
    <xdr:clientData/>
  </xdr:oneCellAnchor>
  <xdr:oneCellAnchor>
    <xdr:from>
      <xdr:col>5</xdr:col>
      <xdr:colOff>843643</xdr:colOff>
      <xdr:row>78</xdr:row>
      <xdr:rowOff>27214</xdr:rowOff>
    </xdr:from>
    <xdr:ext cx="619125" cy="723399"/>
    <xdr:pic>
      <xdr:nvPicPr>
        <xdr:cNvPr id="8" name="Imagen 7">
          <a:extLst>
            <a:ext uri="{FF2B5EF4-FFF2-40B4-BE49-F238E27FC236}">
              <a16:creationId xmlns:a16="http://schemas.microsoft.com/office/drawing/2014/main" id="{AFB88B8B-14B9-48C2-8D6F-4832CB03ADCC}"/>
            </a:ext>
          </a:extLst>
        </xdr:cNvPr>
        <xdr:cNvPicPr>
          <a:picLocks noChangeAspect="1"/>
        </xdr:cNvPicPr>
      </xdr:nvPicPr>
      <xdr:blipFill>
        <a:blip xmlns:r="http://schemas.openxmlformats.org/officeDocument/2006/relationships" r:embed="rId1"/>
        <a:stretch>
          <a:fillRect/>
        </a:stretch>
      </xdr:blipFill>
      <xdr:spPr>
        <a:xfrm>
          <a:off x="7513191" y="17897343"/>
          <a:ext cx="619125" cy="72339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5</xdr:col>
      <xdr:colOff>158262</xdr:colOff>
      <xdr:row>125</xdr:row>
      <xdr:rowOff>105508</xdr:rowOff>
    </xdr:from>
    <xdr:to>
      <xdr:col>6</xdr:col>
      <xdr:colOff>1061090</xdr:colOff>
      <xdr:row>129</xdr:row>
      <xdr:rowOff>37599</xdr:rowOff>
    </xdr:to>
    <xdr:grpSp>
      <xdr:nvGrpSpPr>
        <xdr:cNvPr id="8" name="Grupo 7">
          <a:extLst>
            <a:ext uri="{FF2B5EF4-FFF2-40B4-BE49-F238E27FC236}">
              <a16:creationId xmlns:a16="http://schemas.microsoft.com/office/drawing/2014/main" id="{00000000-0008-0000-0C00-000008000000}"/>
            </a:ext>
          </a:extLst>
        </xdr:cNvPr>
        <xdr:cNvGrpSpPr/>
      </xdr:nvGrpSpPr>
      <xdr:grpSpPr>
        <a:xfrm>
          <a:off x="4892187" y="23832283"/>
          <a:ext cx="1798178" cy="751241"/>
          <a:chOff x="6781800" y="12377058"/>
          <a:chExt cx="1817228" cy="723399"/>
        </a:xfrm>
      </xdr:grpSpPr>
      <xdr:pic>
        <xdr:nvPicPr>
          <xdr:cNvPr id="9" name="Imagen 8">
            <a:extLst>
              <a:ext uri="{FF2B5EF4-FFF2-40B4-BE49-F238E27FC236}">
                <a16:creationId xmlns:a16="http://schemas.microsoft.com/office/drawing/2014/main" id="{00000000-0008-0000-0C00-000009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0" name="Imagen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164123</xdr:colOff>
      <xdr:row>187</xdr:row>
      <xdr:rowOff>169985</xdr:rowOff>
    </xdr:from>
    <xdr:to>
      <xdr:col>6</xdr:col>
      <xdr:colOff>1066951</xdr:colOff>
      <xdr:row>191</xdr:row>
      <xdr:rowOff>102077</xdr:rowOff>
    </xdr:to>
    <xdr:grpSp>
      <xdr:nvGrpSpPr>
        <xdr:cNvPr id="11" name="Grupo 10">
          <a:extLst>
            <a:ext uri="{FF2B5EF4-FFF2-40B4-BE49-F238E27FC236}">
              <a16:creationId xmlns:a16="http://schemas.microsoft.com/office/drawing/2014/main" id="{00000000-0008-0000-0C00-00000B000000}"/>
            </a:ext>
          </a:extLst>
        </xdr:cNvPr>
        <xdr:cNvGrpSpPr/>
      </xdr:nvGrpSpPr>
      <xdr:grpSpPr>
        <a:xfrm>
          <a:off x="4898048" y="36269735"/>
          <a:ext cx="1798178" cy="751242"/>
          <a:chOff x="6781800" y="12377058"/>
          <a:chExt cx="1817228" cy="723399"/>
        </a:xfrm>
      </xdr:grpSpPr>
      <xdr:pic>
        <xdr:nvPicPr>
          <xdr:cNvPr id="12" name="Imagen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3" name="Imagen 12">
            <a:extLst>
              <a:ext uri="{FF2B5EF4-FFF2-40B4-BE49-F238E27FC236}">
                <a16:creationId xmlns:a16="http://schemas.microsoft.com/office/drawing/2014/main" id="{00000000-0008-0000-0C00-00000D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175846</xdr:colOff>
      <xdr:row>249</xdr:row>
      <xdr:rowOff>187570</xdr:rowOff>
    </xdr:from>
    <xdr:to>
      <xdr:col>6</xdr:col>
      <xdr:colOff>1078674</xdr:colOff>
      <xdr:row>253</xdr:row>
      <xdr:rowOff>119661</xdr:rowOff>
    </xdr:to>
    <xdr:grpSp>
      <xdr:nvGrpSpPr>
        <xdr:cNvPr id="14" name="Grupo 13">
          <a:extLst>
            <a:ext uri="{FF2B5EF4-FFF2-40B4-BE49-F238E27FC236}">
              <a16:creationId xmlns:a16="http://schemas.microsoft.com/office/drawing/2014/main" id="{00000000-0008-0000-0C00-00000E000000}"/>
            </a:ext>
          </a:extLst>
        </xdr:cNvPr>
        <xdr:cNvGrpSpPr/>
      </xdr:nvGrpSpPr>
      <xdr:grpSpPr>
        <a:xfrm>
          <a:off x="4909771" y="48555520"/>
          <a:ext cx="1798178" cy="751241"/>
          <a:chOff x="6781800" y="12377058"/>
          <a:chExt cx="1817228" cy="723399"/>
        </a:xfrm>
      </xdr:grpSpPr>
      <xdr:pic>
        <xdr:nvPicPr>
          <xdr:cNvPr id="15" name="Imagen 14">
            <a:extLst>
              <a:ext uri="{FF2B5EF4-FFF2-40B4-BE49-F238E27FC236}">
                <a16:creationId xmlns:a16="http://schemas.microsoft.com/office/drawing/2014/main" id="{00000000-0008-0000-0C00-00000F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16" name="Imagen 15">
            <a:extLst>
              <a:ext uri="{FF2B5EF4-FFF2-40B4-BE49-F238E27FC236}">
                <a16:creationId xmlns:a16="http://schemas.microsoft.com/office/drawing/2014/main" id="{00000000-0008-0000-0C00-000010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128953</xdr:colOff>
      <xdr:row>311</xdr:row>
      <xdr:rowOff>134815</xdr:rowOff>
    </xdr:from>
    <xdr:to>
      <xdr:col>6</xdr:col>
      <xdr:colOff>1031781</xdr:colOff>
      <xdr:row>315</xdr:row>
      <xdr:rowOff>66906</xdr:rowOff>
    </xdr:to>
    <xdr:grpSp>
      <xdr:nvGrpSpPr>
        <xdr:cNvPr id="20" name="Grupo 19">
          <a:extLst>
            <a:ext uri="{FF2B5EF4-FFF2-40B4-BE49-F238E27FC236}">
              <a16:creationId xmlns:a16="http://schemas.microsoft.com/office/drawing/2014/main" id="{00000000-0008-0000-0C00-000014000000}"/>
            </a:ext>
          </a:extLst>
        </xdr:cNvPr>
        <xdr:cNvGrpSpPr/>
      </xdr:nvGrpSpPr>
      <xdr:grpSpPr>
        <a:xfrm>
          <a:off x="4862878" y="60770965"/>
          <a:ext cx="1798178" cy="751241"/>
          <a:chOff x="6781800" y="12377058"/>
          <a:chExt cx="1817228" cy="723399"/>
        </a:xfrm>
      </xdr:grpSpPr>
      <xdr:pic>
        <xdr:nvPicPr>
          <xdr:cNvPr id="21" name="Imagen 20">
            <a:extLst>
              <a:ext uri="{FF2B5EF4-FFF2-40B4-BE49-F238E27FC236}">
                <a16:creationId xmlns:a16="http://schemas.microsoft.com/office/drawing/2014/main" id="{00000000-0008-0000-0C00-000015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2" name="Imagen 21">
            <a:extLst>
              <a:ext uri="{FF2B5EF4-FFF2-40B4-BE49-F238E27FC236}">
                <a16:creationId xmlns:a16="http://schemas.microsoft.com/office/drawing/2014/main" id="{00000000-0008-0000-0C00-00001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169984</xdr:colOff>
      <xdr:row>373</xdr:row>
      <xdr:rowOff>93785</xdr:rowOff>
    </xdr:from>
    <xdr:to>
      <xdr:col>6</xdr:col>
      <xdr:colOff>1072812</xdr:colOff>
      <xdr:row>377</xdr:row>
      <xdr:rowOff>25876</xdr:rowOff>
    </xdr:to>
    <xdr:grpSp>
      <xdr:nvGrpSpPr>
        <xdr:cNvPr id="23" name="Grupo 22">
          <a:extLst>
            <a:ext uri="{FF2B5EF4-FFF2-40B4-BE49-F238E27FC236}">
              <a16:creationId xmlns:a16="http://schemas.microsoft.com/office/drawing/2014/main" id="{00000000-0008-0000-0C00-000017000000}"/>
            </a:ext>
          </a:extLst>
        </xdr:cNvPr>
        <xdr:cNvGrpSpPr/>
      </xdr:nvGrpSpPr>
      <xdr:grpSpPr>
        <a:xfrm>
          <a:off x="4903909" y="73026710"/>
          <a:ext cx="1798178" cy="751241"/>
          <a:chOff x="6781800" y="12377058"/>
          <a:chExt cx="1817228" cy="723399"/>
        </a:xfrm>
      </xdr:grpSpPr>
      <xdr:pic>
        <xdr:nvPicPr>
          <xdr:cNvPr id="24" name="Imagen 23">
            <a:extLst>
              <a:ext uri="{FF2B5EF4-FFF2-40B4-BE49-F238E27FC236}">
                <a16:creationId xmlns:a16="http://schemas.microsoft.com/office/drawing/2014/main" id="{00000000-0008-0000-0C00-000018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5" name="Imagen 24">
            <a:extLst>
              <a:ext uri="{FF2B5EF4-FFF2-40B4-BE49-F238E27FC236}">
                <a16:creationId xmlns:a16="http://schemas.microsoft.com/office/drawing/2014/main" id="{00000000-0008-0000-0C00-00001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169985</xdr:colOff>
      <xdr:row>435</xdr:row>
      <xdr:rowOff>105507</xdr:rowOff>
    </xdr:from>
    <xdr:to>
      <xdr:col>6</xdr:col>
      <xdr:colOff>1072813</xdr:colOff>
      <xdr:row>439</xdr:row>
      <xdr:rowOff>37598</xdr:rowOff>
    </xdr:to>
    <xdr:grpSp>
      <xdr:nvGrpSpPr>
        <xdr:cNvPr id="26" name="Grupo 25">
          <a:extLst>
            <a:ext uri="{FF2B5EF4-FFF2-40B4-BE49-F238E27FC236}">
              <a16:creationId xmlns:a16="http://schemas.microsoft.com/office/drawing/2014/main" id="{00000000-0008-0000-0C00-00001A000000}"/>
            </a:ext>
          </a:extLst>
        </xdr:cNvPr>
        <xdr:cNvGrpSpPr/>
      </xdr:nvGrpSpPr>
      <xdr:grpSpPr>
        <a:xfrm>
          <a:off x="4903910" y="85325682"/>
          <a:ext cx="1798178" cy="751241"/>
          <a:chOff x="6781800" y="12377058"/>
          <a:chExt cx="1817228" cy="723399"/>
        </a:xfrm>
      </xdr:grpSpPr>
      <xdr:pic>
        <xdr:nvPicPr>
          <xdr:cNvPr id="27" name="Imagen 26">
            <a:extLst>
              <a:ext uri="{FF2B5EF4-FFF2-40B4-BE49-F238E27FC236}">
                <a16:creationId xmlns:a16="http://schemas.microsoft.com/office/drawing/2014/main" id="{00000000-0008-0000-0C00-00001B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28" name="Imagen 27">
            <a:extLst>
              <a:ext uri="{FF2B5EF4-FFF2-40B4-BE49-F238E27FC236}">
                <a16:creationId xmlns:a16="http://schemas.microsoft.com/office/drawing/2014/main" id="{00000000-0008-0000-0C00-00001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134815</xdr:colOff>
      <xdr:row>497</xdr:row>
      <xdr:rowOff>134816</xdr:rowOff>
    </xdr:from>
    <xdr:to>
      <xdr:col>6</xdr:col>
      <xdr:colOff>1037643</xdr:colOff>
      <xdr:row>501</xdr:row>
      <xdr:rowOff>66908</xdr:rowOff>
    </xdr:to>
    <xdr:grpSp>
      <xdr:nvGrpSpPr>
        <xdr:cNvPr id="29" name="Grupo 28">
          <a:extLst>
            <a:ext uri="{FF2B5EF4-FFF2-40B4-BE49-F238E27FC236}">
              <a16:creationId xmlns:a16="http://schemas.microsoft.com/office/drawing/2014/main" id="{00000000-0008-0000-0C00-00001D000000}"/>
            </a:ext>
          </a:extLst>
        </xdr:cNvPr>
        <xdr:cNvGrpSpPr/>
      </xdr:nvGrpSpPr>
      <xdr:grpSpPr>
        <a:xfrm>
          <a:off x="4868740" y="97642241"/>
          <a:ext cx="1798178" cy="751242"/>
          <a:chOff x="6781800" y="12377058"/>
          <a:chExt cx="1817228" cy="723399"/>
        </a:xfrm>
      </xdr:grpSpPr>
      <xdr:pic>
        <xdr:nvPicPr>
          <xdr:cNvPr id="30" name="Imagen 29">
            <a:extLst>
              <a:ext uri="{FF2B5EF4-FFF2-40B4-BE49-F238E27FC236}">
                <a16:creationId xmlns:a16="http://schemas.microsoft.com/office/drawing/2014/main" id="{00000000-0008-0000-0C00-00001E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1" name="Imagen 30">
            <a:extLst>
              <a:ext uri="{FF2B5EF4-FFF2-40B4-BE49-F238E27FC236}">
                <a16:creationId xmlns:a16="http://schemas.microsoft.com/office/drawing/2014/main" id="{00000000-0008-0000-0C00-00001F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152400</xdr:colOff>
      <xdr:row>559</xdr:row>
      <xdr:rowOff>140677</xdr:rowOff>
    </xdr:from>
    <xdr:to>
      <xdr:col>6</xdr:col>
      <xdr:colOff>1055228</xdr:colOff>
      <xdr:row>563</xdr:row>
      <xdr:rowOff>72768</xdr:rowOff>
    </xdr:to>
    <xdr:grpSp>
      <xdr:nvGrpSpPr>
        <xdr:cNvPr id="32" name="Grupo 31">
          <a:extLst>
            <a:ext uri="{FF2B5EF4-FFF2-40B4-BE49-F238E27FC236}">
              <a16:creationId xmlns:a16="http://schemas.microsoft.com/office/drawing/2014/main" id="{00000000-0008-0000-0C00-000020000000}"/>
            </a:ext>
          </a:extLst>
        </xdr:cNvPr>
        <xdr:cNvGrpSpPr/>
      </xdr:nvGrpSpPr>
      <xdr:grpSpPr>
        <a:xfrm>
          <a:off x="4886325" y="110011552"/>
          <a:ext cx="1798178" cy="751241"/>
          <a:chOff x="6781800" y="12377058"/>
          <a:chExt cx="1817228" cy="723399"/>
        </a:xfrm>
      </xdr:grpSpPr>
      <xdr:pic>
        <xdr:nvPicPr>
          <xdr:cNvPr id="33" name="Imagen 32">
            <a:extLst>
              <a:ext uri="{FF2B5EF4-FFF2-40B4-BE49-F238E27FC236}">
                <a16:creationId xmlns:a16="http://schemas.microsoft.com/office/drawing/2014/main" id="{00000000-0008-0000-0C00-000021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4" name="Imagen 33">
            <a:extLst>
              <a:ext uri="{FF2B5EF4-FFF2-40B4-BE49-F238E27FC236}">
                <a16:creationId xmlns:a16="http://schemas.microsoft.com/office/drawing/2014/main" id="{00000000-0008-0000-0C00-00002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199292</xdr:colOff>
      <xdr:row>621</xdr:row>
      <xdr:rowOff>70338</xdr:rowOff>
    </xdr:from>
    <xdr:to>
      <xdr:col>6</xdr:col>
      <xdr:colOff>1102120</xdr:colOff>
      <xdr:row>625</xdr:row>
      <xdr:rowOff>2429</xdr:rowOff>
    </xdr:to>
    <xdr:grpSp>
      <xdr:nvGrpSpPr>
        <xdr:cNvPr id="35" name="Grupo 34">
          <a:extLst>
            <a:ext uri="{FF2B5EF4-FFF2-40B4-BE49-F238E27FC236}">
              <a16:creationId xmlns:a16="http://schemas.microsoft.com/office/drawing/2014/main" id="{00000000-0008-0000-0C00-000023000000}"/>
            </a:ext>
          </a:extLst>
        </xdr:cNvPr>
        <xdr:cNvGrpSpPr/>
      </xdr:nvGrpSpPr>
      <xdr:grpSpPr>
        <a:xfrm>
          <a:off x="4933217" y="122237988"/>
          <a:ext cx="1798178" cy="751241"/>
          <a:chOff x="6781800" y="12377058"/>
          <a:chExt cx="1817228" cy="723399"/>
        </a:xfrm>
      </xdr:grpSpPr>
      <xdr:pic>
        <xdr:nvPicPr>
          <xdr:cNvPr id="36" name="Imagen 35">
            <a:extLst>
              <a:ext uri="{FF2B5EF4-FFF2-40B4-BE49-F238E27FC236}">
                <a16:creationId xmlns:a16="http://schemas.microsoft.com/office/drawing/2014/main" id="{00000000-0008-0000-0C00-000024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37" name="Imagen 36">
            <a:extLst>
              <a:ext uri="{FF2B5EF4-FFF2-40B4-BE49-F238E27FC236}">
                <a16:creationId xmlns:a16="http://schemas.microsoft.com/office/drawing/2014/main" id="{00000000-0008-0000-0C00-00002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175847</xdr:colOff>
      <xdr:row>683</xdr:row>
      <xdr:rowOff>99646</xdr:rowOff>
    </xdr:from>
    <xdr:to>
      <xdr:col>6</xdr:col>
      <xdr:colOff>1078675</xdr:colOff>
      <xdr:row>687</xdr:row>
      <xdr:rowOff>31738</xdr:rowOff>
    </xdr:to>
    <xdr:grpSp>
      <xdr:nvGrpSpPr>
        <xdr:cNvPr id="38" name="Grupo 37">
          <a:extLst>
            <a:ext uri="{FF2B5EF4-FFF2-40B4-BE49-F238E27FC236}">
              <a16:creationId xmlns:a16="http://schemas.microsoft.com/office/drawing/2014/main" id="{00000000-0008-0000-0C00-000026000000}"/>
            </a:ext>
          </a:extLst>
        </xdr:cNvPr>
        <xdr:cNvGrpSpPr/>
      </xdr:nvGrpSpPr>
      <xdr:grpSpPr>
        <a:xfrm>
          <a:off x="4909772" y="134754571"/>
          <a:ext cx="1798178" cy="751242"/>
          <a:chOff x="6781800" y="12377058"/>
          <a:chExt cx="1817228" cy="723399"/>
        </a:xfrm>
      </xdr:grpSpPr>
      <xdr:pic>
        <xdr:nvPicPr>
          <xdr:cNvPr id="39" name="Imagen 38">
            <a:extLst>
              <a:ext uri="{FF2B5EF4-FFF2-40B4-BE49-F238E27FC236}">
                <a16:creationId xmlns:a16="http://schemas.microsoft.com/office/drawing/2014/main" id="{00000000-0008-0000-0C00-000027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0" name="Imagen 39">
            <a:extLst>
              <a:ext uri="{FF2B5EF4-FFF2-40B4-BE49-F238E27FC236}">
                <a16:creationId xmlns:a16="http://schemas.microsoft.com/office/drawing/2014/main" id="{00000000-0008-0000-0C00-00002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twoCellAnchor>
    <xdr:from>
      <xdr:col>5</xdr:col>
      <xdr:colOff>140677</xdr:colOff>
      <xdr:row>745</xdr:row>
      <xdr:rowOff>99646</xdr:rowOff>
    </xdr:from>
    <xdr:to>
      <xdr:col>6</xdr:col>
      <xdr:colOff>1043505</xdr:colOff>
      <xdr:row>749</xdr:row>
      <xdr:rowOff>31737</xdr:rowOff>
    </xdr:to>
    <xdr:grpSp>
      <xdr:nvGrpSpPr>
        <xdr:cNvPr id="41" name="Grupo 40">
          <a:extLst>
            <a:ext uri="{FF2B5EF4-FFF2-40B4-BE49-F238E27FC236}">
              <a16:creationId xmlns:a16="http://schemas.microsoft.com/office/drawing/2014/main" id="{00000000-0008-0000-0C00-000029000000}"/>
            </a:ext>
          </a:extLst>
        </xdr:cNvPr>
        <xdr:cNvGrpSpPr/>
      </xdr:nvGrpSpPr>
      <xdr:grpSpPr>
        <a:xfrm>
          <a:off x="4874602" y="147156121"/>
          <a:ext cx="1798178" cy="751241"/>
          <a:chOff x="6781800" y="12377058"/>
          <a:chExt cx="1817228" cy="723399"/>
        </a:xfrm>
      </xdr:grpSpPr>
      <xdr:pic>
        <xdr:nvPicPr>
          <xdr:cNvPr id="42" name="Imagen 41">
            <a:extLst>
              <a:ext uri="{FF2B5EF4-FFF2-40B4-BE49-F238E27FC236}">
                <a16:creationId xmlns:a16="http://schemas.microsoft.com/office/drawing/2014/main" id="{00000000-0008-0000-0C00-00002A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3" name="Imagen 42">
            <a:extLst>
              <a:ext uri="{FF2B5EF4-FFF2-40B4-BE49-F238E27FC236}">
                <a16:creationId xmlns:a16="http://schemas.microsoft.com/office/drawing/2014/main" id="{00000000-0008-0000-0C00-00002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117231</xdr:colOff>
      <xdr:row>0</xdr:row>
      <xdr:rowOff>263769</xdr:rowOff>
    </xdr:from>
    <xdr:to>
      <xdr:col>7</xdr:col>
      <xdr:colOff>996612</xdr:colOff>
      <xdr:row>2</xdr:row>
      <xdr:rowOff>418599</xdr:rowOff>
    </xdr:to>
    <xdr:grpSp>
      <xdr:nvGrpSpPr>
        <xdr:cNvPr id="5" name="Grupo 4">
          <a:extLst>
            <a:ext uri="{FF2B5EF4-FFF2-40B4-BE49-F238E27FC236}">
              <a16:creationId xmlns:a16="http://schemas.microsoft.com/office/drawing/2014/main" id="{00000000-0008-0000-1000-000005000000}"/>
            </a:ext>
          </a:extLst>
        </xdr:cNvPr>
        <xdr:cNvGrpSpPr/>
      </xdr:nvGrpSpPr>
      <xdr:grpSpPr>
        <a:xfrm>
          <a:off x="7136423" y="263769"/>
          <a:ext cx="1787920" cy="711676"/>
          <a:chOff x="6781800" y="12377058"/>
          <a:chExt cx="1817228" cy="723399"/>
        </a:xfrm>
      </xdr:grpSpPr>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7" name="Imagen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220980</xdr:rowOff>
    </xdr:from>
    <xdr:to>
      <xdr:col>0</xdr:col>
      <xdr:colOff>1817228</xdr:colOff>
      <xdr:row>3</xdr:row>
      <xdr:rowOff>121419</xdr:rowOff>
    </xdr:to>
    <xdr:grpSp>
      <xdr:nvGrpSpPr>
        <xdr:cNvPr id="5" name="Grupo 4">
          <a:extLst>
            <a:ext uri="{FF2B5EF4-FFF2-40B4-BE49-F238E27FC236}">
              <a16:creationId xmlns:a16="http://schemas.microsoft.com/office/drawing/2014/main" id="{00000000-0008-0000-1100-000005000000}"/>
            </a:ext>
          </a:extLst>
        </xdr:cNvPr>
        <xdr:cNvGrpSpPr/>
      </xdr:nvGrpSpPr>
      <xdr:grpSpPr>
        <a:xfrm>
          <a:off x="0" y="220980"/>
          <a:ext cx="1817228" cy="729114"/>
          <a:chOff x="6781800" y="12377058"/>
          <a:chExt cx="1817228" cy="723399"/>
        </a:xfrm>
      </xdr:grpSpPr>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7" name="Imagen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320040</xdr:colOff>
      <xdr:row>1</xdr:row>
      <xdr:rowOff>175260</xdr:rowOff>
    </xdr:from>
    <xdr:to>
      <xdr:col>3</xdr:col>
      <xdr:colOff>468488</xdr:colOff>
      <xdr:row>2</xdr:row>
      <xdr:rowOff>631959</xdr:rowOff>
    </xdr:to>
    <xdr:grpSp>
      <xdr:nvGrpSpPr>
        <xdr:cNvPr id="2" name="Grupo 1">
          <a:extLst>
            <a:ext uri="{FF2B5EF4-FFF2-40B4-BE49-F238E27FC236}">
              <a16:creationId xmlns:a16="http://schemas.microsoft.com/office/drawing/2014/main" id="{00000000-0008-0000-1200-000002000000}"/>
            </a:ext>
          </a:extLst>
        </xdr:cNvPr>
        <xdr:cNvGrpSpPr/>
      </xdr:nvGrpSpPr>
      <xdr:grpSpPr>
        <a:xfrm>
          <a:off x="6292215" y="508635"/>
          <a:ext cx="1777223" cy="723399"/>
          <a:chOff x="6781800" y="12377058"/>
          <a:chExt cx="1817228" cy="723399"/>
        </a:xfrm>
      </xdr:grpSpPr>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152400</xdr:colOff>
      <xdr:row>1</xdr:row>
      <xdr:rowOff>25400</xdr:rowOff>
    </xdr:from>
    <xdr:to>
      <xdr:col>3</xdr:col>
      <xdr:colOff>915528</xdr:colOff>
      <xdr:row>2</xdr:row>
      <xdr:rowOff>482099</xdr:rowOff>
    </xdr:to>
    <xdr:grpSp>
      <xdr:nvGrpSpPr>
        <xdr:cNvPr id="2" name="Grupo 1">
          <a:extLst>
            <a:ext uri="{FF2B5EF4-FFF2-40B4-BE49-F238E27FC236}">
              <a16:creationId xmlns:a16="http://schemas.microsoft.com/office/drawing/2014/main" id="{00000000-0008-0000-1300-000002000000}"/>
            </a:ext>
          </a:extLst>
        </xdr:cNvPr>
        <xdr:cNvGrpSpPr/>
      </xdr:nvGrpSpPr>
      <xdr:grpSpPr>
        <a:xfrm>
          <a:off x="5788025" y="358775"/>
          <a:ext cx="1795003" cy="726574"/>
          <a:chOff x="6781800" y="12377058"/>
          <a:chExt cx="1817228" cy="723399"/>
        </a:xfrm>
      </xdr:grpSpPr>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6781800" y="12377058"/>
            <a:ext cx="619125" cy="723399"/>
          </a:xfrm>
          <a:prstGeom prst="rect">
            <a:avLst/>
          </a:prstGeom>
        </xdr:spPr>
      </xdr:pic>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87761" y="12472309"/>
            <a:ext cx="1011267" cy="479424"/>
          </a:xfrm>
          <a:prstGeom prst="rect">
            <a:avLst/>
          </a:prstGeom>
          <a:noFill/>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iblioteca%20no%20tocar\Descargas\Documentos\SECRETARIA%20DE%20PLANEACION%20PUERTO%20NARE\01%20B%20PROYECTOS\07%20PAVIMENTACI&#211;N%20LA%20PESCA%20A%20LA%20SIERRA%20ETAPA1\SUBSANACION%2028052021\Presupuesto%20de%20obra_SI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MEMORIAS"/>
      <sheetName val="INSUMOS MATERIALES"/>
      <sheetName val="APU"/>
      <sheetName val="APU AUXILIARES"/>
      <sheetName val="INSUMOS EQUIPOS"/>
      <sheetName val="INSUMOS MANO DE OBRA"/>
      <sheetName val="AIU"/>
      <sheetName val="PÓLIZAS OBRA"/>
      <sheetName val="PMT"/>
      <sheetName val="PMA"/>
      <sheetName val="PAPSO OBRA"/>
      <sheetName val="APU CARACTERIZACIÓN"/>
      <sheetName val="APU GEORREFERENCIACIÓN"/>
      <sheetName val="FACTOR PRESTACIONAL"/>
      <sheetName val="AJUSTE ESTUDIOS"/>
      <sheetName val="MATERIALES"/>
      <sheetName val="INSUMOS TRANSPORTES"/>
      <sheetName val="INSUMOS SERVICIOS"/>
      <sheetName val="EQUIPOS"/>
      <sheetName val="TRANSPORTES"/>
      <sheetName val="MANO DE OBRA"/>
      <sheetName val="SERVICIOS"/>
      <sheetName val="ANÁLISIS TRANSPORTES"/>
      <sheetName val="FP"/>
      <sheetName val="INTERVENTORÍA"/>
      <sheetName val="FM INTERVENTORÍA"/>
      <sheetName val="PÓLIZAS INTERVENTORÍ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DEPARTAMENTO DE ANTIOQUIA</v>
          </cell>
          <cell r="B1">
            <v>0</v>
          </cell>
          <cell r="C1" t="str">
            <v/>
          </cell>
          <cell r="D1">
            <v>0</v>
          </cell>
        </row>
        <row r="2">
          <cell r="A2" t="str">
            <v>MUNICIPIO DE PUERTO NARE</v>
          </cell>
          <cell r="B2">
            <v>0</v>
          </cell>
          <cell r="C2">
            <v>0</v>
          </cell>
          <cell r="D2">
            <v>0</v>
          </cell>
        </row>
        <row r="3">
          <cell r="A3" t="str">
            <v>PROYECTO: MEJORAMIENTO DE LA RED VIAL TERCIARIA VÍA CORREGIMIENTO LA PESCA – CORREGIMIENTO LA SIERRA CODIGO 05585VT40, DEL MUNICIPIO DE PUERTO NARE</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62000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68000</v>
          </cell>
        </row>
        <row r="38">
          <cell r="A38" t="str">
            <v>EQ031</v>
          </cell>
          <cell r="B38" t="str">
            <v>CIZALLA MANUAL</v>
          </cell>
          <cell r="C38" t="str">
            <v>HORA</v>
          </cell>
          <cell r="D38">
            <v>800</v>
          </cell>
        </row>
        <row r="39">
          <cell r="A39" t="str">
            <v>EQ032</v>
          </cell>
          <cell r="B39" t="str">
            <v>VOLQUETA 15 M3</v>
          </cell>
          <cell r="C39" t="str">
            <v>HORA</v>
          </cell>
          <cell r="D39">
            <v>90000</v>
          </cell>
        </row>
        <row r="40">
          <cell r="A40" t="str">
            <v>EQ033</v>
          </cell>
          <cell r="B40">
            <v>90000</v>
          </cell>
          <cell r="C40">
            <v>90000</v>
          </cell>
          <cell r="D40">
            <v>90000</v>
          </cell>
        </row>
        <row r="41">
          <cell r="A41" t="str">
            <v>EQ034</v>
          </cell>
          <cell r="B41">
            <v>90000</v>
          </cell>
          <cell r="C41">
            <v>90000</v>
          </cell>
          <cell r="D41">
            <v>90000</v>
          </cell>
        </row>
        <row r="42">
          <cell r="A42" t="str">
            <v>EQ035</v>
          </cell>
          <cell r="B42">
            <v>90000</v>
          </cell>
          <cell r="C42">
            <v>90000</v>
          </cell>
          <cell r="D42">
            <v>90000</v>
          </cell>
        </row>
        <row r="43">
          <cell r="A43" t="str">
            <v>EQ036</v>
          </cell>
          <cell r="B43">
            <v>90000</v>
          </cell>
          <cell r="C43">
            <v>90000</v>
          </cell>
          <cell r="D43">
            <v>90000</v>
          </cell>
        </row>
        <row r="44">
          <cell r="A44" t="str">
            <v>EQ037</v>
          </cell>
          <cell r="B44">
            <v>90000</v>
          </cell>
          <cell r="C44">
            <v>90000</v>
          </cell>
          <cell r="D44">
            <v>90000</v>
          </cell>
        </row>
        <row r="45">
          <cell r="A45" t="str">
            <v>EQ038</v>
          </cell>
          <cell r="B45">
            <v>90000</v>
          </cell>
          <cell r="C45">
            <v>90000</v>
          </cell>
          <cell r="D45">
            <v>90000</v>
          </cell>
        </row>
        <row r="46">
          <cell r="A46" t="str">
            <v>EQ039</v>
          </cell>
          <cell r="B46">
            <v>90000</v>
          </cell>
          <cell r="C46">
            <v>90000</v>
          </cell>
          <cell r="D46">
            <v>90000</v>
          </cell>
        </row>
        <row r="47">
          <cell r="A47" t="str">
            <v>EQ040</v>
          </cell>
          <cell r="B47">
            <v>90000</v>
          </cell>
          <cell r="C47">
            <v>90000</v>
          </cell>
          <cell r="D47">
            <v>90000</v>
          </cell>
        </row>
        <row r="48">
          <cell r="A48" t="str">
            <v>EQ041</v>
          </cell>
          <cell r="B48">
            <v>90000</v>
          </cell>
          <cell r="C48">
            <v>90000</v>
          </cell>
          <cell r="D48">
            <v>90000</v>
          </cell>
        </row>
        <row r="49">
          <cell r="A49" t="str">
            <v>EQ042</v>
          </cell>
          <cell r="B49">
            <v>90000</v>
          </cell>
          <cell r="C49">
            <v>90000</v>
          </cell>
          <cell r="D49">
            <v>90000</v>
          </cell>
        </row>
        <row r="50">
          <cell r="A50" t="str">
            <v>EQ043</v>
          </cell>
          <cell r="B50">
            <v>90000</v>
          </cell>
          <cell r="C50">
            <v>90000</v>
          </cell>
          <cell r="D50">
            <v>90000</v>
          </cell>
        </row>
        <row r="51">
          <cell r="A51" t="str">
            <v>EQ044</v>
          </cell>
          <cell r="B51">
            <v>90000</v>
          </cell>
          <cell r="C51">
            <v>90000</v>
          </cell>
          <cell r="D51">
            <v>90000</v>
          </cell>
        </row>
        <row r="52">
          <cell r="A52" t="str">
            <v>EQ045</v>
          </cell>
          <cell r="B52">
            <v>90000</v>
          </cell>
          <cell r="C52">
            <v>90000</v>
          </cell>
          <cell r="D52">
            <v>90000</v>
          </cell>
        </row>
        <row r="53">
          <cell r="A53" t="str">
            <v>EQ046</v>
          </cell>
          <cell r="B53">
            <v>90000</v>
          </cell>
          <cell r="C53">
            <v>90000</v>
          </cell>
          <cell r="D53">
            <v>90000</v>
          </cell>
        </row>
        <row r="54">
          <cell r="A54" t="str">
            <v>EQ047</v>
          </cell>
          <cell r="B54">
            <v>90000</v>
          </cell>
          <cell r="C54">
            <v>90000</v>
          </cell>
          <cell r="D54">
            <v>90000</v>
          </cell>
        </row>
        <row r="55">
          <cell r="A55" t="str">
            <v>EQ048</v>
          </cell>
          <cell r="B55">
            <v>90000</v>
          </cell>
          <cell r="C55">
            <v>90000</v>
          </cell>
          <cell r="D55">
            <v>90000</v>
          </cell>
        </row>
        <row r="56">
          <cell r="A56" t="str">
            <v>EQ049</v>
          </cell>
          <cell r="B56">
            <v>90000</v>
          </cell>
          <cell r="C56">
            <v>90000</v>
          </cell>
          <cell r="D56">
            <v>90000</v>
          </cell>
        </row>
        <row r="57">
          <cell r="A57" t="str">
            <v>EQ050</v>
          </cell>
          <cell r="B57">
            <v>90000</v>
          </cell>
          <cell r="C57">
            <v>90000</v>
          </cell>
          <cell r="D57">
            <v>90000</v>
          </cell>
        </row>
        <row r="58">
          <cell r="A58" t="str">
            <v>EQ051</v>
          </cell>
          <cell r="B58">
            <v>90000</v>
          </cell>
          <cell r="C58">
            <v>90000</v>
          </cell>
          <cell r="D58">
            <v>90000</v>
          </cell>
        </row>
        <row r="59">
          <cell r="A59" t="str">
            <v>EQ052</v>
          </cell>
          <cell r="B59">
            <v>90000</v>
          </cell>
          <cell r="C59">
            <v>90000</v>
          </cell>
          <cell r="D59">
            <v>90000</v>
          </cell>
        </row>
        <row r="60">
          <cell r="A60" t="str">
            <v>EQ053</v>
          </cell>
          <cell r="B60">
            <v>90000</v>
          </cell>
          <cell r="C60">
            <v>90000</v>
          </cell>
          <cell r="D60">
            <v>90000</v>
          </cell>
        </row>
        <row r="61">
          <cell r="A61" t="str">
            <v>EQ054</v>
          </cell>
          <cell r="B61">
            <v>90000</v>
          </cell>
          <cell r="C61">
            <v>90000</v>
          </cell>
          <cell r="D61">
            <v>90000</v>
          </cell>
        </row>
        <row r="62">
          <cell r="A62" t="str">
            <v>EQ055</v>
          </cell>
          <cell r="B62">
            <v>90000</v>
          </cell>
          <cell r="C62">
            <v>90000</v>
          </cell>
          <cell r="D62">
            <v>90000</v>
          </cell>
        </row>
        <row r="63">
          <cell r="A63" t="str">
            <v>EQ056</v>
          </cell>
          <cell r="B63">
            <v>90000</v>
          </cell>
          <cell r="C63">
            <v>90000</v>
          </cell>
          <cell r="D63">
            <v>90000</v>
          </cell>
        </row>
        <row r="64">
          <cell r="A64" t="str">
            <v>EQ057</v>
          </cell>
          <cell r="B64">
            <v>90000</v>
          </cell>
          <cell r="C64">
            <v>90000</v>
          </cell>
          <cell r="D64">
            <v>90000</v>
          </cell>
        </row>
        <row r="65">
          <cell r="A65" t="str">
            <v>EQ058</v>
          </cell>
          <cell r="B65">
            <v>90000</v>
          </cell>
          <cell r="C65">
            <v>90000</v>
          </cell>
          <cell r="D65">
            <v>90000</v>
          </cell>
        </row>
        <row r="66">
          <cell r="A66" t="str">
            <v>EQ059</v>
          </cell>
          <cell r="B66">
            <v>90000</v>
          </cell>
          <cell r="C66">
            <v>90000</v>
          </cell>
          <cell r="D66">
            <v>90000</v>
          </cell>
        </row>
        <row r="67">
          <cell r="A67" t="str">
            <v>EQ060</v>
          </cell>
          <cell r="B67">
            <v>90000</v>
          </cell>
          <cell r="C67">
            <v>90000</v>
          </cell>
          <cell r="D67">
            <v>90000</v>
          </cell>
        </row>
        <row r="68">
          <cell r="A68" t="str">
            <v>EQ061</v>
          </cell>
          <cell r="B68">
            <v>90000</v>
          </cell>
          <cell r="C68">
            <v>90000</v>
          </cell>
          <cell r="D68">
            <v>90000</v>
          </cell>
        </row>
        <row r="69">
          <cell r="A69" t="str">
            <v>EQ062</v>
          </cell>
          <cell r="B69">
            <v>90000</v>
          </cell>
          <cell r="C69">
            <v>90000</v>
          </cell>
          <cell r="D69">
            <v>90000</v>
          </cell>
        </row>
        <row r="70">
          <cell r="A70" t="str">
            <v>EQ063</v>
          </cell>
          <cell r="B70">
            <v>90000</v>
          </cell>
          <cell r="C70">
            <v>90000</v>
          </cell>
          <cell r="D70">
            <v>90000</v>
          </cell>
        </row>
        <row r="71">
          <cell r="A71" t="str">
            <v>EQ064</v>
          </cell>
          <cell r="B71">
            <v>90000</v>
          </cell>
          <cell r="C71">
            <v>90000</v>
          </cell>
          <cell r="D71">
            <v>90000</v>
          </cell>
        </row>
        <row r="72">
          <cell r="A72" t="str">
            <v>EQ065</v>
          </cell>
          <cell r="B72">
            <v>90000</v>
          </cell>
          <cell r="C72">
            <v>90000</v>
          </cell>
          <cell r="D72">
            <v>90000</v>
          </cell>
        </row>
        <row r="73">
          <cell r="A73" t="str">
            <v>EQ066</v>
          </cell>
          <cell r="B73">
            <v>90000</v>
          </cell>
          <cell r="C73">
            <v>90000</v>
          </cell>
          <cell r="D73">
            <v>90000</v>
          </cell>
        </row>
        <row r="74">
          <cell r="A74" t="str">
            <v>EQ067</v>
          </cell>
          <cell r="B74">
            <v>90000</v>
          </cell>
          <cell r="C74">
            <v>90000</v>
          </cell>
          <cell r="D74">
            <v>90000</v>
          </cell>
        </row>
        <row r="75">
          <cell r="A75" t="str">
            <v>EQ068</v>
          </cell>
          <cell r="B75">
            <v>90000</v>
          </cell>
          <cell r="C75">
            <v>90000</v>
          </cell>
          <cell r="D75">
            <v>90000</v>
          </cell>
        </row>
        <row r="76">
          <cell r="A76" t="str">
            <v>EQ069</v>
          </cell>
          <cell r="B76">
            <v>90000</v>
          </cell>
          <cell r="C76">
            <v>90000</v>
          </cell>
          <cell r="D76">
            <v>90000</v>
          </cell>
        </row>
        <row r="77">
          <cell r="A77" t="str">
            <v>EQ070</v>
          </cell>
          <cell r="B77">
            <v>90000</v>
          </cell>
          <cell r="C77">
            <v>90000</v>
          </cell>
          <cell r="D77">
            <v>90000</v>
          </cell>
        </row>
        <row r="78">
          <cell r="A78" t="str">
            <v>EQ071</v>
          </cell>
          <cell r="B78">
            <v>90000</v>
          </cell>
          <cell r="C78">
            <v>90000</v>
          </cell>
          <cell r="D78">
            <v>90000</v>
          </cell>
        </row>
        <row r="79">
          <cell r="A79" t="str">
            <v>EQ072</v>
          </cell>
          <cell r="B79">
            <v>90000</v>
          </cell>
          <cell r="C79">
            <v>90000</v>
          </cell>
          <cell r="D79">
            <v>90000</v>
          </cell>
        </row>
        <row r="80">
          <cell r="A80" t="str">
            <v>EQ073</v>
          </cell>
          <cell r="B80">
            <v>90000</v>
          </cell>
          <cell r="C80">
            <v>90000</v>
          </cell>
          <cell r="D80">
            <v>90000</v>
          </cell>
        </row>
        <row r="81">
          <cell r="A81" t="str">
            <v>EQ074</v>
          </cell>
          <cell r="B81">
            <v>90000</v>
          </cell>
          <cell r="C81">
            <v>90000</v>
          </cell>
          <cell r="D81">
            <v>90000</v>
          </cell>
        </row>
        <row r="82">
          <cell r="A82" t="str">
            <v>EQ075</v>
          </cell>
          <cell r="B82">
            <v>90000</v>
          </cell>
          <cell r="C82">
            <v>90000</v>
          </cell>
          <cell r="D82">
            <v>90000</v>
          </cell>
        </row>
        <row r="83">
          <cell r="A83" t="str">
            <v>EQ076</v>
          </cell>
          <cell r="B83">
            <v>90000</v>
          </cell>
          <cell r="C83">
            <v>90000</v>
          </cell>
          <cell r="D83">
            <v>90000</v>
          </cell>
        </row>
        <row r="84">
          <cell r="A84" t="str">
            <v>EQ077</v>
          </cell>
          <cell r="B84">
            <v>90000</v>
          </cell>
          <cell r="C84">
            <v>90000</v>
          </cell>
          <cell r="D84">
            <v>90000</v>
          </cell>
        </row>
        <row r="85">
          <cell r="A85" t="str">
            <v>EQ078</v>
          </cell>
          <cell r="B85">
            <v>90000</v>
          </cell>
          <cell r="C85">
            <v>90000</v>
          </cell>
          <cell r="D85">
            <v>90000</v>
          </cell>
        </row>
        <row r="86">
          <cell r="A86" t="str">
            <v>EQ079</v>
          </cell>
          <cell r="B86">
            <v>90000</v>
          </cell>
          <cell r="C86">
            <v>90000</v>
          </cell>
          <cell r="D86">
            <v>90000</v>
          </cell>
        </row>
        <row r="87">
          <cell r="A87" t="str">
            <v>EQ080</v>
          </cell>
          <cell r="B87">
            <v>90000</v>
          </cell>
          <cell r="C87">
            <v>90000</v>
          </cell>
          <cell r="D87">
            <v>90000</v>
          </cell>
        </row>
        <row r="88">
          <cell r="A88" t="str">
            <v>EQ081</v>
          </cell>
          <cell r="B88">
            <v>90000</v>
          </cell>
          <cell r="C88">
            <v>90000</v>
          </cell>
          <cell r="D88">
            <v>90000</v>
          </cell>
        </row>
        <row r="89">
          <cell r="A89" t="str">
            <v>EQ082</v>
          </cell>
          <cell r="B89">
            <v>90000</v>
          </cell>
          <cell r="C89">
            <v>90000</v>
          </cell>
          <cell r="D89">
            <v>90000</v>
          </cell>
        </row>
        <row r="90">
          <cell r="A90" t="str">
            <v>EQ083</v>
          </cell>
          <cell r="B90">
            <v>90000</v>
          </cell>
          <cell r="C90">
            <v>90000</v>
          </cell>
          <cell r="D90">
            <v>90000</v>
          </cell>
        </row>
        <row r="91">
          <cell r="A91" t="str">
            <v>EQ084</v>
          </cell>
          <cell r="B91">
            <v>90000</v>
          </cell>
          <cell r="C91">
            <v>90000</v>
          </cell>
          <cell r="D91">
            <v>90000</v>
          </cell>
        </row>
        <row r="92">
          <cell r="A92" t="str">
            <v>EQ085</v>
          </cell>
          <cell r="B92">
            <v>90000</v>
          </cell>
          <cell r="C92">
            <v>90000</v>
          </cell>
          <cell r="D92">
            <v>90000</v>
          </cell>
        </row>
        <row r="93">
          <cell r="A93" t="str">
            <v>EQ086</v>
          </cell>
          <cell r="B93">
            <v>90000</v>
          </cell>
          <cell r="C93">
            <v>90000</v>
          </cell>
          <cell r="D93">
            <v>90000</v>
          </cell>
        </row>
        <row r="94">
          <cell r="A94" t="str">
            <v>EQ087</v>
          </cell>
          <cell r="B94">
            <v>90000</v>
          </cell>
          <cell r="C94">
            <v>90000</v>
          </cell>
          <cell r="D94">
            <v>90000</v>
          </cell>
        </row>
        <row r="95">
          <cell r="A95" t="str">
            <v>EQ088</v>
          </cell>
          <cell r="B95">
            <v>90000</v>
          </cell>
          <cell r="C95">
            <v>90000</v>
          </cell>
          <cell r="D95">
            <v>90000</v>
          </cell>
        </row>
        <row r="96">
          <cell r="A96" t="str">
            <v>EQ089</v>
          </cell>
          <cell r="B96">
            <v>90000</v>
          </cell>
          <cell r="C96">
            <v>90000</v>
          </cell>
          <cell r="D96">
            <v>90000</v>
          </cell>
        </row>
        <row r="97">
          <cell r="A97" t="str">
            <v>EQ090</v>
          </cell>
          <cell r="B97">
            <v>90000</v>
          </cell>
          <cell r="C97">
            <v>90000</v>
          </cell>
          <cell r="D97">
            <v>90000</v>
          </cell>
        </row>
        <row r="98">
          <cell r="A98" t="str">
            <v>EQ091</v>
          </cell>
          <cell r="B98">
            <v>90000</v>
          </cell>
          <cell r="C98">
            <v>90000</v>
          </cell>
          <cell r="D98">
            <v>90000</v>
          </cell>
        </row>
        <row r="99">
          <cell r="A99" t="str">
            <v>EQ092</v>
          </cell>
          <cell r="B99">
            <v>90000</v>
          </cell>
          <cell r="C99">
            <v>90000</v>
          </cell>
          <cell r="D99">
            <v>90000</v>
          </cell>
        </row>
        <row r="100">
          <cell r="A100" t="str">
            <v>EQ093</v>
          </cell>
          <cell r="B100">
            <v>90000</v>
          </cell>
          <cell r="C100">
            <v>90000</v>
          </cell>
          <cell r="D100">
            <v>90000</v>
          </cell>
        </row>
        <row r="101">
          <cell r="A101" t="str">
            <v>EQ094</v>
          </cell>
          <cell r="B101">
            <v>90000</v>
          </cell>
          <cell r="C101">
            <v>90000</v>
          </cell>
          <cell r="D101">
            <v>90000</v>
          </cell>
        </row>
        <row r="102">
          <cell r="A102" t="str">
            <v>EQ095</v>
          </cell>
          <cell r="B102">
            <v>90000</v>
          </cell>
          <cell r="C102">
            <v>90000</v>
          </cell>
          <cell r="D102">
            <v>90000</v>
          </cell>
        </row>
        <row r="103">
          <cell r="A103" t="str">
            <v>EQ096</v>
          </cell>
          <cell r="B103">
            <v>90000</v>
          </cell>
          <cell r="C103">
            <v>90000</v>
          </cell>
          <cell r="D103">
            <v>90000</v>
          </cell>
        </row>
        <row r="104">
          <cell r="A104" t="str">
            <v>EQ097</v>
          </cell>
          <cell r="B104">
            <v>90000</v>
          </cell>
          <cell r="C104">
            <v>90000</v>
          </cell>
          <cell r="D104">
            <v>90000</v>
          </cell>
        </row>
        <row r="105">
          <cell r="A105" t="str">
            <v>EQ098</v>
          </cell>
          <cell r="B105">
            <v>90000</v>
          </cell>
          <cell r="C105">
            <v>90000</v>
          </cell>
          <cell r="D105">
            <v>90000</v>
          </cell>
        </row>
      </sheetData>
      <sheetData sheetId="8" refreshError="1">
        <row r="1">
          <cell r="A1" t="str">
            <v>DEPARTAMENTO DE ANTIOQUIA</v>
          </cell>
          <cell r="B1">
            <v>90000</v>
          </cell>
          <cell r="C1">
            <v>90000</v>
          </cell>
          <cell r="D1">
            <v>90000</v>
          </cell>
          <cell r="E1">
            <v>90000</v>
          </cell>
          <cell r="F1">
            <v>90000</v>
          </cell>
          <cell r="G1">
            <v>90000</v>
          </cell>
          <cell r="H1">
            <v>90000</v>
          </cell>
        </row>
        <row r="2">
          <cell r="A2" t="str">
            <v>MUNICIPIO DE PUERTO NARE</v>
          </cell>
          <cell r="B2">
            <v>90000</v>
          </cell>
          <cell r="C2">
            <v>90000</v>
          </cell>
          <cell r="D2">
            <v>90000</v>
          </cell>
          <cell r="E2">
            <v>90000</v>
          </cell>
          <cell r="F2">
            <v>90000</v>
          </cell>
          <cell r="G2">
            <v>90000</v>
          </cell>
          <cell r="H2">
            <v>90000</v>
          </cell>
        </row>
        <row r="3">
          <cell r="A3" t="str">
            <v>PROYECTO: MEJORAMIENTO DE LA RED VIAL TERCIARIA VÍA CORREGIMIENTO LA PESCA – CORREGIMIENTO LA SIERRA CODIGO 05585VT40, DEL MUNICIPIO DE PUERTO NARE</v>
          </cell>
          <cell r="B3">
            <v>90000</v>
          </cell>
          <cell r="C3">
            <v>90000</v>
          </cell>
          <cell r="D3">
            <v>90000</v>
          </cell>
          <cell r="E3">
            <v>90000</v>
          </cell>
          <cell r="F3">
            <v>90000</v>
          </cell>
          <cell r="G3">
            <v>90000</v>
          </cell>
          <cell r="H3">
            <v>90000</v>
          </cell>
        </row>
        <row r="4">
          <cell r="A4">
            <v>90000</v>
          </cell>
          <cell r="B4">
            <v>90000</v>
          </cell>
          <cell r="D4">
            <v>90000</v>
          </cell>
          <cell r="E4">
            <v>90000</v>
          </cell>
          <cell r="F4">
            <v>90000</v>
          </cell>
          <cell r="G4">
            <v>90000</v>
          </cell>
          <cell r="H4">
            <v>90000</v>
          </cell>
        </row>
        <row r="5">
          <cell r="A5" t="str">
            <v>LISTADO DE INSUMOS - MANO DE OBRA</v>
          </cell>
          <cell r="B5">
            <v>90000</v>
          </cell>
          <cell r="C5">
            <v>90000</v>
          </cell>
          <cell r="D5">
            <v>90000</v>
          </cell>
          <cell r="E5">
            <v>90000</v>
          </cell>
          <cell r="F5">
            <v>90000</v>
          </cell>
          <cell r="G5">
            <v>90000</v>
          </cell>
          <cell r="H5">
            <v>90000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97142.5625</v>
          </cell>
          <cell r="B62" t="str">
            <v/>
          </cell>
          <cell r="C62" t="str">
            <v/>
          </cell>
          <cell r="D62" t="str">
            <v/>
          </cell>
          <cell r="E62" t="str">
            <v/>
          </cell>
          <cell r="F62" t="str">
            <v/>
          </cell>
          <cell r="G62" t="str">
            <v/>
          </cell>
          <cell r="H62" t="str">
            <v/>
          </cell>
        </row>
        <row r="63">
          <cell r="A63">
            <v>97142.5625</v>
          </cell>
          <cell r="B63" t="str">
            <v/>
          </cell>
          <cell r="C63" t="str">
            <v/>
          </cell>
          <cell r="D63" t="str">
            <v/>
          </cell>
          <cell r="E63" t="str">
            <v/>
          </cell>
          <cell r="F63" t="str">
            <v/>
          </cell>
          <cell r="G63" t="str">
            <v/>
          </cell>
          <cell r="H63"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statuto.co/?e=1460" TargetMode="External"/><Relationship Id="rId1" Type="http://schemas.openxmlformats.org/officeDocument/2006/relationships/hyperlink" Target="https://www.funcionpublica.gov.co/eva/gestornormativo/norma.php?i=5536"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6"/>
  <sheetViews>
    <sheetView view="pageBreakPreview" zoomScaleNormal="60" zoomScaleSheetLayoutView="100" workbookViewId="0">
      <selection activeCell="A9" sqref="A9"/>
    </sheetView>
  </sheetViews>
  <sheetFormatPr baseColWidth="10" defaultRowHeight="15"/>
  <cols>
    <col min="1" max="1" width="57.42578125" customWidth="1"/>
    <col min="2" max="2" width="56.5703125" customWidth="1"/>
    <col min="3" max="3" width="55.5703125" customWidth="1"/>
    <col min="5" max="5" width="23" customWidth="1"/>
  </cols>
  <sheetData>
    <row r="1" spans="1:5" ht="26.25">
      <c r="B1" s="1" t="s">
        <v>0</v>
      </c>
    </row>
    <row r="2" spans="1:5" ht="21">
      <c r="B2" s="2" t="s">
        <v>813</v>
      </c>
    </row>
    <row r="3" spans="1:5" ht="48.6" customHeight="1">
      <c r="B3" s="3" t="str">
        <f>B7</f>
        <v xml:space="preserve">AMPLIACIÓN DEL SISTEMA DE ALCANTARILLADO EN SECTOR DEL BARRIO PABLO VI  DEL MUNICIPIO DE DABEIBA ANTIOQUIA </v>
      </c>
    </row>
    <row r="4" spans="1:5" ht="7.35" customHeight="1">
      <c r="B4" s="4"/>
    </row>
    <row r="5" spans="1:5">
      <c r="B5" s="5" t="s">
        <v>1</v>
      </c>
    </row>
    <row r="6" spans="1:5">
      <c r="A6" s="6" t="s">
        <v>2</v>
      </c>
      <c r="B6" s="325" t="s">
        <v>813</v>
      </c>
      <c r="C6" s="13" t="s">
        <v>26</v>
      </c>
    </row>
    <row r="7" spans="1:5" ht="57.6" customHeight="1">
      <c r="A7" s="6" t="s">
        <v>3</v>
      </c>
      <c r="B7" s="12" t="s">
        <v>961</v>
      </c>
      <c r="C7" s="13" t="s">
        <v>27</v>
      </c>
    </row>
    <row r="8" spans="1:5" ht="30">
      <c r="A8" s="6" t="s">
        <v>4</v>
      </c>
      <c r="B8" s="7" t="s">
        <v>23</v>
      </c>
      <c r="C8" s="13" t="s">
        <v>28</v>
      </c>
    </row>
    <row r="9" spans="1:5">
      <c r="A9" s="6" t="s">
        <v>5</v>
      </c>
      <c r="B9" s="7" t="s">
        <v>24</v>
      </c>
      <c r="C9" s="13" t="s">
        <v>29</v>
      </c>
    </row>
    <row r="10" spans="1:5" ht="48.6" customHeight="1">
      <c r="A10" s="6" t="s">
        <v>6</v>
      </c>
      <c r="B10" s="326" t="s">
        <v>25</v>
      </c>
      <c r="C10" s="13" t="s">
        <v>30</v>
      </c>
    </row>
    <row r="11" spans="1:5" ht="30">
      <c r="A11" s="6" t="s">
        <v>7</v>
      </c>
      <c r="B11" s="7" t="s">
        <v>86</v>
      </c>
      <c r="C11" s="13" t="s">
        <v>31</v>
      </c>
    </row>
    <row r="12" spans="1:5">
      <c r="A12" s="6" t="s">
        <v>8</v>
      </c>
      <c r="B12" s="8">
        <v>1423500</v>
      </c>
      <c r="C12" s="13"/>
    </row>
    <row r="13" spans="1:5">
      <c r="A13" s="6" t="s">
        <v>9</v>
      </c>
      <c r="B13" s="8">
        <v>200000</v>
      </c>
      <c r="C13" s="13"/>
    </row>
    <row r="14" spans="1:5" ht="14.45" customHeight="1">
      <c r="A14" s="6" t="s">
        <v>10</v>
      </c>
      <c r="B14" s="7" t="s">
        <v>21</v>
      </c>
      <c r="C14" s="427" t="s">
        <v>32</v>
      </c>
    </row>
    <row r="15" spans="1:5">
      <c r="A15" s="6" t="s">
        <v>11</v>
      </c>
      <c r="B15" s="7" t="s">
        <v>21</v>
      </c>
      <c r="C15" s="427"/>
    </row>
    <row r="16" spans="1:5" ht="30">
      <c r="A16" s="6" t="s">
        <v>12</v>
      </c>
      <c r="B16" s="7" t="s">
        <v>22</v>
      </c>
      <c r="C16" s="14" t="s">
        <v>33</v>
      </c>
      <c r="E16" s="337"/>
    </row>
    <row r="17" spans="1:3">
      <c r="A17" s="6" t="s">
        <v>13</v>
      </c>
      <c r="B17" s="9">
        <f>+IF(B16="I",0.522%,IF(B16="II",1.044%,IF(B16="III",2.436%,IF(B16="IV",4.35%,6.96%))))</f>
        <v>6.9599999999999995E-2</v>
      </c>
      <c r="C17" s="13"/>
    </row>
    <row r="18" spans="1:3">
      <c r="A18" s="6" t="s">
        <v>14</v>
      </c>
      <c r="B18" s="10">
        <v>1</v>
      </c>
      <c r="C18" s="13" t="s">
        <v>34</v>
      </c>
    </row>
    <row r="19" spans="1:3" ht="30">
      <c r="A19" s="6" t="s">
        <v>15</v>
      </c>
      <c r="B19" s="11">
        <v>5</v>
      </c>
      <c r="C19" s="13" t="s">
        <v>35</v>
      </c>
    </row>
    <row r="20" spans="1:3" ht="30">
      <c r="A20" s="6" t="s">
        <v>16</v>
      </c>
      <c r="B20" s="11">
        <v>5</v>
      </c>
      <c r="C20" s="13" t="s">
        <v>36</v>
      </c>
    </row>
    <row r="21" spans="1:3" ht="67.349999999999994" customHeight="1">
      <c r="A21" s="6" t="s">
        <v>600</v>
      </c>
      <c r="B21" s="11">
        <v>10</v>
      </c>
      <c r="C21" s="13" t="s">
        <v>37</v>
      </c>
    </row>
    <row r="22" spans="1:3" ht="53.1" customHeight="1">
      <c r="A22" s="6" t="s">
        <v>606</v>
      </c>
      <c r="B22" s="11">
        <v>10</v>
      </c>
      <c r="C22" s="13" t="s">
        <v>37</v>
      </c>
    </row>
    <row r="23" spans="1:3" ht="30">
      <c r="A23" s="6" t="s">
        <v>17</v>
      </c>
      <c r="B23" s="11">
        <v>5</v>
      </c>
      <c r="C23" s="13" t="s">
        <v>38</v>
      </c>
    </row>
    <row r="24" spans="1:3" ht="30">
      <c r="A24" s="6" t="s">
        <v>18</v>
      </c>
      <c r="B24" s="11">
        <v>5</v>
      </c>
      <c r="C24" s="13" t="s">
        <v>39</v>
      </c>
    </row>
    <row r="25" spans="1:3" ht="30">
      <c r="A25" s="6" t="s">
        <v>19</v>
      </c>
      <c r="B25" s="11"/>
      <c r="C25" s="13" t="s">
        <v>40</v>
      </c>
    </row>
    <row r="26" spans="1:3" ht="45">
      <c r="A26" s="6" t="s">
        <v>20</v>
      </c>
      <c r="B26" s="7" t="s">
        <v>21</v>
      </c>
      <c r="C26" s="13" t="s">
        <v>41</v>
      </c>
    </row>
    <row r="29" spans="1:3">
      <c r="A29" s="428"/>
      <c r="B29" s="428"/>
    </row>
    <row r="30" spans="1:3" ht="109.35" customHeight="1">
      <c r="A30" s="428"/>
      <c r="B30" s="428"/>
    </row>
    <row r="31" spans="1:3">
      <c r="A31" s="327" t="s">
        <v>812</v>
      </c>
    </row>
    <row r="32" spans="1:3">
      <c r="A32" t="s">
        <v>780</v>
      </c>
    </row>
    <row r="46" spans="1:2" ht="16.5">
      <c r="A46" s="15" t="s">
        <v>43</v>
      </c>
      <c r="B46" s="16" t="s">
        <v>42</v>
      </c>
    </row>
  </sheetData>
  <protectedRanges>
    <protectedRange sqref="B6:B11 B14:B16 B18:B26" name="Rango1"/>
  </protectedRanges>
  <mergeCells count="2">
    <mergeCell ref="C14:C15"/>
    <mergeCell ref="A29:B30"/>
  </mergeCells>
  <dataValidations count="4">
    <dataValidation type="whole" operator="greaterThanOrEqual" allowBlank="1" showInputMessage="1" showErrorMessage="1" sqref="B12:B13" xr:uid="{00000000-0002-0000-0000-000000000000}">
      <formula1>0</formula1>
    </dataValidation>
    <dataValidation type="list" allowBlank="1" showInputMessage="1" showErrorMessage="1" sqref="B6" xr:uid="{00000000-0002-0000-0000-000001000000}">
      <formula1>ENTIDADES</formula1>
    </dataValidation>
    <dataValidation type="list" allowBlank="1" showInputMessage="1" showErrorMessage="1" error="SI O NO" sqref="B14:B15 B26" xr:uid="{00000000-0002-0000-0000-000002000000}">
      <formula1>"SI,NO"</formula1>
    </dataValidation>
    <dataValidation type="list" allowBlank="1" showInputMessage="1" showErrorMessage="1" error="DEBE COLOCARSE UNO DE LOS NIVELES DE RIESGO: I, II, III, IV O V" sqref="B16" xr:uid="{00000000-0002-0000-0000-000003000000}">
      <formula1>"I,II,III,IV,V"</formula1>
    </dataValidation>
  </dataValidations>
  <hyperlinks>
    <hyperlink ref="C16" r:id="rId1" display="Ver " xr:uid="{00000000-0004-0000-0000-000000000000}"/>
    <hyperlink ref="C14:C15" r:id="rId2" display="Ver artículo 114-1 del Estatuto Tributario.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 xr:uid="{00000000-0004-0000-0000-000001000000}"/>
  </hyperlinks>
  <pageMargins left="0.7" right="0.7" top="0.75" bottom="0.75" header="0.3" footer="0.3"/>
  <pageSetup scale="71" orientation="portrait" r:id="rId3"/>
  <colBreaks count="1" manualBreakCount="1">
    <brk id="2" max="36"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77708-3345-4973-BDAF-15119FED850B}">
  <sheetPr>
    <pageSetUpPr fitToPage="1"/>
  </sheetPr>
  <dimension ref="A1:O36"/>
  <sheetViews>
    <sheetView tabSelected="1" view="pageBreakPreview" zoomScale="60" zoomScaleNormal="60" workbookViewId="0">
      <selection activeCell="E1" sqref="E1:H5"/>
    </sheetView>
  </sheetViews>
  <sheetFormatPr baseColWidth="10" defaultRowHeight="15"/>
  <cols>
    <col min="1" max="1" width="7.7109375" style="181" customWidth="1"/>
    <col min="2" max="3" width="0" style="181" hidden="1" customWidth="1"/>
    <col min="4" max="4" width="55" customWidth="1"/>
    <col min="5" max="5" width="8.85546875" style="181" customWidth="1"/>
    <col min="6" max="6" width="10.42578125" style="181" customWidth="1"/>
    <col min="7" max="7" width="17" style="182" bestFit="1" customWidth="1"/>
    <col min="8" max="8" width="18.7109375" style="181" bestFit="1" customWidth="1"/>
    <col min="9" max="9" width="21" style="323" customWidth="1"/>
    <col min="10" max="10" width="17.85546875" style="297" customWidth="1"/>
    <col min="11" max="11" width="16.42578125" style="297" customWidth="1"/>
    <col min="12" max="12" width="17.5703125" style="297" bestFit="1" customWidth="1"/>
    <col min="13" max="13" width="18.140625" style="297" bestFit="1" customWidth="1"/>
    <col min="14" max="14" width="16" style="297" customWidth="1"/>
    <col min="15" max="15" width="18.5703125" style="297" customWidth="1"/>
  </cols>
  <sheetData>
    <row r="1" spans="1:15" ht="26.25">
      <c r="A1" s="440" t="s">
        <v>0</v>
      </c>
      <c r="B1" s="441"/>
      <c r="C1" s="441"/>
      <c r="D1" s="441"/>
      <c r="E1" s="431"/>
      <c r="F1" s="432"/>
      <c r="G1" s="432"/>
      <c r="H1" s="433"/>
    </row>
    <row r="2" spans="1:15" ht="21">
      <c r="A2" s="442" t="str">
        <f>'DATOS INICIALES'!B2</f>
        <v>MUNICIPIO DE DABEIBA</v>
      </c>
      <c r="B2" s="443"/>
      <c r="C2" s="443"/>
      <c r="D2" s="443"/>
      <c r="E2" s="434"/>
      <c r="F2" s="435"/>
      <c r="G2" s="435"/>
      <c r="H2" s="436"/>
    </row>
    <row r="3" spans="1:15" ht="79.5" customHeight="1">
      <c r="A3" s="444" t="str">
        <f>+'DATOS INICIALES'!B3</f>
        <v xml:space="preserve">AMPLIACIÓN DEL SISTEMA DE ALCANTARILLADO EN SECTOR DEL BARRIO PABLO VI  DEL MUNICIPIO DE DABEIBA ANTIOQUIA </v>
      </c>
      <c r="B3" s="445"/>
      <c r="C3" s="445"/>
      <c r="D3" s="445"/>
      <c r="E3" s="434"/>
      <c r="F3" s="435"/>
      <c r="G3" s="435"/>
      <c r="H3" s="436"/>
    </row>
    <row r="4" spans="1:15">
      <c r="A4" s="348"/>
      <c r="B4" s="17"/>
      <c r="C4" s="17"/>
      <c r="D4" s="4"/>
      <c r="E4" s="434"/>
      <c r="F4" s="435"/>
      <c r="G4" s="435"/>
      <c r="H4" s="436"/>
    </row>
    <row r="5" spans="1:15">
      <c r="A5" s="446" t="s">
        <v>44</v>
      </c>
      <c r="B5" s="447"/>
      <c r="C5" s="447"/>
      <c r="D5" s="447"/>
      <c r="E5" s="437"/>
      <c r="F5" s="438"/>
      <c r="G5" s="438"/>
      <c r="H5" s="439"/>
    </row>
    <row r="6" spans="1:15" ht="6" customHeight="1">
      <c r="A6" s="349"/>
      <c r="G6" s="350"/>
      <c r="H6" s="351"/>
    </row>
    <row r="7" spans="1:15">
      <c r="A7" s="454" t="s">
        <v>45</v>
      </c>
      <c r="B7" s="354"/>
      <c r="C7" s="354"/>
      <c r="D7" s="452" t="s">
        <v>46</v>
      </c>
      <c r="E7" s="452" t="s">
        <v>47</v>
      </c>
      <c r="F7" s="452" t="s">
        <v>48</v>
      </c>
      <c r="G7" s="448" t="s">
        <v>49</v>
      </c>
      <c r="H7" s="450" t="s">
        <v>50</v>
      </c>
      <c r="I7" s="429"/>
      <c r="J7" s="430"/>
      <c r="K7" s="430"/>
      <c r="L7" s="430"/>
      <c r="M7" s="430"/>
      <c r="N7" s="430"/>
      <c r="O7" s="430"/>
    </row>
    <row r="8" spans="1:15">
      <c r="A8" s="455"/>
      <c r="B8" s="355"/>
      <c r="C8" s="355"/>
      <c r="D8" s="453"/>
      <c r="E8" s="453"/>
      <c r="F8" s="453"/>
      <c r="G8" s="449"/>
      <c r="H8" s="451"/>
      <c r="I8" s="429"/>
      <c r="J8" s="430"/>
      <c r="K8" s="430"/>
      <c r="L8" s="430"/>
      <c r="M8" s="430"/>
      <c r="N8" s="430"/>
      <c r="O8" s="430"/>
    </row>
    <row r="9" spans="1:15" ht="30">
      <c r="A9" s="412" t="s">
        <v>51</v>
      </c>
      <c r="B9" s="413"/>
      <c r="C9" s="413"/>
      <c r="D9" s="414" t="s">
        <v>952</v>
      </c>
      <c r="E9" s="412" t="s">
        <v>915</v>
      </c>
      <c r="F9" s="412">
        <v>1</v>
      </c>
      <c r="G9" s="415"/>
      <c r="H9" s="416"/>
      <c r="I9" s="391"/>
      <c r="J9" s="341"/>
      <c r="K9" s="341"/>
      <c r="L9" s="341"/>
      <c r="M9" s="341"/>
      <c r="N9" s="341"/>
      <c r="O9" s="341"/>
    </row>
    <row r="10" spans="1:15" ht="48" customHeight="1">
      <c r="A10" s="412" t="s">
        <v>480</v>
      </c>
      <c r="B10" s="417"/>
      <c r="C10" s="417"/>
      <c r="D10" s="414" t="s">
        <v>944</v>
      </c>
      <c r="E10" s="407" t="s">
        <v>932</v>
      </c>
      <c r="F10" s="418">
        <f>+MEMORIAS!H24</f>
        <v>34</v>
      </c>
      <c r="G10" s="415"/>
      <c r="H10" s="416"/>
      <c r="I10" s="391"/>
      <c r="J10" s="341"/>
      <c r="K10" s="341"/>
      <c r="L10" s="341"/>
      <c r="M10" s="341"/>
      <c r="N10" s="341"/>
      <c r="O10" s="341"/>
    </row>
    <row r="11" spans="1:15" ht="49.9" customHeight="1">
      <c r="A11" s="210" t="s">
        <v>732</v>
      </c>
      <c r="B11" s="210"/>
      <c r="C11" s="210"/>
      <c r="D11" s="362" t="s">
        <v>945</v>
      </c>
      <c r="E11" s="407" t="s">
        <v>526</v>
      </c>
      <c r="F11" s="361">
        <f>+MEMORIAS!H39</f>
        <v>84</v>
      </c>
      <c r="G11" s="365"/>
      <c r="H11" s="416"/>
      <c r="I11" s="363"/>
      <c r="J11" s="360"/>
      <c r="K11" s="341"/>
      <c r="L11" s="341"/>
      <c r="M11" s="341"/>
      <c r="N11" s="341"/>
      <c r="O11" s="341"/>
    </row>
    <row r="12" spans="1:15" ht="51" customHeight="1">
      <c r="A12" s="210" t="s">
        <v>789</v>
      </c>
      <c r="B12" s="210"/>
      <c r="C12" s="210"/>
      <c r="D12" s="362" t="s">
        <v>938</v>
      </c>
      <c r="E12" s="407" t="s">
        <v>915</v>
      </c>
      <c r="F12" s="361">
        <f>+MEMORIAS!H54</f>
        <v>8</v>
      </c>
      <c r="G12" s="365"/>
      <c r="H12" s="416"/>
      <c r="I12" s="363"/>
      <c r="J12" s="360"/>
      <c r="K12" s="341"/>
      <c r="L12" s="341"/>
      <c r="M12" s="341"/>
      <c r="N12" s="341"/>
      <c r="O12" s="341"/>
    </row>
    <row r="13" spans="1:15" ht="22.9" customHeight="1">
      <c r="A13" s="210" t="s">
        <v>943</v>
      </c>
      <c r="B13" s="210"/>
      <c r="C13" s="210"/>
      <c r="D13" s="425" t="s">
        <v>957</v>
      </c>
      <c r="E13" s="407" t="s">
        <v>932</v>
      </c>
      <c r="F13" s="361">
        <f>+MEMORIAS!H70</f>
        <v>19</v>
      </c>
      <c r="G13" s="365"/>
      <c r="H13" s="416"/>
      <c r="I13" s="363"/>
      <c r="J13" s="360"/>
      <c r="K13" s="341"/>
      <c r="L13" s="341"/>
      <c r="M13" s="341"/>
      <c r="N13" s="341"/>
      <c r="O13" s="341"/>
    </row>
    <row r="14" spans="1:15" ht="32.450000000000003" customHeight="1">
      <c r="A14" s="210" t="s">
        <v>790</v>
      </c>
      <c r="B14" s="210"/>
      <c r="C14" s="210"/>
      <c r="D14" s="423" t="s">
        <v>954</v>
      </c>
      <c r="E14" s="407" t="s">
        <v>915</v>
      </c>
      <c r="F14" s="361">
        <f>+MEMORIAS!H86</f>
        <v>1</v>
      </c>
      <c r="G14" s="365"/>
      <c r="H14" s="416"/>
      <c r="I14" s="363"/>
      <c r="J14" s="360"/>
      <c r="K14" s="341"/>
      <c r="L14" s="341"/>
      <c r="M14" s="341"/>
      <c r="N14" s="341"/>
      <c r="O14" s="341"/>
    </row>
    <row r="15" spans="1:15" ht="17.45" customHeight="1">
      <c r="A15" s="456" t="s">
        <v>527</v>
      </c>
      <c r="B15" s="457"/>
      <c r="C15" s="457"/>
      <c r="D15" s="458"/>
      <c r="E15" s="458"/>
      <c r="F15" s="458"/>
      <c r="G15" s="458"/>
      <c r="H15" s="352">
        <f>+SUM(H9:H14)</f>
        <v>0</v>
      </c>
      <c r="I15" s="324"/>
    </row>
    <row r="16" spans="1:15">
      <c r="A16" s="459" t="s">
        <v>850</v>
      </c>
      <c r="B16" s="460"/>
      <c r="C16" s="460"/>
      <c r="D16" s="461"/>
      <c r="E16" s="461"/>
      <c r="F16" s="461"/>
      <c r="G16" s="293"/>
      <c r="H16" s="353">
        <f>IFERROR($H$15*G16,"")</f>
        <v>0</v>
      </c>
    </row>
    <row r="17" spans="1:15">
      <c r="A17" s="459" t="s">
        <v>851</v>
      </c>
      <c r="B17" s="460"/>
      <c r="C17" s="460"/>
      <c r="D17" s="461"/>
      <c r="E17" s="461"/>
      <c r="F17" s="461"/>
      <c r="G17" s="183"/>
      <c r="H17" s="353">
        <f>IFERROR($H$15*G17,"")</f>
        <v>0</v>
      </c>
    </row>
    <row r="18" spans="1:15" ht="31.5" customHeight="1">
      <c r="A18" s="396"/>
      <c r="B18" s="397"/>
      <c r="C18" s="397"/>
      <c r="D18" s="463" t="s">
        <v>956</v>
      </c>
      <c r="E18" s="463"/>
      <c r="F18" s="463"/>
      <c r="G18" s="422"/>
      <c r="H18" s="353">
        <f>+H15+H16+H17</f>
        <v>0</v>
      </c>
    </row>
    <row r="20" spans="1:15">
      <c r="I20" s="359"/>
    </row>
    <row r="24" spans="1:15">
      <c r="A24" s="297"/>
      <c r="B24" s="297"/>
      <c r="C24" s="297"/>
      <c r="D24" s="297"/>
      <c r="E24" s="297"/>
      <c r="F24" s="297"/>
      <c r="G24"/>
      <c r="H24"/>
      <c r="I24"/>
      <c r="J24"/>
      <c r="K24"/>
      <c r="L24"/>
      <c r="M24"/>
      <c r="N24"/>
      <c r="O24"/>
    </row>
    <row r="25" spans="1:15">
      <c r="A25" s="297"/>
      <c r="B25" s="297"/>
      <c r="C25" s="297"/>
      <c r="D25" s="297"/>
      <c r="E25" s="297"/>
      <c r="F25" s="297"/>
      <c r="G25"/>
      <c r="H25"/>
      <c r="I25"/>
      <c r="J25"/>
      <c r="K25"/>
      <c r="L25"/>
      <c r="M25"/>
      <c r="N25"/>
      <c r="O25"/>
    </row>
    <row r="26" spans="1:15">
      <c r="A26" s="297"/>
      <c r="B26" s="297"/>
      <c r="C26" s="297"/>
      <c r="D26" s="297"/>
      <c r="E26" s="297"/>
      <c r="F26" s="297"/>
      <c r="G26"/>
      <c r="H26"/>
      <c r="I26"/>
      <c r="J26"/>
      <c r="K26"/>
      <c r="L26"/>
      <c r="M26"/>
      <c r="N26"/>
      <c r="O26"/>
    </row>
    <row r="27" spans="1:15">
      <c r="A27" s="297"/>
      <c r="B27" s="297"/>
      <c r="C27" s="297"/>
      <c r="D27" s="297"/>
      <c r="E27" s="297"/>
      <c r="F27" s="297"/>
      <c r="G27"/>
      <c r="H27"/>
      <c r="I27"/>
      <c r="J27"/>
      <c r="K27"/>
      <c r="L27"/>
      <c r="M27"/>
      <c r="N27"/>
      <c r="O27"/>
    </row>
    <row r="28" spans="1:15">
      <c r="A28" s="297"/>
      <c r="B28" s="297"/>
      <c r="C28" s="297"/>
      <c r="D28" s="297"/>
      <c r="E28" s="297"/>
      <c r="F28" s="297"/>
      <c r="G28"/>
      <c r="H28"/>
      <c r="I28"/>
      <c r="J28"/>
      <c r="K28"/>
      <c r="L28"/>
      <c r="M28"/>
      <c r="N28"/>
      <c r="O28"/>
    </row>
    <row r="29" spans="1:15">
      <c r="A29" s="297"/>
      <c r="B29" s="297"/>
      <c r="C29" s="297"/>
      <c r="D29" s="297"/>
      <c r="E29" s="297"/>
      <c r="F29" s="297"/>
      <c r="G29"/>
      <c r="H29"/>
      <c r="I29"/>
      <c r="J29"/>
      <c r="K29"/>
      <c r="L29"/>
      <c r="M29"/>
      <c r="N29"/>
      <c r="O29"/>
    </row>
    <row r="30" spans="1:15">
      <c r="A30" s="297"/>
      <c r="B30" s="297"/>
      <c r="C30" s="297"/>
      <c r="D30" s="297"/>
      <c r="E30" s="297"/>
      <c r="F30" s="297"/>
      <c r="G30"/>
      <c r="H30"/>
      <c r="I30"/>
      <c r="J30"/>
      <c r="K30"/>
      <c r="L30"/>
      <c r="M30"/>
      <c r="N30"/>
      <c r="O30"/>
    </row>
    <row r="31" spans="1:15">
      <c r="A31" s="297"/>
      <c r="B31" s="297"/>
      <c r="C31" s="297"/>
      <c r="D31" s="297"/>
      <c r="E31" s="297"/>
      <c r="F31" s="297"/>
      <c r="G31"/>
      <c r="H31"/>
      <c r="I31"/>
      <c r="J31"/>
      <c r="K31"/>
      <c r="L31"/>
      <c r="M31"/>
      <c r="N31"/>
      <c r="O31"/>
    </row>
    <row r="32" spans="1:15">
      <c r="A32" s="297"/>
      <c r="B32" s="297"/>
      <c r="C32" s="297"/>
      <c r="D32" s="297"/>
      <c r="E32" s="297"/>
      <c r="F32" s="297"/>
      <c r="G32"/>
      <c r="H32"/>
      <c r="I32"/>
      <c r="J32"/>
      <c r="K32"/>
      <c r="L32"/>
      <c r="M32"/>
      <c r="N32"/>
      <c r="O32"/>
    </row>
    <row r="33" spans="1:15">
      <c r="A33" s="297"/>
      <c r="B33" s="297"/>
      <c r="C33" s="297"/>
      <c r="D33" s="297"/>
      <c r="E33" s="297"/>
      <c r="F33" s="297"/>
      <c r="G33"/>
      <c r="H33"/>
      <c r="I33"/>
      <c r="J33"/>
      <c r="K33"/>
      <c r="L33"/>
      <c r="M33"/>
      <c r="N33"/>
      <c r="O33"/>
    </row>
    <row r="34" spans="1:15">
      <c r="A34" s="297"/>
      <c r="B34" s="297"/>
      <c r="C34" s="297"/>
      <c r="D34" s="297"/>
      <c r="E34" s="297"/>
      <c r="F34" s="297"/>
      <c r="G34"/>
      <c r="H34"/>
      <c r="I34"/>
      <c r="J34"/>
      <c r="K34"/>
      <c r="L34"/>
      <c r="M34"/>
      <c r="N34"/>
      <c r="O34"/>
    </row>
    <row r="35" spans="1:15">
      <c r="A35" s="297"/>
      <c r="B35" s="297"/>
      <c r="C35" s="297"/>
      <c r="D35" s="297"/>
      <c r="E35" s="297"/>
      <c r="F35" s="297"/>
      <c r="G35"/>
      <c r="H35"/>
      <c r="I35"/>
      <c r="J35"/>
      <c r="K35"/>
      <c r="L35"/>
      <c r="M35"/>
      <c r="N35"/>
      <c r="O35"/>
    </row>
    <row r="36" spans="1:15">
      <c r="A36" s="297"/>
      <c r="B36" s="297"/>
      <c r="C36" s="297"/>
      <c r="D36" s="297"/>
      <c r="E36" s="297"/>
      <c r="F36" s="297"/>
      <c r="G36"/>
      <c r="H36"/>
      <c r="I36"/>
      <c r="J36"/>
      <c r="K36"/>
      <c r="L36"/>
      <c r="M36"/>
      <c r="N36"/>
      <c r="O36"/>
    </row>
  </sheetData>
  <mergeCells count="22">
    <mergeCell ref="N7:N8"/>
    <mergeCell ref="O7:O8"/>
    <mergeCell ref="A15:G15"/>
    <mergeCell ref="A16:F16"/>
    <mergeCell ref="A17:F17"/>
    <mergeCell ref="D18:F18"/>
    <mergeCell ref="H7:H8"/>
    <mergeCell ref="I7:I8"/>
    <mergeCell ref="J7:J8"/>
    <mergeCell ref="K7:K8"/>
    <mergeCell ref="L7:L8"/>
    <mergeCell ref="M7:M8"/>
    <mergeCell ref="A1:D1"/>
    <mergeCell ref="E1:H5"/>
    <mergeCell ref="A2:D2"/>
    <mergeCell ref="A3:D3"/>
    <mergeCell ref="A5:D5"/>
    <mergeCell ref="A7:A8"/>
    <mergeCell ref="D7:D8"/>
    <mergeCell ref="E7:E8"/>
    <mergeCell ref="F7:F8"/>
    <mergeCell ref="G7:G8"/>
  </mergeCells>
  <pageMargins left="0.7" right="0.7" top="0.75" bottom="0.75" header="0.3" footer="0.3"/>
  <pageSetup scale="7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8"/>
  <sheetViews>
    <sheetView view="pageBreakPreview" topLeftCell="A4" zoomScale="60" zoomScaleNormal="60" workbookViewId="0">
      <selection activeCell="G9" sqref="G9:H13"/>
    </sheetView>
  </sheetViews>
  <sheetFormatPr baseColWidth="10" defaultRowHeight="15"/>
  <cols>
    <col min="1" max="1" width="7.7109375" style="181" customWidth="1"/>
    <col min="2" max="3" width="0" style="181" hidden="1" customWidth="1"/>
    <col min="4" max="4" width="55" customWidth="1"/>
    <col min="5" max="5" width="8.85546875" style="181" customWidth="1"/>
    <col min="6" max="6" width="10.42578125" style="181" customWidth="1"/>
    <col min="7" max="7" width="17" style="182" bestFit="1" customWidth="1"/>
    <col min="8" max="8" width="18.7109375" style="181" bestFit="1" customWidth="1"/>
    <col min="9" max="9" width="21" style="323" customWidth="1"/>
    <col min="10" max="10" width="17.85546875" style="297" customWidth="1"/>
    <col min="11" max="11" width="16.42578125" style="297" customWidth="1"/>
    <col min="12" max="12" width="17.5703125" style="297" bestFit="1" customWidth="1"/>
    <col min="13" max="13" width="18.140625" style="297" bestFit="1" customWidth="1"/>
    <col min="14" max="14" width="16" style="297" customWidth="1"/>
    <col min="15" max="15" width="18.5703125" style="297" customWidth="1"/>
  </cols>
  <sheetData>
    <row r="1" spans="1:15" ht="26.25">
      <c r="A1" s="440" t="s">
        <v>0</v>
      </c>
      <c r="B1" s="441"/>
      <c r="C1" s="441"/>
      <c r="D1" s="441"/>
      <c r="E1" s="431"/>
      <c r="F1" s="432"/>
      <c r="G1" s="432"/>
      <c r="H1" s="433"/>
    </row>
    <row r="2" spans="1:15" ht="21">
      <c r="A2" s="442" t="str">
        <f>'DATOS INICIALES'!B2</f>
        <v>MUNICIPIO DE DABEIBA</v>
      </c>
      <c r="B2" s="443"/>
      <c r="C2" s="443"/>
      <c r="D2" s="443"/>
      <c r="E2" s="434"/>
      <c r="F2" s="435"/>
      <c r="G2" s="435"/>
      <c r="H2" s="436"/>
    </row>
    <row r="3" spans="1:15" ht="79.5" customHeight="1">
      <c r="A3" s="444" t="str">
        <f>+'DATOS INICIALES'!B3</f>
        <v xml:space="preserve">AMPLIACIÓN DEL SISTEMA DE ALCANTARILLADO EN SECTOR DEL BARRIO PABLO VI  DEL MUNICIPIO DE DABEIBA ANTIOQUIA </v>
      </c>
      <c r="B3" s="445"/>
      <c r="C3" s="445"/>
      <c r="D3" s="445"/>
      <c r="E3" s="434"/>
      <c r="F3" s="435"/>
      <c r="G3" s="435"/>
      <c r="H3" s="436"/>
    </row>
    <row r="4" spans="1:15">
      <c r="A4" s="348"/>
      <c r="B4" s="17"/>
      <c r="C4" s="17"/>
      <c r="D4" s="4"/>
      <c r="E4" s="434"/>
      <c r="F4" s="435"/>
      <c r="G4" s="435"/>
      <c r="H4" s="436"/>
    </row>
    <row r="5" spans="1:15">
      <c r="A5" s="446" t="s">
        <v>44</v>
      </c>
      <c r="B5" s="447"/>
      <c r="C5" s="447"/>
      <c r="D5" s="447"/>
      <c r="E5" s="437"/>
      <c r="F5" s="438"/>
      <c r="G5" s="438"/>
      <c r="H5" s="439"/>
    </row>
    <row r="6" spans="1:15" ht="6" customHeight="1">
      <c r="A6" s="349"/>
      <c r="G6" s="350"/>
      <c r="H6" s="351"/>
    </row>
    <row r="7" spans="1:15">
      <c r="A7" s="454" t="s">
        <v>45</v>
      </c>
      <c r="B7" s="354"/>
      <c r="C7" s="354"/>
      <c r="D7" s="452" t="s">
        <v>46</v>
      </c>
      <c r="E7" s="452" t="s">
        <v>47</v>
      </c>
      <c r="F7" s="452" t="s">
        <v>48</v>
      </c>
      <c r="G7" s="448" t="s">
        <v>49</v>
      </c>
      <c r="H7" s="450" t="s">
        <v>50</v>
      </c>
      <c r="I7" s="429"/>
      <c r="J7" s="430"/>
      <c r="K7" s="430"/>
      <c r="L7" s="430"/>
      <c r="M7" s="430"/>
      <c r="N7" s="430"/>
      <c r="O7" s="430"/>
    </row>
    <row r="8" spans="1:15">
      <c r="A8" s="455"/>
      <c r="B8" s="355"/>
      <c r="C8" s="355"/>
      <c r="D8" s="453"/>
      <c r="E8" s="453"/>
      <c r="F8" s="453"/>
      <c r="G8" s="449"/>
      <c r="H8" s="451"/>
      <c r="I8" s="429"/>
      <c r="J8" s="430"/>
      <c r="K8" s="430"/>
      <c r="L8" s="430"/>
      <c r="M8" s="430"/>
      <c r="N8" s="430"/>
      <c r="O8" s="430"/>
    </row>
    <row r="9" spans="1:15" ht="30">
      <c r="A9" s="412" t="s">
        <v>51</v>
      </c>
      <c r="B9" s="413"/>
      <c r="C9" s="413"/>
      <c r="D9" s="414" t="s">
        <v>952</v>
      </c>
      <c r="E9" s="412" t="s">
        <v>915</v>
      </c>
      <c r="F9" s="412">
        <v>1</v>
      </c>
      <c r="G9" s="415">
        <f ca="1">+APU!G8</f>
        <v>436483</v>
      </c>
      <c r="H9" s="416">
        <f ca="1">+G9*F9</f>
        <v>436483</v>
      </c>
      <c r="I9" s="391"/>
      <c r="J9" s="341"/>
      <c r="K9" s="341"/>
      <c r="L9" s="341"/>
      <c r="M9" s="341"/>
      <c r="N9" s="341"/>
      <c r="O9" s="341"/>
    </row>
    <row r="10" spans="1:15" ht="48" customHeight="1">
      <c r="A10" s="412" t="s">
        <v>480</v>
      </c>
      <c r="B10" s="417"/>
      <c r="C10" s="417"/>
      <c r="D10" s="414" t="s">
        <v>944</v>
      </c>
      <c r="E10" s="407" t="s">
        <v>932</v>
      </c>
      <c r="F10" s="418">
        <f>+MEMORIAS!H24</f>
        <v>34</v>
      </c>
      <c r="G10" s="415">
        <f>+APU!G65</f>
        <v>35827</v>
      </c>
      <c r="H10" s="416">
        <f t="shared" ref="H10:H13" si="0">+G10*F10</f>
        <v>1218118</v>
      </c>
      <c r="I10" s="391"/>
      <c r="J10" s="341"/>
      <c r="K10" s="341"/>
      <c r="L10" s="341"/>
      <c r="M10" s="341"/>
      <c r="N10" s="341"/>
      <c r="O10" s="341"/>
    </row>
    <row r="11" spans="1:15" ht="49.9" customHeight="1">
      <c r="A11" s="210" t="s">
        <v>732</v>
      </c>
      <c r="B11" s="210"/>
      <c r="C11" s="210"/>
      <c r="D11" s="362" t="s">
        <v>945</v>
      </c>
      <c r="E11" s="407" t="s">
        <v>526</v>
      </c>
      <c r="F11" s="361">
        <f>+MEMORIAS!H39</f>
        <v>84</v>
      </c>
      <c r="G11" s="365">
        <f ca="1">+APU!G119</f>
        <v>128597</v>
      </c>
      <c r="H11" s="416">
        <f t="shared" ca="1" si="0"/>
        <v>10802148</v>
      </c>
      <c r="I11" s="363"/>
      <c r="J11" s="360"/>
      <c r="K11" s="341"/>
      <c r="L11" s="341"/>
      <c r="M11" s="341"/>
      <c r="N11" s="341"/>
      <c r="O11" s="341"/>
    </row>
    <row r="12" spans="1:15" ht="51" customHeight="1">
      <c r="A12" s="210" t="s">
        <v>789</v>
      </c>
      <c r="B12" s="210"/>
      <c r="C12" s="210"/>
      <c r="D12" s="362" t="s">
        <v>938</v>
      </c>
      <c r="E12" s="407" t="s">
        <v>915</v>
      </c>
      <c r="F12" s="361">
        <f>+MEMORIAS!H54</f>
        <v>8</v>
      </c>
      <c r="G12" s="365">
        <f ca="1">+APU!G176</f>
        <v>184228</v>
      </c>
      <c r="H12" s="416">
        <f t="shared" ca="1" si="0"/>
        <v>1473824</v>
      </c>
      <c r="I12" s="363"/>
      <c r="J12" s="360"/>
      <c r="K12" s="341"/>
      <c r="L12" s="341"/>
      <c r="M12" s="341"/>
      <c r="N12" s="341"/>
      <c r="O12" s="341"/>
    </row>
    <row r="13" spans="1:15" ht="22.9" customHeight="1">
      <c r="A13" s="210" t="s">
        <v>943</v>
      </c>
      <c r="B13" s="210"/>
      <c r="C13" s="210"/>
      <c r="D13" s="425" t="s">
        <v>957</v>
      </c>
      <c r="E13" s="407" t="s">
        <v>932</v>
      </c>
      <c r="F13" s="361">
        <f>+MEMORIAS!H70</f>
        <v>19</v>
      </c>
      <c r="G13" s="365">
        <f ca="1">+APU!G235</f>
        <v>33271</v>
      </c>
      <c r="H13" s="416">
        <f t="shared" ca="1" si="0"/>
        <v>632149</v>
      </c>
      <c r="I13" s="363"/>
      <c r="J13" s="360"/>
      <c r="K13" s="341"/>
      <c r="L13" s="341"/>
      <c r="M13" s="341"/>
      <c r="N13" s="341"/>
      <c r="O13" s="341"/>
    </row>
    <row r="14" spans="1:15" ht="32.450000000000003" customHeight="1">
      <c r="A14" s="210" t="s">
        <v>790</v>
      </c>
      <c r="B14" s="210"/>
      <c r="C14" s="210"/>
      <c r="D14" s="423" t="s">
        <v>954</v>
      </c>
      <c r="E14" s="407" t="s">
        <v>915</v>
      </c>
      <c r="F14" s="361">
        <f>+MEMORIAS!H86</f>
        <v>1</v>
      </c>
      <c r="G14" s="365">
        <f ca="1">+APU!G293</f>
        <v>656363</v>
      </c>
      <c r="H14" s="416">
        <f ca="1">+G14*F14</f>
        <v>656363</v>
      </c>
      <c r="I14" s="363"/>
      <c r="J14" s="360"/>
      <c r="K14" s="341"/>
      <c r="L14" s="341"/>
      <c r="M14" s="341"/>
      <c r="N14" s="341"/>
      <c r="O14" s="341"/>
    </row>
    <row r="15" spans="1:15" ht="17.45" customHeight="1">
      <c r="A15" s="456" t="s">
        <v>527</v>
      </c>
      <c r="B15" s="457"/>
      <c r="C15" s="457"/>
      <c r="D15" s="458"/>
      <c r="E15" s="458"/>
      <c r="F15" s="458"/>
      <c r="G15" s="458"/>
      <c r="H15" s="352">
        <f ca="1">+SUM(H9:H14)</f>
        <v>15219085</v>
      </c>
      <c r="I15" s="324"/>
    </row>
    <row r="16" spans="1:15">
      <c r="A16" s="459" t="s">
        <v>850</v>
      </c>
      <c r="B16" s="460"/>
      <c r="C16" s="460"/>
      <c r="D16" s="461"/>
      <c r="E16" s="461"/>
      <c r="F16" s="461"/>
      <c r="G16" s="293">
        <v>0.25</v>
      </c>
      <c r="H16" s="353">
        <f ca="1">IFERROR($H$15*G16,"")</f>
        <v>3804771.25</v>
      </c>
    </row>
    <row r="17" spans="1:15">
      <c r="A17" s="459" t="s">
        <v>851</v>
      </c>
      <c r="B17" s="460"/>
      <c r="C17" s="460"/>
      <c r="D17" s="461"/>
      <c r="E17" s="461"/>
      <c r="F17" s="461"/>
      <c r="G17" s="183">
        <f>AIU!I48</f>
        <v>0.05</v>
      </c>
      <c r="H17" s="353">
        <f ca="1">IFERROR($H$15*G17,"")</f>
        <v>760954.25</v>
      </c>
    </row>
    <row r="18" spans="1:15">
      <c r="A18" s="396"/>
      <c r="B18" s="397"/>
      <c r="C18" s="397"/>
      <c r="D18" s="463" t="s">
        <v>956</v>
      </c>
      <c r="E18" s="463"/>
      <c r="F18" s="463"/>
      <c r="G18" s="422"/>
      <c r="H18" s="353">
        <f ca="1">+H15+H16+H17</f>
        <v>19784810.5</v>
      </c>
    </row>
    <row r="19" spans="1:15">
      <c r="A19" s="396"/>
      <c r="B19" s="397"/>
      <c r="C19" s="397"/>
      <c r="D19" s="463" t="s">
        <v>930</v>
      </c>
      <c r="E19" s="463"/>
      <c r="F19" s="460"/>
      <c r="G19" s="183">
        <v>0.01</v>
      </c>
      <c r="H19" s="353">
        <f ca="1">+H18*0.01</f>
        <v>197848.10500000001</v>
      </c>
    </row>
    <row r="20" spans="1:15">
      <c r="A20" s="462" t="s">
        <v>849</v>
      </c>
      <c r="B20" s="463"/>
      <c r="C20" s="463"/>
      <c r="D20" s="463"/>
      <c r="E20" s="463"/>
      <c r="F20" s="460"/>
      <c r="G20" s="183"/>
      <c r="H20" s="353">
        <f ca="1">+H18+H19</f>
        <v>19982658.605</v>
      </c>
      <c r="J20" s="324"/>
    </row>
    <row r="22" spans="1:15">
      <c r="H22" s="181">
        <v>19784811</v>
      </c>
      <c r="I22" s="359"/>
    </row>
    <row r="23" spans="1:15">
      <c r="H23" s="181">
        <v>197848</v>
      </c>
    </row>
    <row r="26" spans="1:15">
      <c r="A26" s="297"/>
      <c r="B26" s="297"/>
      <c r="C26" s="297"/>
      <c r="D26" s="297"/>
      <c r="E26" s="297"/>
      <c r="F26" s="297"/>
      <c r="G26"/>
      <c r="H26"/>
      <c r="I26"/>
      <c r="J26"/>
      <c r="K26"/>
      <c r="L26"/>
      <c r="M26"/>
      <c r="N26"/>
      <c r="O26"/>
    </row>
    <row r="27" spans="1:15">
      <c r="A27" s="297"/>
      <c r="B27" s="297"/>
      <c r="C27" s="297"/>
      <c r="D27" s="297"/>
      <c r="E27" s="297"/>
      <c r="F27" s="297"/>
      <c r="G27"/>
      <c r="H27"/>
      <c r="I27"/>
      <c r="J27"/>
      <c r="K27"/>
      <c r="L27"/>
      <c r="M27"/>
      <c r="N27"/>
      <c r="O27"/>
    </row>
    <row r="28" spans="1:15">
      <c r="A28" s="297"/>
      <c r="B28" s="297"/>
      <c r="C28" s="297"/>
      <c r="D28" s="297"/>
      <c r="E28" s="297"/>
      <c r="F28" s="297"/>
      <c r="G28"/>
      <c r="H28"/>
      <c r="I28"/>
      <c r="J28"/>
      <c r="K28"/>
      <c r="L28"/>
      <c r="M28"/>
      <c r="N28"/>
      <c r="O28"/>
    </row>
    <row r="29" spans="1:15">
      <c r="A29" s="297"/>
      <c r="B29" s="297"/>
      <c r="C29" s="297"/>
      <c r="D29" s="297"/>
      <c r="E29" s="297"/>
      <c r="F29" s="297"/>
      <c r="G29"/>
      <c r="H29"/>
      <c r="I29"/>
      <c r="J29"/>
      <c r="K29"/>
      <c r="L29"/>
      <c r="M29"/>
      <c r="N29"/>
      <c r="O29"/>
    </row>
    <row r="30" spans="1:15">
      <c r="A30" s="297"/>
      <c r="B30" s="297"/>
      <c r="C30" s="297"/>
      <c r="D30" s="297"/>
      <c r="E30" s="297"/>
      <c r="F30" s="297"/>
      <c r="G30"/>
      <c r="H30"/>
      <c r="I30"/>
      <c r="J30"/>
      <c r="K30"/>
      <c r="L30"/>
      <c r="M30"/>
      <c r="N30"/>
      <c r="O30"/>
    </row>
    <row r="31" spans="1:15">
      <c r="A31" s="297"/>
      <c r="B31" s="297"/>
      <c r="C31" s="297"/>
      <c r="D31" s="297"/>
      <c r="E31" s="297"/>
      <c r="F31" s="297"/>
      <c r="G31"/>
      <c r="H31"/>
      <c r="I31"/>
      <c r="J31"/>
      <c r="K31"/>
      <c r="L31"/>
      <c r="M31"/>
      <c r="N31"/>
      <c r="O31"/>
    </row>
    <row r="32" spans="1:15">
      <c r="A32" s="297"/>
      <c r="B32" s="297"/>
      <c r="C32" s="297"/>
      <c r="D32" s="297"/>
      <c r="E32" s="297"/>
      <c r="F32" s="297"/>
      <c r="G32"/>
      <c r="H32"/>
      <c r="I32"/>
      <c r="J32"/>
      <c r="K32"/>
      <c r="L32"/>
      <c r="M32"/>
      <c r="N32"/>
      <c r="O32"/>
    </row>
    <row r="33" spans="1:15">
      <c r="A33" s="297"/>
      <c r="B33" s="297"/>
      <c r="C33" s="297"/>
      <c r="D33" s="297"/>
      <c r="E33" s="297"/>
      <c r="F33" s="297"/>
      <c r="G33"/>
      <c r="H33"/>
      <c r="I33"/>
      <c r="J33"/>
      <c r="K33"/>
      <c r="L33"/>
      <c r="M33"/>
      <c r="N33"/>
      <c r="O33"/>
    </row>
    <row r="34" spans="1:15">
      <c r="A34" s="297"/>
      <c r="B34" s="297"/>
      <c r="C34" s="297"/>
      <c r="D34" s="297"/>
      <c r="E34" s="297"/>
      <c r="F34" s="297"/>
      <c r="G34"/>
      <c r="H34"/>
      <c r="I34"/>
      <c r="J34"/>
      <c r="K34"/>
      <c r="L34"/>
      <c r="M34"/>
      <c r="N34"/>
      <c r="O34"/>
    </row>
    <row r="35" spans="1:15">
      <c r="A35" s="297"/>
      <c r="B35" s="297"/>
      <c r="C35" s="297"/>
      <c r="D35" s="297"/>
      <c r="E35" s="297"/>
      <c r="F35" s="297"/>
      <c r="G35"/>
      <c r="H35"/>
      <c r="I35"/>
      <c r="J35"/>
      <c r="K35"/>
      <c r="L35"/>
      <c r="M35"/>
      <c r="N35"/>
      <c r="O35"/>
    </row>
    <row r="36" spans="1:15">
      <c r="A36" s="297"/>
      <c r="B36" s="297"/>
      <c r="C36" s="297"/>
      <c r="D36" s="297"/>
      <c r="E36" s="297"/>
      <c r="F36" s="297"/>
      <c r="G36"/>
      <c r="H36"/>
      <c r="I36"/>
      <c r="J36"/>
      <c r="K36"/>
      <c r="L36"/>
      <c r="M36"/>
      <c r="N36"/>
      <c r="O36"/>
    </row>
    <row r="37" spans="1:15">
      <c r="A37" s="297"/>
      <c r="B37" s="297"/>
      <c r="C37" s="297"/>
      <c r="D37" s="297"/>
      <c r="E37" s="297"/>
      <c r="F37" s="297"/>
      <c r="G37"/>
      <c r="H37"/>
      <c r="I37"/>
      <c r="J37"/>
      <c r="K37"/>
      <c r="L37"/>
      <c r="M37"/>
      <c r="N37"/>
      <c r="O37"/>
    </row>
    <row r="38" spans="1:15">
      <c r="A38" s="297"/>
      <c r="B38" s="297"/>
      <c r="C38" s="297"/>
      <c r="D38" s="297"/>
      <c r="E38" s="297"/>
      <c r="F38" s="297"/>
      <c r="G38"/>
      <c r="H38"/>
      <c r="I38"/>
      <c r="J38"/>
      <c r="K38"/>
      <c r="L38"/>
      <c r="M38"/>
      <c r="N38"/>
      <c r="O38"/>
    </row>
  </sheetData>
  <mergeCells count="24">
    <mergeCell ref="A15:G15"/>
    <mergeCell ref="A16:F16"/>
    <mergeCell ref="A17:F17"/>
    <mergeCell ref="A20:F20"/>
    <mergeCell ref="D19:F19"/>
    <mergeCell ref="D18:F18"/>
    <mergeCell ref="G7:G8"/>
    <mergeCell ref="H7:H8"/>
    <mergeCell ref="D7:D8"/>
    <mergeCell ref="A7:A8"/>
    <mergeCell ref="E7:E8"/>
    <mergeCell ref="F7:F8"/>
    <mergeCell ref="E1:H5"/>
    <mergeCell ref="A1:D1"/>
    <mergeCell ref="A2:D2"/>
    <mergeCell ref="A3:D3"/>
    <mergeCell ref="A5:D5"/>
    <mergeCell ref="I7:I8"/>
    <mergeCell ref="O7:O8"/>
    <mergeCell ref="J7:J8"/>
    <mergeCell ref="K7:K8"/>
    <mergeCell ref="L7:L8"/>
    <mergeCell ref="M7:M8"/>
    <mergeCell ref="N7:N8"/>
  </mergeCells>
  <phoneticPr fontId="35" type="noConversion"/>
  <pageMargins left="0.7" right="0.7" top="0.75" bottom="0.75" header="0.3" footer="0.3"/>
  <pageSetup scale="7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42"/>
  <sheetViews>
    <sheetView view="pageBreakPreview" zoomScaleNormal="70" zoomScaleSheetLayoutView="100" workbookViewId="0">
      <selection activeCell="J302" sqref="J302"/>
    </sheetView>
  </sheetViews>
  <sheetFormatPr baseColWidth="10" defaultRowHeight="15"/>
  <cols>
    <col min="2" max="2" width="35.42578125" customWidth="1"/>
    <col min="3" max="3" width="14.42578125" customWidth="1"/>
    <col min="4" max="4" width="15" customWidth="1"/>
    <col min="6" max="6" width="13.42578125" customWidth="1"/>
    <col min="7" max="7" width="19.42578125" customWidth="1"/>
    <col min="8" max="8" width="20.140625" bestFit="1" customWidth="1"/>
    <col min="10" max="10" width="15.85546875" bestFit="1" customWidth="1"/>
    <col min="12" max="12" width="12.140625" bestFit="1" customWidth="1"/>
  </cols>
  <sheetData>
    <row r="1" spans="1:7" ht="18.75">
      <c r="A1" s="480" t="str">
        <f>'DATOS INICIALES'!$B$1</f>
        <v>DEPARTAMENTO DE ANTIOQUIA</v>
      </c>
      <c r="B1" s="481"/>
      <c r="C1" s="481"/>
      <c r="D1" s="481"/>
      <c r="E1" s="481"/>
      <c r="F1" s="482" t="s">
        <v>52</v>
      </c>
      <c r="G1" s="482"/>
    </row>
    <row r="2" spans="1:7" ht="15.75">
      <c r="A2" s="483" t="str">
        <f>'DATOS INICIALES'!$B$2</f>
        <v>MUNICIPIO DE DABEIBA</v>
      </c>
      <c r="B2" s="484"/>
      <c r="C2" s="484"/>
      <c r="D2" s="484"/>
      <c r="E2" s="484"/>
      <c r="F2" s="482"/>
      <c r="G2" s="482"/>
    </row>
    <row r="3" spans="1:7">
      <c r="A3" s="485" t="str">
        <f>'DATOS INICIALES'!$B$3</f>
        <v xml:space="preserve">AMPLIACIÓN DEL SISTEMA DE ALCANTARILLADO EN SECTOR DEL BARRIO PABLO VI  DEL MUNICIPIO DE DABEIBA ANTIOQUIA </v>
      </c>
      <c r="B3" s="486"/>
      <c r="C3" s="486"/>
      <c r="D3" s="486"/>
      <c r="E3" s="486"/>
      <c r="F3" s="482"/>
      <c r="G3" s="482"/>
    </row>
    <row r="4" spans="1:7">
      <c r="A4" s="487"/>
      <c r="B4" s="487"/>
      <c r="C4" s="487"/>
      <c r="D4" s="487"/>
      <c r="E4" s="488"/>
      <c r="F4" s="482"/>
      <c r="G4" s="482"/>
    </row>
    <row r="5" spans="1:7" ht="29.45" customHeight="1">
      <c r="A5" s="489" t="s">
        <v>53</v>
      </c>
      <c r="B5" s="490"/>
      <c r="C5" s="490"/>
      <c r="D5" s="490"/>
      <c r="E5" s="490"/>
      <c r="F5" s="482"/>
      <c r="G5" s="482"/>
    </row>
    <row r="6" spans="1:7">
      <c r="A6" s="487"/>
      <c r="B6" s="487"/>
      <c r="C6" s="487"/>
      <c r="D6" s="487"/>
      <c r="E6" s="487"/>
      <c r="F6" s="491"/>
      <c r="G6" s="491"/>
    </row>
    <row r="7" spans="1:7">
      <c r="A7" s="22" t="s">
        <v>45</v>
      </c>
      <c r="B7" s="468" t="s">
        <v>46</v>
      </c>
      <c r="C7" s="469"/>
      <c r="D7" s="470"/>
      <c r="E7" s="23" t="s">
        <v>47</v>
      </c>
      <c r="F7" s="24" t="s">
        <v>48</v>
      </c>
      <c r="G7" s="24" t="s">
        <v>54</v>
      </c>
    </row>
    <row r="8" spans="1:7" ht="32.25" customHeight="1">
      <c r="A8" s="366" t="s">
        <v>51</v>
      </c>
      <c r="B8" s="471" t="str">
        <f>+IFERROR(VLOOKUP($A8,PRESUPUESTO,4,0),"")</f>
        <v>Trazado localización y replanteo  para tramo de alcantarillado y control permanente de alineamientos</v>
      </c>
      <c r="C8" s="472"/>
      <c r="D8" s="473"/>
      <c r="E8" s="82" t="str">
        <f>+IFERROR(VLOOKUP($A8,PRESUPUESTO,5,0),"")</f>
        <v>und</v>
      </c>
      <c r="F8" s="82">
        <f>+IFERROR(VLOOKUP($A8,PRESUPUESTO,6,0),"")</f>
        <v>1</v>
      </c>
      <c r="G8" s="153">
        <f ca="1">IF(G54=0,"",G44)</f>
        <v>436483</v>
      </c>
    </row>
    <row r="9" spans="1:7">
      <c r="A9" s="20"/>
      <c r="B9" s="20"/>
      <c r="C9" s="20"/>
      <c r="D9" s="20"/>
      <c r="E9" s="19"/>
      <c r="F9" s="19"/>
      <c r="G9" s="21"/>
    </row>
    <row r="10" spans="1:7" ht="20.25" customHeight="1">
      <c r="A10" s="464" t="s">
        <v>55</v>
      </c>
      <c r="B10" s="464"/>
      <c r="C10" s="464"/>
      <c r="D10" s="464"/>
      <c r="E10" s="464"/>
      <c r="F10" s="464"/>
      <c r="G10" s="464"/>
    </row>
    <row r="11" spans="1:7">
      <c r="A11" s="119"/>
      <c r="B11" s="119"/>
      <c r="C11" s="119"/>
      <c r="D11" s="119"/>
      <c r="E11" s="119"/>
      <c r="F11" s="119"/>
      <c r="G11" s="119"/>
    </row>
    <row r="12" spans="1:7">
      <c r="A12" s="474" t="s">
        <v>56</v>
      </c>
      <c r="B12" s="474"/>
      <c r="C12" s="474"/>
      <c r="D12" s="474"/>
      <c r="E12" s="474"/>
      <c r="F12" s="474"/>
      <c r="G12" s="475"/>
    </row>
    <row r="13" spans="1:7">
      <c r="A13" s="120" t="s">
        <v>57</v>
      </c>
      <c r="B13" s="476" t="s">
        <v>46</v>
      </c>
      <c r="C13" s="477"/>
      <c r="D13" s="120" t="s">
        <v>47</v>
      </c>
      <c r="E13" s="120" t="s">
        <v>58</v>
      </c>
      <c r="F13" s="120" t="s">
        <v>59</v>
      </c>
      <c r="G13" s="120" t="s">
        <v>60</v>
      </c>
    </row>
    <row r="14" spans="1:7">
      <c r="A14" s="390" t="str">
        <f>+'INSUMOS EQUIPOS'!A9</f>
        <v>EQ002</v>
      </c>
      <c r="B14" s="501" t="str">
        <f>+'INSUMOS EQUIPOS'!B10</f>
        <v>NIVEL DE PRECISIÓN</v>
      </c>
      <c r="C14" s="493"/>
      <c r="D14" s="368" t="s">
        <v>942</v>
      </c>
      <c r="E14" s="388">
        <f>+'INSUMOS EQUIPOS'!D10</f>
        <v>52000</v>
      </c>
      <c r="F14" s="368">
        <v>1</v>
      </c>
      <c r="G14" s="389">
        <f>+E14*F14</f>
        <v>52000</v>
      </c>
    </row>
    <row r="15" spans="1:7">
      <c r="A15" s="367" t="str">
        <f>IF(B15="","",INDEX(CODIGOEQUIPOS,MATCH($B15,'INSUMOS EQUIPOS'!$B$7:$B$42,0)))</f>
        <v>EQ001</v>
      </c>
      <c r="B15" s="478" t="s">
        <v>834</v>
      </c>
      <c r="C15" s="479"/>
      <c r="D15" s="368" t="str">
        <f>IF(B15="","",(VLOOKUP($A15,INSUMOSEQUIPOS,3,0)))</f>
        <v>%</v>
      </c>
      <c r="E15" s="369">
        <f>G35</f>
        <v>349530</v>
      </c>
      <c r="F15" s="370">
        <v>0.1</v>
      </c>
      <c r="G15" s="371">
        <f>+IFERROR(E15*F15,"")</f>
        <v>34953</v>
      </c>
    </row>
    <row r="16" spans="1:7">
      <c r="A16" s="34"/>
      <c r="B16" s="35"/>
      <c r="C16" s="119"/>
      <c r="D16" s="119"/>
      <c r="E16" s="36"/>
      <c r="F16" s="37" t="s">
        <v>62</v>
      </c>
      <c r="G16" s="38">
        <f>+G14+G15</f>
        <v>86953</v>
      </c>
    </row>
    <row r="17" spans="1:7" ht="12.75" customHeight="1">
      <c r="A17" s="35"/>
      <c r="B17" s="119"/>
      <c r="C17" s="119"/>
      <c r="D17" s="36"/>
      <c r="E17" s="39"/>
      <c r="F17" s="40"/>
      <c r="G17" s="34"/>
    </row>
    <row r="18" spans="1:7">
      <c r="A18" s="464" t="s">
        <v>63</v>
      </c>
      <c r="B18" s="464"/>
      <c r="C18" s="464"/>
      <c r="D18" s="464"/>
      <c r="E18" s="464"/>
      <c r="F18" s="464"/>
      <c r="G18" s="465"/>
    </row>
    <row r="19" spans="1:7">
      <c r="A19" s="120" t="s">
        <v>57</v>
      </c>
      <c r="B19" s="41" t="s">
        <v>46</v>
      </c>
      <c r="C19" s="42" t="s">
        <v>47</v>
      </c>
      <c r="D19" s="42" t="s">
        <v>48</v>
      </c>
      <c r="E19" s="42" t="s">
        <v>64</v>
      </c>
      <c r="F19" s="42" t="s">
        <v>65</v>
      </c>
      <c r="G19" s="42" t="s">
        <v>60</v>
      </c>
    </row>
    <row r="20" spans="1:7">
      <c r="A20" s="367"/>
      <c r="B20" s="372"/>
      <c r="C20" s="373"/>
      <c r="D20" s="374"/>
      <c r="E20" s="375"/>
      <c r="F20" s="376"/>
      <c r="G20" s="371"/>
    </row>
    <row r="21" spans="1:7">
      <c r="A21" s="367"/>
      <c r="B21" s="372"/>
      <c r="C21" s="373"/>
      <c r="D21" s="374"/>
      <c r="E21" s="375"/>
      <c r="F21" s="376"/>
      <c r="G21" s="371"/>
    </row>
    <row r="22" spans="1:7">
      <c r="A22" s="34"/>
      <c r="B22" s="48"/>
      <c r="C22" s="119"/>
      <c r="D22" s="119"/>
      <c r="E22" s="36"/>
      <c r="F22" s="37" t="s">
        <v>62</v>
      </c>
      <c r="G22" s="38" t="str">
        <f>+IF(SUM(G20:G21)=0,"",SUM(G20:G21))</f>
        <v/>
      </c>
    </row>
    <row r="23" spans="1:7">
      <c r="A23" s="35"/>
      <c r="B23" s="119"/>
      <c r="C23" s="119"/>
      <c r="D23" s="36"/>
      <c r="E23" s="49"/>
      <c r="F23" s="40"/>
      <c r="G23" s="34"/>
    </row>
    <row r="24" spans="1:7">
      <c r="A24" s="464" t="s">
        <v>66</v>
      </c>
      <c r="B24" s="464"/>
      <c r="C24" s="464"/>
      <c r="D24" s="464"/>
      <c r="E24" s="464"/>
      <c r="F24" s="464"/>
      <c r="G24" s="464"/>
    </row>
    <row r="25" spans="1:7">
      <c r="A25" s="120" t="s">
        <v>57</v>
      </c>
      <c r="B25" s="120" t="s">
        <v>46</v>
      </c>
      <c r="C25" s="120" t="s">
        <v>67</v>
      </c>
      <c r="D25" s="120" t="s">
        <v>68</v>
      </c>
      <c r="E25" s="42" t="s">
        <v>69</v>
      </c>
      <c r="F25" s="42" t="s">
        <v>58</v>
      </c>
      <c r="G25" s="42" t="s">
        <v>60</v>
      </c>
    </row>
    <row r="26" spans="1:7">
      <c r="A26" s="367"/>
      <c r="B26" s="372"/>
      <c r="C26" s="368"/>
      <c r="D26" s="377"/>
      <c r="E26" s="374"/>
      <c r="F26" s="369"/>
      <c r="G26" s="371">
        <f>+D26*E26*F26</f>
        <v>0</v>
      </c>
    </row>
    <row r="27" spans="1:7">
      <c r="A27" s="367"/>
      <c r="B27" s="372"/>
      <c r="C27" s="368"/>
      <c r="D27" s="377"/>
      <c r="E27" s="374"/>
      <c r="F27" s="369"/>
      <c r="G27" s="371">
        <f>+D27*E27*F27</f>
        <v>0</v>
      </c>
    </row>
    <row r="28" spans="1:7">
      <c r="A28" s="34"/>
      <c r="B28" s="52"/>
      <c r="C28" s="119"/>
      <c r="D28" s="119"/>
      <c r="E28" s="36"/>
      <c r="F28" s="37" t="s">
        <v>62</v>
      </c>
      <c r="G28" s="38" t="str">
        <f>+IF(SUM(G26:G27)=0,"",SUM(G26:G27))</f>
        <v/>
      </c>
    </row>
    <row r="29" spans="1:7">
      <c r="A29" s="119"/>
      <c r="B29" s="119"/>
      <c r="C29" s="119"/>
      <c r="D29" s="36"/>
      <c r="E29" s="49"/>
      <c r="F29" s="40"/>
      <c r="G29" s="34"/>
    </row>
    <row r="30" spans="1:7">
      <c r="A30" s="464" t="s">
        <v>70</v>
      </c>
      <c r="B30" s="464"/>
      <c r="C30" s="464"/>
      <c r="D30" s="464"/>
      <c r="E30" s="464"/>
      <c r="F30" s="464"/>
      <c r="G30" s="465"/>
    </row>
    <row r="31" spans="1:7">
      <c r="A31" s="120" t="s">
        <v>57</v>
      </c>
      <c r="B31" s="500" t="s">
        <v>71</v>
      </c>
      <c r="C31" s="500"/>
      <c r="D31" s="42" t="s">
        <v>48</v>
      </c>
      <c r="E31" s="42" t="s">
        <v>72</v>
      </c>
      <c r="F31" s="42" t="s">
        <v>59</v>
      </c>
      <c r="G31" s="42" t="s">
        <v>60</v>
      </c>
    </row>
    <row r="32" spans="1:7">
      <c r="A32" s="367" t="str">
        <f>IF(B32="","",INDEX(CODIGOSMANODEOBRA,MATCH($B32,'INSUMOS MANO DE OBRA'!$B$7:$B$61,0)))</f>
        <v>MO017</v>
      </c>
      <c r="B32" s="492" t="s">
        <v>74</v>
      </c>
      <c r="C32" s="493"/>
      <c r="D32" s="374">
        <v>1</v>
      </c>
      <c r="E32" s="376">
        <f>IF(B32="","",(VLOOKUP($A32,INSUMOSMANODEOBRA,8,0)))</f>
        <v>168054</v>
      </c>
      <c r="F32" s="410">
        <v>1</v>
      </c>
      <c r="G32" s="378">
        <f>+IFERROR(D32*E32/F32,"")</f>
        <v>168054</v>
      </c>
    </row>
    <row r="33" spans="1:7">
      <c r="A33" s="367" t="str">
        <f>IF(B33="","",INDEX(CODIGOSMANODEOBRA,MATCH($B33,'INSUMOS MANO DE OBRA'!$B$7:$B$61,0)))</f>
        <v>MO032</v>
      </c>
      <c r="B33" s="492" t="s">
        <v>356</v>
      </c>
      <c r="C33" s="493"/>
      <c r="D33" s="374">
        <v>2</v>
      </c>
      <c r="E33" s="376">
        <f>IF(B33="","",(VLOOKUP($A33,INSUMOSMANODEOBRA,8,0)))</f>
        <v>90738</v>
      </c>
      <c r="F33" s="410">
        <v>1</v>
      </c>
      <c r="G33" s="378">
        <f>+IFERROR(D33*E33/F33,"")</f>
        <v>181476</v>
      </c>
    </row>
    <row r="34" spans="1:7">
      <c r="A34" s="367" t="s">
        <v>52</v>
      </c>
      <c r="B34" s="492"/>
      <c r="C34" s="493"/>
      <c r="D34" s="374"/>
      <c r="E34" s="376" t="s">
        <v>52</v>
      </c>
      <c r="F34" s="379" t="str">
        <f>+IF(A34="","",IF(A34=0,"",IF(F33="","",F33)))</f>
        <v/>
      </c>
      <c r="G34" s="378" t="str">
        <f>+IFERROR(D34*E34/F34,"")</f>
        <v/>
      </c>
    </row>
    <row r="35" spans="1:7">
      <c r="A35" s="34"/>
      <c r="B35" s="35"/>
      <c r="C35" s="119"/>
      <c r="D35" s="119"/>
      <c r="E35" s="36"/>
      <c r="F35" s="37" t="s">
        <v>62</v>
      </c>
      <c r="G35" s="38">
        <f>+IF(SUM(G32:G34)=0,"",SUM(G32:G34))</f>
        <v>349530</v>
      </c>
    </row>
    <row r="36" spans="1:7">
      <c r="A36" s="121"/>
      <c r="B36" s="119"/>
      <c r="C36" s="56"/>
      <c r="D36" s="56"/>
      <c r="E36" s="56"/>
      <c r="F36" s="40"/>
      <c r="G36" s="57"/>
    </row>
    <row r="37" spans="1:7">
      <c r="A37" s="464" t="s">
        <v>76</v>
      </c>
      <c r="B37" s="464"/>
      <c r="C37" s="464"/>
      <c r="D37" s="464"/>
      <c r="E37" s="464"/>
      <c r="F37" s="464"/>
      <c r="G37" s="465"/>
    </row>
    <row r="38" spans="1:7">
      <c r="A38" s="120" t="s">
        <v>57</v>
      </c>
      <c r="B38" s="500" t="s">
        <v>46</v>
      </c>
      <c r="C38" s="500"/>
      <c r="D38" s="120" t="s">
        <v>47</v>
      </c>
      <c r="E38" s="120" t="s">
        <v>48</v>
      </c>
      <c r="F38" s="120" t="s">
        <v>65</v>
      </c>
      <c r="G38" s="120" t="s">
        <v>60</v>
      </c>
    </row>
    <row r="39" spans="1:7">
      <c r="A39" s="367" t="str">
        <f>IF(B39="","",INDEX(CODIGOSSERVICIOS,MATCH($B39,'INSUMOS SERVICIOS'!$B$7:$B$21,0)))</f>
        <v/>
      </c>
      <c r="B39" s="492"/>
      <c r="C39" s="493"/>
      <c r="D39" s="373" t="str">
        <f>+IF(B39="","",(VLOOKUP($A39,INSUMOSSERVICIOS,3,0)))</f>
        <v/>
      </c>
      <c r="E39" s="379"/>
      <c r="F39" s="376" t="str">
        <f>IF(B39="","",(VLOOKUP($A39,INSUMOSSERVICIOS,4,0)))</f>
        <v/>
      </c>
      <c r="G39" s="371" t="str">
        <f>+IFERROR(E39*F39,"")</f>
        <v/>
      </c>
    </row>
    <row r="40" spans="1:7">
      <c r="A40" s="367" t="str">
        <f>IF(B40="","",INDEX(CODIGOSSERVICIOS,MATCH($B40,'INSUMOS SERVICIOS'!$B$7:$B$21,0)))</f>
        <v/>
      </c>
      <c r="B40" s="492"/>
      <c r="C40" s="493"/>
      <c r="D40" s="373" t="str">
        <f>+IF(B40="","",(VLOOKUP($A40,INSUMOSSERVICIOS,3,0)))</f>
        <v/>
      </c>
      <c r="E40" s="379"/>
      <c r="F40" s="376" t="str">
        <f>IF(B40="","",(VLOOKUP($A40,INSUMOSSERVICIOS,4,0)))</f>
        <v/>
      </c>
      <c r="G40" s="371" t="str">
        <f>+IFERROR(E40*F40,"")</f>
        <v/>
      </c>
    </row>
    <row r="41" spans="1:7">
      <c r="A41" s="367" t="s">
        <v>52</v>
      </c>
      <c r="B41" s="492"/>
      <c r="C41" s="493"/>
      <c r="D41" s="373" t="str">
        <f>+IF(B41="","",(VLOOKUP($A41,INSUMOS_SERVICIOS,3,0)))</f>
        <v/>
      </c>
      <c r="E41" s="379"/>
      <c r="F41" s="376" t="str">
        <f>IF(B41="","",(VLOOKUP($A41,INSUMOS_SERVICIOS,4,0)))</f>
        <v/>
      </c>
      <c r="G41" s="371" t="str">
        <f>+IFERROR(E41*F41,"")</f>
        <v/>
      </c>
    </row>
    <row r="42" spans="1:7">
      <c r="A42" s="34"/>
      <c r="B42" s="35"/>
      <c r="C42" s="119"/>
      <c r="D42" s="119"/>
      <c r="E42" s="36"/>
      <c r="F42" s="59" t="s">
        <v>62</v>
      </c>
      <c r="G42" s="38" t="str">
        <f>+IF(SUM(G39:G41)=0,"",SUM(G39:G41))</f>
        <v/>
      </c>
    </row>
    <row r="43" spans="1:7">
      <c r="A43" s="121"/>
      <c r="B43" s="119"/>
      <c r="C43" s="56"/>
      <c r="D43" s="56"/>
      <c r="E43" s="56"/>
      <c r="F43" s="40"/>
      <c r="G43" s="57"/>
    </row>
    <row r="44" spans="1:7">
      <c r="A44" s="494" t="s">
        <v>77</v>
      </c>
      <c r="B44" s="494"/>
      <c r="C44" s="494"/>
      <c r="D44" s="494"/>
      <c r="E44" s="494"/>
      <c r="F44" s="494"/>
      <c r="G44" s="60">
        <f>IF(SUM(G16,G22,G28,G35,G42)=0,"",(ROUND(SUM(G16,G22,G28,G35,G42),0)))</f>
        <v>436483</v>
      </c>
    </row>
    <row r="45" spans="1:7">
      <c r="A45" s="57"/>
      <c r="B45" s="49"/>
      <c r="C45" s="49"/>
      <c r="D45" s="49"/>
      <c r="E45" s="49"/>
      <c r="F45" s="49"/>
      <c r="G45" s="40"/>
    </row>
    <row r="46" spans="1:7">
      <c r="A46" s="464" t="s">
        <v>78</v>
      </c>
      <c r="B46" s="464"/>
      <c r="C46" s="464"/>
      <c r="D46" s="464"/>
      <c r="E46" s="464"/>
      <c r="F46" s="464"/>
      <c r="G46" s="464"/>
    </row>
    <row r="47" spans="1:7">
      <c r="A47" s="119"/>
      <c r="B47" s="119"/>
      <c r="C47" s="119"/>
      <c r="D47" s="119"/>
      <c r="E47" s="119"/>
      <c r="F47" s="119"/>
      <c r="G47" s="119"/>
    </row>
    <row r="48" spans="1:7">
      <c r="A48" s="495" t="s">
        <v>46</v>
      </c>
      <c r="B48" s="495"/>
      <c r="C48" s="495"/>
      <c r="D48" s="495"/>
      <c r="E48" s="495"/>
      <c r="F48" s="61" t="s">
        <v>79</v>
      </c>
      <c r="G48" s="61" t="s">
        <v>50</v>
      </c>
    </row>
    <row r="49" spans="1:7">
      <c r="A49" s="496" t="s">
        <v>80</v>
      </c>
      <c r="B49" s="496"/>
      <c r="C49" s="496"/>
      <c r="D49" s="496"/>
      <c r="E49" s="496"/>
      <c r="F49" s="62">
        <f ca="1">AIU!$I$46</f>
        <v>0.34160000000000001</v>
      </c>
      <c r="G49" s="63">
        <f ca="1">+IFERROR(G44*F49,"")</f>
        <v>149102.59280000001</v>
      </c>
    </row>
    <row r="50" spans="1:7">
      <c r="A50" s="496" t="s">
        <v>81</v>
      </c>
      <c r="B50" s="496"/>
      <c r="C50" s="496"/>
      <c r="D50" s="496"/>
      <c r="E50" s="496"/>
      <c r="F50" s="62" t="str">
        <f>IF(AIU!$I$47=0,"",AIU!$I$47)</f>
        <v/>
      </c>
      <c r="G50" s="63" t="str">
        <f>+IFERROR(G44*F50,"")</f>
        <v/>
      </c>
    </row>
    <row r="51" spans="1:7">
      <c r="A51" s="496" t="s">
        <v>82</v>
      </c>
      <c r="B51" s="496"/>
      <c r="C51" s="496"/>
      <c r="D51" s="496"/>
      <c r="E51" s="496"/>
      <c r="F51" s="62">
        <f>IF(AIU!$I$48=0,"",AIU!$I$48)</f>
        <v>0.05</v>
      </c>
      <c r="G51" s="63">
        <f>+IFERROR(G44*F51,"")</f>
        <v>21824.15</v>
      </c>
    </row>
    <row r="52" spans="1:7">
      <c r="A52" s="497" t="s">
        <v>83</v>
      </c>
      <c r="B52" s="498"/>
      <c r="C52" s="498"/>
      <c r="D52" s="498"/>
      <c r="E52" s="498"/>
      <c r="F52" s="64">
        <f ca="1">IF(SUM(F49:F51)=0,"",SUM(F49:F51))</f>
        <v>0.3916</v>
      </c>
      <c r="G52" s="65">
        <f ca="1">IF(SUM(G49:G51)=0,"",ROUND(SUM(G49:G51),0))</f>
        <v>170927</v>
      </c>
    </row>
    <row r="53" spans="1:7">
      <c r="A53" s="57"/>
      <c r="B53" s="35"/>
      <c r="C53" s="35"/>
      <c r="D53" s="35"/>
      <c r="E53" s="499"/>
      <c r="F53" s="499"/>
      <c r="G53" s="66"/>
    </row>
    <row r="54" spans="1:7">
      <c r="A54" s="466" t="s">
        <v>84</v>
      </c>
      <c r="B54" s="467"/>
      <c r="C54" s="467"/>
      <c r="D54" s="467"/>
      <c r="E54" s="467"/>
      <c r="F54" s="467"/>
      <c r="G54" s="67">
        <f ca="1">+IFERROR(ROUND(G44+G52,0),"")</f>
        <v>607410</v>
      </c>
    </row>
    <row r="55" spans="1:7">
      <c r="A55" s="20"/>
      <c r="B55" s="20"/>
      <c r="C55" s="20"/>
      <c r="D55" s="20"/>
      <c r="E55" s="19"/>
      <c r="F55" s="19"/>
      <c r="G55" s="21"/>
    </row>
    <row r="58" spans="1:7" ht="18.75">
      <c r="A58" s="480" t="str">
        <f>'DATOS INICIALES'!$B$1</f>
        <v>DEPARTAMENTO DE ANTIOQUIA</v>
      </c>
      <c r="B58" s="481"/>
      <c r="C58" s="481"/>
      <c r="D58" s="481"/>
      <c r="E58" s="481"/>
      <c r="F58" s="482" t="s">
        <v>52</v>
      </c>
      <c r="G58" s="482"/>
    </row>
    <row r="59" spans="1:7" ht="15.75">
      <c r="A59" s="483" t="str">
        <f>'DATOS INICIALES'!$B$2</f>
        <v>MUNICIPIO DE DABEIBA</v>
      </c>
      <c r="B59" s="484"/>
      <c r="C59" s="484"/>
      <c r="D59" s="484"/>
      <c r="E59" s="484"/>
      <c r="F59" s="482"/>
      <c r="G59" s="482"/>
    </row>
    <row r="60" spans="1:7">
      <c r="A60" s="485" t="str">
        <f>'DATOS INICIALES'!$B$3</f>
        <v xml:space="preserve">AMPLIACIÓN DEL SISTEMA DE ALCANTARILLADO EN SECTOR DEL BARRIO PABLO VI  DEL MUNICIPIO DE DABEIBA ANTIOQUIA </v>
      </c>
      <c r="B60" s="486"/>
      <c r="C60" s="486"/>
      <c r="D60" s="486"/>
      <c r="E60" s="486"/>
      <c r="F60" s="482"/>
      <c r="G60" s="482"/>
    </row>
    <row r="61" spans="1:7">
      <c r="A61" s="487"/>
      <c r="B61" s="487"/>
      <c r="C61" s="487"/>
      <c r="D61" s="487"/>
      <c r="E61" s="488"/>
      <c r="F61" s="482"/>
      <c r="G61" s="482"/>
    </row>
    <row r="62" spans="1:7">
      <c r="A62" s="489" t="s">
        <v>53</v>
      </c>
      <c r="B62" s="490"/>
      <c r="C62" s="490"/>
      <c r="D62" s="490"/>
      <c r="E62" s="490"/>
      <c r="F62" s="482"/>
      <c r="G62" s="482"/>
    </row>
    <row r="63" spans="1:7">
      <c r="A63" s="487"/>
      <c r="B63" s="487"/>
      <c r="C63" s="487"/>
      <c r="D63" s="487"/>
      <c r="E63" s="487"/>
      <c r="F63" s="491"/>
      <c r="G63" s="491"/>
    </row>
    <row r="64" spans="1:7">
      <c r="A64" s="22" t="s">
        <v>45</v>
      </c>
      <c r="B64" s="468" t="s">
        <v>46</v>
      </c>
      <c r="C64" s="469"/>
      <c r="D64" s="470"/>
      <c r="E64" s="23" t="s">
        <v>47</v>
      </c>
      <c r="F64" s="24" t="s">
        <v>48</v>
      </c>
      <c r="G64" s="24" t="s">
        <v>54</v>
      </c>
    </row>
    <row r="65" spans="1:17" ht="30.75" customHeight="1">
      <c r="A65" s="366" t="s">
        <v>480</v>
      </c>
      <c r="B65" s="471" t="str">
        <f>+IFERROR(VLOOKUP($A65,PRESUPUESTO,4,0),"")</f>
        <v xml:space="preserve">excavacion de material heterogeneo a una pofundiad entre 1.20m - 1.50m, incluye retiro, transporte y disposicion final de material resultante de las actividades </v>
      </c>
      <c r="C65" s="472"/>
      <c r="D65" s="473"/>
      <c r="E65" s="82" t="str">
        <f>+IFERROR(VLOOKUP($A65,PRESUPUESTO,5,0),"")</f>
        <v>m3</v>
      </c>
      <c r="F65" s="82">
        <f>+IFERROR(VLOOKUP($A65,PRESUPUESTO,6,0),"")</f>
        <v>34</v>
      </c>
      <c r="G65" s="424">
        <f>+G99</f>
        <v>35827</v>
      </c>
      <c r="I65">
        <v>42500</v>
      </c>
    </row>
    <row r="66" spans="1:17" ht="36.6" customHeight="1">
      <c r="A66" s="20"/>
      <c r="B66" s="20"/>
      <c r="C66" s="20"/>
      <c r="D66" s="20"/>
      <c r="E66" s="19"/>
      <c r="F66" s="19"/>
      <c r="G66" s="21"/>
    </row>
    <row r="67" spans="1:17">
      <c r="A67" s="464" t="s">
        <v>55</v>
      </c>
      <c r="B67" s="464"/>
      <c r="C67" s="464"/>
      <c r="D67" s="464"/>
      <c r="E67" s="464"/>
      <c r="F67" s="464"/>
      <c r="G67" s="464"/>
    </row>
    <row r="68" spans="1:17">
      <c r="A68" s="119"/>
      <c r="B68" s="119"/>
      <c r="C68" s="119"/>
      <c r="D68" s="119"/>
      <c r="E68" s="119"/>
      <c r="F68" s="119"/>
      <c r="G68" s="119"/>
    </row>
    <row r="69" spans="1:17">
      <c r="A69" s="474" t="s">
        <v>56</v>
      </c>
      <c r="B69" s="474"/>
      <c r="C69" s="474"/>
      <c r="D69" s="474"/>
      <c r="E69" s="474"/>
      <c r="F69" s="474"/>
      <c r="G69" s="475"/>
    </row>
    <row r="70" spans="1:17">
      <c r="A70" s="120" t="s">
        <v>57</v>
      </c>
      <c r="B70" s="476" t="s">
        <v>46</v>
      </c>
      <c r="C70" s="477"/>
      <c r="D70" s="120" t="s">
        <v>47</v>
      </c>
      <c r="E70" s="120" t="s">
        <v>58</v>
      </c>
      <c r="F70" s="120" t="s">
        <v>59</v>
      </c>
      <c r="G70" s="120" t="s">
        <v>60</v>
      </c>
    </row>
    <row r="71" spans="1:17" ht="27.75" customHeight="1">
      <c r="A71" s="367" t="str">
        <f>IF(B71="","",INDEX(CODIGOEQUIPOS,MATCH($B71,'INSUMOS EQUIPOS'!$B$7:$B$42,0)))</f>
        <v>EQ001</v>
      </c>
      <c r="B71" s="478" t="s">
        <v>834</v>
      </c>
      <c r="C71" s="479"/>
      <c r="D71" s="368" t="str">
        <f>IF(B71="","",(VLOOKUP($A71,INSUMOSEQUIPOS,3,0)))</f>
        <v>%</v>
      </c>
      <c r="E71" s="369">
        <f>G90</f>
        <v>30933.409090909088</v>
      </c>
      <c r="F71" s="370">
        <v>0.1</v>
      </c>
      <c r="G71" s="371">
        <f>+IFERROR(E71*F71,"")</f>
        <v>3093.340909090909</v>
      </c>
      <c r="I71" t="s">
        <v>923</v>
      </c>
    </row>
    <row r="72" spans="1:17" ht="27.75" customHeight="1">
      <c r="A72" s="34"/>
      <c r="B72" s="35"/>
      <c r="C72" s="119"/>
      <c r="D72" s="119"/>
      <c r="E72" s="36"/>
      <c r="F72" s="37" t="s">
        <v>62</v>
      </c>
      <c r="G72" s="38">
        <f>+IF(SUM(G71:G71)=0,"",SUM(G71:G71))</f>
        <v>3093.340909090909</v>
      </c>
    </row>
    <row r="73" spans="1:17">
      <c r="A73" s="35"/>
      <c r="B73" s="119"/>
      <c r="C73" s="119"/>
      <c r="D73" s="36"/>
      <c r="E73" s="39"/>
      <c r="F73" s="40"/>
      <c r="G73" s="34"/>
    </row>
    <row r="74" spans="1:17">
      <c r="A74" s="464" t="s">
        <v>63</v>
      </c>
      <c r="B74" s="464"/>
      <c r="C74" s="464"/>
      <c r="D74" s="464"/>
      <c r="E74" s="464"/>
      <c r="F74" s="464"/>
      <c r="G74" s="465"/>
    </row>
    <row r="75" spans="1:17">
      <c r="A75" s="120" t="s">
        <v>57</v>
      </c>
      <c r="B75" s="398" t="s">
        <v>46</v>
      </c>
      <c r="C75" s="399" t="s">
        <v>47</v>
      </c>
      <c r="D75" s="399" t="s">
        <v>48</v>
      </c>
      <c r="E75" s="399" t="s">
        <v>64</v>
      </c>
      <c r="F75" s="399" t="s">
        <v>65</v>
      </c>
      <c r="G75" s="399" t="s">
        <v>60</v>
      </c>
    </row>
    <row r="76" spans="1:17">
      <c r="A76" s="390" t="str">
        <f>+'INSUMOS MATERIALES'!A41</f>
        <v>MA030</v>
      </c>
      <c r="B76" s="406"/>
      <c r="C76" s="368"/>
      <c r="D76" s="368"/>
      <c r="E76" s="381"/>
      <c r="F76" s="388"/>
      <c r="G76" s="405">
        <f>+(D76*F76*(1+E76))</f>
        <v>0</v>
      </c>
    </row>
    <row r="77" spans="1:17">
      <c r="A77" s="367"/>
      <c r="B77" s="400"/>
      <c r="C77" s="401"/>
      <c r="D77" s="402"/>
      <c r="E77" s="403"/>
      <c r="F77" s="404"/>
      <c r="G77" s="405"/>
      <c r="Q77">
        <f>1/6</f>
        <v>0.16666666666666666</v>
      </c>
    </row>
    <row r="78" spans="1:17">
      <c r="A78" s="34"/>
      <c r="B78" s="48"/>
      <c r="C78" s="119"/>
      <c r="D78" s="119"/>
      <c r="E78" s="36"/>
      <c r="F78" s="37" t="s">
        <v>62</v>
      </c>
      <c r="G78" s="38">
        <f>+G76</f>
        <v>0</v>
      </c>
    </row>
    <row r="79" spans="1:17">
      <c r="A79" s="35"/>
      <c r="B79" s="119"/>
      <c r="C79" s="119"/>
      <c r="D79" s="36"/>
      <c r="E79" s="49"/>
      <c r="F79" s="40"/>
      <c r="G79" s="34"/>
    </row>
    <row r="80" spans="1:17">
      <c r="A80" s="464" t="s">
        <v>66</v>
      </c>
      <c r="B80" s="464"/>
      <c r="C80" s="464"/>
      <c r="D80" s="464"/>
      <c r="E80" s="464"/>
      <c r="F80" s="464"/>
      <c r="G80" s="464"/>
    </row>
    <row r="81" spans="1:7">
      <c r="A81" s="120" t="s">
        <v>57</v>
      </c>
      <c r="B81" s="120" t="s">
        <v>46</v>
      </c>
      <c r="C81" s="120" t="s">
        <v>67</v>
      </c>
      <c r="D81" s="120" t="s">
        <v>68</v>
      </c>
      <c r="E81" s="42" t="s">
        <v>69</v>
      </c>
      <c r="F81" s="42" t="s">
        <v>58</v>
      </c>
      <c r="G81" s="42" t="s">
        <v>60</v>
      </c>
    </row>
    <row r="82" spans="1:7">
      <c r="A82" s="367" t="str">
        <f>IF(B82="","",INDEX(CODIGOTRANSPORTES,MATCH(B82,'INSUMOS TRANSPORTES'!$B$7:$B$29,0)))</f>
        <v>TR019</v>
      </c>
      <c r="B82" s="372" t="s">
        <v>471</v>
      </c>
      <c r="C82" s="368" t="s">
        <v>458</v>
      </c>
      <c r="D82" s="377">
        <v>1</v>
      </c>
      <c r="E82" s="374">
        <v>0.2</v>
      </c>
      <c r="F82" s="369">
        <f>+'INSUMOS TRANSPORTES'!D28</f>
        <v>9000</v>
      </c>
      <c r="G82" s="371">
        <f>+D82*E82*F82</f>
        <v>1800</v>
      </c>
    </row>
    <row r="83" spans="1:7">
      <c r="A83" s="367" t="s">
        <v>52</v>
      </c>
      <c r="B83" s="372"/>
      <c r="C83" s="368"/>
      <c r="D83" s="377"/>
      <c r="E83" s="374" t="s">
        <v>52</v>
      </c>
      <c r="F83" s="369" t="str">
        <f>+IF(B83="","",(VLOOKUP($A83,INSUMOS_TRANSPORTES,4,0)))</f>
        <v/>
      </c>
      <c r="G83" s="371" t="str">
        <f>+IFERROR(E83*F83,"")</f>
        <v/>
      </c>
    </row>
    <row r="84" spans="1:7">
      <c r="A84" s="34"/>
      <c r="B84" s="52"/>
      <c r="C84" s="119"/>
      <c r="D84" s="119"/>
      <c r="E84" s="36"/>
      <c r="F84" s="37" t="s">
        <v>62</v>
      </c>
      <c r="G84" s="38">
        <f>+IF(SUM(G82:G83)=0,"",SUM(G82:G83))</f>
        <v>1800</v>
      </c>
    </row>
    <row r="85" spans="1:7">
      <c r="A85" s="119"/>
      <c r="B85" s="119"/>
      <c r="C85" s="119"/>
      <c r="D85" s="36"/>
      <c r="E85" s="49"/>
      <c r="F85" s="40"/>
      <c r="G85" s="34"/>
    </row>
    <row r="86" spans="1:7">
      <c r="A86" s="464" t="s">
        <v>70</v>
      </c>
      <c r="B86" s="464"/>
      <c r="C86" s="464"/>
      <c r="D86" s="464"/>
      <c r="E86" s="464"/>
      <c r="F86" s="464"/>
      <c r="G86" s="465"/>
    </row>
    <row r="87" spans="1:7">
      <c r="A87" s="120" t="s">
        <v>57</v>
      </c>
      <c r="B87" s="500" t="s">
        <v>71</v>
      </c>
      <c r="C87" s="500"/>
      <c r="D87" s="42" t="s">
        <v>48</v>
      </c>
      <c r="E87" s="42" t="s">
        <v>72</v>
      </c>
      <c r="F87" s="42" t="s">
        <v>59</v>
      </c>
      <c r="G87" s="42" t="s">
        <v>60</v>
      </c>
    </row>
    <row r="88" spans="1:7">
      <c r="A88" s="367" t="str">
        <f>IF(B88="","",INDEX(CODIGOSMANODEOBRA,MATCH($B88,'INSUMOS MANO DE OBRA'!$B$7:$B$61,0)))</f>
        <v>MO032</v>
      </c>
      <c r="B88" s="492" t="s">
        <v>356</v>
      </c>
      <c r="C88" s="493"/>
      <c r="D88" s="374">
        <v>3</v>
      </c>
      <c r="E88" s="376">
        <f>IF(B88="","",(VLOOKUP($A88,INSUMOSMANODEOBRA,8,0)))</f>
        <v>90738</v>
      </c>
      <c r="F88" s="377">
        <v>8.8000000000000007</v>
      </c>
      <c r="G88" s="378">
        <f>+IFERROR(D88*E88/F88,"")</f>
        <v>30933.409090909088</v>
      </c>
    </row>
    <row r="89" spans="1:7">
      <c r="A89" s="367" t="s">
        <v>52</v>
      </c>
      <c r="B89" s="492"/>
      <c r="C89" s="493"/>
      <c r="D89" s="374"/>
      <c r="E89" s="376" t="s">
        <v>52</v>
      </c>
      <c r="F89" s="379" t="str">
        <f>+IF(A89="","",IF(A89=0,"",IF(F88="","",F88)))</f>
        <v/>
      </c>
      <c r="G89" s="378" t="str">
        <f>+IFERROR(D89*E89/F89,"")</f>
        <v/>
      </c>
    </row>
    <row r="90" spans="1:7">
      <c r="A90" s="34"/>
      <c r="B90" s="35"/>
      <c r="C90" s="119"/>
      <c r="D90" s="119"/>
      <c r="E90" s="36"/>
      <c r="F90" s="37" t="s">
        <v>62</v>
      </c>
      <c r="G90" s="38">
        <f>+IF(SUM(G88:G89)=0,"",SUM(G88:G89))</f>
        <v>30933.409090909088</v>
      </c>
    </row>
    <row r="91" spans="1:7">
      <c r="A91" s="121"/>
      <c r="B91" s="119"/>
      <c r="C91" s="56"/>
      <c r="D91" s="56"/>
      <c r="E91" s="56"/>
      <c r="F91" s="40"/>
      <c r="G91" s="57"/>
    </row>
    <row r="92" spans="1:7">
      <c r="A92" s="464" t="s">
        <v>76</v>
      </c>
      <c r="B92" s="464"/>
      <c r="C92" s="464"/>
      <c r="D92" s="464"/>
      <c r="E92" s="464"/>
      <c r="F92" s="464"/>
      <c r="G92" s="465"/>
    </row>
    <row r="93" spans="1:7">
      <c r="A93" s="120" t="s">
        <v>57</v>
      </c>
      <c r="B93" s="500" t="s">
        <v>46</v>
      </c>
      <c r="C93" s="500"/>
      <c r="D93" s="120" t="s">
        <v>47</v>
      </c>
      <c r="E93" s="120" t="s">
        <v>48</v>
      </c>
      <c r="F93" s="120" t="s">
        <v>65</v>
      </c>
      <c r="G93" s="120" t="s">
        <v>60</v>
      </c>
    </row>
    <row r="94" spans="1:7">
      <c r="A94" s="367" t="str">
        <f>IF(B94="","",INDEX(CODIGOSSERVICIOS,MATCH($B94,'INSUMOS SERVICIOS'!$B$7:$B$21,0)))</f>
        <v/>
      </c>
      <c r="B94" s="492"/>
      <c r="C94" s="493"/>
      <c r="D94" s="373" t="str">
        <f>+IF(B94="","",(VLOOKUP($A94,INSUMOSSERVICIOS,3,0)))</f>
        <v/>
      </c>
      <c r="E94" s="379"/>
      <c r="F94" s="376" t="str">
        <f>IF(B94="","",(VLOOKUP($A94,INSUMOSSERVICIOS,4,0)))</f>
        <v/>
      </c>
      <c r="G94" s="371" t="str">
        <f>+IFERROR(E94*F94,"")</f>
        <v/>
      </c>
    </row>
    <row r="95" spans="1:7">
      <c r="A95" s="367" t="str">
        <f>IF(B95="","",INDEX(CODIGOSSERVICIOS,MATCH($B95,'INSUMOS SERVICIOS'!$B$7:$B$21,0)))</f>
        <v/>
      </c>
      <c r="B95" s="492"/>
      <c r="C95" s="493"/>
      <c r="D95" s="373" t="str">
        <f>+IF(B95="","",(VLOOKUP($A95,INSUMOSSERVICIOS,3,0)))</f>
        <v/>
      </c>
      <c r="E95" s="379"/>
      <c r="F95" s="376" t="str">
        <f>IF(B95="","",(VLOOKUP($A95,INSUMOSSERVICIOS,4,0)))</f>
        <v/>
      </c>
      <c r="G95" s="371" t="str">
        <f>+IFERROR(E95*F95,"")</f>
        <v/>
      </c>
    </row>
    <row r="96" spans="1:7">
      <c r="A96" s="367" t="s">
        <v>52</v>
      </c>
      <c r="B96" s="492"/>
      <c r="C96" s="493"/>
      <c r="D96" s="373" t="str">
        <f>+IF(B96="","",(VLOOKUP($A96,INSUMOS_SERVICIOS,3,0)))</f>
        <v/>
      </c>
      <c r="E96" s="379"/>
      <c r="F96" s="376" t="str">
        <f>IF(B96="","",(VLOOKUP($A96,INSUMOS_SERVICIOS,4,0)))</f>
        <v/>
      </c>
      <c r="G96" s="371" t="str">
        <f>+IFERROR(E96*F96,"")</f>
        <v/>
      </c>
    </row>
    <row r="97" spans="1:7">
      <c r="A97" s="34"/>
      <c r="B97" s="35"/>
      <c r="C97" s="119"/>
      <c r="D97" s="119"/>
      <c r="E97" s="36"/>
      <c r="F97" s="59" t="s">
        <v>62</v>
      </c>
      <c r="G97" s="38" t="str">
        <f>+IF(SUM(G94:G96)=0,"",SUM(G94:G96))</f>
        <v/>
      </c>
    </row>
    <row r="98" spans="1:7">
      <c r="A98" s="121"/>
      <c r="B98" s="119"/>
      <c r="C98" s="56"/>
      <c r="D98" s="56"/>
      <c r="E98" s="56"/>
      <c r="F98" s="40"/>
      <c r="G98" s="57"/>
    </row>
    <row r="99" spans="1:7">
      <c r="A99" s="494" t="s">
        <v>77</v>
      </c>
      <c r="B99" s="494"/>
      <c r="C99" s="494"/>
      <c r="D99" s="494"/>
      <c r="E99" s="494"/>
      <c r="F99" s="494"/>
      <c r="G99" s="60">
        <f>IF(SUM(G72,G78,G84,G90,G97)=0,"",(ROUND(SUM(G72,G78,G84,G90,G97),0)))</f>
        <v>35827</v>
      </c>
    </row>
    <row r="100" spans="1:7">
      <c r="A100" s="57"/>
      <c r="B100" s="49"/>
      <c r="C100" s="49"/>
      <c r="D100" s="49"/>
      <c r="E100" s="49"/>
      <c r="F100" s="49"/>
      <c r="G100" s="40"/>
    </row>
    <row r="101" spans="1:7">
      <c r="A101" s="464" t="s">
        <v>78</v>
      </c>
      <c r="B101" s="464"/>
      <c r="C101" s="464"/>
      <c r="D101" s="464"/>
      <c r="E101" s="464"/>
      <c r="F101" s="464"/>
      <c r="G101" s="464"/>
    </row>
    <row r="102" spans="1:7">
      <c r="A102" s="119"/>
      <c r="B102" s="119"/>
      <c r="C102" s="119"/>
      <c r="D102" s="119"/>
      <c r="E102" s="119"/>
      <c r="F102" s="119"/>
      <c r="G102" s="119"/>
    </row>
    <row r="103" spans="1:7">
      <c r="A103" s="495" t="s">
        <v>46</v>
      </c>
      <c r="B103" s="495"/>
      <c r="C103" s="495"/>
      <c r="D103" s="495"/>
      <c r="E103" s="495"/>
      <c r="F103" s="61" t="s">
        <v>79</v>
      </c>
      <c r="G103" s="61" t="s">
        <v>50</v>
      </c>
    </row>
    <row r="104" spans="1:7">
      <c r="A104" s="496" t="s">
        <v>80</v>
      </c>
      <c r="B104" s="496"/>
      <c r="C104" s="496"/>
      <c r="D104" s="496"/>
      <c r="E104" s="496"/>
      <c r="F104" s="62">
        <f ca="1">AIU!$I$46</f>
        <v>0.34160000000000001</v>
      </c>
      <c r="G104" s="63">
        <f ca="1">+IFERROR(G99*F104,"")</f>
        <v>12238.503200000001</v>
      </c>
    </row>
    <row r="105" spans="1:7">
      <c r="A105" s="496" t="s">
        <v>81</v>
      </c>
      <c r="B105" s="496"/>
      <c r="C105" s="496"/>
      <c r="D105" s="496"/>
      <c r="E105" s="496"/>
      <c r="F105" s="62" t="str">
        <f>IF(AIU!$I$47=0,"",AIU!$I$47)</f>
        <v/>
      </c>
      <c r="G105" s="63" t="str">
        <f>+IFERROR(G99*F105,"")</f>
        <v/>
      </c>
    </row>
    <row r="106" spans="1:7">
      <c r="A106" s="496" t="s">
        <v>82</v>
      </c>
      <c r="B106" s="496"/>
      <c r="C106" s="496"/>
      <c r="D106" s="496"/>
      <c r="E106" s="496"/>
      <c r="F106" s="62">
        <f>IF(AIU!$I$48=0,"",AIU!$I$48)</f>
        <v>0.05</v>
      </c>
      <c r="G106" s="63">
        <f>+IFERROR(G99*F106,"")</f>
        <v>1791.3500000000001</v>
      </c>
    </row>
    <row r="107" spans="1:7">
      <c r="A107" s="497" t="s">
        <v>83</v>
      </c>
      <c r="B107" s="498"/>
      <c r="C107" s="498"/>
      <c r="D107" s="498"/>
      <c r="E107" s="498"/>
      <c r="F107" s="64">
        <f ca="1">IF(SUM(F104:F106)=0,"",SUM(F104:F106))</f>
        <v>0.3916</v>
      </c>
      <c r="G107" s="65">
        <f ca="1">IF(SUM(G104:G106)=0,"",ROUND(SUM(G104:G106),0))</f>
        <v>14030</v>
      </c>
    </row>
    <row r="108" spans="1:7">
      <c r="A108" s="57"/>
      <c r="B108" s="35"/>
      <c r="C108" s="35"/>
      <c r="D108" s="35"/>
      <c r="E108" s="499"/>
      <c r="F108" s="499"/>
      <c r="G108" s="66"/>
    </row>
    <row r="109" spans="1:7">
      <c r="A109" s="466" t="s">
        <v>84</v>
      </c>
      <c r="B109" s="467"/>
      <c r="C109" s="467"/>
      <c r="D109" s="467"/>
      <c r="E109" s="467"/>
      <c r="F109" s="467"/>
      <c r="G109" s="67">
        <f ca="1">+IFERROR(ROUND(G99+G107,0),"")</f>
        <v>49857</v>
      </c>
    </row>
    <row r="110" spans="1:7">
      <c r="A110" s="20"/>
      <c r="B110" s="20"/>
      <c r="C110" s="20"/>
      <c r="D110" s="20"/>
      <c r="E110" s="19"/>
      <c r="F110" s="19"/>
      <c r="G110" s="21"/>
    </row>
    <row r="112" spans="1:7" ht="18.75">
      <c r="A112" s="480" t="str">
        <f>'DATOS INICIALES'!$B$1</f>
        <v>DEPARTAMENTO DE ANTIOQUIA</v>
      </c>
      <c r="B112" s="481"/>
      <c r="C112" s="481"/>
      <c r="D112" s="481"/>
      <c r="E112" s="481"/>
      <c r="F112" s="482" t="s">
        <v>52</v>
      </c>
      <c r="G112" s="482"/>
    </row>
    <row r="113" spans="1:7" ht="15.75">
      <c r="A113" s="483" t="str">
        <f>'DATOS INICIALES'!$B$2</f>
        <v>MUNICIPIO DE DABEIBA</v>
      </c>
      <c r="B113" s="484"/>
      <c r="C113" s="484"/>
      <c r="D113" s="484"/>
      <c r="E113" s="484"/>
      <c r="F113" s="482"/>
      <c r="G113" s="482"/>
    </row>
    <row r="114" spans="1:7">
      <c r="A114" s="485" t="str">
        <f>'DATOS INICIALES'!$B$3</f>
        <v xml:space="preserve">AMPLIACIÓN DEL SISTEMA DE ALCANTARILLADO EN SECTOR DEL BARRIO PABLO VI  DEL MUNICIPIO DE DABEIBA ANTIOQUIA </v>
      </c>
      <c r="B114" s="486"/>
      <c r="C114" s="486"/>
      <c r="D114" s="486"/>
      <c r="E114" s="486"/>
      <c r="F114" s="482"/>
      <c r="G114" s="482"/>
    </row>
    <row r="115" spans="1:7">
      <c r="A115" s="487"/>
      <c r="B115" s="487"/>
      <c r="C115" s="487"/>
      <c r="D115" s="487"/>
      <c r="E115" s="488"/>
      <c r="F115" s="482"/>
      <c r="G115" s="482"/>
    </row>
    <row r="116" spans="1:7">
      <c r="A116" s="489" t="s">
        <v>53</v>
      </c>
      <c r="B116" s="490"/>
      <c r="C116" s="490"/>
      <c r="D116" s="490"/>
      <c r="E116" s="490"/>
      <c r="F116" s="482"/>
      <c r="G116" s="482"/>
    </row>
    <row r="117" spans="1:7">
      <c r="A117" s="487"/>
      <c r="B117" s="487"/>
      <c r="C117" s="487"/>
      <c r="D117" s="487"/>
      <c r="E117" s="487"/>
      <c r="F117" s="491"/>
      <c r="G117" s="491"/>
    </row>
    <row r="118" spans="1:7">
      <c r="A118" s="22" t="s">
        <v>45</v>
      </c>
      <c r="B118" s="468" t="s">
        <v>46</v>
      </c>
      <c r="C118" s="469"/>
      <c r="D118" s="470"/>
      <c r="E118" s="23" t="s">
        <v>47</v>
      </c>
      <c r="F118" s="24" t="s">
        <v>48</v>
      </c>
      <c r="G118" s="24" t="s">
        <v>54</v>
      </c>
    </row>
    <row r="119" spans="1:7" ht="34.5" customHeight="1">
      <c r="A119" s="366" t="s">
        <v>732</v>
      </c>
      <c r="B119" s="471" t="str">
        <f>+IFERROR(VLOOKUP($A119,PRESUPUESTO,4,0),"")</f>
        <v xml:space="preserve">suministro e instalacion de tuberia novafort 8 ", incluye transportes, arenas y material granular  necesarios para su correcto funcionamiento </v>
      </c>
      <c r="C119" s="472"/>
      <c r="D119" s="473"/>
      <c r="E119" s="82" t="str">
        <f>+IFERROR(VLOOKUP($A119,PRESUPUESTO,5,0),"")</f>
        <v>ml</v>
      </c>
      <c r="F119" s="82">
        <f>+IFERROR(VLOOKUP($A119,PRESUPUESTO,6,0),"")</f>
        <v>84</v>
      </c>
      <c r="G119" s="153">
        <f ca="1">IF(G166=0,"",G156)</f>
        <v>128597</v>
      </c>
    </row>
    <row r="120" spans="1:7" ht="46.35" customHeight="1">
      <c r="A120" s="20"/>
      <c r="B120" s="20"/>
      <c r="C120" s="20"/>
      <c r="D120" s="20"/>
      <c r="E120" s="19"/>
      <c r="F120" s="19"/>
      <c r="G120" s="21"/>
    </row>
    <row r="121" spans="1:7">
      <c r="A121" s="464" t="s">
        <v>55</v>
      </c>
      <c r="B121" s="464"/>
      <c r="C121" s="464"/>
      <c r="D121" s="464"/>
      <c r="E121" s="464"/>
      <c r="F121" s="464"/>
      <c r="G121" s="464"/>
    </row>
    <row r="122" spans="1:7">
      <c r="A122" s="119"/>
      <c r="B122" s="119"/>
      <c r="C122" s="119"/>
      <c r="D122" s="119"/>
      <c r="E122" s="119"/>
      <c r="F122" s="119"/>
      <c r="G122" s="119"/>
    </row>
    <row r="123" spans="1:7">
      <c r="A123" s="474" t="s">
        <v>56</v>
      </c>
      <c r="B123" s="474"/>
      <c r="C123" s="474"/>
      <c r="D123" s="474"/>
      <c r="E123" s="474"/>
      <c r="F123" s="474"/>
      <c r="G123" s="475"/>
    </row>
    <row r="124" spans="1:7">
      <c r="A124" s="120" t="s">
        <v>57</v>
      </c>
      <c r="B124" s="476" t="s">
        <v>46</v>
      </c>
      <c r="C124" s="477"/>
      <c r="D124" s="120" t="s">
        <v>47</v>
      </c>
      <c r="E124" s="120" t="s">
        <v>58</v>
      </c>
      <c r="F124" s="120" t="s">
        <v>59</v>
      </c>
      <c r="G124" s="120" t="s">
        <v>60</v>
      </c>
    </row>
    <row r="125" spans="1:7">
      <c r="A125" s="367" t="str">
        <f>IF(B125="","",INDEX(CODIGOEQUIPOS,MATCH($B125,'INSUMOS EQUIPOS'!$B$7:$B$39,0)))</f>
        <v>EQ001</v>
      </c>
      <c r="B125" s="478" t="s">
        <v>834</v>
      </c>
      <c r="C125" s="479"/>
      <c r="D125" s="368" t="str">
        <f>+IF(B125="","",(VLOOKUP($A125,INSUMOSEQUIPOS,3,0)))</f>
        <v>%</v>
      </c>
      <c r="E125" s="369">
        <f>G147</f>
        <v>11752</v>
      </c>
      <c r="F125" s="370">
        <v>0.1</v>
      </c>
      <c r="G125" s="371">
        <f>+IFERROR(E125*F125,"")</f>
        <v>1175.2</v>
      </c>
    </row>
    <row r="126" spans="1:7">
      <c r="A126" s="380"/>
      <c r="B126" s="492" t="str">
        <f>+IF($A126="","",IFERROR(VLOOKUP($A126,INSUMOSEQUIPOS,2,0),""))</f>
        <v/>
      </c>
      <c r="C126" s="493"/>
      <c r="D126" s="368"/>
      <c r="E126" s="381" t="str">
        <f>+IF($A126="","",IFERROR(VLOOKUP($A126,INSUMOSEQUIPOS,4,0),""))</f>
        <v/>
      </c>
      <c r="F126" s="382"/>
      <c r="G126" s="371" t="str">
        <f>+IFERROR(E126*F126,"")</f>
        <v/>
      </c>
    </row>
    <row r="127" spans="1:7">
      <c r="A127" s="34"/>
      <c r="B127" s="35"/>
      <c r="C127" s="119"/>
      <c r="D127" s="119"/>
      <c r="E127" s="36"/>
      <c r="F127" s="37" t="s">
        <v>62</v>
      </c>
      <c r="G127" s="38">
        <f>+IF(SUM(G125:G126)=0,"",SUM(G125:G126))</f>
        <v>1175.2</v>
      </c>
    </row>
    <row r="128" spans="1:7">
      <c r="A128" s="35"/>
      <c r="B128" s="119"/>
      <c r="C128" s="119"/>
      <c r="D128" s="36"/>
      <c r="E128" s="39"/>
      <c r="F128" s="40"/>
      <c r="G128" s="34"/>
    </row>
    <row r="129" spans="1:7">
      <c r="A129" s="464" t="s">
        <v>63</v>
      </c>
      <c r="B129" s="464"/>
      <c r="C129" s="464"/>
      <c r="D129" s="464"/>
      <c r="E129" s="464"/>
      <c r="F129" s="464"/>
      <c r="G129" s="465"/>
    </row>
    <row r="130" spans="1:7" ht="20.45" customHeight="1">
      <c r="A130" s="411" t="s">
        <v>57</v>
      </c>
      <c r="B130" s="398" t="s">
        <v>46</v>
      </c>
      <c r="C130" s="399" t="s">
        <v>47</v>
      </c>
      <c r="D130" s="399" t="s">
        <v>48</v>
      </c>
      <c r="E130" s="399" t="s">
        <v>64</v>
      </c>
      <c r="F130" s="399" t="s">
        <v>65</v>
      </c>
      <c r="G130" s="399" t="s">
        <v>60</v>
      </c>
    </row>
    <row r="131" spans="1:7" ht="20.45" customHeight="1">
      <c r="A131" s="390" t="str">
        <f>+'INSUMOS MATERIALES'!A50</f>
        <v>MA038</v>
      </c>
      <c r="B131" s="406" t="str">
        <f>+'INSUMOS MATERIALES'!B50</f>
        <v>Tubo Alcantarillado S4 200mm 8X6m Novafort</v>
      </c>
      <c r="C131" s="368" t="s">
        <v>948</v>
      </c>
      <c r="D131" s="368">
        <v>1</v>
      </c>
      <c r="E131" s="381">
        <v>0</v>
      </c>
      <c r="F131" s="389">
        <f>+'INSUMOS MATERIALES'!D50</f>
        <v>58947</v>
      </c>
      <c r="G131" s="388">
        <f>+F131*D131</f>
        <v>58947</v>
      </c>
    </row>
    <row r="132" spans="1:7" ht="20.45" customHeight="1">
      <c r="A132" s="367" t="str">
        <f>+'INSUMOS MATERIALES'!A83</f>
        <v>MA070</v>
      </c>
      <c r="B132" s="372" t="str">
        <f>+'INSUMOS MATERIALES'!B83</f>
        <v xml:space="preserve">lubricante para instalación de tuberia </v>
      </c>
      <c r="C132" s="368" t="s">
        <v>915</v>
      </c>
      <c r="D132" s="379">
        <v>0.2</v>
      </c>
      <c r="E132" s="381">
        <v>0.05</v>
      </c>
      <c r="F132" s="369">
        <f>+'INSUMOS MATERIALES'!D83</f>
        <v>20000</v>
      </c>
      <c r="G132" s="371">
        <f>+(D132*F132*(1+E132))</f>
        <v>4200</v>
      </c>
    </row>
    <row r="133" spans="1:7" ht="20.45" customHeight="1">
      <c r="A133" s="367" t="str">
        <f>+'INSUMOS MATERIALES'!A41</f>
        <v>MA030</v>
      </c>
      <c r="B133" s="372" t="str">
        <f>+'INSUMOS MATERIALES'!B41</f>
        <v>arena fina</v>
      </c>
      <c r="C133" s="368" t="s">
        <v>932</v>
      </c>
      <c r="D133" s="379">
        <v>0.15</v>
      </c>
      <c r="E133" s="381">
        <v>0.05</v>
      </c>
      <c r="F133" s="369">
        <f>+'INSUMOS MATERIALES'!D41</f>
        <v>95000</v>
      </c>
      <c r="G133" s="371">
        <f>+(D133*F133*(1+E133))</f>
        <v>14962.5</v>
      </c>
    </row>
    <row r="134" spans="1:7" ht="20.45" customHeight="1">
      <c r="A134" s="367" t="str">
        <f>+'INSUMOS MATERIALES'!A46</f>
        <v>MA035</v>
      </c>
      <c r="B134" s="372" t="str">
        <f>+'INSUMOS MATERIALES'!B46</f>
        <v xml:space="preserve">material mixto de rio </v>
      </c>
      <c r="C134" s="368" t="s">
        <v>932</v>
      </c>
      <c r="D134" s="379">
        <v>0.12</v>
      </c>
      <c r="E134" s="381">
        <v>0.05</v>
      </c>
      <c r="F134" s="369">
        <f>+'INSUMOS MATERIALES'!D46</f>
        <v>60000</v>
      </c>
      <c r="G134" s="371">
        <f>+(D134*F134*(1+E134))</f>
        <v>7560</v>
      </c>
    </row>
    <row r="135" spans="1:7" ht="20.45" customHeight="1">
      <c r="A135" s="34"/>
      <c r="B135" s="35"/>
      <c r="C135" s="119"/>
      <c r="D135" s="119"/>
      <c r="E135" s="36"/>
      <c r="F135" s="59" t="s">
        <v>62</v>
      </c>
      <c r="G135" s="211">
        <f>+G131+G132+G133+G134</f>
        <v>85669.5</v>
      </c>
    </row>
    <row r="136" spans="1:7" ht="21" customHeight="1">
      <c r="A136" s="35"/>
      <c r="B136" s="119"/>
      <c r="C136" s="119"/>
      <c r="D136" s="36"/>
      <c r="E136" s="49"/>
      <c r="F136" s="40"/>
      <c r="G136" s="34"/>
    </row>
    <row r="137" spans="1:7">
      <c r="A137" s="464" t="s">
        <v>66</v>
      </c>
      <c r="B137" s="464"/>
      <c r="C137" s="464"/>
      <c r="D137" s="464"/>
      <c r="E137" s="464"/>
      <c r="F137" s="464"/>
      <c r="G137" s="464"/>
    </row>
    <row r="138" spans="1:7">
      <c r="A138" s="120" t="s">
        <v>57</v>
      </c>
      <c r="B138" s="120" t="s">
        <v>46</v>
      </c>
      <c r="C138" s="120" t="s">
        <v>835</v>
      </c>
      <c r="D138" s="120" t="s">
        <v>880</v>
      </c>
      <c r="E138" s="346" t="s">
        <v>881</v>
      </c>
      <c r="F138" s="42" t="s">
        <v>58</v>
      </c>
      <c r="G138" s="42" t="s">
        <v>60</v>
      </c>
    </row>
    <row r="139" spans="1:7">
      <c r="A139" s="26" t="str">
        <f>+'INSUMOS TRANSPORTES'!A26</f>
        <v>TR019</v>
      </c>
      <c r="B139" s="372" t="s">
        <v>463</v>
      </c>
      <c r="C139" s="368" t="s">
        <v>458</v>
      </c>
      <c r="D139" s="377">
        <v>0.5</v>
      </c>
      <c r="E139" s="374">
        <v>80</v>
      </c>
      <c r="F139" s="28">
        <f>+'INSUMOS TRANSPORTES'!D18</f>
        <v>750</v>
      </c>
      <c r="G139" s="30">
        <f>+IFERROR(D139*E139*F139,"")</f>
        <v>30000</v>
      </c>
    </row>
    <row r="140" spans="1:7">
      <c r="A140" s="26" t="s">
        <v>52</v>
      </c>
      <c r="B140" s="372"/>
      <c r="C140" s="368"/>
      <c r="D140" s="377"/>
      <c r="E140" s="374" t="s">
        <v>52</v>
      </c>
      <c r="F140" s="28" t="str">
        <f>+IF(B140="","",(VLOOKUP($A140,INSUMOS_TRANSPORTES,4,0)))</f>
        <v/>
      </c>
      <c r="G140" s="30" t="str">
        <f>+IFERROR(E140*F140,"")</f>
        <v/>
      </c>
    </row>
    <row r="141" spans="1:7" ht="26.45" customHeight="1">
      <c r="A141" s="34"/>
      <c r="B141" s="52"/>
      <c r="C141" s="119"/>
      <c r="D141" s="119"/>
      <c r="E141" s="36"/>
      <c r="F141" s="37" t="s">
        <v>62</v>
      </c>
      <c r="G141" s="38">
        <f>+IF(SUM(G139:G140)=0,"",SUM(G139:G140))</f>
        <v>30000</v>
      </c>
    </row>
    <row r="142" spans="1:7">
      <c r="A142" s="119"/>
      <c r="B142" s="119"/>
      <c r="C142" s="119"/>
      <c r="D142" s="36"/>
      <c r="E142" s="49"/>
      <c r="F142" s="40"/>
      <c r="G142" s="34"/>
    </row>
    <row r="143" spans="1:7">
      <c r="A143" s="464" t="s">
        <v>70</v>
      </c>
      <c r="B143" s="464"/>
      <c r="C143" s="464"/>
      <c r="D143" s="464"/>
      <c r="E143" s="464"/>
      <c r="F143" s="464"/>
      <c r="G143" s="465"/>
    </row>
    <row r="144" spans="1:7">
      <c r="A144" s="120" t="s">
        <v>57</v>
      </c>
      <c r="B144" s="500" t="s">
        <v>71</v>
      </c>
      <c r="C144" s="500"/>
      <c r="D144" s="42" t="s">
        <v>48</v>
      </c>
      <c r="E144" s="42" t="s">
        <v>72</v>
      </c>
      <c r="F144" s="42" t="s">
        <v>59</v>
      </c>
      <c r="G144" s="42" t="s">
        <v>60</v>
      </c>
    </row>
    <row r="145" spans="1:7">
      <c r="A145" s="367" t="str">
        <f>IF(B145="","",INDEX(CODIGOSMANODEOBRA,MATCH($B145,'INSUMOS MANO DE OBRA'!$B$7:$B$61,0)))</f>
        <v>MO023</v>
      </c>
      <c r="B145" s="492" t="s">
        <v>347</v>
      </c>
      <c r="C145" s="493"/>
      <c r="D145" s="374">
        <v>1</v>
      </c>
      <c r="E145" s="376">
        <f>IF(B145="","",(VLOOKUP($A145,INSUMOSMANODEOBRA,8,0)))</f>
        <v>153455</v>
      </c>
      <c r="F145" s="377">
        <v>38</v>
      </c>
      <c r="G145" s="378">
        <f>+IFERROR(D145*E145/F145,"")</f>
        <v>4038.2894736842104</v>
      </c>
    </row>
    <row r="146" spans="1:7">
      <c r="A146" s="26" t="str">
        <f>+'INSUMOS MANO DE OBRA'!A31</f>
        <v>MO024</v>
      </c>
      <c r="B146" s="492" t="str">
        <f>+'INSUMOS MANO DE OBRA'!B31</f>
        <v>AYUDANTE PLOMERO</v>
      </c>
      <c r="C146" s="493"/>
      <c r="D146" s="374">
        <v>3</v>
      </c>
      <c r="E146" s="47">
        <f>+'INSUMOS MANO DE OBRA'!H31</f>
        <v>97707</v>
      </c>
      <c r="F146" s="55">
        <v>38</v>
      </c>
      <c r="G146" s="54">
        <f>+IFERROR(D146*E146/F146,"")</f>
        <v>7713.7105263157891</v>
      </c>
    </row>
    <row r="147" spans="1:7">
      <c r="A147" s="34"/>
      <c r="B147" s="35"/>
      <c r="C147" s="119"/>
      <c r="D147" s="119"/>
      <c r="E147" s="36"/>
      <c r="F147" s="37" t="s">
        <v>62</v>
      </c>
      <c r="G147" s="38">
        <f>+IF(SUM(G145:G146)=0,"",SUM(G145:G146))</f>
        <v>11752</v>
      </c>
    </row>
    <row r="148" spans="1:7">
      <c r="A148" s="121"/>
      <c r="B148" s="119"/>
      <c r="C148" s="56"/>
      <c r="D148" s="56"/>
      <c r="E148" s="56"/>
      <c r="F148" s="40"/>
      <c r="G148" s="57"/>
    </row>
    <row r="149" spans="1:7">
      <c r="A149" s="464" t="s">
        <v>76</v>
      </c>
      <c r="B149" s="464"/>
      <c r="C149" s="464"/>
      <c r="D149" s="464"/>
      <c r="E149" s="464"/>
      <c r="F149" s="464"/>
      <c r="G149" s="465"/>
    </row>
    <row r="150" spans="1:7">
      <c r="A150" s="120" t="s">
        <v>57</v>
      </c>
      <c r="B150" s="500" t="s">
        <v>46</v>
      </c>
      <c r="C150" s="500"/>
      <c r="D150" s="120" t="s">
        <v>47</v>
      </c>
      <c r="E150" s="120" t="s">
        <v>48</v>
      </c>
      <c r="F150" s="120" t="s">
        <v>65</v>
      </c>
      <c r="G150" s="120" t="s">
        <v>60</v>
      </c>
    </row>
    <row r="151" spans="1:7">
      <c r="A151" s="367" t="str">
        <f>IF(B151="","",INDEX(CODIGOSSERVICIOS,MATCH($B151,'INSUMOS SERVICIOS'!$B$7:$B$21,0)))</f>
        <v/>
      </c>
      <c r="B151" s="492"/>
      <c r="C151" s="493"/>
      <c r="D151" s="373" t="str">
        <f>+IF(B151="","",(VLOOKUP($A151,INSUMOSSERVICIOS,3,0)))</f>
        <v/>
      </c>
      <c r="E151" s="379"/>
      <c r="F151" s="376" t="str">
        <f>IF(B151="","",(VLOOKUP($A151,INSUMOSSERVICIOS,4,0)))</f>
        <v/>
      </c>
      <c r="G151" s="371" t="str">
        <f>+IFERROR(E151*F151,"")</f>
        <v/>
      </c>
    </row>
    <row r="152" spans="1:7">
      <c r="A152" s="367" t="str">
        <f>IF(B152="","",INDEX(CODIGOSSERVICIOS,MATCH($B152,'INSUMOS SERVICIOS'!$B$7:$B$21,0)))</f>
        <v/>
      </c>
      <c r="B152" s="492"/>
      <c r="C152" s="493"/>
      <c r="D152" s="373" t="str">
        <f>+IF(B152="","",(VLOOKUP($A152,INSUMOSSERVICIOS,3,0)))</f>
        <v/>
      </c>
      <c r="E152" s="379"/>
      <c r="F152" s="376" t="str">
        <f>IF(B152="","",(VLOOKUP($A152,INSUMOSSERVICIOS,4,0)))</f>
        <v/>
      </c>
      <c r="G152" s="371" t="str">
        <f>+IFERROR(E152*F152,"")</f>
        <v/>
      </c>
    </row>
    <row r="153" spans="1:7">
      <c r="A153" s="367" t="s">
        <v>52</v>
      </c>
      <c r="B153" s="492"/>
      <c r="C153" s="493"/>
      <c r="D153" s="373" t="str">
        <f>+IF(B153="","",(VLOOKUP($A153,INSUMOS_SERVICIOS,3,0)))</f>
        <v/>
      </c>
      <c r="E153" s="379"/>
      <c r="F153" s="376" t="str">
        <f>IF(B153="","",(VLOOKUP($A153,INSUMOS_SERVICIOS,4,0)))</f>
        <v/>
      </c>
      <c r="G153" s="371" t="str">
        <f>+IFERROR(E153*F153,"")</f>
        <v/>
      </c>
    </row>
    <row r="154" spans="1:7">
      <c r="A154" s="34"/>
      <c r="B154" s="35"/>
      <c r="C154" s="119"/>
      <c r="D154" s="119"/>
      <c r="E154" s="36"/>
      <c r="F154" s="59" t="s">
        <v>62</v>
      </c>
      <c r="G154" s="38" t="str">
        <f>+IF(SUM(G151:G153)=0,"",SUM(G151:G153))</f>
        <v/>
      </c>
    </row>
    <row r="155" spans="1:7">
      <c r="A155" s="121"/>
      <c r="B155" s="119"/>
      <c r="C155" s="56"/>
      <c r="D155" s="56"/>
      <c r="E155" s="56"/>
      <c r="F155" s="40"/>
      <c r="G155" s="57"/>
    </row>
    <row r="156" spans="1:7">
      <c r="A156" s="494" t="s">
        <v>77</v>
      </c>
      <c r="B156" s="494"/>
      <c r="C156" s="494"/>
      <c r="D156" s="494"/>
      <c r="E156" s="494"/>
      <c r="F156" s="494"/>
      <c r="G156" s="60">
        <f>IF(SUM(G127,G135,G141,G147,G154)=0,"",(ROUND(SUM(G127,G135,G141,G147,G154),0)))</f>
        <v>128597</v>
      </c>
    </row>
    <row r="157" spans="1:7">
      <c r="A157" s="57"/>
      <c r="B157" s="49"/>
      <c r="C157" s="49"/>
      <c r="D157" s="49"/>
      <c r="E157" s="49"/>
      <c r="F157" s="49"/>
      <c r="G157" s="40"/>
    </row>
    <row r="158" spans="1:7">
      <c r="A158" s="464" t="s">
        <v>78</v>
      </c>
      <c r="B158" s="464"/>
      <c r="C158" s="464"/>
      <c r="D158" s="464"/>
      <c r="E158" s="464"/>
      <c r="F158" s="464"/>
      <c r="G158" s="464"/>
    </row>
    <row r="159" spans="1:7">
      <c r="A159" s="119"/>
      <c r="B159" s="119"/>
      <c r="C159" s="119"/>
      <c r="D159" s="119"/>
      <c r="E159" s="119"/>
      <c r="F159" s="119"/>
      <c r="G159" s="119"/>
    </row>
    <row r="160" spans="1:7">
      <c r="A160" s="495" t="s">
        <v>46</v>
      </c>
      <c r="B160" s="495"/>
      <c r="C160" s="495"/>
      <c r="D160" s="495"/>
      <c r="E160" s="495"/>
      <c r="F160" s="61" t="s">
        <v>79</v>
      </c>
      <c r="G160" s="61" t="s">
        <v>50</v>
      </c>
    </row>
    <row r="161" spans="1:7">
      <c r="A161" s="496" t="s">
        <v>80</v>
      </c>
      <c r="B161" s="496"/>
      <c r="C161" s="496"/>
      <c r="D161" s="496"/>
      <c r="E161" s="496"/>
      <c r="F161" s="62">
        <f ca="1">AIU!$I$46</f>
        <v>0.34160000000000001</v>
      </c>
      <c r="G161" s="63">
        <f ca="1">+IFERROR(G156*F161,"")</f>
        <v>43928.735200000003</v>
      </c>
    </row>
    <row r="162" spans="1:7">
      <c r="A162" s="496" t="s">
        <v>81</v>
      </c>
      <c r="B162" s="496"/>
      <c r="C162" s="496"/>
      <c r="D162" s="496"/>
      <c r="E162" s="496"/>
      <c r="F162" s="62" t="str">
        <f>IF(AIU!$I$47=0,"",AIU!$I$47)</f>
        <v/>
      </c>
      <c r="G162" s="63" t="str">
        <f>+IFERROR(G156*F162,"")</f>
        <v/>
      </c>
    </row>
    <row r="163" spans="1:7">
      <c r="A163" s="496" t="s">
        <v>82</v>
      </c>
      <c r="B163" s="496"/>
      <c r="C163" s="496"/>
      <c r="D163" s="496"/>
      <c r="E163" s="496"/>
      <c r="F163" s="62">
        <f>IF(AIU!$I$48=0,"",AIU!$I$48)</f>
        <v>0.05</v>
      </c>
      <c r="G163" s="63">
        <f>+IFERROR(G156*F163,"")</f>
        <v>6429.85</v>
      </c>
    </row>
    <row r="164" spans="1:7">
      <c r="A164" s="497" t="s">
        <v>83</v>
      </c>
      <c r="B164" s="498"/>
      <c r="C164" s="498"/>
      <c r="D164" s="498"/>
      <c r="E164" s="498"/>
      <c r="F164" s="64">
        <f ca="1">IF(SUM(F161:F163)=0,"",SUM(F161:F163))</f>
        <v>0.3916</v>
      </c>
      <c r="G164" s="65">
        <f ca="1">IF(SUM(G161:G163)=0,"",ROUND(SUM(G161:G163),0))</f>
        <v>50359</v>
      </c>
    </row>
    <row r="165" spans="1:7">
      <c r="A165" s="57"/>
      <c r="B165" s="35"/>
      <c r="C165" s="35"/>
      <c r="D165" s="35"/>
      <c r="E165" s="499"/>
      <c r="F165" s="499"/>
      <c r="G165" s="66"/>
    </row>
    <row r="166" spans="1:7">
      <c r="A166" s="466" t="s">
        <v>84</v>
      </c>
      <c r="B166" s="467"/>
      <c r="C166" s="467"/>
      <c r="D166" s="467"/>
      <c r="E166" s="467"/>
      <c r="F166" s="467"/>
      <c r="G166" s="67">
        <f ca="1">+IFERROR(ROUND(G156+G164,0),"")</f>
        <v>178956</v>
      </c>
    </row>
    <row r="167" spans="1:7">
      <c r="A167" s="20"/>
      <c r="B167" s="20"/>
      <c r="C167" s="20"/>
      <c r="D167" s="20"/>
      <c r="E167" s="19"/>
      <c r="F167" s="19"/>
      <c r="G167" s="21"/>
    </row>
    <row r="169" spans="1:7" ht="18.75">
      <c r="A169" s="480" t="str">
        <f>'DATOS INICIALES'!$B$1</f>
        <v>DEPARTAMENTO DE ANTIOQUIA</v>
      </c>
      <c r="B169" s="481"/>
      <c r="C169" s="481"/>
      <c r="D169" s="481"/>
      <c r="E169" s="481"/>
      <c r="F169" s="482" t="s">
        <v>52</v>
      </c>
      <c r="G169" s="482"/>
    </row>
    <row r="170" spans="1:7" ht="15.75">
      <c r="A170" s="483" t="str">
        <f>'DATOS INICIALES'!$B$2</f>
        <v>MUNICIPIO DE DABEIBA</v>
      </c>
      <c r="B170" s="484"/>
      <c r="C170" s="484"/>
      <c r="D170" s="484"/>
      <c r="E170" s="484"/>
      <c r="F170" s="482"/>
      <c r="G170" s="482"/>
    </row>
    <row r="171" spans="1:7">
      <c r="A171" s="485" t="str">
        <f>'DATOS INICIALES'!$B$3</f>
        <v xml:space="preserve">AMPLIACIÓN DEL SISTEMA DE ALCANTARILLADO EN SECTOR DEL BARRIO PABLO VI  DEL MUNICIPIO DE DABEIBA ANTIOQUIA </v>
      </c>
      <c r="B171" s="486"/>
      <c r="C171" s="486"/>
      <c r="D171" s="486"/>
      <c r="E171" s="486"/>
      <c r="F171" s="482"/>
      <c r="G171" s="482"/>
    </row>
    <row r="172" spans="1:7">
      <c r="A172" s="487"/>
      <c r="B172" s="487"/>
      <c r="C172" s="487"/>
      <c r="D172" s="487"/>
      <c r="E172" s="488"/>
      <c r="F172" s="482"/>
      <c r="G172" s="482"/>
    </row>
    <row r="173" spans="1:7">
      <c r="A173" s="489" t="s">
        <v>53</v>
      </c>
      <c r="B173" s="490"/>
      <c r="C173" s="490"/>
      <c r="D173" s="490"/>
      <c r="E173" s="490"/>
      <c r="F173" s="482"/>
      <c r="G173" s="482"/>
    </row>
    <row r="174" spans="1:7">
      <c r="A174" s="487"/>
      <c r="B174" s="487"/>
      <c r="C174" s="487"/>
      <c r="D174" s="487"/>
      <c r="E174" s="487"/>
      <c r="F174" s="491"/>
      <c r="G174" s="491"/>
    </row>
    <row r="175" spans="1:7">
      <c r="A175" s="22" t="s">
        <v>45</v>
      </c>
      <c r="B175" s="468" t="s">
        <v>46</v>
      </c>
      <c r="C175" s="469"/>
      <c r="D175" s="470"/>
      <c r="E175" s="23" t="s">
        <v>47</v>
      </c>
      <c r="F175" s="24" t="s">
        <v>48</v>
      </c>
      <c r="G175" s="24" t="s">
        <v>54</v>
      </c>
    </row>
    <row r="176" spans="1:7" ht="56.25" customHeight="1">
      <c r="A176" s="366" t="s">
        <v>789</v>
      </c>
      <c r="B176" s="471" t="str">
        <f>+PRESUPUESTO!D12</f>
        <v xml:space="preserve">suministro e instalacion de silla yee 8x4 en acometidas de viviendas, incluye transporte y todo lo necesario para su correcto funcionamiento </v>
      </c>
      <c r="C176" s="472"/>
      <c r="D176" s="473"/>
      <c r="E176" s="82" t="str">
        <f>+PRESUPUESTO!E12</f>
        <v>und</v>
      </c>
      <c r="F176" s="383">
        <f>+PRESUPUESTO!F12</f>
        <v>8</v>
      </c>
      <c r="G176" s="153">
        <f ca="1">IF(G224=0,"",G214)</f>
        <v>184228</v>
      </c>
    </row>
    <row r="177" spans="1:7">
      <c r="A177" s="20"/>
      <c r="B177" s="20"/>
      <c r="C177" s="20"/>
      <c r="D177" s="20"/>
      <c r="E177" s="19"/>
      <c r="F177" s="19"/>
      <c r="G177" s="21"/>
    </row>
    <row r="178" spans="1:7">
      <c r="A178" s="464" t="s">
        <v>55</v>
      </c>
      <c r="B178" s="464"/>
      <c r="C178" s="464"/>
      <c r="D178" s="464"/>
      <c r="E178" s="464"/>
      <c r="F178" s="464"/>
      <c r="G178" s="464"/>
    </row>
    <row r="179" spans="1:7">
      <c r="A179" s="119"/>
      <c r="B179" s="119"/>
      <c r="C179" s="119"/>
      <c r="D179" s="119"/>
      <c r="E179" s="119"/>
      <c r="F179" s="119"/>
      <c r="G179" s="119"/>
    </row>
    <row r="180" spans="1:7">
      <c r="A180" s="474" t="s">
        <v>56</v>
      </c>
      <c r="B180" s="474"/>
      <c r="C180" s="474"/>
      <c r="D180" s="474"/>
      <c r="E180" s="474"/>
      <c r="F180" s="474"/>
      <c r="G180" s="475"/>
    </row>
    <row r="181" spans="1:7">
      <c r="A181" s="120" t="s">
        <v>57</v>
      </c>
      <c r="B181" s="476" t="s">
        <v>46</v>
      </c>
      <c r="C181" s="477"/>
      <c r="D181" s="120" t="s">
        <v>47</v>
      </c>
      <c r="E181" s="120" t="s">
        <v>58</v>
      </c>
      <c r="F181" s="120" t="s">
        <v>59</v>
      </c>
      <c r="G181" s="120" t="s">
        <v>60</v>
      </c>
    </row>
    <row r="182" spans="1:7">
      <c r="A182" s="26"/>
      <c r="B182" s="478"/>
      <c r="C182" s="479"/>
      <c r="D182" s="27"/>
      <c r="E182" s="28"/>
      <c r="F182" s="370"/>
      <c r="G182" s="30"/>
    </row>
    <row r="183" spans="1:7">
      <c r="A183" s="31" t="str">
        <f>+IF(G206="","","EQ001")</f>
        <v>EQ001</v>
      </c>
      <c r="B183" s="502" t="str">
        <f>+IF($A183="","",IFERROR(VLOOKUP($A183,INSUMOSEQUIPOS,2,0),""))</f>
        <v>HERRAMIENTA MENOR (10% DE LA MANO DE OBRA)</v>
      </c>
      <c r="C183" s="503"/>
      <c r="D183" s="27" t="str">
        <f>+IF($A183="","",IFERROR(VLOOKUP($A183,INSUMOSEQUIPOS,3,0),""))</f>
        <v>%</v>
      </c>
      <c r="E183" s="32">
        <f>+IF($A183="","",IFERROR(VLOOKUP($A183,INSUMOSEQUIPOS,4,0),""))</f>
        <v>0.1</v>
      </c>
      <c r="F183" s="33">
        <f>+IF(G206=0,"",G206)</f>
        <v>35880.285714285717</v>
      </c>
      <c r="G183" s="30">
        <f>+IFERROR(E183*F183,"")</f>
        <v>3588.0285714285719</v>
      </c>
    </row>
    <row r="184" spans="1:7">
      <c r="A184" s="34"/>
      <c r="B184" s="35"/>
      <c r="C184" s="119"/>
      <c r="D184" s="119"/>
      <c r="E184" s="36"/>
      <c r="F184" s="37" t="s">
        <v>62</v>
      </c>
      <c r="G184" s="38">
        <f>+IF(SUM(G182:G183)=0,"",SUM(G182:G183))</f>
        <v>3588.0285714285719</v>
      </c>
    </row>
    <row r="185" spans="1:7">
      <c r="A185" s="35"/>
      <c r="B185" s="119"/>
      <c r="C185" s="119"/>
      <c r="D185" s="36"/>
      <c r="E185" s="39"/>
      <c r="F185" s="40"/>
      <c r="G185" s="34"/>
    </row>
    <row r="186" spans="1:7">
      <c r="A186" s="464" t="s">
        <v>63</v>
      </c>
      <c r="B186" s="464"/>
      <c r="C186" s="464"/>
      <c r="D186" s="464"/>
      <c r="E186" s="464"/>
      <c r="F186" s="464"/>
      <c r="G186" s="465"/>
    </row>
    <row r="187" spans="1:7">
      <c r="A187" s="120" t="s">
        <v>57</v>
      </c>
      <c r="B187" s="41" t="s">
        <v>46</v>
      </c>
      <c r="C187" s="42" t="s">
        <v>47</v>
      </c>
      <c r="D187" s="42" t="s">
        <v>48</v>
      </c>
      <c r="E187" s="42" t="s">
        <v>64</v>
      </c>
      <c r="F187" s="42" t="s">
        <v>65</v>
      </c>
      <c r="G187" s="42" t="s">
        <v>60</v>
      </c>
    </row>
    <row r="188" spans="1:7">
      <c r="A188" s="367" t="str">
        <f>+'INSUMOS MATERIALES'!A70</f>
        <v>MA057</v>
      </c>
      <c r="B188" s="372" t="str">
        <f>+'INSUMOS MATERIALES'!B47</f>
        <v>silla yee 8x4</v>
      </c>
      <c r="C188" s="373" t="s">
        <v>915</v>
      </c>
      <c r="D188" s="377">
        <v>1</v>
      </c>
      <c r="E188" s="375">
        <v>0</v>
      </c>
      <c r="F188" s="376">
        <f>+'INSUMOS MATERIALES'!D47</f>
        <v>125500</v>
      </c>
      <c r="G188" s="371">
        <f>+(D188*F188*(1+E188))</f>
        <v>125500</v>
      </c>
    </row>
    <row r="189" spans="1:7">
      <c r="A189" s="367" t="str">
        <f>+'INSUMOS MATERIALES'!A67</f>
        <v>MA054</v>
      </c>
      <c r="B189" s="372" t="str">
        <f>+'INSUMOS MATERIALES'!B67</f>
        <v>Soldadura Pvc 1/4Gl 946Ml</v>
      </c>
      <c r="C189" s="373" t="s">
        <v>915</v>
      </c>
      <c r="D189" s="377">
        <v>0.15</v>
      </c>
      <c r="E189" s="375">
        <v>0.05</v>
      </c>
      <c r="F189" s="376">
        <f>+'INSUMOS MATERIALES'!D67</f>
        <v>88000</v>
      </c>
      <c r="G189" s="371">
        <f>+(D189*F189*(1+E189))</f>
        <v>13860</v>
      </c>
    </row>
    <row r="190" spans="1:7">
      <c r="A190" s="367"/>
      <c r="B190" s="372"/>
      <c r="C190" s="373"/>
      <c r="D190" s="377"/>
      <c r="E190" s="375"/>
      <c r="F190" s="376"/>
      <c r="G190" s="371"/>
    </row>
    <row r="191" spans="1:7">
      <c r="A191" s="367"/>
      <c r="B191" s="372"/>
      <c r="C191" s="373"/>
      <c r="D191" s="377"/>
      <c r="E191" s="375"/>
      <c r="F191" s="376"/>
      <c r="G191" s="371"/>
    </row>
    <row r="192" spans="1:7">
      <c r="A192" s="34"/>
      <c r="B192" s="48"/>
      <c r="C192" s="119"/>
      <c r="D192" s="119"/>
      <c r="E192" s="36"/>
      <c r="F192" s="37" t="s">
        <v>62</v>
      </c>
      <c r="G192" s="38">
        <f>+IF(SUM(G188:G191)=0,"",SUM(G188:G191))</f>
        <v>139360</v>
      </c>
    </row>
    <row r="193" spans="1:7">
      <c r="A193" s="35"/>
      <c r="B193" s="119"/>
      <c r="C193" s="119"/>
      <c r="D193" s="36"/>
      <c r="E193" s="49"/>
      <c r="F193" s="40"/>
      <c r="G193" s="34"/>
    </row>
    <row r="194" spans="1:7">
      <c r="A194" s="464" t="s">
        <v>66</v>
      </c>
      <c r="B194" s="464"/>
      <c r="C194" s="464"/>
      <c r="D194" s="464"/>
      <c r="E194" s="464"/>
      <c r="F194" s="464"/>
      <c r="G194" s="464"/>
    </row>
    <row r="195" spans="1:7">
      <c r="A195" s="120" t="s">
        <v>57</v>
      </c>
      <c r="B195" s="120" t="s">
        <v>46</v>
      </c>
      <c r="C195" s="120" t="s">
        <v>67</v>
      </c>
      <c r="D195" s="120" t="s">
        <v>68</v>
      </c>
      <c r="E195" s="42" t="s">
        <v>69</v>
      </c>
      <c r="F195" s="42" t="s">
        <v>58</v>
      </c>
      <c r="G195" s="42" t="s">
        <v>60</v>
      </c>
    </row>
    <row r="196" spans="1:7">
      <c r="A196" s="367" t="str">
        <f>+'INSUMOS TRANSPORTES'!A28</f>
        <v>TR021</v>
      </c>
      <c r="B196" s="372" t="s">
        <v>471</v>
      </c>
      <c r="C196" s="368" t="s">
        <v>458</v>
      </c>
      <c r="D196" s="377">
        <v>0.2</v>
      </c>
      <c r="E196" s="374">
        <v>3</v>
      </c>
      <c r="F196" s="369">
        <f>+'INSUMOS TRANSPORTES'!D28</f>
        <v>9000</v>
      </c>
      <c r="G196" s="371">
        <f>+F196*E196*D196</f>
        <v>5400</v>
      </c>
    </row>
    <row r="197" spans="1:7">
      <c r="A197" s="367"/>
      <c r="B197" s="372"/>
      <c r="C197" s="368"/>
      <c r="D197" s="377"/>
      <c r="E197" s="374"/>
      <c r="F197" s="369"/>
      <c r="G197" s="371"/>
    </row>
    <row r="198" spans="1:7">
      <c r="A198" s="367" t="s">
        <v>52</v>
      </c>
      <c r="B198" s="372"/>
      <c r="C198" s="368"/>
      <c r="D198" s="377"/>
      <c r="E198" s="374" t="s">
        <v>52</v>
      </c>
      <c r="F198" s="369" t="str">
        <f>+IF(B198="","",(VLOOKUP($A198,INSUMOS_TRANSPORTES,4,0)))</f>
        <v/>
      </c>
      <c r="G198" s="371" t="str">
        <f>+IFERROR(E198*F198,"")</f>
        <v/>
      </c>
    </row>
    <row r="199" spans="1:7">
      <c r="A199" s="34"/>
      <c r="B199" s="52"/>
      <c r="C199" s="119"/>
      <c r="D199" s="119"/>
      <c r="E199" s="36"/>
      <c r="F199" s="37" t="s">
        <v>62</v>
      </c>
      <c r="G199" s="38">
        <f>+IF(SUM(G196:G198)=0,"",SUM(G196:G198))</f>
        <v>5400</v>
      </c>
    </row>
    <row r="200" spans="1:7">
      <c r="A200" s="119"/>
      <c r="B200" s="119"/>
      <c r="C200" s="119"/>
      <c r="D200" s="36"/>
      <c r="E200" s="49"/>
      <c r="F200" s="40"/>
      <c r="G200" s="34"/>
    </row>
    <row r="201" spans="1:7">
      <c r="A201" s="464" t="s">
        <v>70</v>
      </c>
      <c r="B201" s="464"/>
      <c r="C201" s="464"/>
      <c r="D201" s="464"/>
      <c r="E201" s="464"/>
      <c r="F201" s="464"/>
      <c r="G201" s="465"/>
    </row>
    <row r="202" spans="1:7">
      <c r="A202" s="120" t="s">
        <v>57</v>
      </c>
      <c r="B202" s="500" t="s">
        <v>71</v>
      </c>
      <c r="C202" s="500"/>
      <c r="D202" s="42" t="s">
        <v>48</v>
      </c>
      <c r="E202" s="42" t="s">
        <v>72</v>
      </c>
      <c r="F202" s="42" t="s">
        <v>59</v>
      </c>
      <c r="G202" s="42" t="s">
        <v>60</v>
      </c>
    </row>
    <row r="203" spans="1:7">
      <c r="A203" s="367" t="str">
        <f>IF(B203="","",INDEX(CODIGOSMANODEOBRA,MATCH($B203,'INSUMOS MANO DE OBRA'!$B$7:$B$61,0)))</f>
        <v>MO023</v>
      </c>
      <c r="B203" s="492" t="s">
        <v>347</v>
      </c>
      <c r="C203" s="493"/>
      <c r="D203" s="374">
        <v>1</v>
      </c>
      <c r="E203" s="376">
        <f>IF(B203="","",(VLOOKUP($A203,INSUMOSMANODEOBRA,8,0)))</f>
        <v>153455</v>
      </c>
      <c r="F203" s="377">
        <v>7</v>
      </c>
      <c r="G203" s="378">
        <f>+IFERROR(D203*E203/F203,"")</f>
        <v>21922.142857142859</v>
      </c>
    </row>
    <row r="204" spans="1:7">
      <c r="A204" s="367" t="str">
        <f>IF(B204="","",INDEX(CODIGOSMANODEOBRA,MATCH($B204,'INSUMOS MANO DE OBRA'!$B$7:$B$61,0)))</f>
        <v>MO024</v>
      </c>
      <c r="B204" s="492" t="s">
        <v>348</v>
      </c>
      <c r="C204" s="493"/>
      <c r="D204" s="374">
        <v>1</v>
      </c>
      <c r="E204" s="376">
        <f>IF(B204="","",(VLOOKUP($A204,INSUMOSMANODEOBRA,8,0)))</f>
        <v>97707</v>
      </c>
      <c r="F204" s="377">
        <v>7</v>
      </c>
      <c r="G204" s="378">
        <f>+IFERROR(D204*E204/F204,"")</f>
        <v>13958.142857142857</v>
      </c>
    </row>
    <row r="205" spans="1:7">
      <c r="A205" s="367" t="s">
        <v>52</v>
      </c>
      <c r="B205" s="492"/>
      <c r="C205" s="493"/>
      <c r="D205" s="374"/>
      <c r="E205" s="376" t="s">
        <v>52</v>
      </c>
      <c r="F205" s="379" t="str">
        <f>+IF(A205="","",IF(A205=0,"",IF(F204="","",F204)))</f>
        <v/>
      </c>
      <c r="G205" s="378" t="str">
        <f>+IFERROR(D205*E205/F205,"")</f>
        <v/>
      </c>
    </row>
    <row r="206" spans="1:7">
      <c r="A206" s="34"/>
      <c r="B206" s="35"/>
      <c r="C206" s="119"/>
      <c r="D206" s="119"/>
      <c r="E206" s="36"/>
      <c r="F206" s="37" t="s">
        <v>62</v>
      </c>
      <c r="G206" s="38">
        <f>+IF(SUM(G203:G205)=0,"",SUM(G203:G205))</f>
        <v>35880.285714285717</v>
      </c>
    </row>
    <row r="207" spans="1:7">
      <c r="A207" s="121"/>
      <c r="B207" s="119"/>
      <c r="C207" s="56"/>
      <c r="D207" s="56"/>
      <c r="E207" s="56"/>
      <c r="F207" s="40"/>
      <c r="G207" s="57"/>
    </row>
    <row r="208" spans="1:7">
      <c r="A208" s="464" t="s">
        <v>76</v>
      </c>
      <c r="B208" s="464"/>
      <c r="C208" s="464"/>
      <c r="D208" s="464"/>
      <c r="E208" s="464"/>
      <c r="F208" s="464"/>
      <c r="G208" s="465"/>
    </row>
    <row r="209" spans="1:7">
      <c r="A209" s="120" t="s">
        <v>57</v>
      </c>
      <c r="B209" s="500" t="s">
        <v>46</v>
      </c>
      <c r="C209" s="500"/>
      <c r="D209" s="120" t="s">
        <v>47</v>
      </c>
      <c r="E209" s="120" t="s">
        <v>48</v>
      </c>
      <c r="F209" s="120" t="s">
        <v>65</v>
      </c>
      <c r="G209" s="120" t="s">
        <v>60</v>
      </c>
    </row>
    <row r="210" spans="1:7">
      <c r="A210" s="367" t="str">
        <f>IF(B210="","",INDEX(CODIGOSSERVICIOS,MATCH($B210,'INSUMOS SERVICIOS'!$B$7:$B$21,0)))</f>
        <v/>
      </c>
      <c r="B210" s="492"/>
      <c r="C210" s="493"/>
      <c r="D210" s="373" t="str">
        <f>+IF(B210="","",(VLOOKUP($A210,INSUMOSSERVICIOS,3,0)))</f>
        <v/>
      </c>
      <c r="E210" s="379"/>
      <c r="F210" s="376" t="str">
        <f>IF(B210="","",(VLOOKUP($A210,INSUMOSSERVICIOS,4,0)))</f>
        <v/>
      </c>
      <c r="G210" s="371" t="str">
        <f>+IFERROR(E210*F210,"")</f>
        <v/>
      </c>
    </row>
    <row r="211" spans="1:7">
      <c r="A211" s="367" t="s">
        <v>52</v>
      </c>
      <c r="B211" s="492"/>
      <c r="C211" s="493"/>
      <c r="D211" s="373" t="str">
        <f>+IF(B211="","",(VLOOKUP($A211,INSUMOS_SERVICIOS,3,0)))</f>
        <v/>
      </c>
      <c r="E211" s="379"/>
      <c r="F211" s="376" t="str">
        <f>IF(B211="","",(VLOOKUP($A211,INSUMOS_SERVICIOS,4,0)))</f>
        <v/>
      </c>
      <c r="G211" s="371" t="str">
        <f>+IFERROR(E211*F211,"")</f>
        <v/>
      </c>
    </row>
    <row r="212" spans="1:7">
      <c r="A212" s="34"/>
      <c r="B212" s="35"/>
      <c r="C212" s="119"/>
      <c r="D212" s="119"/>
      <c r="E212" s="36"/>
      <c r="F212" s="59" t="s">
        <v>62</v>
      </c>
      <c r="G212" s="38" t="str">
        <f>+IF(SUM(G210:G211)=0,"",SUM(G210:G211))</f>
        <v/>
      </c>
    </row>
    <row r="213" spans="1:7">
      <c r="A213" s="121"/>
      <c r="B213" s="119"/>
      <c r="C213" s="56"/>
      <c r="D213" s="56"/>
      <c r="E213" s="56"/>
      <c r="F213" s="40"/>
      <c r="G213" s="57"/>
    </row>
    <row r="214" spans="1:7">
      <c r="A214" s="494" t="s">
        <v>77</v>
      </c>
      <c r="B214" s="494"/>
      <c r="C214" s="494"/>
      <c r="D214" s="494"/>
      <c r="E214" s="494"/>
      <c r="F214" s="494"/>
      <c r="G214" s="60">
        <f>IF(SUM(G184,G192,G199,G206,G212)=0,"",(ROUND(SUM(G184,G192,G199,G206,G212),0)))</f>
        <v>184228</v>
      </c>
    </row>
    <row r="215" spans="1:7">
      <c r="A215" s="57"/>
      <c r="B215" s="49"/>
      <c r="C215" s="49"/>
      <c r="D215" s="49"/>
      <c r="E215" s="49"/>
      <c r="F215" s="49"/>
      <c r="G215" s="40"/>
    </row>
    <row r="216" spans="1:7">
      <c r="A216" s="464" t="s">
        <v>78</v>
      </c>
      <c r="B216" s="464"/>
      <c r="C216" s="464"/>
      <c r="D216" s="464"/>
      <c r="E216" s="464"/>
      <c r="F216" s="464"/>
      <c r="G216" s="464"/>
    </row>
    <row r="217" spans="1:7">
      <c r="A217" s="119"/>
      <c r="B217" s="119"/>
      <c r="C217" s="119"/>
      <c r="D217" s="119"/>
      <c r="E217" s="119"/>
      <c r="F217" s="119"/>
      <c r="G217" s="119"/>
    </row>
    <row r="218" spans="1:7">
      <c r="A218" s="495" t="s">
        <v>46</v>
      </c>
      <c r="B218" s="495"/>
      <c r="C218" s="495"/>
      <c r="D218" s="495"/>
      <c r="E218" s="495"/>
      <c r="F218" s="61" t="s">
        <v>79</v>
      </c>
      <c r="G218" s="61" t="s">
        <v>50</v>
      </c>
    </row>
    <row r="219" spans="1:7">
      <c r="A219" s="496" t="s">
        <v>80</v>
      </c>
      <c r="B219" s="496"/>
      <c r="C219" s="496"/>
      <c r="D219" s="496"/>
      <c r="E219" s="496"/>
      <c r="F219" s="62">
        <f ca="1">AIU!$I$46</f>
        <v>0.34160000000000001</v>
      </c>
      <c r="G219" s="63">
        <f ca="1">+IFERROR(G214*F219,"")</f>
        <v>62932.284800000001</v>
      </c>
    </row>
    <row r="220" spans="1:7">
      <c r="A220" s="496" t="s">
        <v>81</v>
      </c>
      <c r="B220" s="496"/>
      <c r="C220" s="496"/>
      <c r="D220" s="496"/>
      <c r="E220" s="496"/>
      <c r="F220" s="62" t="str">
        <f>IF(AIU!$I$47=0,"",AIU!$I$47)</f>
        <v/>
      </c>
      <c r="G220" s="63" t="str">
        <f>+IFERROR(G214*F220,"")</f>
        <v/>
      </c>
    </row>
    <row r="221" spans="1:7">
      <c r="A221" s="496" t="s">
        <v>82</v>
      </c>
      <c r="B221" s="496"/>
      <c r="C221" s="496"/>
      <c r="D221" s="496"/>
      <c r="E221" s="496"/>
      <c r="F221" s="62">
        <f>IF(AIU!$I$48=0,"",AIU!$I$48)</f>
        <v>0.05</v>
      </c>
      <c r="G221" s="63">
        <f>+IFERROR(G214*F221,"")</f>
        <v>9211.4</v>
      </c>
    </row>
    <row r="222" spans="1:7">
      <c r="A222" s="497" t="s">
        <v>83</v>
      </c>
      <c r="B222" s="498"/>
      <c r="C222" s="498"/>
      <c r="D222" s="498"/>
      <c r="E222" s="498"/>
      <c r="F222" s="64">
        <f ca="1">IF(SUM(F219:F221)=0,"",SUM(F219:F221))</f>
        <v>0.3916</v>
      </c>
      <c r="G222" s="65">
        <f ca="1">IF(SUM(G219:G221)=0,"",ROUND(SUM(G219:G221),0))</f>
        <v>72144</v>
      </c>
    </row>
    <row r="223" spans="1:7">
      <c r="A223" s="57"/>
      <c r="B223" s="35"/>
      <c r="C223" s="35"/>
      <c r="D223" s="35"/>
      <c r="E223" s="499"/>
      <c r="F223" s="499"/>
      <c r="G223" s="66"/>
    </row>
    <row r="224" spans="1:7">
      <c r="A224" s="466"/>
      <c r="B224" s="467"/>
      <c r="C224" s="467"/>
      <c r="D224" s="467"/>
      <c r="E224" s="467"/>
      <c r="F224" s="467"/>
      <c r="G224" s="67">
        <f ca="1">+IFERROR(ROUND(G214+G222,0),"")</f>
        <v>256372</v>
      </c>
    </row>
    <row r="225" spans="1:7">
      <c r="A225" s="20"/>
      <c r="B225" s="20"/>
      <c r="C225" s="20"/>
      <c r="D225" s="20"/>
      <c r="E225" s="19"/>
      <c r="F225" s="19"/>
      <c r="G225" s="21"/>
    </row>
    <row r="226" spans="1:7">
      <c r="A226" s="20"/>
      <c r="B226" s="184"/>
      <c r="C226" s="19"/>
      <c r="D226" s="19"/>
      <c r="E226" s="19"/>
      <c r="F226" s="19"/>
      <c r="G226" s="19"/>
    </row>
    <row r="228" spans="1:7" ht="18.75">
      <c r="A228" s="480" t="str">
        <f>'DATOS INICIALES'!$B$1</f>
        <v>DEPARTAMENTO DE ANTIOQUIA</v>
      </c>
      <c r="B228" s="481"/>
      <c r="C228" s="481"/>
      <c r="D228" s="481"/>
      <c r="E228" s="481"/>
      <c r="F228" s="482" t="s">
        <v>52</v>
      </c>
      <c r="G228" s="482"/>
    </row>
    <row r="229" spans="1:7" ht="15.75">
      <c r="A229" s="483" t="str">
        <f>'DATOS INICIALES'!$B$2</f>
        <v>MUNICIPIO DE DABEIBA</v>
      </c>
      <c r="B229" s="484"/>
      <c r="C229" s="484"/>
      <c r="D229" s="484"/>
      <c r="E229" s="484"/>
      <c r="F229" s="482"/>
      <c r="G229" s="482"/>
    </row>
    <row r="230" spans="1:7">
      <c r="A230" s="485" t="str">
        <f>'DATOS INICIALES'!$B$3</f>
        <v xml:space="preserve">AMPLIACIÓN DEL SISTEMA DE ALCANTARILLADO EN SECTOR DEL BARRIO PABLO VI  DEL MUNICIPIO DE DABEIBA ANTIOQUIA </v>
      </c>
      <c r="B230" s="486"/>
      <c r="C230" s="486"/>
      <c r="D230" s="486"/>
      <c r="E230" s="486"/>
      <c r="F230" s="482"/>
      <c r="G230" s="482"/>
    </row>
    <row r="231" spans="1:7">
      <c r="A231" s="487"/>
      <c r="B231" s="487"/>
      <c r="C231" s="487"/>
      <c r="D231" s="487"/>
      <c r="E231" s="488"/>
      <c r="F231" s="482"/>
      <c r="G231" s="482"/>
    </row>
    <row r="232" spans="1:7">
      <c r="A232" s="489" t="s">
        <v>53</v>
      </c>
      <c r="B232" s="490"/>
      <c r="C232" s="490"/>
      <c r="D232" s="490"/>
      <c r="E232" s="490"/>
      <c r="F232" s="482"/>
      <c r="G232" s="482"/>
    </row>
    <row r="233" spans="1:7">
      <c r="A233" s="487"/>
      <c r="B233" s="487"/>
      <c r="C233" s="487"/>
      <c r="D233" s="487"/>
      <c r="E233" s="487"/>
      <c r="F233" s="491"/>
      <c r="G233" s="491"/>
    </row>
    <row r="234" spans="1:7">
      <c r="A234" s="22" t="s">
        <v>45</v>
      </c>
      <c r="B234" s="468" t="s">
        <v>46</v>
      </c>
      <c r="C234" s="469"/>
      <c r="D234" s="470"/>
      <c r="E234" s="23" t="s">
        <v>47</v>
      </c>
      <c r="F234" s="24" t="s">
        <v>48</v>
      </c>
      <c r="G234" s="24" t="s">
        <v>54</v>
      </c>
    </row>
    <row r="235" spans="1:7" ht="42.75" customHeight="1">
      <c r="A235" s="366" t="str">
        <f>+PRESUPUESTO!A13</f>
        <v>1.5</v>
      </c>
      <c r="B235" s="471" t="str">
        <f>+PRESUPUESTO!D13</f>
        <v xml:space="preserve">Relleno con material de excavación </v>
      </c>
      <c r="C235" s="472"/>
      <c r="D235" s="473"/>
      <c r="E235" s="82" t="str">
        <f>+PRESUPUESTO!E13</f>
        <v>m3</v>
      </c>
      <c r="F235" s="383">
        <f>+PRESUPUESTO!F13</f>
        <v>19</v>
      </c>
      <c r="G235" s="153">
        <f ca="1">IF(G280=0,"",G270)</f>
        <v>33271</v>
      </c>
    </row>
    <row r="236" spans="1:7" ht="11.25" customHeight="1">
      <c r="A236" s="20"/>
      <c r="B236" s="20"/>
      <c r="C236" s="20"/>
      <c r="D236" s="20"/>
      <c r="E236" s="19"/>
      <c r="F236" s="19"/>
      <c r="G236" s="21"/>
    </row>
    <row r="237" spans="1:7">
      <c r="A237" s="464" t="s">
        <v>55</v>
      </c>
      <c r="B237" s="464"/>
      <c r="C237" s="464"/>
      <c r="D237" s="464"/>
      <c r="E237" s="464"/>
      <c r="F237" s="464"/>
      <c r="G237" s="464"/>
    </row>
    <row r="238" spans="1:7">
      <c r="A238" s="119"/>
      <c r="B238" s="119"/>
      <c r="C238" s="119"/>
      <c r="D238" s="119"/>
      <c r="E238" s="119"/>
      <c r="F238" s="119"/>
      <c r="G238" s="119"/>
    </row>
    <row r="239" spans="1:7">
      <c r="A239" s="474" t="s">
        <v>56</v>
      </c>
      <c r="B239" s="474"/>
      <c r="C239" s="474"/>
      <c r="D239" s="474"/>
      <c r="E239" s="474"/>
      <c r="F239" s="474"/>
      <c r="G239" s="475"/>
    </row>
    <row r="240" spans="1:7">
      <c r="A240" s="120" t="s">
        <v>57</v>
      </c>
      <c r="B240" s="476" t="s">
        <v>46</v>
      </c>
      <c r="C240" s="477"/>
      <c r="D240" s="120" t="s">
        <v>47</v>
      </c>
      <c r="E240" s="120" t="s">
        <v>58</v>
      </c>
      <c r="F240" s="120" t="s">
        <v>59</v>
      </c>
      <c r="G240" s="120" t="s">
        <v>60</v>
      </c>
    </row>
    <row r="241" spans="1:7">
      <c r="A241" s="26"/>
      <c r="B241" s="478"/>
      <c r="C241" s="479"/>
      <c r="D241" s="27"/>
      <c r="E241" s="28"/>
      <c r="F241" s="370"/>
      <c r="G241" s="30"/>
    </row>
    <row r="242" spans="1:7">
      <c r="A242" s="31" t="str">
        <f>+IF(G262="","","EQ001")</f>
        <v>EQ001</v>
      </c>
      <c r="B242" s="502" t="str">
        <f>+IF($A242="","",IFERROR(VLOOKUP($A242,INSUMOSEQUIPOS,2,0),""))</f>
        <v>HERRAMIENTA MENOR (10% DE LA MANO DE OBRA)</v>
      </c>
      <c r="C242" s="503"/>
      <c r="D242" s="27" t="str">
        <f>+IF($A242="","",IFERROR(VLOOKUP($A242,INSUMOSEQUIPOS,3,0),""))</f>
        <v>%</v>
      </c>
      <c r="E242" s="32">
        <f>+IF($A242="","",IFERROR(VLOOKUP($A242,INSUMOSEQUIPOS,4,0),""))</f>
        <v>0.1</v>
      </c>
      <c r="F242" s="33">
        <f>+IF(G262=0,"",G262)</f>
        <v>30246</v>
      </c>
      <c r="G242" s="30">
        <f>+IFERROR(E242*F242,"")</f>
        <v>3024.6000000000004</v>
      </c>
    </row>
    <row r="243" spans="1:7">
      <c r="A243" s="34"/>
      <c r="B243" s="35"/>
      <c r="C243" s="119"/>
      <c r="D243" s="119"/>
      <c r="E243" s="36"/>
      <c r="F243" s="37" t="s">
        <v>62</v>
      </c>
      <c r="G243" s="38">
        <f>+IF(SUM(G241:G242)=0,"",SUM(G241:G242))</f>
        <v>3024.6000000000004</v>
      </c>
    </row>
    <row r="244" spans="1:7">
      <c r="A244" s="35"/>
      <c r="B244" s="119"/>
      <c r="C244" s="119"/>
      <c r="D244" s="36"/>
      <c r="E244" s="39"/>
      <c r="F244" s="40"/>
      <c r="G244" s="34"/>
    </row>
    <row r="245" spans="1:7">
      <c r="A245" s="464" t="s">
        <v>63</v>
      </c>
      <c r="B245" s="464"/>
      <c r="C245" s="464"/>
      <c r="D245" s="464"/>
      <c r="E245" s="464"/>
      <c r="F245" s="464"/>
      <c r="G245" s="465"/>
    </row>
    <row r="246" spans="1:7">
      <c r="A246" s="120" t="s">
        <v>57</v>
      </c>
      <c r="B246" s="41" t="s">
        <v>46</v>
      </c>
      <c r="C246" s="42" t="s">
        <v>47</v>
      </c>
      <c r="D246" s="42" t="s">
        <v>48</v>
      </c>
      <c r="E246" s="42" t="s">
        <v>64</v>
      </c>
      <c r="F246" s="42" t="s">
        <v>65</v>
      </c>
      <c r="G246" s="42" t="s">
        <v>60</v>
      </c>
    </row>
    <row r="247" spans="1:7">
      <c r="A247" s="367"/>
      <c r="B247" s="372"/>
      <c r="C247" s="373"/>
      <c r="D247" s="377"/>
      <c r="E247" s="375"/>
      <c r="F247" s="376"/>
      <c r="G247" s="371"/>
    </row>
    <row r="248" spans="1:7">
      <c r="A248" s="34"/>
      <c r="B248" s="48"/>
      <c r="C248" s="119"/>
      <c r="D248" s="119"/>
      <c r="E248" s="36"/>
      <c r="F248" s="37" t="s">
        <v>62</v>
      </c>
      <c r="G248" s="38" t="str">
        <f>+IF(SUM(G247:G247)=0,"",SUM(G247:G247))</f>
        <v/>
      </c>
    </row>
    <row r="249" spans="1:7">
      <c r="A249" s="35"/>
      <c r="B249" s="119"/>
      <c r="C249" s="119"/>
      <c r="D249" s="36"/>
      <c r="E249" s="49"/>
      <c r="F249" s="40"/>
      <c r="G249" s="34"/>
    </row>
    <row r="250" spans="1:7">
      <c r="A250" s="464" t="s">
        <v>66</v>
      </c>
      <c r="B250" s="464"/>
      <c r="C250" s="464"/>
      <c r="D250" s="464"/>
      <c r="E250" s="464"/>
      <c r="F250" s="464"/>
      <c r="G250" s="464"/>
    </row>
    <row r="251" spans="1:7">
      <c r="A251" s="120" t="s">
        <v>57</v>
      </c>
      <c r="B251" s="120" t="s">
        <v>46</v>
      </c>
      <c r="C251" s="120" t="s">
        <v>67</v>
      </c>
      <c r="D251" s="120" t="s">
        <v>68</v>
      </c>
      <c r="E251" s="42" t="s">
        <v>69</v>
      </c>
      <c r="F251" s="42" t="s">
        <v>58</v>
      </c>
      <c r="G251" s="42" t="s">
        <v>60</v>
      </c>
    </row>
    <row r="252" spans="1:7">
      <c r="A252" s="367"/>
      <c r="B252" s="372"/>
      <c r="C252" s="368"/>
      <c r="D252" s="377"/>
      <c r="E252" s="374"/>
      <c r="F252" s="369"/>
      <c r="G252" s="371"/>
    </row>
    <row r="253" spans="1:7">
      <c r="A253" s="367"/>
      <c r="B253" s="372"/>
      <c r="C253" s="368"/>
      <c r="D253" s="377"/>
      <c r="E253" s="374"/>
      <c r="F253" s="369"/>
      <c r="G253" s="371"/>
    </row>
    <row r="254" spans="1:7">
      <c r="A254" s="367" t="s">
        <v>52</v>
      </c>
      <c r="B254" s="372"/>
      <c r="C254" s="368"/>
      <c r="D254" s="377"/>
      <c r="E254" s="374" t="s">
        <v>52</v>
      </c>
      <c r="F254" s="369" t="str">
        <f>+IF(B254="","",(VLOOKUP($A254,INSUMOS_TRANSPORTES,4,0)))</f>
        <v/>
      </c>
      <c r="G254" s="371" t="str">
        <f>+IFERROR(E254*F254,"")</f>
        <v/>
      </c>
    </row>
    <row r="255" spans="1:7">
      <c r="A255" s="34"/>
      <c r="B255" s="52"/>
      <c r="C255" s="119"/>
      <c r="D255" s="119"/>
      <c r="E255" s="36"/>
      <c r="F255" s="37" t="s">
        <v>62</v>
      </c>
      <c r="G255" s="38" t="str">
        <f>+IF(SUM(G252:G254)=0,"",SUM(G252:G254))</f>
        <v/>
      </c>
    </row>
    <row r="256" spans="1:7">
      <c r="A256" s="119"/>
      <c r="B256" s="119"/>
      <c r="C256" s="119"/>
      <c r="D256" s="36"/>
      <c r="E256" s="49"/>
      <c r="F256" s="40"/>
      <c r="G256" s="34"/>
    </row>
    <row r="257" spans="1:7">
      <c r="A257" s="464" t="s">
        <v>70</v>
      </c>
      <c r="B257" s="464"/>
      <c r="C257" s="464"/>
      <c r="D257" s="464"/>
      <c r="E257" s="464"/>
      <c r="F257" s="464"/>
      <c r="G257" s="465"/>
    </row>
    <row r="258" spans="1:7">
      <c r="A258" s="120" t="s">
        <v>57</v>
      </c>
      <c r="B258" s="500" t="s">
        <v>71</v>
      </c>
      <c r="C258" s="500"/>
      <c r="D258" s="42" t="s">
        <v>48</v>
      </c>
      <c r="E258" s="42" t="s">
        <v>72</v>
      </c>
      <c r="F258" s="42" t="s">
        <v>59</v>
      </c>
      <c r="G258" s="42" t="s">
        <v>60</v>
      </c>
    </row>
    <row r="259" spans="1:7">
      <c r="A259" s="367" t="str">
        <f>IF(B259="","",INDEX(CODIGOSMANODEOBRA,MATCH($B259,'INSUMOS MANO DE OBRA'!$B$7:$B$61,0)))</f>
        <v>MO032</v>
      </c>
      <c r="B259" s="492" t="s">
        <v>356</v>
      </c>
      <c r="C259" s="493"/>
      <c r="D259" s="374">
        <v>2</v>
      </c>
      <c r="E259" s="376">
        <f>IF(B259="","",(VLOOKUP($A259,INSUMOSMANODEOBRA,8,0)))</f>
        <v>90738</v>
      </c>
      <c r="F259" s="377">
        <v>6</v>
      </c>
      <c r="G259" s="378">
        <f>+IFERROR(D259*E259/F259,"")</f>
        <v>30246</v>
      </c>
    </row>
    <row r="260" spans="1:7">
      <c r="A260" s="367" t="str">
        <f>IF(B260="","",INDEX(CODIGOSMANODEOBRA,MATCH($B260,'INSUMOS MANO DE OBRA'!$B$7:$B$61,0)))</f>
        <v/>
      </c>
      <c r="B260" s="492"/>
      <c r="C260" s="493"/>
      <c r="D260" s="374"/>
      <c r="E260" s="376" t="str">
        <f>IF(B260="","",(VLOOKUP($A260,INSUMOSMANODEOBRA,8,0)))</f>
        <v/>
      </c>
      <c r="F260" s="377"/>
      <c r="G260" s="378" t="str">
        <f>+IFERROR(D260*E260/F260,"")</f>
        <v/>
      </c>
    </row>
    <row r="261" spans="1:7">
      <c r="A261" s="367" t="s">
        <v>52</v>
      </c>
      <c r="B261" s="492"/>
      <c r="C261" s="493"/>
      <c r="D261" s="374"/>
      <c r="E261" s="376" t="s">
        <v>52</v>
      </c>
      <c r="F261" s="379" t="str">
        <f>+IF(A261="","",IF(A261=0,"",IF(F260="","",F260)))</f>
        <v/>
      </c>
      <c r="G261" s="378" t="str">
        <f>+IFERROR(D261*E261/F261,"")</f>
        <v/>
      </c>
    </row>
    <row r="262" spans="1:7">
      <c r="A262" s="34"/>
      <c r="B262" s="35"/>
      <c r="C262" s="119"/>
      <c r="D262" s="119"/>
      <c r="E262" s="36"/>
      <c r="F262" s="37" t="s">
        <v>62</v>
      </c>
      <c r="G262" s="38">
        <f>+IF(SUM(G259:G261)=0,"",SUM(G259:G261))</f>
        <v>30246</v>
      </c>
    </row>
    <row r="263" spans="1:7">
      <c r="A263" s="121"/>
      <c r="B263" s="119"/>
      <c r="C263" s="56"/>
      <c r="D263" s="56"/>
      <c r="E263" s="56"/>
      <c r="F263" s="40"/>
      <c r="G263" s="57"/>
    </row>
    <row r="264" spans="1:7">
      <c r="A264" s="464" t="s">
        <v>76</v>
      </c>
      <c r="B264" s="464"/>
      <c r="C264" s="464"/>
      <c r="D264" s="464"/>
      <c r="E264" s="464"/>
      <c r="F264" s="464"/>
      <c r="G264" s="465"/>
    </row>
    <row r="265" spans="1:7">
      <c r="A265" s="120" t="s">
        <v>57</v>
      </c>
      <c r="B265" s="500" t="s">
        <v>46</v>
      </c>
      <c r="C265" s="500"/>
      <c r="D265" s="120" t="s">
        <v>47</v>
      </c>
      <c r="E265" s="120" t="s">
        <v>48</v>
      </c>
      <c r="F265" s="120" t="s">
        <v>65</v>
      </c>
      <c r="G265" s="120" t="s">
        <v>60</v>
      </c>
    </row>
    <row r="266" spans="1:7">
      <c r="A266" s="367" t="str">
        <f>IF(B266="","",INDEX(CODIGOSSERVICIOS,MATCH($B266,'INSUMOS SERVICIOS'!$B$7:$B$21,0)))</f>
        <v/>
      </c>
      <c r="B266" s="492"/>
      <c r="C266" s="493"/>
      <c r="D266" s="373" t="str">
        <f>+IF(B266="","",(VLOOKUP($A266,INSUMOSSERVICIOS,3,0)))</f>
        <v/>
      </c>
      <c r="E266" s="379"/>
      <c r="F266" s="376" t="str">
        <f>IF(B266="","",(VLOOKUP($A266,INSUMOSSERVICIOS,4,0)))</f>
        <v/>
      </c>
      <c r="G266" s="371" t="str">
        <f>+IFERROR(E266*F266,"")</f>
        <v/>
      </c>
    </row>
    <row r="267" spans="1:7">
      <c r="A267" s="367" t="s">
        <v>52</v>
      </c>
      <c r="B267" s="492"/>
      <c r="C267" s="493"/>
      <c r="D267" s="373" t="str">
        <f>+IF(B267="","",(VLOOKUP($A267,INSUMOS_SERVICIOS,3,0)))</f>
        <v/>
      </c>
      <c r="E267" s="379"/>
      <c r="F267" s="376" t="str">
        <f>IF(B267="","",(VLOOKUP($A267,INSUMOS_SERVICIOS,4,0)))</f>
        <v/>
      </c>
      <c r="G267" s="371" t="str">
        <f>+IFERROR(E267*F267,"")</f>
        <v/>
      </c>
    </row>
    <row r="268" spans="1:7">
      <c r="A268" s="34"/>
      <c r="B268" s="35"/>
      <c r="C268" s="119"/>
      <c r="D268" s="119"/>
      <c r="E268" s="36"/>
      <c r="F268" s="59" t="s">
        <v>62</v>
      </c>
      <c r="G268" s="38" t="str">
        <f>+IF(SUM(G266:G267)=0,"",SUM(G266:G267))</f>
        <v/>
      </c>
    </row>
    <row r="269" spans="1:7">
      <c r="A269" s="121"/>
      <c r="B269" s="119"/>
      <c r="C269" s="56"/>
      <c r="D269" s="56"/>
      <c r="E269" s="56"/>
      <c r="F269" s="40"/>
      <c r="G269" s="57"/>
    </row>
    <row r="270" spans="1:7">
      <c r="A270" s="494" t="s">
        <v>77</v>
      </c>
      <c r="B270" s="494"/>
      <c r="C270" s="494"/>
      <c r="D270" s="494"/>
      <c r="E270" s="494"/>
      <c r="F270" s="494"/>
      <c r="G270" s="60">
        <f>IF(SUM(G243,G248,G255,G262,G268)=0,"",(ROUND(SUM(G243,G248,G255,G262,G268),0)))</f>
        <v>33271</v>
      </c>
    </row>
    <row r="271" spans="1:7">
      <c r="A271" s="57"/>
      <c r="B271" s="49"/>
      <c r="C271" s="49"/>
      <c r="D271" s="49"/>
      <c r="E271" s="49"/>
      <c r="F271" s="49"/>
      <c r="G271" s="40"/>
    </row>
    <row r="272" spans="1:7">
      <c r="A272" s="464" t="s">
        <v>78</v>
      </c>
      <c r="B272" s="464"/>
      <c r="C272" s="464"/>
      <c r="D272" s="464"/>
      <c r="E272" s="464"/>
      <c r="F272" s="464"/>
      <c r="G272" s="464"/>
    </row>
    <row r="273" spans="1:7">
      <c r="A273" s="119"/>
      <c r="B273" s="119"/>
      <c r="C273" s="119"/>
      <c r="D273" s="119"/>
      <c r="E273" s="119"/>
      <c r="F273" s="119"/>
      <c r="G273" s="119"/>
    </row>
    <row r="274" spans="1:7">
      <c r="A274" s="495" t="s">
        <v>46</v>
      </c>
      <c r="B274" s="495"/>
      <c r="C274" s="495"/>
      <c r="D274" s="495"/>
      <c r="E274" s="495"/>
      <c r="F274" s="61" t="s">
        <v>79</v>
      </c>
      <c r="G274" s="61" t="s">
        <v>50</v>
      </c>
    </row>
    <row r="275" spans="1:7">
      <c r="A275" s="496" t="s">
        <v>80</v>
      </c>
      <c r="B275" s="496"/>
      <c r="C275" s="496"/>
      <c r="D275" s="496"/>
      <c r="E275" s="496"/>
      <c r="F275" s="62">
        <f ca="1">AIU!$I$46</f>
        <v>0.34160000000000001</v>
      </c>
      <c r="G275" s="63">
        <f ca="1">+IFERROR(G270*F275,"")</f>
        <v>11365.373600000001</v>
      </c>
    </row>
    <row r="276" spans="1:7">
      <c r="A276" s="496" t="s">
        <v>81</v>
      </c>
      <c r="B276" s="496"/>
      <c r="C276" s="496"/>
      <c r="D276" s="496"/>
      <c r="E276" s="496"/>
      <c r="F276" s="62" t="str">
        <f>IF(AIU!$I$47=0,"",AIU!$I$47)</f>
        <v/>
      </c>
      <c r="G276" s="63" t="str">
        <f>+IFERROR(G270*F276,"")</f>
        <v/>
      </c>
    </row>
    <row r="277" spans="1:7">
      <c r="A277" s="496" t="s">
        <v>82</v>
      </c>
      <c r="B277" s="496"/>
      <c r="C277" s="496"/>
      <c r="D277" s="496"/>
      <c r="E277" s="496"/>
      <c r="F277" s="62">
        <f>IF(AIU!$I$48=0,"",AIU!$I$48)</f>
        <v>0.05</v>
      </c>
      <c r="G277" s="63">
        <f>+IFERROR(G270*F277,"")</f>
        <v>1663.5500000000002</v>
      </c>
    </row>
    <row r="278" spans="1:7">
      <c r="A278" s="497" t="s">
        <v>83</v>
      </c>
      <c r="B278" s="498"/>
      <c r="C278" s="498"/>
      <c r="D278" s="498"/>
      <c r="E278" s="498"/>
      <c r="F278" s="64">
        <f ca="1">IF(SUM(F275:F277)=0,"",SUM(F275:F277))</f>
        <v>0.3916</v>
      </c>
      <c r="G278" s="65">
        <f ca="1">IF(SUM(G275:G277)=0,"",ROUND(SUM(G275:G277),0))</f>
        <v>13029</v>
      </c>
    </row>
    <row r="279" spans="1:7">
      <c r="A279" s="57"/>
      <c r="B279" s="35"/>
      <c r="C279" s="35"/>
      <c r="D279" s="35"/>
      <c r="E279" s="499"/>
      <c r="F279" s="499"/>
      <c r="G279" s="66"/>
    </row>
    <row r="280" spans="1:7">
      <c r="A280" s="466"/>
      <c r="B280" s="467"/>
      <c r="C280" s="467"/>
      <c r="D280" s="467"/>
      <c r="E280" s="467"/>
      <c r="F280" s="467"/>
      <c r="G280" s="67">
        <f ca="1">+IFERROR(ROUND(G270+G278,0),"")</f>
        <v>46300</v>
      </c>
    </row>
    <row r="281" spans="1:7">
      <c r="A281" s="20"/>
      <c r="B281" s="20"/>
      <c r="C281" s="20"/>
      <c r="D281" s="20"/>
      <c r="E281" s="19"/>
      <c r="F281" s="19"/>
      <c r="G281" s="21"/>
    </row>
    <row r="282" spans="1:7">
      <c r="A282" s="20"/>
      <c r="B282" s="184"/>
      <c r="C282" s="19"/>
      <c r="D282" s="19"/>
      <c r="E282" s="19"/>
      <c r="F282" s="19"/>
      <c r="G282" s="19"/>
    </row>
    <row r="286" spans="1:7" ht="18.75">
      <c r="A286" s="480" t="str">
        <f>'DATOS INICIALES'!$B$1</f>
        <v>DEPARTAMENTO DE ANTIOQUIA</v>
      </c>
      <c r="B286" s="481"/>
      <c r="C286" s="481"/>
      <c r="D286" s="481"/>
      <c r="E286" s="481"/>
      <c r="F286" s="482" t="s">
        <v>52</v>
      </c>
      <c r="G286" s="482"/>
    </row>
    <row r="287" spans="1:7" ht="15.75">
      <c r="A287" s="483" t="str">
        <f>'DATOS INICIALES'!$B$2</f>
        <v>MUNICIPIO DE DABEIBA</v>
      </c>
      <c r="B287" s="484"/>
      <c r="C287" s="484"/>
      <c r="D287" s="484"/>
      <c r="E287" s="484"/>
      <c r="F287" s="482"/>
      <c r="G287" s="482"/>
    </row>
    <row r="288" spans="1:7">
      <c r="A288" s="485" t="str">
        <f>'DATOS INICIALES'!$B$3</f>
        <v xml:space="preserve">AMPLIACIÓN DEL SISTEMA DE ALCANTARILLADO EN SECTOR DEL BARRIO PABLO VI  DEL MUNICIPIO DE DABEIBA ANTIOQUIA </v>
      </c>
      <c r="B288" s="486"/>
      <c r="C288" s="486"/>
      <c r="D288" s="486"/>
      <c r="E288" s="486"/>
      <c r="F288" s="482"/>
      <c r="G288" s="482"/>
    </row>
    <row r="289" spans="1:7">
      <c r="A289" s="487"/>
      <c r="B289" s="487"/>
      <c r="C289" s="487"/>
      <c r="D289" s="487"/>
      <c r="E289" s="488"/>
      <c r="F289" s="482"/>
      <c r="G289" s="482"/>
    </row>
    <row r="290" spans="1:7">
      <c r="A290" s="489" t="s">
        <v>53</v>
      </c>
      <c r="B290" s="490"/>
      <c r="C290" s="490"/>
      <c r="D290" s="490"/>
      <c r="E290" s="490"/>
      <c r="F290" s="482"/>
      <c r="G290" s="482"/>
    </row>
    <row r="291" spans="1:7">
      <c r="A291" s="487"/>
      <c r="B291" s="487"/>
      <c r="C291" s="487"/>
      <c r="D291" s="487"/>
      <c r="E291" s="487"/>
      <c r="F291" s="491"/>
      <c r="G291" s="491"/>
    </row>
    <row r="292" spans="1:7">
      <c r="A292" s="22" t="s">
        <v>45</v>
      </c>
      <c r="B292" s="468" t="s">
        <v>46</v>
      </c>
      <c r="C292" s="469"/>
      <c r="D292" s="470"/>
      <c r="E292" s="23" t="s">
        <v>47</v>
      </c>
      <c r="F292" s="24" t="s">
        <v>48</v>
      </c>
      <c r="G292" s="24" t="s">
        <v>54</v>
      </c>
    </row>
    <row r="293" spans="1:7" ht="32.450000000000003" customHeight="1">
      <c r="A293" s="366" t="str">
        <f>+PRESUPUESTO!A14</f>
        <v>1.6</v>
      </c>
      <c r="B293" s="471" t="str">
        <f>+PRESUPUESTO!D14</f>
        <v>construccion de caja de registro en concreto de 21 mpa incluye tapa en concreto con herraje en angulo 3.13x1./2"</v>
      </c>
      <c r="C293" s="472"/>
      <c r="D293" s="473"/>
      <c r="E293" s="82" t="str">
        <f>+PRESUPUESTO!E14</f>
        <v>und</v>
      </c>
      <c r="F293" s="383">
        <f>+PRESUPUESTO!F14</f>
        <v>1</v>
      </c>
      <c r="G293" s="153">
        <f ca="1">IF(G340=0,"",G330)</f>
        <v>656363</v>
      </c>
    </row>
    <row r="294" spans="1:7">
      <c r="A294" s="20"/>
      <c r="B294" s="20"/>
      <c r="C294" s="20"/>
      <c r="D294" s="20"/>
      <c r="E294" s="19"/>
      <c r="F294" s="19"/>
      <c r="G294" s="21"/>
    </row>
    <row r="295" spans="1:7">
      <c r="A295" s="464" t="s">
        <v>55</v>
      </c>
      <c r="B295" s="464"/>
      <c r="C295" s="464"/>
      <c r="D295" s="464"/>
      <c r="E295" s="464"/>
      <c r="F295" s="464"/>
      <c r="G295" s="464"/>
    </row>
    <row r="296" spans="1:7">
      <c r="A296" s="119"/>
      <c r="B296" s="119"/>
      <c r="C296" s="119"/>
      <c r="D296" s="119"/>
      <c r="E296" s="119"/>
      <c r="F296" s="119"/>
      <c r="G296" s="119"/>
    </row>
    <row r="297" spans="1:7">
      <c r="A297" s="474" t="s">
        <v>56</v>
      </c>
      <c r="B297" s="474"/>
      <c r="C297" s="474"/>
      <c r="D297" s="474"/>
      <c r="E297" s="474"/>
      <c r="F297" s="474"/>
      <c r="G297" s="475"/>
    </row>
    <row r="298" spans="1:7">
      <c r="A298" s="120" t="s">
        <v>57</v>
      </c>
      <c r="B298" s="476" t="s">
        <v>46</v>
      </c>
      <c r="C298" s="477"/>
      <c r="D298" s="120" t="s">
        <v>47</v>
      </c>
      <c r="E298" s="120" t="s">
        <v>58</v>
      </c>
      <c r="F298" s="120" t="s">
        <v>59</v>
      </c>
      <c r="G298" s="120" t="s">
        <v>60</v>
      </c>
    </row>
    <row r="299" spans="1:7">
      <c r="A299" s="26"/>
      <c r="B299" s="478"/>
      <c r="C299" s="479"/>
      <c r="D299" s="27"/>
      <c r="E299" s="28"/>
      <c r="F299" s="370"/>
      <c r="G299" s="30"/>
    </row>
    <row r="300" spans="1:7">
      <c r="A300" s="31" t="str">
        <f>+IF(G322="","","EQ001")</f>
        <v>EQ001</v>
      </c>
      <c r="B300" s="502" t="str">
        <f>+IF($A300="","",IFERROR(VLOOKUP($A300,INSUMOSEQUIPOS,2,0),""))</f>
        <v>HERRAMIENTA MENOR (10% DE LA MANO DE OBRA)</v>
      </c>
      <c r="C300" s="503"/>
      <c r="D300" s="27" t="str">
        <f>+IF($A300="","",IFERROR(VLOOKUP($A300,INSUMOSEQUIPOS,3,0),""))</f>
        <v>%</v>
      </c>
      <c r="E300" s="32">
        <f>+IF($A300="","",IFERROR(VLOOKUP($A300,INSUMOSEQUIPOS,4,0),""))</f>
        <v>0.1</v>
      </c>
      <c r="F300" s="33">
        <f>+IF(G322=0,"",G322)</f>
        <v>129065</v>
      </c>
      <c r="G300" s="30">
        <f>+IFERROR(E300*F300,"")</f>
        <v>12906.5</v>
      </c>
    </row>
    <row r="301" spans="1:7">
      <c r="A301" s="34"/>
      <c r="B301" s="35"/>
      <c r="C301" s="119"/>
      <c r="D301" s="119"/>
      <c r="E301" s="36"/>
      <c r="F301" s="37" t="s">
        <v>62</v>
      </c>
      <c r="G301" s="38">
        <f>+IF(SUM(G299:G300)=0,"",SUM(G299:G300))</f>
        <v>12906.5</v>
      </c>
    </row>
    <row r="302" spans="1:7">
      <c r="A302" s="35"/>
      <c r="B302" s="119"/>
      <c r="C302" s="119"/>
      <c r="D302" s="36"/>
      <c r="E302" s="39"/>
      <c r="F302" s="40"/>
      <c r="G302" s="34"/>
    </row>
    <row r="303" spans="1:7">
      <c r="A303" s="464" t="s">
        <v>63</v>
      </c>
      <c r="B303" s="464"/>
      <c r="C303" s="464"/>
      <c r="D303" s="464"/>
      <c r="E303" s="464"/>
      <c r="F303" s="464"/>
      <c r="G303" s="465"/>
    </row>
    <row r="304" spans="1:7">
      <c r="A304" s="411" t="s">
        <v>57</v>
      </c>
      <c r="B304" s="398" t="s">
        <v>46</v>
      </c>
      <c r="C304" s="399" t="s">
        <v>47</v>
      </c>
      <c r="D304" s="399" t="s">
        <v>48</v>
      </c>
      <c r="E304" s="399" t="s">
        <v>64</v>
      </c>
      <c r="F304" s="399" t="s">
        <v>65</v>
      </c>
      <c r="G304" s="399" t="s">
        <v>60</v>
      </c>
    </row>
    <row r="305" spans="1:7">
      <c r="A305" s="390" t="str">
        <f>+'INSUMOS MATERIALES'!A32</f>
        <v>MA023</v>
      </c>
      <c r="B305" s="406" t="str">
        <f>+'INSUMOS MATERIALES'!B32</f>
        <v>herraje en angulo 3.16x1.1/2" - 60x60</v>
      </c>
      <c r="C305" s="368" t="s">
        <v>915</v>
      </c>
      <c r="D305" s="368">
        <v>1</v>
      </c>
      <c r="E305" s="381">
        <v>0</v>
      </c>
      <c r="F305" s="388">
        <f>+'INSUMOS MATERIALES'!D32</f>
        <v>225000</v>
      </c>
      <c r="G305" s="388">
        <f>+(D305*F305*(1+E305))</f>
        <v>225000</v>
      </c>
    </row>
    <row r="306" spans="1:7">
      <c r="A306" s="390" t="str">
        <f>+'INSUMOS MATERIALES'!A31</f>
        <v>MA022</v>
      </c>
      <c r="B306" s="406" t="str">
        <f>+'INSUMOS MATERIALES'!B31</f>
        <v>tabla madera comun 3x0.20</v>
      </c>
      <c r="C306" s="368" t="s">
        <v>915</v>
      </c>
      <c r="D306" s="368">
        <v>3</v>
      </c>
      <c r="E306" s="381">
        <v>0.05</v>
      </c>
      <c r="F306" s="388">
        <f>+'INSUMOS MATERIALES'!D31</f>
        <v>18000</v>
      </c>
      <c r="G306" s="388">
        <f t="shared" ref="G306:G307" si="0">+(D306*F306*(1+E306))</f>
        <v>56700</v>
      </c>
    </row>
    <row r="307" spans="1:7">
      <c r="A307" s="367" t="str">
        <f>+'APU AUXILIARES'!A71</f>
        <v>MA002</v>
      </c>
      <c r="B307" s="372" t="s">
        <v>154</v>
      </c>
      <c r="C307" s="368" t="s">
        <v>932</v>
      </c>
      <c r="D307" s="379">
        <v>0.33</v>
      </c>
      <c r="E307" s="381">
        <v>0.05</v>
      </c>
      <c r="F307" s="388">
        <f ca="1">+'APU AUXILIARES'!G71</f>
        <v>671549</v>
      </c>
      <c r="G307" s="388">
        <f t="shared" ca="1" si="0"/>
        <v>232691.72850000003</v>
      </c>
    </row>
    <row r="308" spans="1:7">
      <c r="A308" s="34"/>
      <c r="B308" s="35"/>
      <c r="C308" s="119"/>
      <c r="D308" s="119"/>
      <c r="E308" s="36"/>
      <c r="F308" s="59" t="s">
        <v>62</v>
      </c>
      <c r="G308" s="426">
        <f ca="1">+G307+G306+G305</f>
        <v>514391.72850000003</v>
      </c>
    </row>
    <row r="309" spans="1:7">
      <c r="A309" s="35"/>
      <c r="B309" s="119"/>
      <c r="C309" s="119"/>
      <c r="D309" s="36"/>
      <c r="E309" s="49"/>
      <c r="F309" s="40"/>
      <c r="G309" s="34"/>
    </row>
    <row r="310" spans="1:7">
      <c r="A310" s="464" t="s">
        <v>66</v>
      </c>
      <c r="B310" s="464"/>
      <c r="C310" s="464"/>
      <c r="D310" s="464"/>
      <c r="E310" s="464"/>
      <c r="F310" s="464"/>
      <c r="G310" s="464"/>
    </row>
    <row r="311" spans="1:7">
      <c r="A311" s="120" t="s">
        <v>57</v>
      </c>
      <c r="B311" s="120" t="s">
        <v>46</v>
      </c>
      <c r="C311" s="120" t="s">
        <v>67</v>
      </c>
      <c r="D311" s="120" t="s">
        <v>68</v>
      </c>
      <c r="E311" s="42" t="s">
        <v>69</v>
      </c>
      <c r="F311" s="42" t="s">
        <v>58</v>
      </c>
      <c r="G311" s="42" t="s">
        <v>60</v>
      </c>
    </row>
    <row r="312" spans="1:7">
      <c r="A312" s="367"/>
      <c r="B312" s="372"/>
      <c r="C312" s="368"/>
      <c r="D312" s="377"/>
      <c r="E312" s="374"/>
      <c r="F312" s="369"/>
      <c r="G312" s="371"/>
    </row>
    <row r="313" spans="1:7">
      <c r="A313" s="367"/>
      <c r="B313" s="372"/>
      <c r="C313" s="368"/>
      <c r="D313" s="377"/>
      <c r="E313" s="374"/>
      <c r="F313" s="369"/>
      <c r="G313" s="371"/>
    </row>
    <row r="314" spans="1:7">
      <c r="A314" s="367" t="s">
        <v>52</v>
      </c>
      <c r="B314" s="372"/>
      <c r="C314" s="368"/>
      <c r="D314" s="377"/>
      <c r="E314" s="374" t="s">
        <v>52</v>
      </c>
      <c r="F314" s="369" t="str">
        <f>+IF(B314="","",(VLOOKUP($A314,INSUMOS_TRANSPORTES,4,0)))</f>
        <v/>
      </c>
      <c r="G314" s="371" t="str">
        <f>+IFERROR(E314*F314,"")</f>
        <v/>
      </c>
    </row>
    <row r="315" spans="1:7">
      <c r="A315" s="34"/>
      <c r="B315" s="52"/>
      <c r="C315" s="119"/>
      <c r="D315" s="119"/>
      <c r="E315" s="36"/>
      <c r="F315" s="37" t="s">
        <v>62</v>
      </c>
      <c r="G315" s="38" t="str">
        <f>+IF(SUM(G312:G314)=0,"",SUM(G312:G314))</f>
        <v/>
      </c>
    </row>
    <row r="316" spans="1:7">
      <c r="A316" s="119"/>
      <c r="B316" s="119"/>
      <c r="C316" s="119"/>
      <c r="D316" s="36"/>
      <c r="E316" s="49"/>
      <c r="F316" s="40"/>
      <c r="G316" s="34"/>
    </row>
    <row r="317" spans="1:7">
      <c r="A317" s="464" t="s">
        <v>70</v>
      </c>
      <c r="B317" s="464"/>
      <c r="C317" s="464"/>
      <c r="D317" s="464"/>
      <c r="E317" s="464"/>
      <c r="F317" s="464"/>
      <c r="G317" s="465"/>
    </row>
    <row r="318" spans="1:7">
      <c r="A318" s="120" t="s">
        <v>57</v>
      </c>
      <c r="B318" s="500" t="s">
        <v>71</v>
      </c>
      <c r="C318" s="500"/>
      <c r="D318" s="42" t="s">
        <v>48</v>
      </c>
      <c r="E318" s="42" t="s">
        <v>72</v>
      </c>
      <c r="F318" s="42" t="s">
        <v>59</v>
      </c>
      <c r="G318" s="42" t="s">
        <v>60</v>
      </c>
    </row>
    <row r="319" spans="1:7">
      <c r="A319" s="367" t="str">
        <f>IF(B319="","",INDEX(CODIGOSMANODEOBRA,MATCH($B319,'INSUMOS MANO DE OBRA'!$B$7:$B$61,0)))</f>
        <v>MO030</v>
      </c>
      <c r="B319" s="492" t="s">
        <v>354</v>
      </c>
      <c r="C319" s="493"/>
      <c r="D319" s="374">
        <v>1</v>
      </c>
      <c r="E319" s="376">
        <f>IF(B319="","",(VLOOKUP($A319,INSUMOSMANODEOBRA,8,0)))</f>
        <v>153455</v>
      </c>
      <c r="F319" s="377">
        <v>2</v>
      </c>
      <c r="G319" s="378">
        <f>+IFERROR(D319*E319/F319,"")</f>
        <v>76727.5</v>
      </c>
    </row>
    <row r="320" spans="1:7">
      <c r="A320" s="367" t="str">
        <f>IF(B320="","",INDEX(CODIGOSMANODEOBRA,MATCH($B320,'INSUMOS MANO DE OBRA'!$B$7:$B$61,0)))</f>
        <v>MO031</v>
      </c>
      <c r="B320" s="492" t="s">
        <v>355</v>
      </c>
      <c r="C320" s="493"/>
      <c r="D320" s="374">
        <v>1</v>
      </c>
      <c r="E320" s="376">
        <f>IF(B320="","",(VLOOKUP($A320,INSUMOSMANODEOBRA,8,0)))</f>
        <v>104675</v>
      </c>
      <c r="F320" s="377">
        <v>2</v>
      </c>
      <c r="G320" s="378">
        <f>+IFERROR(D320*E320/F320,"")</f>
        <v>52337.5</v>
      </c>
    </row>
    <row r="321" spans="1:7">
      <c r="A321" s="367" t="s">
        <v>52</v>
      </c>
      <c r="B321" s="492"/>
      <c r="C321" s="493"/>
      <c r="D321" s="374"/>
      <c r="E321" s="376" t="s">
        <v>52</v>
      </c>
      <c r="F321" s="379" t="str">
        <f>+IF(A321="","",IF(A321=0,"",IF(F320="","",F320)))</f>
        <v/>
      </c>
      <c r="G321" s="378" t="str">
        <f>+IFERROR(D321*E321/F321,"")</f>
        <v/>
      </c>
    </row>
    <row r="322" spans="1:7">
      <c r="A322" s="34"/>
      <c r="B322" s="35"/>
      <c r="C322" s="119"/>
      <c r="D322" s="119"/>
      <c r="E322" s="36"/>
      <c r="F322" s="37" t="s">
        <v>62</v>
      </c>
      <c r="G322" s="38">
        <f>+IF(SUM(G319:G321)=0,"",SUM(G319:G321))</f>
        <v>129065</v>
      </c>
    </row>
    <row r="323" spans="1:7">
      <c r="A323" s="121"/>
      <c r="B323" s="119"/>
      <c r="C323" s="56"/>
      <c r="D323" s="56"/>
      <c r="E323" s="56"/>
      <c r="F323" s="40"/>
      <c r="G323" s="57"/>
    </row>
    <row r="324" spans="1:7">
      <c r="A324" s="464" t="s">
        <v>76</v>
      </c>
      <c r="B324" s="464"/>
      <c r="C324" s="464"/>
      <c r="D324" s="464"/>
      <c r="E324" s="464"/>
      <c r="F324" s="464"/>
      <c r="G324" s="465"/>
    </row>
    <row r="325" spans="1:7">
      <c r="A325" s="120" t="s">
        <v>57</v>
      </c>
      <c r="B325" s="500" t="s">
        <v>46</v>
      </c>
      <c r="C325" s="500"/>
      <c r="D325" s="120" t="s">
        <v>47</v>
      </c>
      <c r="E325" s="120" t="s">
        <v>48</v>
      </c>
      <c r="F325" s="120" t="s">
        <v>65</v>
      </c>
      <c r="G325" s="120" t="s">
        <v>60</v>
      </c>
    </row>
    <row r="326" spans="1:7">
      <c r="A326" s="367" t="str">
        <f>IF(B326="","",INDEX(CODIGOSSERVICIOS,MATCH($B326,'INSUMOS SERVICIOS'!$B$7:$B$21,0)))</f>
        <v/>
      </c>
      <c r="B326" s="492"/>
      <c r="C326" s="493"/>
      <c r="D326" s="373" t="str">
        <f>+IF(B326="","",(VLOOKUP($A326,INSUMOSSERVICIOS,3,0)))</f>
        <v/>
      </c>
      <c r="E326" s="379"/>
      <c r="F326" s="376" t="str">
        <f>IF(B326="","",(VLOOKUP($A326,INSUMOSSERVICIOS,4,0)))</f>
        <v/>
      </c>
      <c r="G326" s="371" t="str">
        <f>+IFERROR(E326*F326,"")</f>
        <v/>
      </c>
    </row>
    <row r="327" spans="1:7">
      <c r="A327" s="367" t="s">
        <v>52</v>
      </c>
      <c r="B327" s="492"/>
      <c r="C327" s="493"/>
      <c r="D327" s="373" t="str">
        <f>+IF(B327="","",(VLOOKUP($A327,INSUMOS_SERVICIOS,3,0)))</f>
        <v/>
      </c>
      <c r="E327" s="379"/>
      <c r="F327" s="376" t="str">
        <f>IF(B327="","",(VLOOKUP($A327,INSUMOS_SERVICIOS,4,0)))</f>
        <v/>
      </c>
      <c r="G327" s="371" t="str">
        <f>+IFERROR(E327*F327,"")</f>
        <v/>
      </c>
    </row>
    <row r="328" spans="1:7">
      <c r="A328" s="34"/>
      <c r="B328" s="35"/>
      <c r="C328" s="119"/>
      <c r="D328" s="119"/>
      <c r="E328" s="36"/>
      <c r="F328" s="59" t="s">
        <v>62</v>
      </c>
      <c r="G328" s="38" t="str">
        <f>+IF(SUM(G326:G327)=0,"",SUM(G326:G327))</f>
        <v/>
      </c>
    </row>
    <row r="329" spans="1:7">
      <c r="A329" s="121"/>
      <c r="B329" s="119"/>
      <c r="C329" s="56"/>
      <c r="D329" s="56"/>
      <c r="E329" s="56"/>
      <c r="F329" s="40"/>
      <c r="G329" s="57"/>
    </row>
    <row r="330" spans="1:7">
      <c r="A330" s="494" t="s">
        <v>77</v>
      </c>
      <c r="B330" s="494"/>
      <c r="C330" s="494"/>
      <c r="D330" s="494"/>
      <c r="E330" s="494"/>
      <c r="F330" s="494"/>
      <c r="G330" s="60">
        <f ca="1">IF(SUM(G301,G308,G315,G322,G328)=0,"",(ROUND(SUM(G301,G308,G315,G322,G328),0)))</f>
        <v>656363</v>
      </c>
    </row>
    <row r="331" spans="1:7">
      <c r="A331" s="57"/>
      <c r="B331" s="49"/>
      <c r="C331" s="49"/>
      <c r="D331" s="49"/>
      <c r="E331" s="49"/>
      <c r="F331" s="49"/>
      <c r="G331" s="40"/>
    </row>
    <row r="332" spans="1:7">
      <c r="A332" s="464" t="s">
        <v>78</v>
      </c>
      <c r="B332" s="464"/>
      <c r="C332" s="464"/>
      <c r="D332" s="464"/>
      <c r="E332" s="464"/>
      <c r="F332" s="464"/>
      <c r="G332" s="464"/>
    </row>
    <row r="333" spans="1:7">
      <c r="A333" s="119"/>
      <c r="B333" s="119"/>
      <c r="C333" s="119"/>
      <c r="D333" s="119"/>
      <c r="E333" s="119"/>
      <c r="F333" s="119"/>
      <c r="G333" s="119"/>
    </row>
    <row r="334" spans="1:7">
      <c r="A334" s="495" t="s">
        <v>46</v>
      </c>
      <c r="B334" s="495"/>
      <c r="C334" s="495"/>
      <c r="D334" s="495"/>
      <c r="E334" s="495"/>
      <c r="F334" s="61" t="s">
        <v>79</v>
      </c>
      <c r="G334" s="61" t="s">
        <v>50</v>
      </c>
    </row>
    <row r="335" spans="1:7">
      <c r="A335" s="496" t="s">
        <v>80</v>
      </c>
      <c r="B335" s="496"/>
      <c r="C335" s="496"/>
      <c r="D335" s="496"/>
      <c r="E335" s="496"/>
      <c r="F335" s="62">
        <f ca="1">AIU!$I$46</f>
        <v>0.34160000000000001</v>
      </c>
      <c r="G335" s="63">
        <f ca="1">+IFERROR(G330*F335,"")</f>
        <v>224213.60080000001</v>
      </c>
    </row>
    <row r="336" spans="1:7">
      <c r="A336" s="496" t="s">
        <v>81</v>
      </c>
      <c r="B336" s="496"/>
      <c r="C336" s="496"/>
      <c r="D336" s="496"/>
      <c r="E336" s="496"/>
      <c r="F336" s="62" t="str">
        <f>IF(AIU!$I$47=0,"",AIU!$I$47)</f>
        <v/>
      </c>
      <c r="G336" s="63" t="str">
        <f ca="1">+IFERROR(G330*F336,"")</f>
        <v/>
      </c>
    </row>
    <row r="337" spans="1:7">
      <c r="A337" s="496" t="s">
        <v>82</v>
      </c>
      <c r="B337" s="496"/>
      <c r="C337" s="496"/>
      <c r="D337" s="496"/>
      <c r="E337" s="496"/>
      <c r="F337" s="62">
        <f>IF(AIU!$I$48=0,"",AIU!$I$48)</f>
        <v>0.05</v>
      </c>
      <c r="G337" s="63">
        <f ca="1">+IFERROR(G330*F337,"")</f>
        <v>32818.15</v>
      </c>
    </row>
    <row r="338" spans="1:7">
      <c r="A338" s="497" t="s">
        <v>83</v>
      </c>
      <c r="B338" s="498"/>
      <c r="C338" s="498"/>
      <c r="D338" s="498"/>
      <c r="E338" s="498"/>
      <c r="F338" s="64">
        <f ca="1">IF(SUM(F335:F337)=0,"",SUM(F335:F337))</f>
        <v>0.3916</v>
      </c>
      <c r="G338" s="65">
        <f ca="1">IF(SUM(G335:G337)=0,"",ROUND(SUM(G335:G337),0))</f>
        <v>257032</v>
      </c>
    </row>
    <row r="339" spans="1:7">
      <c r="A339" s="57"/>
      <c r="B339" s="35"/>
      <c r="C339" s="35"/>
      <c r="D339" s="35"/>
      <c r="E339" s="499"/>
      <c r="F339" s="499"/>
      <c r="G339" s="66"/>
    </row>
    <row r="340" spans="1:7">
      <c r="A340" s="466"/>
      <c r="B340" s="467"/>
      <c r="C340" s="467"/>
      <c r="D340" s="467"/>
      <c r="E340" s="467"/>
      <c r="F340" s="467"/>
      <c r="G340" s="67">
        <f ca="1">+IFERROR(ROUND(G330+G338,0),"")</f>
        <v>913395</v>
      </c>
    </row>
    <row r="341" spans="1:7">
      <c r="A341" s="20"/>
      <c r="B341" s="20"/>
      <c r="C341" s="20"/>
      <c r="D341" s="20"/>
      <c r="E341" s="19"/>
      <c r="F341" s="19"/>
      <c r="G341" s="21"/>
    </row>
    <row r="342" spans="1:7">
      <c r="A342" s="20"/>
      <c r="B342" s="184"/>
      <c r="C342" s="19"/>
      <c r="D342" s="19"/>
      <c r="E342" s="19"/>
      <c r="F342" s="19"/>
      <c r="G342" s="19"/>
    </row>
  </sheetData>
  <protectedRanges>
    <protectedRange sqref="B71:C71 D77:E77 A176 B182:C182 E210:E211 B196:D198 B210:C211 A65 E94:E96 F125 B94:C96 B88:D89 F88 F182 A119 B125:C125 E151:E153 B151:C153 B132:B134 F71 A235 B241:C241 E266:E267 B252:D254 B266:C267 B259:D261 F259:F260 F241 D188:E191 B77 B188:B191 B82:D83 B247 B139:D140 D247:E247 D20:E21 B203:D205 F203:F204 D132:E134 F145 B145:D146 B15:C15 A8 E39:E41 B39:C41 B32:D34 F32:F33 F15 B20:B21 B26:D27 A293 B299:C299 E326:E327 B312:D314 B326:C327 B319:D321 F319:F320 F299 B307 D307:E307" name="Rango1"/>
  </protectedRanges>
  <mergeCells count="210">
    <mergeCell ref="A332:G332"/>
    <mergeCell ref="A334:E334"/>
    <mergeCell ref="A335:E335"/>
    <mergeCell ref="A336:E336"/>
    <mergeCell ref="A337:E337"/>
    <mergeCell ref="A338:E338"/>
    <mergeCell ref="E339:F339"/>
    <mergeCell ref="A340:F340"/>
    <mergeCell ref="B318:C318"/>
    <mergeCell ref="B319:C319"/>
    <mergeCell ref="B320:C320"/>
    <mergeCell ref="B321:C321"/>
    <mergeCell ref="A324:G324"/>
    <mergeCell ref="B325:C325"/>
    <mergeCell ref="B326:C326"/>
    <mergeCell ref="B327:C327"/>
    <mergeCell ref="A330:F330"/>
    <mergeCell ref="B293:D293"/>
    <mergeCell ref="A295:G295"/>
    <mergeCell ref="A297:G297"/>
    <mergeCell ref="B298:C298"/>
    <mergeCell ref="B299:C299"/>
    <mergeCell ref="B300:C300"/>
    <mergeCell ref="A303:G303"/>
    <mergeCell ref="A310:G310"/>
    <mergeCell ref="A317:G317"/>
    <mergeCell ref="A286:E286"/>
    <mergeCell ref="F286:G290"/>
    <mergeCell ref="A287:E287"/>
    <mergeCell ref="A288:E288"/>
    <mergeCell ref="A289:E289"/>
    <mergeCell ref="A290:E290"/>
    <mergeCell ref="A291:E291"/>
    <mergeCell ref="F291:G291"/>
    <mergeCell ref="B292:D292"/>
    <mergeCell ref="A280:F280"/>
    <mergeCell ref="B267:C267"/>
    <mergeCell ref="A270:F270"/>
    <mergeCell ref="A272:G272"/>
    <mergeCell ref="A274:E274"/>
    <mergeCell ref="A275:E275"/>
    <mergeCell ref="A276:E276"/>
    <mergeCell ref="A277:E277"/>
    <mergeCell ref="A278:E278"/>
    <mergeCell ref="E279:F279"/>
    <mergeCell ref="A257:G257"/>
    <mergeCell ref="B258:C258"/>
    <mergeCell ref="B259:C259"/>
    <mergeCell ref="B260:C260"/>
    <mergeCell ref="B261:C261"/>
    <mergeCell ref="A264:G264"/>
    <mergeCell ref="B265:C265"/>
    <mergeCell ref="B266:C266"/>
    <mergeCell ref="B234:D234"/>
    <mergeCell ref="B235:D235"/>
    <mergeCell ref="A237:G237"/>
    <mergeCell ref="A239:G239"/>
    <mergeCell ref="B240:C240"/>
    <mergeCell ref="B241:C241"/>
    <mergeCell ref="B242:C242"/>
    <mergeCell ref="A245:G245"/>
    <mergeCell ref="A250:G250"/>
    <mergeCell ref="A224:F224"/>
    <mergeCell ref="A228:E228"/>
    <mergeCell ref="F228:G232"/>
    <mergeCell ref="A229:E229"/>
    <mergeCell ref="A230:E230"/>
    <mergeCell ref="A231:E231"/>
    <mergeCell ref="A232:E232"/>
    <mergeCell ref="A233:E233"/>
    <mergeCell ref="F233:G233"/>
    <mergeCell ref="B211:C211"/>
    <mergeCell ref="A214:F214"/>
    <mergeCell ref="A216:G216"/>
    <mergeCell ref="A218:E218"/>
    <mergeCell ref="A219:E219"/>
    <mergeCell ref="A220:E220"/>
    <mergeCell ref="A221:E221"/>
    <mergeCell ref="A222:E222"/>
    <mergeCell ref="E223:F223"/>
    <mergeCell ref="B202:C202"/>
    <mergeCell ref="B203:C203"/>
    <mergeCell ref="B204:C204"/>
    <mergeCell ref="B205:C205"/>
    <mergeCell ref="A208:G208"/>
    <mergeCell ref="B209:C209"/>
    <mergeCell ref="B210:C210"/>
    <mergeCell ref="B175:D175"/>
    <mergeCell ref="B176:D176"/>
    <mergeCell ref="A178:G178"/>
    <mergeCell ref="A180:G180"/>
    <mergeCell ref="B181:C181"/>
    <mergeCell ref="B182:C182"/>
    <mergeCell ref="B183:C183"/>
    <mergeCell ref="A186:G186"/>
    <mergeCell ref="A194:G194"/>
    <mergeCell ref="A169:E169"/>
    <mergeCell ref="F169:G173"/>
    <mergeCell ref="A170:E170"/>
    <mergeCell ref="A171:E171"/>
    <mergeCell ref="A172:E172"/>
    <mergeCell ref="A173:E173"/>
    <mergeCell ref="A174:E174"/>
    <mergeCell ref="F174:G174"/>
    <mergeCell ref="A201:G201"/>
    <mergeCell ref="A156:F156"/>
    <mergeCell ref="A158:G158"/>
    <mergeCell ref="A160:E160"/>
    <mergeCell ref="A161:E161"/>
    <mergeCell ref="A162:E162"/>
    <mergeCell ref="A163:E163"/>
    <mergeCell ref="A164:E164"/>
    <mergeCell ref="E165:F165"/>
    <mergeCell ref="A166:F166"/>
    <mergeCell ref="A143:G143"/>
    <mergeCell ref="B144:C144"/>
    <mergeCell ref="B145:C145"/>
    <mergeCell ref="B146:C146"/>
    <mergeCell ref="A149:G149"/>
    <mergeCell ref="B150:C150"/>
    <mergeCell ref="B151:C151"/>
    <mergeCell ref="B152:C152"/>
    <mergeCell ref="B153:C153"/>
    <mergeCell ref="B118:D118"/>
    <mergeCell ref="B119:D119"/>
    <mergeCell ref="A121:G121"/>
    <mergeCell ref="A123:G123"/>
    <mergeCell ref="B124:C124"/>
    <mergeCell ref="B125:C125"/>
    <mergeCell ref="B126:C126"/>
    <mergeCell ref="A129:G129"/>
    <mergeCell ref="A137:G137"/>
    <mergeCell ref="A109:F109"/>
    <mergeCell ref="A112:E112"/>
    <mergeCell ref="F112:G116"/>
    <mergeCell ref="A113:E113"/>
    <mergeCell ref="A114:E114"/>
    <mergeCell ref="A115:E115"/>
    <mergeCell ref="A116:E116"/>
    <mergeCell ref="A117:E117"/>
    <mergeCell ref="F117:G117"/>
    <mergeCell ref="B96:C96"/>
    <mergeCell ref="A99:F99"/>
    <mergeCell ref="A101:G101"/>
    <mergeCell ref="A103:E103"/>
    <mergeCell ref="A104:E104"/>
    <mergeCell ref="A105:E105"/>
    <mergeCell ref="A106:E106"/>
    <mergeCell ref="A107:E107"/>
    <mergeCell ref="E108:F108"/>
    <mergeCell ref="A80:G80"/>
    <mergeCell ref="A86:G86"/>
    <mergeCell ref="B87:C87"/>
    <mergeCell ref="B88:C88"/>
    <mergeCell ref="B89:C89"/>
    <mergeCell ref="A92:G92"/>
    <mergeCell ref="B93:C93"/>
    <mergeCell ref="B94:C94"/>
    <mergeCell ref="B95:C95"/>
    <mergeCell ref="A1:E1"/>
    <mergeCell ref="F1:G5"/>
    <mergeCell ref="A2:E2"/>
    <mergeCell ref="A3:E3"/>
    <mergeCell ref="A4:E4"/>
    <mergeCell ref="A5:E5"/>
    <mergeCell ref="A6:E6"/>
    <mergeCell ref="F6:G6"/>
    <mergeCell ref="B7:D7"/>
    <mergeCell ref="B31:C31"/>
    <mergeCell ref="B32:C32"/>
    <mergeCell ref="B33:C33"/>
    <mergeCell ref="B34:C34"/>
    <mergeCell ref="A37:G37"/>
    <mergeCell ref="B38:C38"/>
    <mergeCell ref="B39:C39"/>
    <mergeCell ref="B40:C40"/>
    <mergeCell ref="B8:D8"/>
    <mergeCell ref="A10:G10"/>
    <mergeCell ref="A12:G12"/>
    <mergeCell ref="B13:C13"/>
    <mergeCell ref="B14:C14"/>
    <mergeCell ref="B15:C15"/>
    <mergeCell ref="A18:G18"/>
    <mergeCell ref="A24:G24"/>
    <mergeCell ref="A30:G30"/>
    <mergeCell ref="B41:C41"/>
    <mergeCell ref="A44:F44"/>
    <mergeCell ref="A46:G46"/>
    <mergeCell ref="A48:E48"/>
    <mergeCell ref="A49:E49"/>
    <mergeCell ref="A50:E50"/>
    <mergeCell ref="A51:E51"/>
    <mergeCell ref="A52:E52"/>
    <mergeCell ref="E53:F53"/>
    <mergeCell ref="A74:G74"/>
    <mergeCell ref="A54:F54"/>
    <mergeCell ref="B64:D64"/>
    <mergeCell ref="B65:D65"/>
    <mergeCell ref="A67:G67"/>
    <mergeCell ref="A69:G69"/>
    <mergeCell ref="B70:C70"/>
    <mergeCell ref="B71:C71"/>
    <mergeCell ref="A58:E58"/>
    <mergeCell ref="F58:G62"/>
    <mergeCell ref="A59:E59"/>
    <mergeCell ref="A60:E60"/>
    <mergeCell ref="A61:E61"/>
    <mergeCell ref="A62:E62"/>
    <mergeCell ref="A63:E63"/>
    <mergeCell ref="F63:G63"/>
  </mergeCells>
  <phoneticPr fontId="35" type="noConversion"/>
  <dataValidations count="1">
    <dataValidation type="list" allowBlank="1" showInputMessage="1" showErrorMessage="1" sqref="C82:C83 C139:C140 C196:C198 C252:C254 C26:C27 C312:C314" xr:uid="{00000000-0002-0000-0200-000000000000}">
      <formula1>"INSUMOS,TIERRA,ESCOMBROS,PLAYA,GRANULAR,ASFALTO"</formula1>
    </dataValidation>
  </dataValidations>
  <pageMargins left="0.7" right="0.7" top="0.75" bottom="0.75" header="0.3" footer="0.3"/>
  <pageSetup scale="55" orientation="portrait" horizontalDpi="4294967292" r:id="rId1"/>
  <rowBreaks count="2" manualBreakCount="2">
    <brk id="58" max="16383" man="1"/>
    <brk id="111" max="16383" man="1"/>
  </rowBreaks>
  <colBreaks count="1" manualBreakCount="1">
    <brk id="7"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1000000}">
          <x14:formula1>
            <xm:f>'INSUMOS EQUIPOS'!$B$8:$B$39</xm:f>
          </x14:formula1>
          <xm:sqref>B125:C125 B182:C182 B241:C241 B299:C299</xm:sqref>
        </x14:dataValidation>
        <x14:dataValidation type="list" allowBlank="1" showInputMessage="1" showErrorMessage="1" xr:uid="{00000000-0002-0000-0200-000002000000}">
          <x14:formula1>
            <xm:f>'INSUMOS TRANSPORTES'!$B$8:$B$13</xm:f>
          </x14:formula1>
          <xm:sqref>B197 B253 B313</xm:sqref>
        </x14:dataValidation>
        <x14:dataValidation type="list" allowBlank="1" showInputMessage="1" showErrorMessage="1" xr:uid="{00000000-0002-0000-0200-000003000000}">
          <x14:formula1>
            <xm:f>'INSUMOS MANO DE OBRA'!$B$8:$B$61</xm:f>
          </x14:formula1>
          <xm:sqref>B203:C204 B32:C33 B88:C88 B145:C145 B259:C260 B319:C320</xm:sqref>
        </x14:dataValidation>
        <x14:dataValidation type="list" allowBlank="1" showInputMessage="1" showErrorMessage="1" xr:uid="{00000000-0002-0000-0200-000004000000}">
          <x14:formula1>
            <xm:f>'INSUMOS SERVICIOS'!$B$8:$B$21</xm:f>
          </x14:formula1>
          <xm:sqref>B94:C95 B151:C152 B210:C210 B266:C266 B39:C40 B326:C326</xm:sqref>
        </x14:dataValidation>
        <x14:dataValidation type="list" allowBlank="1" showInputMessage="1" showErrorMessage="1" xr:uid="{00000000-0002-0000-0200-000007000000}">
          <x14:formula1>
            <xm:f>'INSUMOS EQUIPOS'!$B$7:$B$42</xm:f>
          </x14:formula1>
          <xm:sqref>B71:C71 B15:C15</xm:sqref>
        </x14:dataValidation>
        <x14:dataValidation type="list" allowBlank="1" showInputMessage="1" showErrorMessage="1" xr:uid="{00000000-0002-0000-0200-000008000000}">
          <x14:formula1>
            <xm:f>'INSUMOS TRANSPORTES'!$B$8:$B$33</xm:f>
          </x14:formula1>
          <xm:sqref>B139 B82 B196 B252 B26 B312</xm:sqref>
        </x14:dataValidation>
        <x14:dataValidation type="list" allowBlank="1" showInputMessage="1" showErrorMessage="1" xr:uid="{00000000-0002-0000-0200-000009000000}">
          <x14:formula1>
            <xm:f>'INSUMOS MATERIALES'!$B$9:$B$103</xm:f>
          </x14:formula1>
          <xm:sqref>B77 B132:B134 B20:B21 B188:B191 B247 B307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50"/>
  <sheetViews>
    <sheetView view="pageBreakPreview" topLeftCell="A25" zoomScale="60" zoomScaleNormal="100" workbookViewId="0">
      <selection activeCell="E58" sqref="E58"/>
    </sheetView>
  </sheetViews>
  <sheetFormatPr baseColWidth="10" defaultRowHeight="15"/>
  <cols>
    <col min="2" max="2" width="62.42578125" customWidth="1"/>
    <col min="5" max="5" width="15.140625" customWidth="1"/>
    <col min="6" max="6" width="14.5703125" customWidth="1"/>
    <col min="9" max="9" width="15.5703125" customWidth="1"/>
    <col min="10" max="10" width="19.42578125" customWidth="1"/>
    <col min="11" max="11" width="19.5703125" bestFit="1" customWidth="1"/>
    <col min="12" max="12" width="14.42578125" bestFit="1" customWidth="1"/>
    <col min="13" max="13" width="13.5703125" bestFit="1" customWidth="1"/>
  </cols>
  <sheetData>
    <row r="1" spans="1:13" ht="26.25">
      <c r="A1" s="507" t="s">
        <v>0</v>
      </c>
      <c r="B1" s="508"/>
      <c r="C1" s="509" t="s">
        <v>52</v>
      </c>
      <c r="D1" s="509"/>
      <c r="E1" s="509"/>
      <c r="F1" s="510"/>
    </row>
    <row r="2" spans="1:13" ht="21">
      <c r="A2" s="515" t="str">
        <f>'DATOS INICIALES'!B2</f>
        <v>MUNICIPIO DE DABEIBA</v>
      </c>
      <c r="B2" s="516"/>
      <c r="C2" s="511"/>
      <c r="D2" s="511"/>
      <c r="E2" s="511"/>
      <c r="F2" s="512"/>
    </row>
    <row r="3" spans="1:13" ht="51.6" customHeight="1">
      <c r="A3" s="517" t="str">
        <f>'DATOS INICIALES'!B3</f>
        <v xml:space="preserve">AMPLIACIÓN DEL SISTEMA DE ALCANTARILLADO EN SECTOR DEL BARRIO PABLO VI  DEL MUNICIPIO DE DABEIBA ANTIOQUIA </v>
      </c>
      <c r="B3" s="518"/>
      <c r="C3" s="511"/>
      <c r="D3" s="511"/>
      <c r="E3" s="511"/>
      <c r="F3" s="512"/>
    </row>
    <row r="4" spans="1:13">
      <c r="A4" s="17"/>
      <c r="B4" s="4"/>
      <c r="C4" s="511"/>
      <c r="D4" s="511"/>
      <c r="E4" s="511"/>
      <c r="F4" s="512"/>
    </row>
    <row r="5" spans="1:13" ht="31.7" customHeight="1">
      <c r="A5" s="519" t="s">
        <v>795</v>
      </c>
      <c r="B5" s="520"/>
      <c r="C5" s="513"/>
      <c r="D5" s="513"/>
      <c r="E5" s="513"/>
      <c r="F5" s="514"/>
    </row>
    <row r="7" spans="1:13" ht="21.6" customHeight="1">
      <c r="A7" s="192" t="s">
        <v>45</v>
      </c>
      <c r="B7" s="192" t="s">
        <v>46</v>
      </c>
      <c r="C7" s="192" t="s">
        <v>47</v>
      </c>
      <c r="D7" s="192" t="s">
        <v>48</v>
      </c>
      <c r="E7" s="191" t="s">
        <v>49</v>
      </c>
      <c r="F7" s="191" t="s">
        <v>50</v>
      </c>
      <c r="H7" s="430" t="s">
        <v>776</v>
      </c>
      <c r="I7" s="430" t="s">
        <v>188</v>
      </c>
      <c r="J7" s="430" t="s">
        <v>777</v>
      </c>
      <c r="K7" s="430" t="s">
        <v>778</v>
      </c>
      <c r="L7" s="430" t="s">
        <v>779</v>
      </c>
      <c r="M7" s="430" t="s">
        <v>731</v>
      </c>
    </row>
    <row r="8" spans="1:13">
      <c r="A8" s="23">
        <v>1</v>
      </c>
      <c r="B8" s="193" t="s">
        <v>555</v>
      </c>
      <c r="C8" s="194" t="s">
        <v>52</v>
      </c>
      <c r="D8" s="194"/>
      <c r="E8" s="195"/>
      <c r="F8" s="196"/>
      <c r="H8" s="430"/>
      <c r="I8" s="430"/>
      <c r="J8" s="430"/>
      <c r="K8" s="430"/>
      <c r="L8" s="430"/>
      <c r="M8" s="430"/>
    </row>
    <row r="9" spans="1:13">
      <c r="A9" s="132">
        <v>1.1000000000000001</v>
      </c>
      <c r="B9" s="197" t="s">
        <v>556</v>
      </c>
      <c r="C9" s="131" t="s">
        <v>52</v>
      </c>
      <c r="D9" s="131"/>
      <c r="E9" s="198" t="s">
        <v>52</v>
      </c>
      <c r="F9" s="199" t="s">
        <v>52</v>
      </c>
    </row>
    <row r="10" spans="1:13">
      <c r="A10" s="200"/>
      <c r="B10" s="75" t="s">
        <v>557</v>
      </c>
      <c r="C10" s="85" t="s">
        <v>205</v>
      </c>
      <c r="D10" s="87" t="s">
        <v>589</v>
      </c>
      <c r="E10" s="79"/>
      <c r="F10" s="201">
        <v>0</v>
      </c>
      <c r="H10" s="297"/>
      <c r="I10" s="297"/>
      <c r="J10" s="297"/>
      <c r="K10" s="297"/>
      <c r="L10" s="297"/>
      <c r="M10" s="297"/>
    </row>
    <row r="11" spans="1:13" ht="24" customHeight="1">
      <c r="A11" s="132">
        <v>1.2</v>
      </c>
      <c r="B11" s="197" t="s">
        <v>558</v>
      </c>
      <c r="C11" s="131" t="s">
        <v>52</v>
      </c>
      <c r="D11" s="131"/>
      <c r="E11" s="198"/>
      <c r="F11" s="199"/>
    </row>
    <row r="12" spans="1:13" ht="24">
      <c r="A12" s="200"/>
      <c r="B12" s="75" t="s">
        <v>592</v>
      </c>
      <c r="C12" s="85" t="s">
        <v>205</v>
      </c>
      <c r="D12" s="87">
        <v>1</v>
      </c>
      <c r="E12" s="79">
        <v>350000</v>
      </c>
      <c r="F12" s="201">
        <f>+IF(D12*E12=0,"",D12*E12)</f>
        <v>350000</v>
      </c>
    </row>
    <row r="13" spans="1:13" ht="24">
      <c r="A13" s="200"/>
      <c r="B13" s="75" t="s">
        <v>559</v>
      </c>
      <c r="C13" s="85" t="s">
        <v>205</v>
      </c>
      <c r="D13" s="87">
        <f>4*4</f>
        <v>16</v>
      </c>
      <c r="E13" s="79">
        <v>18000</v>
      </c>
      <c r="F13" s="201">
        <f>+IF(D13*E13=0,"",D13*E13)</f>
        <v>288000</v>
      </c>
    </row>
    <row r="14" spans="1:13" ht="28.35" customHeight="1">
      <c r="A14" s="200"/>
      <c r="B14" s="75" t="s">
        <v>560</v>
      </c>
      <c r="C14" s="85" t="s">
        <v>98</v>
      </c>
      <c r="D14" s="87">
        <v>4</v>
      </c>
      <c r="E14" s="79">
        <v>70000</v>
      </c>
      <c r="F14" s="201">
        <f>+IF(D14*E14=0,"",D14*E14)</f>
        <v>280000</v>
      </c>
    </row>
    <row r="15" spans="1:13" ht="24">
      <c r="A15" s="202">
        <v>1.3</v>
      </c>
      <c r="B15" s="197" t="s">
        <v>590</v>
      </c>
      <c r="C15" s="131" t="s">
        <v>52</v>
      </c>
      <c r="D15" s="131"/>
      <c r="E15" s="198"/>
      <c r="F15" s="199"/>
    </row>
    <row r="16" spans="1:13" ht="15" customHeight="1">
      <c r="A16" s="200"/>
      <c r="B16" s="75" t="s">
        <v>794</v>
      </c>
      <c r="C16" s="85" t="s">
        <v>561</v>
      </c>
      <c r="D16" s="87">
        <v>100</v>
      </c>
      <c r="E16" s="79">
        <v>12000</v>
      </c>
      <c r="F16" s="201">
        <f>+IF(D16*E16=0,"",D16*E16)</f>
        <v>1200000</v>
      </c>
    </row>
    <row r="17" spans="1:6" ht="24">
      <c r="A17" s="200"/>
      <c r="B17" s="75" t="s">
        <v>562</v>
      </c>
      <c r="C17" s="85" t="s">
        <v>591</v>
      </c>
      <c r="D17" s="87">
        <v>1000</v>
      </c>
      <c r="E17" s="79">
        <v>60</v>
      </c>
      <c r="F17" s="201">
        <f>+IF(D17*E17=0,"",D17*E17)</f>
        <v>60000</v>
      </c>
    </row>
    <row r="18" spans="1:6" ht="24">
      <c r="A18" s="132">
        <v>1.4</v>
      </c>
      <c r="B18" s="197" t="s">
        <v>564</v>
      </c>
      <c r="C18" s="131" t="s">
        <v>52</v>
      </c>
      <c r="D18" s="131"/>
      <c r="E18" s="198"/>
      <c r="F18" s="199"/>
    </row>
    <row r="19" spans="1:6" ht="24">
      <c r="A19" s="200"/>
      <c r="B19" s="75" t="s">
        <v>565</v>
      </c>
      <c r="C19" s="85" t="s">
        <v>92</v>
      </c>
      <c r="D19" s="87">
        <f>4*4</f>
        <v>16</v>
      </c>
      <c r="E19" s="79">
        <v>100000</v>
      </c>
      <c r="F19" s="201">
        <f>+IF(D19*E19=0,"",D19*E19)</f>
        <v>1600000</v>
      </c>
    </row>
    <row r="20" spans="1:6">
      <c r="A20" s="200"/>
      <c r="B20" s="75" t="s">
        <v>566</v>
      </c>
      <c r="C20" s="85" t="s">
        <v>205</v>
      </c>
      <c r="D20" s="87">
        <v>4</v>
      </c>
      <c r="E20" s="79">
        <v>80000</v>
      </c>
      <c r="F20" s="201">
        <f>+IF(D20*E20=0,"",D20*E20)</f>
        <v>320000</v>
      </c>
    </row>
    <row r="21" spans="1:6">
      <c r="A21" s="200"/>
      <c r="B21" s="75" t="s">
        <v>567</v>
      </c>
      <c r="C21" s="85" t="s">
        <v>205</v>
      </c>
      <c r="D21" s="87">
        <v>1</v>
      </c>
      <c r="E21" s="79">
        <v>300000</v>
      </c>
      <c r="F21" s="201">
        <f>+IF(D21*E21=0,"",D21*E21)</f>
        <v>300000</v>
      </c>
    </row>
    <row r="22" spans="1:6" ht="26.45" customHeight="1">
      <c r="A22" s="200"/>
      <c r="B22" s="75" t="s">
        <v>568</v>
      </c>
      <c r="C22" s="85" t="s">
        <v>563</v>
      </c>
      <c r="D22" s="87">
        <v>4</v>
      </c>
      <c r="E22" s="79">
        <v>180000</v>
      </c>
      <c r="F22" s="201">
        <f>+IF(D22*E22=0,"",D22*E22)</f>
        <v>720000</v>
      </c>
    </row>
    <row r="23" spans="1:6" ht="26.45" customHeight="1">
      <c r="A23" s="132">
        <v>1.5</v>
      </c>
      <c r="B23" s="197" t="s">
        <v>569</v>
      </c>
      <c r="C23" s="131" t="s">
        <v>52</v>
      </c>
      <c r="D23" s="131"/>
      <c r="E23" s="198"/>
      <c r="F23" s="199"/>
    </row>
    <row r="24" spans="1:6">
      <c r="A24" s="200"/>
      <c r="B24" s="75" t="s">
        <v>570</v>
      </c>
      <c r="C24" s="85" t="s">
        <v>205</v>
      </c>
      <c r="D24" s="87">
        <v>1</v>
      </c>
      <c r="E24" s="79">
        <v>180000</v>
      </c>
      <c r="F24" s="201">
        <f>+IF(D24*E24=0,"",D24*E24)</f>
        <v>180000</v>
      </c>
    </row>
    <row r="25" spans="1:6">
      <c r="A25" s="203"/>
      <c r="B25" s="204" t="s">
        <v>571</v>
      </c>
      <c r="C25" s="205" t="s">
        <v>52</v>
      </c>
      <c r="D25" s="205"/>
      <c r="E25" s="206"/>
      <c r="F25" s="207">
        <f>IF(SUM(F8:F24)=0,"",SUM(F8:F24))</f>
        <v>5298000</v>
      </c>
    </row>
    <row r="26" spans="1:6">
      <c r="A26" s="23">
        <v>2</v>
      </c>
      <c r="B26" s="193" t="s">
        <v>572</v>
      </c>
      <c r="C26" s="194" t="s">
        <v>52</v>
      </c>
      <c r="D26" s="194"/>
      <c r="E26" s="195"/>
      <c r="F26" s="196"/>
    </row>
    <row r="27" spans="1:6" ht="24.6" customHeight="1">
      <c r="A27" s="132">
        <v>2.1</v>
      </c>
      <c r="B27" s="197" t="s">
        <v>573</v>
      </c>
      <c r="C27" s="131" t="s">
        <v>52</v>
      </c>
      <c r="D27" s="131"/>
      <c r="E27" s="198"/>
      <c r="F27" s="199"/>
    </row>
    <row r="28" spans="1:6" ht="29.45" customHeight="1">
      <c r="A28" s="200"/>
      <c r="B28" s="75" t="s">
        <v>574</v>
      </c>
      <c r="C28" s="85" t="s">
        <v>205</v>
      </c>
      <c r="D28" s="87">
        <v>2</v>
      </c>
      <c r="E28" s="79">
        <v>25000</v>
      </c>
      <c r="F28" s="201">
        <f>+IF(D28*E28=0,"",D28*E28)</f>
        <v>50000</v>
      </c>
    </row>
    <row r="29" spans="1:6">
      <c r="A29" s="200"/>
      <c r="B29" s="75" t="s">
        <v>575</v>
      </c>
      <c r="C29" s="85" t="s">
        <v>205</v>
      </c>
      <c r="D29" s="87">
        <v>1</v>
      </c>
      <c r="E29" s="79">
        <v>160000</v>
      </c>
      <c r="F29" s="201">
        <f>+IF(D29*E29=0,"",D29*E29)</f>
        <v>160000</v>
      </c>
    </row>
    <row r="30" spans="1:6">
      <c r="A30" s="200"/>
      <c r="B30" s="75" t="s">
        <v>576</v>
      </c>
      <c r="C30" s="85" t="s">
        <v>205</v>
      </c>
      <c r="D30" s="87">
        <v>1</v>
      </c>
      <c r="E30" s="79">
        <v>100000</v>
      </c>
      <c r="F30" s="201">
        <f>+IF(D30*E30=0,"",D30*E30)</f>
        <v>100000</v>
      </c>
    </row>
    <row r="31" spans="1:6">
      <c r="A31" s="200"/>
      <c r="B31" s="75" t="s">
        <v>577</v>
      </c>
      <c r="C31" s="85" t="s">
        <v>205</v>
      </c>
      <c r="D31" s="87">
        <v>1</v>
      </c>
      <c r="E31" s="79">
        <v>180000</v>
      </c>
      <c r="F31" s="201">
        <f>+IF(D31*E31=0,"",D31*E31)</f>
        <v>180000</v>
      </c>
    </row>
    <row r="32" spans="1:6">
      <c r="A32" s="132">
        <v>2.2000000000000002</v>
      </c>
      <c r="B32" s="197" t="s">
        <v>578</v>
      </c>
      <c r="C32" s="131" t="s">
        <v>52</v>
      </c>
      <c r="D32" s="131"/>
      <c r="E32" s="198"/>
      <c r="F32" s="199"/>
    </row>
    <row r="33" spans="1:8" ht="24">
      <c r="A33" s="200"/>
      <c r="B33" s="75" t="s">
        <v>579</v>
      </c>
      <c r="C33" s="85" t="s">
        <v>205</v>
      </c>
      <c r="D33" s="87">
        <v>2</v>
      </c>
      <c r="E33" s="79">
        <v>200000</v>
      </c>
      <c r="F33" s="201">
        <f>+IF(D33*E33=0,"",D33*E33)</f>
        <v>400000</v>
      </c>
    </row>
    <row r="34" spans="1:8">
      <c r="A34" s="200"/>
      <c r="B34" s="75" t="s">
        <v>580</v>
      </c>
      <c r="C34" s="85" t="s">
        <v>205</v>
      </c>
      <c r="D34" s="87">
        <v>10</v>
      </c>
      <c r="E34" s="79">
        <v>5000</v>
      </c>
      <c r="F34" s="201">
        <f>+IF(D34*E34=0,"",D34*E34)</f>
        <v>50000</v>
      </c>
    </row>
    <row r="35" spans="1:8">
      <c r="A35" s="203"/>
      <c r="B35" s="204" t="s">
        <v>581</v>
      </c>
      <c r="C35" s="205" t="s">
        <v>52</v>
      </c>
      <c r="D35" s="205"/>
      <c r="E35" s="206"/>
      <c r="F35" s="207">
        <f>IF(SUM(F26:F34)=0,"",SUM(F26:F34))</f>
        <v>940000</v>
      </c>
    </row>
    <row r="36" spans="1:8">
      <c r="A36" s="23">
        <v>3</v>
      </c>
      <c r="B36" s="193" t="s">
        <v>582</v>
      </c>
      <c r="C36" s="194" t="s">
        <v>52</v>
      </c>
      <c r="D36" s="194"/>
      <c r="E36" s="195"/>
      <c r="F36" s="196"/>
    </row>
    <row r="37" spans="1:8">
      <c r="A37" s="132">
        <v>3.1</v>
      </c>
      <c r="B37" s="197" t="s">
        <v>583</v>
      </c>
      <c r="C37" s="131" t="s">
        <v>52</v>
      </c>
      <c r="D37" s="131"/>
      <c r="E37" s="198"/>
      <c r="F37" s="199"/>
    </row>
    <row r="38" spans="1:8" ht="33.6" customHeight="1">
      <c r="A38" s="200"/>
      <c r="B38" s="75" t="s">
        <v>584</v>
      </c>
      <c r="C38" s="85" t="s">
        <v>205</v>
      </c>
      <c r="D38" s="87">
        <v>300</v>
      </c>
      <c r="E38" s="79">
        <v>500</v>
      </c>
      <c r="F38" s="201">
        <f>+IF(D38*E38=0,"",D38*E38)</f>
        <v>150000</v>
      </c>
    </row>
    <row r="39" spans="1:8" ht="24">
      <c r="A39" s="200"/>
      <c r="B39" s="75" t="s">
        <v>585</v>
      </c>
      <c r="C39" s="85" t="s">
        <v>205</v>
      </c>
      <c r="D39" s="87">
        <v>1</v>
      </c>
      <c r="E39" s="79">
        <v>80000</v>
      </c>
      <c r="F39" s="201">
        <f>+IF(D39*E39=0,"",D39*E39)</f>
        <v>80000</v>
      </c>
    </row>
    <row r="40" spans="1:8" ht="39.6" customHeight="1">
      <c r="A40" s="200"/>
      <c r="B40" s="75" t="s">
        <v>586</v>
      </c>
      <c r="C40" s="85" t="s">
        <v>205</v>
      </c>
      <c r="D40" s="87">
        <v>3</v>
      </c>
      <c r="E40" s="79">
        <v>200000</v>
      </c>
      <c r="F40" s="201">
        <f>+IF(D40*E40=0,"",D40*E40)</f>
        <v>600000</v>
      </c>
    </row>
    <row r="41" spans="1:8">
      <c r="A41" s="203"/>
      <c r="B41" s="204" t="s">
        <v>587</v>
      </c>
      <c r="C41" s="205" t="s">
        <v>52</v>
      </c>
      <c r="D41" s="205"/>
      <c r="E41" s="206"/>
      <c r="F41" s="207">
        <f>IF(SUM(F36:F40)=0,"",SUM(F36:F40))</f>
        <v>830000</v>
      </c>
    </row>
    <row r="42" spans="1:8">
      <c r="A42" s="504" t="s">
        <v>588</v>
      </c>
      <c r="B42" s="505"/>
      <c r="C42" s="505"/>
      <c r="D42" s="505"/>
      <c r="E42" s="506"/>
      <c r="F42" s="207">
        <f>IF(SUM(F10:F41)=0,"",SUM(F25,F35,F41))</f>
        <v>7068000</v>
      </c>
    </row>
    <row r="43" spans="1:8">
      <c r="H43" s="208"/>
    </row>
    <row r="49" spans="2:2">
      <c r="B49" s="184"/>
    </row>
    <row r="50" spans="2:2">
      <c r="B50" s="184" t="s">
        <v>781</v>
      </c>
    </row>
  </sheetData>
  <protectedRanges>
    <protectedRange sqref="D16:E17 D38:E40 D33:E34 D28:E31 D24:E24 D19:E22 D10:E10 D12:E14" name="Rango1"/>
  </protectedRanges>
  <mergeCells count="12">
    <mergeCell ref="M7:M8"/>
    <mergeCell ref="H7:H8"/>
    <mergeCell ref="I7:I8"/>
    <mergeCell ref="J7:J8"/>
    <mergeCell ref="K7:K8"/>
    <mergeCell ref="L7:L8"/>
    <mergeCell ref="A42:E42"/>
    <mergeCell ref="A1:B1"/>
    <mergeCell ref="C1:F5"/>
    <mergeCell ref="A2:B2"/>
    <mergeCell ref="A3:B3"/>
    <mergeCell ref="A5:B5"/>
  </mergeCells>
  <pageMargins left="0.7" right="0.7" top="0.75" bottom="0.75" header="0.3" footer="0.3"/>
  <pageSetup scale="62" orientation="portrait"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4"/>
  <sheetViews>
    <sheetView view="pageBreakPreview" topLeftCell="A10" zoomScale="90" zoomScaleNormal="100" zoomScaleSheetLayoutView="90" workbookViewId="0">
      <selection activeCell="A3" sqref="A3:C3"/>
    </sheetView>
  </sheetViews>
  <sheetFormatPr baseColWidth="10" defaultRowHeight="15"/>
  <cols>
    <col min="1" max="1" width="5.85546875" customWidth="1"/>
    <col min="2" max="2" width="7.42578125" customWidth="1"/>
    <col min="3" max="3" width="58.140625" customWidth="1"/>
    <col min="4" max="4" width="6.42578125" customWidth="1"/>
    <col min="5" max="5" width="9.140625" customWidth="1"/>
    <col min="6" max="6" width="7.42578125" customWidth="1"/>
    <col min="7" max="7" width="12" customWidth="1"/>
    <col min="8" max="8" width="12.85546875" customWidth="1"/>
  </cols>
  <sheetData>
    <row r="1" spans="1:8" ht="26.25">
      <c r="A1" s="507" t="s">
        <v>0</v>
      </c>
      <c r="B1" s="521"/>
      <c r="C1" s="521"/>
      <c r="D1" s="525"/>
      <c r="E1" s="526"/>
      <c r="F1" s="526"/>
      <c r="G1" s="526"/>
      <c r="H1" s="527"/>
    </row>
    <row r="2" spans="1:8" ht="21">
      <c r="A2" s="515" t="s">
        <v>813</v>
      </c>
      <c r="B2" s="443"/>
      <c r="C2" s="443"/>
      <c r="D2" s="528"/>
      <c r="E2" s="428"/>
      <c r="F2" s="428"/>
      <c r="G2" s="428"/>
      <c r="H2" s="529"/>
    </row>
    <row r="3" spans="1:8" ht="43.35" customHeight="1">
      <c r="A3" s="522" t="str">
        <f>'DATOS INICIALES'!B7</f>
        <v xml:space="preserve">AMPLIACIÓN DEL SISTEMA DE ALCANTARILLADO EN SECTOR DEL BARRIO PABLO VI  DEL MUNICIPIO DE DABEIBA ANTIOQUIA </v>
      </c>
      <c r="B3" s="523"/>
      <c r="C3" s="523"/>
      <c r="D3" s="528"/>
      <c r="E3" s="428"/>
      <c r="F3" s="428"/>
      <c r="G3" s="428"/>
      <c r="H3" s="529"/>
    </row>
    <row r="4" spans="1:8" ht="6.6" customHeight="1">
      <c r="A4" s="533"/>
      <c r="B4" s="533"/>
      <c r="C4" s="534"/>
      <c r="D4" s="528"/>
      <c r="E4" s="428"/>
      <c r="F4" s="428"/>
      <c r="G4" s="428"/>
      <c r="H4" s="529"/>
    </row>
    <row r="5" spans="1:8">
      <c r="A5" s="524" t="s">
        <v>796</v>
      </c>
      <c r="B5" s="447"/>
      <c r="C5" s="447"/>
      <c r="D5" s="530"/>
      <c r="E5" s="531"/>
      <c r="F5" s="531"/>
      <c r="G5" s="531"/>
      <c r="H5" s="532"/>
    </row>
    <row r="6" spans="1:8" ht="8.4499999999999993" customHeight="1"/>
    <row r="7" spans="1:8">
      <c r="A7" s="81" t="s">
        <v>45</v>
      </c>
      <c r="B7" s="81" t="s">
        <v>57</v>
      </c>
      <c r="C7" s="81" t="s">
        <v>46</v>
      </c>
      <c r="D7" s="81" t="s">
        <v>47</v>
      </c>
      <c r="E7" s="81" t="s">
        <v>48</v>
      </c>
      <c r="F7" s="81" t="s">
        <v>476</v>
      </c>
      <c r="G7" s="339" t="s">
        <v>49</v>
      </c>
      <c r="H7" s="339" t="s">
        <v>50</v>
      </c>
    </row>
    <row r="8" spans="1:8">
      <c r="A8" s="535" t="s">
        <v>797</v>
      </c>
      <c r="B8" s="536"/>
      <c r="C8" s="536"/>
      <c r="D8" s="536"/>
      <c r="E8" s="536"/>
      <c r="F8" s="536"/>
      <c r="G8" s="536"/>
      <c r="H8" s="537"/>
    </row>
    <row r="9" spans="1:8">
      <c r="A9" s="200">
        <v>1.1000000000000001</v>
      </c>
      <c r="B9" s="200"/>
      <c r="C9" s="106" t="s">
        <v>798</v>
      </c>
      <c r="D9" s="85" t="s">
        <v>47</v>
      </c>
      <c r="E9" s="87">
        <v>4</v>
      </c>
      <c r="F9" s="85"/>
      <c r="G9" s="79">
        <v>32000</v>
      </c>
      <c r="H9" s="201">
        <f>+IF(E9*G9=0,"",E9*G9)</f>
        <v>128000</v>
      </c>
    </row>
    <row r="10" spans="1:8">
      <c r="A10" s="200">
        <v>1.2</v>
      </c>
      <c r="B10" s="200"/>
      <c r="C10" s="106" t="s">
        <v>799</v>
      </c>
      <c r="D10" s="85" t="s">
        <v>47</v>
      </c>
      <c r="E10" s="87">
        <v>4</v>
      </c>
      <c r="F10" s="85"/>
      <c r="G10" s="79">
        <v>25000</v>
      </c>
      <c r="H10" s="201">
        <f>+IF(E10*G10=0,"",E10*G10)</f>
        <v>100000</v>
      </c>
    </row>
    <row r="11" spans="1:8">
      <c r="A11" s="200">
        <v>1.3</v>
      </c>
      <c r="B11" s="200"/>
      <c r="C11" s="106" t="s">
        <v>800</v>
      </c>
      <c r="D11" s="85" t="s">
        <v>47</v>
      </c>
      <c r="E11" s="87">
        <v>4</v>
      </c>
      <c r="F11" s="85"/>
      <c r="G11" s="79">
        <v>40000</v>
      </c>
      <c r="H11" s="201">
        <f>+IF(E11*G11=0,"",E11*G11)</f>
        <v>160000</v>
      </c>
    </row>
    <row r="12" spans="1:8">
      <c r="A12" s="200">
        <v>1.4</v>
      </c>
      <c r="B12" s="200"/>
      <c r="C12" s="106" t="s">
        <v>801</v>
      </c>
      <c r="D12" s="85" t="s">
        <v>591</v>
      </c>
      <c r="E12" s="87">
        <v>1000</v>
      </c>
      <c r="F12" s="85"/>
      <c r="G12" s="79">
        <f>20000/500</f>
        <v>40</v>
      </c>
      <c r="H12" s="201">
        <f>+IF(E12*G12=0,"",E12*G12)</f>
        <v>40000</v>
      </c>
    </row>
    <row r="13" spans="1:8">
      <c r="A13" s="535" t="s">
        <v>802</v>
      </c>
      <c r="B13" s="536"/>
      <c r="C13" s="536"/>
      <c r="D13" s="536"/>
      <c r="E13" s="536"/>
      <c r="F13" s="536"/>
      <c r="G13" s="536"/>
      <c r="H13" s="537"/>
    </row>
    <row r="14" spans="1:8">
      <c r="A14" s="200">
        <v>2.1</v>
      </c>
      <c r="B14" s="200"/>
      <c r="C14" s="106" t="s">
        <v>803</v>
      </c>
      <c r="D14" s="85" t="s">
        <v>47</v>
      </c>
      <c r="E14" s="87">
        <v>2</v>
      </c>
      <c r="F14" s="85"/>
      <c r="G14" s="79">
        <v>150000</v>
      </c>
      <c r="H14" s="201">
        <f>+IF(E14*G14=0,"",E14*G14)</f>
        <v>300000</v>
      </c>
    </row>
    <row r="15" spans="1:8">
      <c r="A15" s="200">
        <v>2.2000000000000002</v>
      </c>
      <c r="B15" s="200"/>
      <c r="C15" s="106" t="s">
        <v>804</v>
      </c>
      <c r="D15" s="85" t="s">
        <v>47</v>
      </c>
      <c r="E15" s="87">
        <v>2</v>
      </c>
      <c r="F15" s="85"/>
      <c r="G15" s="79">
        <v>200000</v>
      </c>
      <c r="H15" s="201">
        <f>+IF(E15*G15=0,"",E15*G15)</f>
        <v>400000</v>
      </c>
    </row>
    <row r="16" spans="1:8">
      <c r="A16" s="535" t="s">
        <v>805</v>
      </c>
      <c r="B16" s="536"/>
      <c r="C16" s="536"/>
      <c r="D16" s="536"/>
      <c r="E16" s="536"/>
      <c r="F16" s="536"/>
      <c r="G16" s="536"/>
      <c r="H16" s="537"/>
    </row>
    <row r="17" spans="1:8">
      <c r="A17" s="200">
        <v>3.1</v>
      </c>
      <c r="B17" s="200"/>
      <c r="C17" s="106" t="s">
        <v>409</v>
      </c>
      <c r="D17" s="85" t="s">
        <v>47</v>
      </c>
      <c r="E17" s="87">
        <v>2</v>
      </c>
      <c r="F17" s="85"/>
      <c r="G17" s="79">
        <v>15000</v>
      </c>
      <c r="H17" s="201">
        <f>+IF(E17*G17=0,"",E17*G17)</f>
        <v>30000</v>
      </c>
    </row>
    <row r="18" spans="1:8">
      <c r="A18" s="200">
        <v>3.2</v>
      </c>
      <c r="B18" s="200"/>
      <c r="C18" s="106" t="s">
        <v>806</v>
      </c>
      <c r="D18" s="85" t="s">
        <v>47</v>
      </c>
      <c r="E18" s="87">
        <v>300</v>
      </c>
      <c r="F18" s="85"/>
      <c r="G18" s="79">
        <v>500</v>
      </c>
      <c r="H18" s="201">
        <f>+IF(E18*G18=0,"",E18*G18)</f>
        <v>150000</v>
      </c>
    </row>
    <row r="19" spans="1:8">
      <c r="A19" s="200">
        <v>3.3</v>
      </c>
      <c r="B19" s="200"/>
      <c r="C19" s="106" t="s">
        <v>807</v>
      </c>
      <c r="D19" s="85" t="s">
        <v>47</v>
      </c>
      <c r="E19" s="87">
        <v>2</v>
      </c>
      <c r="F19" s="85"/>
      <c r="G19" s="79">
        <v>2000</v>
      </c>
      <c r="H19" s="201">
        <f>+IF(E19*G19=0,"",E19*G19)</f>
        <v>4000</v>
      </c>
    </row>
    <row r="20" spans="1:8">
      <c r="A20" s="200">
        <v>3.4</v>
      </c>
      <c r="B20" s="200"/>
      <c r="C20" s="106" t="s">
        <v>808</v>
      </c>
      <c r="D20" s="85" t="s">
        <v>98</v>
      </c>
      <c r="E20" s="87">
        <v>1</v>
      </c>
      <c r="F20" s="85"/>
      <c r="G20" s="79">
        <v>150000</v>
      </c>
      <c r="H20" s="201">
        <f>+IF(E20*G20=0,"",E20*G20)</f>
        <v>150000</v>
      </c>
    </row>
    <row r="21" spans="1:8">
      <c r="A21" s="200">
        <v>3.5</v>
      </c>
      <c r="B21" s="87" t="s">
        <v>107</v>
      </c>
      <c r="C21" s="106" t="s">
        <v>108</v>
      </c>
      <c r="D21" s="85" t="s">
        <v>98</v>
      </c>
      <c r="E21" s="87">
        <v>1</v>
      </c>
      <c r="F21" s="87">
        <v>6</v>
      </c>
      <c r="G21" s="86">
        <v>51800</v>
      </c>
      <c r="H21" s="201">
        <f>+IF(E21*G21*F21=0,"",E21*G21*F21)</f>
        <v>310800</v>
      </c>
    </row>
    <row r="22" spans="1:8">
      <c r="A22" s="535" t="s">
        <v>809</v>
      </c>
      <c r="B22" s="536"/>
      <c r="C22" s="536"/>
      <c r="D22" s="536"/>
      <c r="E22" s="536"/>
      <c r="F22" s="536"/>
      <c r="G22" s="536"/>
      <c r="H22" s="537"/>
    </row>
    <row r="23" spans="1:8">
      <c r="A23" s="200">
        <v>4.0999999999999996</v>
      </c>
      <c r="B23" s="87" t="s">
        <v>310</v>
      </c>
      <c r="C23" s="106" t="s">
        <v>362</v>
      </c>
      <c r="D23" s="85" t="s">
        <v>98</v>
      </c>
      <c r="E23" s="87">
        <v>2</v>
      </c>
      <c r="F23" s="87">
        <v>6</v>
      </c>
      <c r="G23" s="86">
        <f>('FACTOR PRESTACIONAL'!AL11+'FACTOR PRESTACIONAL'!AL12)*'FACTOR PRESTACIONAL'!AM32</f>
        <v>2906065</v>
      </c>
      <c r="H23" s="201">
        <f>+IF(E23*G23*F23=0,"",E23*G23*F23)</f>
        <v>34872780</v>
      </c>
    </row>
    <row r="24" spans="1:8">
      <c r="A24" s="504" t="s">
        <v>810</v>
      </c>
      <c r="B24" s="505"/>
      <c r="C24" s="505"/>
      <c r="D24" s="505"/>
      <c r="E24" s="505"/>
      <c r="F24" s="505"/>
      <c r="G24" s="506"/>
      <c r="H24" s="207">
        <f>IF(SUM(H8:H23)=0,"",SUM(H8:H23))</f>
        <v>36645580</v>
      </c>
    </row>
  </sheetData>
  <protectedRanges>
    <protectedRange sqref="E9:E12 G9:G12" name="Rango1"/>
    <protectedRange sqref="E17:E21 F21 G17:G20 B21 B23 E23:F23 E14:E15 G14:G15" name="Rango1_1"/>
  </protectedRanges>
  <mergeCells count="11">
    <mergeCell ref="A8:H8"/>
    <mergeCell ref="A13:H13"/>
    <mergeCell ref="A16:H16"/>
    <mergeCell ref="A22:H22"/>
    <mergeCell ref="A24:G24"/>
    <mergeCell ref="A1:C1"/>
    <mergeCell ref="A2:C2"/>
    <mergeCell ref="A3:C3"/>
    <mergeCell ref="A5:C5"/>
    <mergeCell ref="D1:H5"/>
    <mergeCell ref="A4:C4"/>
  </mergeCells>
  <dataValidations count="2">
    <dataValidation type="list" allowBlank="1" showInputMessage="1" showErrorMessage="1" sqref="B21" xr:uid="{00000000-0002-0000-0500-000000000000}">
      <formula1>CÓDIGOS_EQUIPOS</formula1>
    </dataValidation>
    <dataValidation type="list" allowBlank="1" showInputMessage="1" showErrorMessage="1" sqref="B23" xr:uid="{00000000-0002-0000-0500-000001000000}">
      <formula1>CÓDIGOS_MANO_DE_OBRA</formula1>
    </dataValidation>
  </dataValidations>
  <pageMargins left="0.7" right="0.7" top="0.75" bottom="0.75" header="0.3" footer="0.3"/>
  <pageSetup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5"/>
  <sheetViews>
    <sheetView view="pageBreakPreview" zoomScale="60" zoomScaleNormal="70" zoomScalePageLayoutView="30" workbookViewId="0">
      <selection activeCell="A4" sqref="A4:I4"/>
    </sheetView>
  </sheetViews>
  <sheetFormatPr baseColWidth="10" defaultColWidth="11.5703125" defaultRowHeight="50.1" customHeight="1"/>
  <cols>
    <col min="1" max="1" width="9.42578125" style="298" customWidth="1"/>
    <col min="2" max="2" width="33.140625" style="298" customWidth="1"/>
    <col min="3" max="3" width="17.42578125" style="298" customWidth="1"/>
    <col min="4" max="4" width="15.5703125" style="298" customWidth="1"/>
    <col min="5" max="5" width="14.85546875" style="298" customWidth="1"/>
    <col min="6" max="6" width="23.140625" style="298" customWidth="1"/>
    <col min="7" max="7" width="26.5703125" style="298" customWidth="1"/>
    <col min="8" max="8" width="18" style="298" customWidth="1"/>
    <col min="9" max="9" width="34.85546875" style="299" customWidth="1"/>
    <col min="10" max="10" width="12.140625" style="299" bestFit="1" customWidth="1"/>
    <col min="11" max="11" width="13.42578125" style="298" bestFit="1" customWidth="1"/>
    <col min="12" max="12" width="15" style="298" bestFit="1" customWidth="1"/>
    <col min="13" max="13" width="16.5703125" style="298" bestFit="1" customWidth="1"/>
    <col min="14" max="14" width="11.5703125" style="298"/>
    <col min="15" max="15" width="12.140625" style="298" bestFit="1" customWidth="1"/>
    <col min="16" max="16384" width="11.5703125" style="298"/>
  </cols>
  <sheetData>
    <row r="1" spans="1:15" s="299" customFormat="1" ht="95.45" customHeight="1">
      <c r="A1" s="540"/>
      <c r="B1" s="541"/>
      <c r="C1" s="541"/>
      <c r="D1" s="541"/>
      <c r="E1" s="541"/>
      <c r="F1" s="541"/>
      <c r="G1" s="541"/>
      <c r="H1" s="541"/>
      <c r="I1" s="542"/>
    </row>
    <row r="2" spans="1:15" s="299" customFormat="1" ht="15">
      <c r="A2" s="543"/>
      <c r="B2" s="544"/>
      <c r="C2" s="544"/>
      <c r="D2" s="544"/>
      <c r="E2" s="544"/>
      <c r="F2" s="544"/>
      <c r="G2" s="544"/>
      <c r="H2" s="544"/>
      <c r="I2" s="545"/>
    </row>
    <row r="3" spans="1:15" s="299" customFormat="1" ht="15">
      <c r="A3" s="543" t="s">
        <v>775</v>
      </c>
      <c r="B3" s="544"/>
      <c r="C3" s="544"/>
      <c r="D3" s="544"/>
      <c r="E3" s="544"/>
      <c r="F3" s="544"/>
      <c r="G3" s="544"/>
      <c r="H3" s="544"/>
      <c r="I3" s="545"/>
    </row>
    <row r="4" spans="1:15" s="299" customFormat="1" ht="40.35" customHeight="1">
      <c r="A4" s="543" t="str">
        <f>'DATOS INICIALES'!B7</f>
        <v xml:space="preserve">AMPLIACIÓN DEL SISTEMA DE ALCANTARILLADO EN SECTOR DEL BARRIO PABLO VI  DEL MUNICIPIO DE DABEIBA ANTIOQUIA </v>
      </c>
      <c r="B4" s="544"/>
      <c r="C4" s="544"/>
      <c r="D4" s="544"/>
      <c r="E4" s="544"/>
      <c r="F4" s="544"/>
      <c r="G4" s="544"/>
      <c r="H4" s="544"/>
      <c r="I4" s="545"/>
    </row>
    <row r="5" spans="1:15" s="299" customFormat="1" ht="15">
      <c r="A5" s="543" t="s">
        <v>774</v>
      </c>
      <c r="B5" s="544"/>
      <c r="C5" s="544"/>
      <c r="D5" s="544"/>
      <c r="E5" s="544"/>
      <c r="F5" s="544"/>
      <c r="G5" s="544"/>
      <c r="H5" s="544"/>
      <c r="I5" s="545"/>
    </row>
    <row r="6" spans="1:15" s="299" customFormat="1" ht="15">
      <c r="A6" s="321" t="s">
        <v>773</v>
      </c>
      <c r="B6" s="320" t="s">
        <v>791</v>
      </c>
      <c r="C6" s="546"/>
      <c r="D6" s="546"/>
      <c r="E6" s="546"/>
      <c r="F6" s="546"/>
      <c r="G6" s="546"/>
      <c r="H6" s="546"/>
      <c r="I6" s="547"/>
    </row>
    <row r="7" spans="1:15" s="299" customFormat="1" ht="16.350000000000001" customHeight="1">
      <c r="A7" s="548" t="s">
        <v>772</v>
      </c>
      <c r="B7" s="549"/>
      <c r="C7" s="549"/>
      <c r="D7" s="549"/>
      <c r="E7" s="549"/>
      <c r="F7" s="549"/>
      <c r="G7" s="549"/>
      <c r="H7" s="549"/>
      <c r="I7" s="550"/>
    </row>
    <row r="8" spans="1:15" s="299" customFormat="1" ht="46.35" customHeight="1">
      <c r="A8" s="319" t="s">
        <v>45</v>
      </c>
      <c r="B8" s="318" t="s">
        <v>726</v>
      </c>
      <c r="C8" s="317" t="s">
        <v>771</v>
      </c>
      <c r="D8" s="318" t="s">
        <v>748</v>
      </c>
      <c r="E8" s="317" t="s">
        <v>770</v>
      </c>
      <c r="F8" s="317" t="s">
        <v>88</v>
      </c>
      <c r="G8" s="317" t="s">
        <v>50</v>
      </c>
      <c r="H8" s="317" t="s">
        <v>769</v>
      </c>
      <c r="I8" s="316" t="s">
        <v>768</v>
      </c>
      <c r="J8" s="322" t="s">
        <v>776</v>
      </c>
      <c r="K8" s="322" t="s">
        <v>188</v>
      </c>
      <c r="L8" s="322" t="s">
        <v>777</v>
      </c>
      <c r="M8" s="322" t="s">
        <v>778</v>
      </c>
      <c r="N8" s="322" t="s">
        <v>779</v>
      </c>
      <c r="O8" s="322" t="s">
        <v>731</v>
      </c>
    </row>
    <row r="9" spans="1:15" s="299" customFormat="1" ht="75">
      <c r="A9" s="312">
        <v>1</v>
      </c>
      <c r="B9" s="311" t="s">
        <v>767</v>
      </c>
      <c r="C9" s="311" t="s">
        <v>683</v>
      </c>
      <c r="D9" s="311">
        <v>4</v>
      </c>
      <c r="E9" s="311">
        <f>27*0.006*30</f>
        <v>4.8600000000000003</v>
      </c>
      <c r="F9" s="315">
        <v>9000</v>
      </c>
      <c r="G9" s="309">
        <f>D9*E9*F9</f>
        <v>174960</v>
      </c>
      <c r="H9" s="308" t="s">
        <v>766</v>
      </c>
      <c r="I9" s="307" t="s">
        <v>765</v>
      </c>
    </row>
    <row r="10" spans="1:15" s="299" customFormat="1" ht="150">
      <c r="A10" s="312">
        <v>2</v>
      </c>
      <c r="B10" s="311" t="s">
        <v>685</v>
      </c>
      <c r="C10" s="311" t="s">
        <v>683</v>
      </c>
      <c r="D10" s="311">
        <v>4</v>
      </c>
      <c r="E10" s="311">
        <f>0.003*27*30</f>
        <v>2.4300000000000002</v>
      </c>
      <c r="F10" s="315">
        <v>11085</v>
      </c>
      <c r="G10" s="309">
        <f>ROUND(D10*E10*F10,0)</f>
        <v>107746</v>
      </c>
      <c r="H10" s="308" t="s">
        <v>764</v>
      </c>
      <c r="I10" s="307" t="s">
        <v>763</v>
      </c>
    </row>
    <row r="11" spans="1:15" s="299" customFormat="1" ht="45">
      <c r="A11" s="313">
        <v>3</v>
      </c>
      <c r="B11" s="311" t="s">
        <v>687</v>
      </c>
      <c r="C11" s="311" t="s">
        <v>683</v>
      </c>
      <c r="D11" s="311">
        <v>4</v>
      </c>
      <c r="E11" s="311">
        <f>0.005*27*30</f>
        <v>4.0500000000000007</v>
      </c>
      <c r="F11" s="310">
        <v>3995</v>
      </c>
      <c r="G11" s="309">
        <f>D11*E11*F11</f>
        <v>64719.000000000015</v>
      </c>
      <c r="H11" s="308" t="s">
        <v>762</v>
      </c>
      <c r="I11" s="307" t="s">
        <v>761</v>
      </c>
    </row>
    <row r="12" spans="1:15" s="299" customFormat="1" ht="90">
      <c r="A12" s="312">
        <v>4</v>
      </c>
      <c r="B12" s="311" t="s">
        <v>689</v>
      </c>
      <c r="C12" s="311" t="s">
        <v>683</v>
      </c>
      <c r="D12" s="311">
        <v>4</v>
      </c>
      <c r="E12" s="311">
        <f>27*0.05*1*0.15*30</f>
        <v>6.0750000000000002</v>
      </c>
      <c r="F12" s="310">
        <v>2774</v>
      </c>
      <c r="G12" s="309">
        <f>ROUND(D12*E12*F12,0)</f>
        <v>67408</v>
      </c>
      <c r="H12" s="308" t="s">
        <v>760</v>
      </c>
      <c r="I12" s="307" t="s">
        <v>759</v>
      </c>
    </row>
    <row r="13" spans="1:15" s="299" customFormat="1" ht="105">
      <c r="A13" s="313">
        <v>5</v>
      </c>
      <c r="B13" s="308" t="s">
        <v>691</v>
      </c>
      <c r="C13" s="308" t="s">
        <v>388</v>
      </c>
      <c r="D13" s="311">
        <v>4</v>
      </c>
      <c r="E13" s="308">
        <f>4*27</f>
        <v>108</v>
      </c>
      <c r="F13" s="314">
        <v>1000</v>
      </c>
      <c r="G13" s="309">
        <f>D13*E13*F13</f>
        <v>432000</v>
      </c>
      <c r="H13" s="308" t="s">
        <v>758</v>
      </c>
      <c r="I13" s="307" t="s">
        <v>757</v>
      </c>
    </row>
    <row r="14" spans="1:15" s="299" customFormat="1" ht="105">
      <c r="A14" s="312">
        <v>6</v>
      </c>
      <c r="B14" s="311" t="s">
        <v>693</v>
      </c>
      <c r="C14" s="311" t="s">
        <v>387</v>
      </c>
      <c r="D14" s="311">
        <v>4</v>
      </c>
      <c r="E14" s="311">
        <f>8*27</f>
        <v>216</v>
      </c>
      <c r="F14" s="310">
        <v>598</v>
      </c>
      <c r="G14" s="309">
        <f>D14*E14*F14</f>
        <v>516672</v>
      </c>
      <c r="H14" s="308" t="s">
        <v>756</v>
      </c>
      <c r="I14" s="307" t="s">
        <v>755</v>
      </c>
    </row>
    <row r="15" spans="1:15" s="299" customFormat="1" ht="75">
      <c r="A15" s="313">
        <v>7</v>
      </c>
      <c r="B15" s="311" t="s">
        <v>695</v>
      </c>
      <c r="C15" s="311" t="s">
        <v>388</v>
      </c>
      <c r="D15" s="311">
        <v>4</v>
      </c>
      <c r="E15" s="311">
        <v>1</v>
      </c>
      <c r="F15" s="310">
        <v>299900</v>
      </c>
      <c r="G15" s="309">
        <f>D15*E15*F15</f>
        <v>1199600</v>
      </c>
      <c r="H15" s="308" t="s">
        <v>753</v>
      </c>
      <c r="I15" s="307" t="s">
        <v>754</v>
      </c>
    </row>
    <row r="16" spans="1:15" ht="120">
      <c r="A16" s="312">
        <v>8</v>
      </c>
      <c r="B16" s="311" t="s">
        <v>697</v>
      </c>
      <c r="C16" s="311" t="s">
        <v>388</v>
      </c>
      <c r="D16" s="311">
        <v>4</v>
      </c>
      <c r="E16" s="311">
        <v>1</v>
      </c>
      <c r="F16" s="310">
        <v>124900</v>
      </c>
      <c r="G16" s="309">
        <f>D16*E16*F16</f>
        <v>499600</v>
      </c>
      <c r="H16" s="308" t="s">
        <v>753</v>
      </c>
      <c r="I16" s="307" t="s">
        <v>752</v>
      </c>
    </row>
    <row r="17" spans="1:10" ht="16.350000000000001" customHeight="1">
      <c r="A17" s="551" t="s">
        <v>751</v>
      </c>
      <c r="B17" s="552"/>
      <c r="C17" s="552"/>
      <c r="D17" s="552"/>
      <c r="E17" s="552"/>
      <c r="F17" s="552"/>
      <c r="G17" s="306">
        <f>SUM(G9:G16)</f>
        <v>3062705</v>
      </c>
      <c r="H17" s="553"/>
      <c r="I17" s="554"/>
    </row>
    <row r="18" spans="1:10" ht="16.350000000000001" customHeight="1">
      <c r="A18" s="551" t="s">
        <v>750</v>
      </c>
      <c r="B18" s="552"/>
      <c r="C18" s="552"/>
      <c r="D18" s="552"/>
      <c r="E18" s="552"/>
      <c r="F18" s="552"/>
      <c r="G18" s="306">
        <f ca="1">PRESUPUESTO!H15</f>
        <v>15219085</v>
      </c>
      <c r="H18" s="553"/>
      <c r="I18" s="554"/>
    </row>
    <row r="19" spans="1:10" ht="16.350000000000001" customHeight="1" thickBot="1">
      <c r="A19" s="557" t="s">
        <v>749</v>
      </c>
      <c r="B19" s="558"/>
      <c r="C19" s="558"/>
      <c r="D19" s="558"/>
      <c r="E19" s="558"/>
      <c r="F19" s="558"/>
      <c r="G19" s="305">
        <f ca="1">ROUND(G17/G18,4)</f>
        <v>0.20119999999999999</v>
      </c>
      <c r="H19" s="555"/>
      <c r="I19" s="556"/>
    </row>
    <row r="20" spans="1:10" ht="16.350000000000001" customHeight="1">
      <c r="A20" s="304"/>
      <c r="B20" s="304"/>
      <c r="C20" s="304"/>
      <c r="D20" s="304"/>
      <c r="E20" s="304"/>
      <c r="F20" s="303"/>
      <c r="G20" s="302"/>
      <c r="H20" s="301"/>
      <c r="I20" s="301"/>
    </row>
    <row r="21" spans="1:10" ht="16.350000000000001" customHeight="1">
      <c r="A21" s="559" t="s">
        <v>792</v>
      </c>
      <c r="B21" s="559"/>
      <c r="C21" s="559"/>
      <c r="D21" s="559"/>
      <c r="E21" s="559"/>
      <c r="F21" s="559"/>
      <c r="G21" s="559"/>
      <c r="H21" s="559"/>
      <c r="I21" s="559"/>
    </row>
    <row r="22" spans="1:10" ht="46.35" customHeight="1">
      <c r="A22" s="559"/>
      <c r="B22" s="559"/>
      <c r="C22" s="559"/>
      <c r="D22" s="559"/>
      <c r="E22" s="559"/>
      <c r="F22" s="559"/>
      <c r="G22" s="559"/>
      <c r="H22" s="559"/>
      <c r="I22" s="559"/>
      <c r="J22" s="300"/>
    </row>
    <row r="23" spans="1:10" ht="129.6" customHeight="1">
      <c r="A23" s="539"/>
      <c r="B23" s="539"/>
      <c r="C23" s="539"/>
      <c r="D23" s="539"/>
      <c r="E23" s="539"/>
      <c r="F23" s="539"/>
      <c r="G23" s="539"/>
      <c r="H23" s="539"/>
      <c r="I23" s="539"/>
    </row>
    <row r="24" spans="1:10" ht="15">
      <c r="A24" s="538"/>
      <c r="B24" s="538"/>
    </row>
    <row r="25" spans="1:10" ht="15">
      <c r="A25" s="538" t="s">
        <v>781</v>
      </c>
      <c r="B25" s="538"/>
      <c r="C25" s="538"/>
    </row>
  </sheetData>
  <mergeCells count="15">
    <mergeCell ref="A24:B24"/>
    <mergeCell ref="A25:C25"/>
    <mergeCell ref="A23:I23"/>
    <mergeCell ref="A1:I1"/>
    <mergeCell ref="A2:I2"/>
    <mergeCell ref="A3:I3"/>
    <mergeCell ref="A4:I4"/>
    <mergeCell ref="A5:I5"/>
    <mergeCell ref="C6:I6"/>
    <mergeCell ref="A7:I7"/>
    <mergeCell ref="A17:F17"/>
    <mergeCell ref="H17:I19"/>
    <mergeCell ref="A18:F18"/>
    <mergeCell ref="A19:F19"/>
    <mergeCell ref="A21:I22"/>
  </mergeCells>
  <dataValidations count="1">
    <dataValidation allowBlank="1" showErrorMessage="1" sqref="A24:A25" xr:uid="{00000000-0002-0000-0600-000000000000}"/>
  </dataValidations>
  <printOptions horizontalCentered="1"/>
  <pageMargins left="1.1811023622047245" right="0.23622047244094491" top="0.47244094488188981" bottom="0.98425196850393704" header="0.31496062992125984" footer="0.31496062992125984"/>
  <pageSetup scale="45"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51"/>
  <sheetViews>
    <sheetView view="pageBreakPreview" topLeftCell="A34" zoomScale="80" zoomScaleNormal="100" zoomScaleSheetLayoutView="80" workbookViewId="0">
      <selection activeCell="C50" sqref="C50:D50"/>
    </sheetView>
  </sheetViews>
  <sheetFormatPr baseColWidth="10" defaultColWidth="11.5703125" defaultRowHeight="12.75"/>
  <cols>
    <col min="1" max="1" width="7" style="213" customWidth="1"/>
    <col min="2" max="2" width="11.5703125" style="213"/>
    <col min="3" max="3" width="44.42578125" style="213" customWidth="1"/>
    <col min="4" max="4" width="11.5703125" style="213"/>
    <col min="5" max="5" width="14.85546875" style="213" customWidth="1"/>
    <col min="6" max="6" width="11.5703125" style="213"/>
    <col min="7" max="7" width="10.42578125" style="213" customWidth="1"/>
    <col min="8" max="8" width="11.5703125" style="213"/>
    <col min="9" max="9" width="17.42578125" style="213" customWidth="1"/>
    <col min="10" max="16384" width="11.5703125" style="213"/>
  </cols>
  <sheetData>
    <row r="1" spans="1:9" ht="26.25">
      <c r="A1" s="570" t="s">
        <v>0</v>
      </c>
      <c r="B1" s="570"/>
      <c r="C1" s="570"/>
      <c r="D1" s="570"/>
      <c r="E1" s="570"/>
      <c r="F1" s="570"/>
      <c r="G1" s="571" t="s">
        <v>52</v>
      </c>
      <c r="H1" s="571"/>
      <c r="I1" s="572"/>
    </row>
    <row r="2" spans="1:9" ht="21">
      <c r="A2" s="577" t="str">
        <f>'DATOS INICIALES'!B2</f>
        <v>MUNICIPIO DE DABEIBA</v>
      </c>
      <c r="B2" s="577"/>
      <c r="C2" s="577"/>
      <c r="D2" s="577"/>
      <c r="E2" s="577"/>
      <c r="F2" s="577"/>
      <c r="G2" s="573"/>
      <c r="H2" s="573"/>
      <c r="I2" s="574"/>
    </row>
    <row r="3" spans="1:9" ht="51.6" customHeight="1">
      <c r="A3" s="578" t="str">
        <f>'DATOS INICIALES'!B3</f>
        <v xml:space="preserve">AMPLIACIÓN DEL SISTEMA DE ALCANTARILLADO EN SECTOR DEL BARRIO PABLO VI  DEL MUNICIPIO DE DABEIBA ANTIOQUIA </v>
      </c>
      <c r="B3" s="578"/>
      <c r="C3" s="578"/>
      <c r="D3" s="578"/>
      <c r="E3" s="578"/>
      <c r="F3" s="578"/>
      <c r="G3" s="573"/>
      <c r="H3" s="573"/>
      <c r="I3" s="574"/>
    </row>
    <row r="4" spans="1:9" ht="6.6" customHeight="1">
      <c r="A4" s="17"/>
      <c r="B4" s="4"/>
      <c r="C4" s="4"/>
      <c r="D4" s="4"/>
      <c r="E4" s="4"/>
      <c r="F4" s="4"/>
      <c r="G4" s="573"/>
      <c r="H4" s="573"/>
      <c r="I4" s="574"/>
    </row>
    <row r="5" spans="1:9">
      <c r="A5" s="489" t="s">
        <v>610</v>
      </c>
      <c r="B5" s="489"/>
      <c r="C5" s="489"/>
      <c r="D5" s="489"/>
      <c r="E5" s="489"/>
      <c r="F5" s="489"/>
      <c r="G5" s="575"/>
      <c r="H5" s="575"/>
      <c r="I5" s="576"/>
    </row>
    <row r="6" spans="1:9" ht="6.6" customHeight="1"/>
    <row r="7" spans="1:9">
      <c r="A7" s="214" t="s">
        <v>45</v>
      </c>
      <c r="B7" s="214" t="s">
        <v>57</v>
      </c>
      <c r="C7" s="214" t="s">
        <v>46</v>
      </c>
      <c r="D7" s="214" t="s">
        <v>472</v>
      </c>
      <c r="E7" s="214" t="s">
        <v>473</v>
      </c>
      <c r="F7" s="214" t="s">
        <v>474</v>
      </c>
      <c r="G7" s="214" t="s">
        <v>475</v>
      </c>
      <c r="H7" s="214" t="s">
        <v>476</v>
      </c>
      <c r="I7" s="215" t="s">
        <v>477</v>
      </c>
    </row>
    <row r="8" spans="1:9">
      <c r="A8" s="216" t="s">
        <v>611</v>
      </c>
      <c r="B8" s="579" t="s">
        <v>612</v>
      </c>
      <c r="C8" s="579"/>
      <c r="D8" s="579"/>
      <c r="E8" s="579"/>
      <c r="F8" s="579"/>
      <c r="G8" s="579"/>
      <c r="H8" s="579"/>
      <c r="I8" s="275"/>
    </row>
    <row r="9" spans="1:9">
      <c r="A9" s="217">
        <v>1</v>
      </c>
      <c r="B9" s="568" t="s">
        <v>658</v>
      </c>
      <c r="C9" s="568"/>
      <c r="D9" s="568"/>
      <c r="E9" s="568"/>
      <c r="F9" s="568"/>
      <c r="G9" s="568"/>
      <c r="H9" s="568"/>
      <c r="I9" s="156">
        <f>IFERROR(IF(SUM(I10:I12)=0,"",SUM(I10:I12)),"")</f>
        <v>53808311.399999999</v>
      </c>
    </row>
    <row r="10" spans="1:9">
      <c r="A10" s="127" t="s">
        <v>51</v>
      </c>
      <c r="B10" s="127" t="str">
        <f>IF(C10="","",INDEX(CODIGOSMANODEOBRA,MATCH($C10,'INSUMOS MANO DE OBRA'!$B$7:$B$61,0)))</f>
        <v>MO002</v>
      </c>
      <c r="C10" s="161" t="s">
        <v>330</v>
      </c>
      <c r="D10" s="167">
        <v>1</v>
      </c>
      <c r="E10" s="130">
        <f>IF(C10="","",IFERROR(VLOOKUP($B10,INSUMOSMANODEOBRA,4,0),""))</f>
        <v>7117500</v>
      </c>
      <c r="F10" s="296">
        <v>1</v>
      </c>
      <c r="G10" s="166">
        <v>0.3</v>
      </c>
      <c r="H10" s="167">
        <v>6</v>
      </c>
      <c r="I10" s="130">
        <f>+IF(D10=0,"",IFERROR(D10*(E10+F10)*G10*H10,""))</f>
        <v>12811501.799999999</v>
      </c>
    </row>
    <row r="11" spans="1:9">
      <c r="A11" s="127" t="s">
        <v>480</v>
      </c>
      <c r="B11" s="127" t="str">
        <f>IF(C11="","",INDEX(CODIGOSMANODEOBRA,MATCH($C11,'INSUMOS MANO DE OBRA'!$B$7:$B$61,0)))</f>
        <v>MO004</v>
      </c>
      <c r="C11" s="161" t="s">
        <v>332</v>
      </c>
      <c r="D11" s="167">
        <v>1</v>
      </c>
      <c r="E11" s="130">
        <f>IF(C11="","",IFERROR(VLOOKUP($B11,INSUMOSMANODEOBRA,4,0),""))</f>
        <v>4270500</v>
      </c>
      <c r="F11" s="296">
        <v>1</v>
      </c>
      <c r="G11" s="166">
        <v>1</v>
      </c>
      <c r="H11" s="167">
        <v>6</v>
      </c>
      <c r="I11" s="130">
        <f>+IF(D11=0,"",IFERROR(D11*(E11+F11)*G11*H11,""))</f>
        <v>25623006</v>
      </c>
    </row>
    <row r="12" spans="1:9">
      <c r="A12" s="127" t="s">
        <v>732</v>
      </c>
      <c r="B12" s="127" t="str">
        <f>IF(C12="","",INDEX(CODIGOSMANODEOBRA,MATCH($C12,'INSUMOS MANO DE OBRA'!$B$7:$B$61,0)))</f>
        <v>MO006</v>
      </c>
      <c r="C12" s="161" t="s">
        <v>334</v>
      </c>
      <c r="D12" s="167">
        <v>1</v>
      </c>
      <c r="E12" s="130">
        <f>IF(C12="","",IFERROR(VLOOKUP($B12,INSUMOSMANODEOBRA,4,0),""))</f>
        <v>4270500</v>
      </c>
      <c r="F12" s="296">
        <v>1</v>
      </c>
      <c r="G12" s="166">
        <v>0.6</v>
      </c>
      <c r="H12" s="167">
        <v>6</v>
      </c>
      <c r="I12" s="130">
        <f>+IF(D12=0,"",IFERROR(D12*(E12+F12)*G12*H12,""))</f>
        <v>15373803.600000001</v>
      </c>
    </row>
    <row r="13" spans="1:9">
      <c r="A13" s="217">
        <v>2</v>
      </c>
      <c r="B13" s="568">
        <v>6</v>
      </c>
      <c r="C13" s="568"/>
      <c r="D13" s="568"/>
      <c r="E13" s="568"/>
      <c r="F13" s="568"/>
      <c r="G13" s="568"/>
      <c r="H13" s="568"/>
      <c r="I13" s="156">
        <f>IFERROR(IF(SUM(I14:I14)=0,"",SUM(I14:I14)),"")</f>
        <v>4270503</v>
      </c>
    </row>
    <row r="14" spans="1:9">
      <c r="A14" s="127" t="s">
        <v>482</v>
      </c>
      <c r="B14" s="127" t="str">
        <f>IF(C14="","",INDEX(CODIGOSMANODEOBRA,MATCH($C14,'INSUMOS MANO DE OBRA'!$B$7:$B$61,0)))</f>
        <v>MO013</v>
      </c>
      <c r="C14" s="161" t="s">
        <v>341</v>
      </c>
      <c r="D14" s="167">
        <v>1</v>
      </c>
      <c r="E14" s="130">
        <f>IF(C14="","",IFERROR(VLOOKUP($B14,INSUMOSMANODEOBRA,4,0),""))</f>
        <v>1423500</v>
      </c>
      <c r="F14" s="296">
        <v>1</v>
      </c>
      <c r="G14" s="166">
        <v>0.5</v>
      </c>
      <c r="H14" s="167">
        <v>6</v>
      </c>
      <c r="I14" s="130">
        <f>+IF(D14=0,"",IFERROR(D14*(E14+F14)*G14*H14,""))</f>
        <v>4270503</v>
      </c>
    </row>
    <row r="15" spans="1:9">
      <c r="A15" s="217">
        <v>3</v>
      </c>
      <c r="B15" s="568" t="s">
        <v>659</v>
      </c>
      <c r="C15" s="568"/>
      <c r="D15" s="568"/>
      <c r="E15" s="568"/>
      <c r="F15" s="568"/>
      <c r="G15" s="568"/>
      <c r="H15" s="568"/>
      <c r="I15" s="218"/>
    </row>
    <row r="16" spans="1:9">
      <c r="A16" s="127" t="s">
        <v>485</v>
      </c>
      <c r="B16" s="243"/>
      <c r="C16" s="160" t="s">
        <v>660</v>
      </c>
      <c r="D16" s="240"/>
      <c r="E16" s="240"/>
      <c r="F16" s="240"/>
      <c r="G16" s="241"/>
      <c r="H16" s="241"/>
      <c r="I16" s="242">
        <f>IF(SUM(I9,I13)=0,"",SUM(I9,I13))</f>
        <v>58078814.399999999</v>
      </c>
    </row>
    <row r="17" spans="1:9">
      <c r="A17" s="127" t="s">
        <v>553</v>
      </c>
      <c r="B17" s="243"/>
      <c r="C17" s="160" t="s">
        <v>661</v>
      </c>
      <c r="D17" s="240"/>
      <c r="E17" s="240"/>
      <c r="F17" s="240"/>
      <c r="G17" s="241"/>
      <c r="H17" s="241"/>
      <c r="I17" s="291">
        <f ca="1">'FM INTERVENTORIA'!H39</f>
        <v>2.02</v>
      </c>
    </row>
    <row r="18" spans="1:9">
      <c r="A18" s="127" t="s">
        <v>595</v>
      </c>
      <c r="B18" s="243"/>
      <c r="C18" s="160" t="s">
        <v>663</v>
      </c>
      <c r="D18" s="240"/>
      <c r="E18" s="240"/>
      <c r="F18" s="240"/>
      <c r="G18" s="241"/>
      <c r="H18" s="241"/>
      <c r="I18" s="242">
        <f ca="1">+IFERROR(I16*I17,"")</f>
        <v>117319205.088</v>
      </c>
    </row>
    <row r="19" spans="1:9" ht="30" customHeight="1">
      <c r="A19" s="228">
        <v>4</v>
      </c>
      <c r="B19" s="569" t="s">
        <v>638</v>
      </c>
      <c r="C19" s="569"/>
      <c r="D19" s="569"/>
      <c r="E19" s="569"/>
      <c r="F19" s="569"/>
      <c r="G19" s="569"/>
      <c r="H19" s="569"/>
      <c r="I19" s="218"/>
    </row>
    <row r="20" spans="1:9">
      <c r="A20" s="127"/>
      <c r="B20" s="243"/>
      <c r="C20" s="160" t="s">
        <v>660</v>
      </c>
      <c r="D20" s="240"/>
      <c r="E20" s="240"/>
      <c r="F20" s="240"/>
      <c r="G20" s="241"/>
      <c r="H20" s="241"/>
      <c r="I20" s="242">
        <f>IF(SUM(I9,I13)=0,"",SUM(I9,I13))</f>
        <v>58078814.399999999</v>
      </c>
    </row>
    <row r="21" spans="1:9">
      <c r="A21" s="127" t="s">
        <v>491</v>
      </c>
      <c r="B21" s="243"/>
      <c r="C21" s="160" t="s">
        <v>620</v>
      </c>
      <c r="D21" s="240"/>
      <c r="E21" s="240"/>
      <c r="F21" s="240"/>
      <c r="G21" s="241"/>
      <c r="H21" s="244">
        <v>8.5000000000000006E-2</v>
      </c>
      <c r="I21" s="245">
        <f>$I$20*H21</f>
        <v>4936699.2240000004</v>
      </c>
    </row>
    <row r="22" spans="1:9">
      <c r="A22" s="127" t="s">
        <v>492</v>
      </c>
      <c r="B22" s="243"/>
      <c r="C22" s="160" t="s">
        <v>623</v>
      </c>
      <c r="D22" s="240"/>
      <c r="E22" s="240"/>
      <c r="F22" s="240"/>
      <c r="G22" s="241"/>
      <c r="H22" s="244">
        <v>0.03</v>
      </c>
      <c r="I22" s="245">
        <f>$I$20*H22</f>
        <v>1742364.4319999998</v>
      </c>
    </row>
    <row r="23" spans="1:9">
      <c r="A23" s="127" t="s">
        <v>596</v>
      </c>
      <c r="B23" s="243"/>
      <c r="C23" s="160" t="s">
        <v>622</v>
      </c>
      <c r="D23" s="240"/>
      <c r="E23" s="240"/>
      <c r="F23" s="240"/>
      <c r="G23" s="241"/>
      <c r="H23" s="244">
        <v>0.02</v>
      </c>
      <c r="I23" s="245">
        <f>$I$20*H23</f>
        <v>1161576.2879999999</v>
      </c>
    </row>
    <row r="24" spans="1:9">
      <c r="A24" s="127"/>
      <c r="B24" s="243"/>
      <c r="C24" s="160" t="s">
        <v>662</v>
      </c>
      <c r="D24" s="240"/>
      <c r="E24" s="240"/>
      <c r="F24" s="240"/>
      <c r="G24" s="241"/>
      <c r="H24" s="241"/>
      <c r="I24" s="242">
        <f>I21+I22+I23</f>
        <v>7840639.9440000001</v>
      </c>
    </row>
    <row r="25" spans="1:9">
      <c r="A25" s="246"/>
      <c r="B25" s="566" t="s">
        <v>664</v>
      </c>
      <c r="C25" s="567"/>
      <c r="D25" s="567"/>
      <c r="E25" s="567"/>
      <c r="F25" s="567"/>
      <c r="G25" s="567"/>
      <c r="H25" s="565"/>
      <c r="I25" s="247">
        <f ca="1">I24+I18</f>
        <v>125159845.03200001</v>
      </c>
    </row>
    <row r="26" spans="1:9">
      <c r="A26" s="23" t="s">
        <v>665</v>
      </c>
      <c r="B26" s="560" t="s">
        <v>666</v>
      </c>
      <c r="C26" s="561"/>
      <c r="D26" s="561"/>
      <c r="E26" s="561"/>
      <c r="F26" s="561"/>
      <c r="G26" s="561"/>
      <c r="H26" s="562"/>
      <c r="I26" s="156"/>
    </row>
    <row r="27" spans="1:9" ht="27" customHeight="1">
      <c r="A27" s="23">
        <v>5</v>
      </c>
      <c r="B27" s="563" t="s">
        <v>667</v>
      </c>
      <c r="C27" s="564"/>
      <c r="D27" s="564"/>
      <c r="E27" s="564"/>
      <c r="F27" s="564"/>
      <c r="G27" s="564"/>
      <c r="H27" s="565"/>
      <c r="I27" s="156" t="e">
        <f ca="1">IF(SUM(I28:I40)=0,"",SUM(I28:I40))</f>
        <v>#REF!</v>
      </c>
    </row>
    <row r="28" spans="1:9" ht="18.600000000000001" customHeight="1">
      <c r="A28" s="127" t="s">
        <v>494</v>
      </c>
      <c r="B28" s="127" t="str">
        <f>IF(C28="","",INDEX(CODIGOEQUIPOS,MATCH($C28,'INSUMOS EQUIPOS'!$B$7:$B$40,0)))</f>
        <v>EQ009</v>
      </c>
      <c r="C28" s="161" t="s">
        <v>106</v>
      </c>
      <c r="D28" s="167">
        <v>1</v>
      </c>
      <c r="E28" s="130">
        <f>IF(C28="","",IFERROR(VLOOKUP($B28,INSUMOSEQUIPOS,4,0),""))</f>
        <v>40000</v>
      </c>
      <c r="F28" s="240"/>
      <c r="G28" s="241"/>
      <c r="H28" s="167">
        <v>6</v>
      </c>
      <c r="I28" s="245">
        <f t="shared" ref="I28:I35" si="0">+IFERROR(D28*E28*H28,"")</f>
        <v>240000</v>
      </c>
    </row>
    <row r="29" spans="1:9">
      <c r="A29" s="127" t="s">
        <v>495</v>
      </c>
      <c r="B29" s="127" t="str">
        <f>IF(C29="","",INDEX(CODIGOEQUIPOS,MATCH($C29,'INSUMOS EQUIPOS'!$B$7:$B$40,0)))</f>
        <v>EQ007</v>
      </c>
      <c r="C29" s="161" t="s">
        <v>102</v>
      </c>
      <c r="D29" s="167">
        <v>2</v>
      </c>
      <c r="E29" s="130">
        <f>IF(C29="","",IFERROR(VLOOKUP($B29,INSUMOSEQUIPOS,4,0),""))</f>
        <v>50000</v>
      </c>
      <c r="F29" s="240"/>
      <c r="G29" s="241"/>
      <c r="H29" s="167">
        <v>6</v>
      </c>
      <c r="I29" s="245">
        <f t="shared" si="0"/>
        <v>600000</v>
      </c>
    </row>
    <row r="30" spans="1:9">
      <c r="A30" s="248" t="s">
        <v>496</v>
      </c>
      <c r="B30" s="127" t="str">
        <f>IF(C30="","",INDEX(CODIGOEQUIPOS,MATCH($C30,'INSUMOS EQUIPOS'!$B$7:$B$40,0)))</f>
        <v>EQ008</v>
      </c>
      <c r="C30" s="161" t="s">
        <v>104</v>
      </c>
      <c r="D30" s="167">
        <v>1</v>
      </c>
      <c r="E30" s="130">
        <f>IF(C30="","",IFERROR(VLOOKUP($B30,INSUMOSEQUIPOS,4,0),""))</f>
        <v>40000</v>
      </c>
      <c r="F30" s="240"/>
      <c r="G30" s="241"/>
      <c r="H30" s="167">
        <v>6</v>
      </c>
      <c r="I30" s="245">
        <f t="shared" si="0"/>
        <v>240000</v>
      </c>
    </row>
    <row r="31" spans="1:9">
      <c r="A31" s="127" t="s">
        <v>668</v>
      </c>
      <c r="B31" s="127" t="str">
        <f>IF(C31="","",INDEX(CODIGOSSERVICIOS,MATCH($C31,'INSUMOS SERVICIOS'!$B$7:$B$21,0)))</f>
        <v>SE002</v>
      </c>
      <c r="C31" s="161" t="s">
        <v>436</v>
      </c>
      <c r="D31" s="167">
        <v>2</v>
      </c>
      <c r="E31" s="130">
        <f>IF(C31="","",IFERROR(VLOOKUP($B31,INSUMOSSERVICIOS,4,0),""))</f>
        <v>447639.43886027398</v>
      </c>
      <c r="F31" s="240"/>
      <c r="G31" s="241"/>
      <c r="H31" s="167">
        <v>6</v>
      </c>
      <c r="I31" s="245">
        <f t="shared" si="0"/>
        <v>5371673.266323288</v>
      </c>
    </row>
    <row r="32" spans="1:9" ht="36">
      <c r="A32" s="248" t="s">
        <v>669</v>
      </c>
      <c r="B32" s="127" t="str">
        <f>IF(C32="","",INDEX(CODIGOSSERVICIOS,MATCH($C32,'INSUMOS SERVICIOS'!$B$7:$B$21,0)))</f>
        <v>SEL006</v>
      </c>
      <c r="C32" s="174" t="s">
        <v>444</v>
      </c>
      <c r="D32" s="167">
        <v>1</v>
      </c>
      <c r="E32" s="130">
        <f>IF(C32="","",IFERROR(VLOOKUP($B32,INSUMOSSERVICIOS,4,0),""))</f>
        <v>737000</v>
      </c>
      <c r="F32" s="240"/>
      <c r="G32" s="241"/>
      <c r="H32" s="167">
        <v>6</v>
      </c>
      <c r="I32" s="245">
        <f t="shared" si="0"/>
        <v>4422000</v>
      </c>
    </row>
    <row r="33" spans="1:9" ht="24">
      <c r="A33" s="127" t="s">
        <v>670</v>
      </c>
      <c r="B33" s="127" t="str">
        <f>IF(C33="","",INDEX(CODIGOSSERVICIOS,MATCH($C33,'INSUMOS SERVICIOS'!$B$7:$B$21,0)))</f>
        <v>SEL007</v>
      </c>
      <c r="C33" s="174" t="s">
        <v>453</v>
      </c>
      <c r="D33" s="167">
        <v>3</v>
      </c>
      <c r="E33" s="130">
        <f>IF(C33="","",IFERROR(VLOOKUP($B33,INSUMOSSERVICIOS,4,0),""))</f>
        <v>15000</v>
      </c>
      <c r="F33" s="240"/>
      <c r="G33" s="241"/>
      <c r="H33" s="167">
        <v>6</v>
      </c>
      <c r="I33" s="245">
        <f t="shared" si="0"/>
        <v>270000</v>
      </c>
    </row>
    <row r="34" spans="1:9" ht="48">
      <c r="A34" s="127" t="s">
        <v>671</v>
      </c>
      <c r="B34" s="127" t="str">
        <f>IF(C34="","",INDEX(CODIGOSSERVICIOS,MATCH($C34,'INSUMOS SERVICIOS'!$B$7:$B$21,0)))</f>
        <v>SEL004</v>
      </c>
      <c r="C34" s="174" t="s">
        <v>451</v>
      </c>
      <c r="D34" s="167">
        <v>1</v>
      </c>
      <c r="E34" s="130">
        <f>IF(C34="","",IFERROR(VLOOKUP($B34,INSUMOSSERVICIOS,4,0),""))</f>
        <v>147000</v>
      </c>
      <c r="F34" s="240"/>
      <c r="G34" s="241"/>
      <c r="H34" s="167">
        <v>6</v>
      </c>
      <c r="I34" s="245">
        <f t="shared" si="0"/>
        <v>882000</v>
      </c>
    </row>
    <row r="35" spans="1:9" ht="27.6" customHeight="1">
      <c r="A35" s="127" t="s">
        <v>674</v>
      </c>
      <c r="B35" s="243"/>
      <c r="C35" s="174" t="s">
        <v>701</v>
      </c>
      <c r="D35" s="167">
        <v>1</v>
      </c>
      <c r="E35" s="129">
        <f>'PAPSO INTERVENTORIA'!H18/6</f>
        <v>644024.9</v>
      </c>
      <c r="F35" s="240"/>
      <c r="G35" s="241"/>
      <c r="H35" s="167">
        <v>6</v>
      </c>
      <c r="I35" s="245">
        <f t="shared" si="0"/>
        <v>3864149.4000000004</v>
      </c>
    </row>
    <row r="36" spans="1:9">
      <c r="A36" s="246"/>
      <c r="B36" s="566" t="s">
        <v>702</v>
      </c>
      <c r="C36" s="567"/>
      <c r="D36" s="567"/>
      <c r="E36" s="567"/>
      <c r="F36" s="567"/>
      <c r="G36" s="567"/>
      <c r="H36" s="565"/>
      <c r="I36" s="247">
        <f>IF(SUM(I28:I35)=0,"",SUM(I28:I35))</f>
        <v>15889822.666323287</v>
      </c>
    </row>
    <row r="37" spans="1:9">
      <c r="A37" s="560" t="s">
        <v>703</v>
      </c>
      <c r="B37" s="561"/>
      <c r="C37" s="561"/>
      <c r="D37" s="561"/>
      <c r="E37" s="561"/>
      <c r="F37" s="561"/>
      <c r="G37" s="561"/>
      <c r="H37" s="562"/>
      <c r="I37" s="274">
        <f ca="1">I25+I36</f>
        <v>141049667.69832328</v>
      </c>
    </row>
    <row r="38" spans="1:9">
      <c r="A38" s="560" t="s">
        <v>550</v>
      </c>
      <c r="B38" s="561"/>
      <c r="C38" s="561"/>
      <c r="D38" s="561"/>
      <c r="E38" s="561"/>
      <c r="F38" s="561"/>
      <c r="G38" s="561"/>
      <c r="H38" s="276">
        <v>0.19</v>
      </c>
      <c r="I38" s="274">
        <f ca="1">+IFERROR(I37*H38,"")</f>
        <v>26799436.862681422</v>
      </c>
    </row>
    <row r="39" spans="1:9">
      <c r="A39" s="560" t="s">
        <v>704</v>
      </c>
      <c r="B39" s="561"/>
      <c r="C39" s="561"/>
      <c r="D39" s="561"/>
      <c r="E39" s="561"/>
      <c r="F39" s="561"/>
      <c r="G39" s="561"/>
      <c r="H39" s="562"/>
      <c r="I39" s="274">
        <f ca="1">IF(I37="","",SUM(I37:I38))</f>
        <v>167849104.5610047</v>
      </c>
    </row>
    <row r="40" spans="1:9">
      <c r="A40" s="560" t="s">
        <v>706</v>
      </c>
      <c r="B40" s="561"/>
      <c r="C40" s="561"/>
      <c r="D40" s="561"/>
      <c r="E40" s="561"/>
      <c r="F40" s="561"/>
      <c r="G40" s="561"/>
      <c r="H40" s="562"/>
      <c r="I40" s="274" t="e">
        <f>PRESUPUESTO!#REF!</f>
        <v>#REF!</v>
      </c>
    </row>
    <row r="41" spans="1:9">
      <c r="A41" s="560" t="s">
        <v>90</v>
      </c>
      <c r="B41" s="561"/>
      <c r="C41" s="561"/>
      <c r="D41" s="561"/>
      <c r="E41" s="561"/>
      <c r="F41" s="561"/>
      <c r="G41" s="561"/>
      <c r="H41" s="562"/>
      <c r="I41" s="292" t="e">
        <f ca="1">I39/I40</f>
        <v>#REF!</v>
      </c>
    </row>
    <row r="50" spans="3:5" ht="15">
      <c r="C50" s="538"/>
      <c r="D50" s="538"/>
      <c r="E50" s="298"/>
    </row>
    <row r="51" spans="3:5">
      <c r="C51" s="538" t="s">
        <v>781</v>
      </c>
      <c r="D51" s="538"/>
      <c r="E51" s="538"/>
    </row>
  </sheetData>
  <mergeCells count="21">
    <mergeCell ref="B9:H9"/>
    <mergeCell ref="A1:F1"/>
    <mergeCell ref="G1:I5"/>
    <mergeCell ref="A2:F2"/>
    <mergeCell ref="A3:F3"/>
    <mergeCell ref="A5:F5"/>
    <mergeCell ref="B8:H8"/>
    <mergeCell ref="B27:H27"/>
    <mergeCell ref="B36:H36"/>
    <mergeCell ref="A37:H37"/>
    <mergeCell ref="B13:H13"/>
    <mergeCell ref="B15:H15"/>
    <mergeCell ref="B19:H19"/>
    <mergeCell ref="B25:H25"/>
    <mergeCell ref="B26:H26"/>
    <mergeCell ref="C50:D50"/>
    <mergeCell ref="C51:E51"/>
    <mergeCell ref="A38:G38"/>
    <mergeCell ref="A39:H39"/>
    <mergeCell ref="A40:H40"/>
    <mergeCell ref="A41:H41"/>
  </mergeCells>
  <phoneticPr fontId="35" type="noConversion"/>
  <dataValidations count="1">
    <dataValidation allowBlank="1" showErrorMessage="1" sqref="C50:C51" xr:uid="{00000000-0002-0000-0700-000000000000}"/>
  </dataValidations>
  <pageMargins left="0.7" right="0.7" top="0.75" bottom="0.75" header="0.3" footer="0.3"/>
  <pageSetup scale="65"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1000000}">
          <x14:formula1>
            <xm:f>'INSUMOS MANO DE OBRA'!$B$8:$B$61</xm:f>
          </x14:formula1>
          <xm:sqref>C14 C10:C12</xm:sqref>
        </x14:dataValidation>
        <x14:dataValidation type="list" allowBlank="1" showInputMessage="1" showErrorMessage="1" xr:uid="{00000000-0002-0000-0700-000002000000}">
          <x14:formula1>
            <xm:f>'INSUMOS EQUIPOS'!$B$7:$B$40</xm:f>
          </x14:formula1>
          <xm:sqref>C28:C30</xm:sqref>
        </x14:dataValidation>
        <x14:dataValidation type="list" allowBlank="1" showInputMessage="1" showErrorMessage="1" xr:uid="{00000000-0002-0000-0700-000003000000}">
          <x14:formula1>
            <xm:f>'INSUMOS SERVICIOS'!$B$7:$B$21</xm:f>
          </x14:formula1>
          <xm:sqref>C31:C34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9"/>
  <sheetViews>
    <sheetView view="pageBreakPreview" topLeftCell="A22" zoomScale="60" zoomScaleNormal="100" workbookViewId="0">
      <selection activeCell="B48" sqref="B48:C48"/>
    </sheetView>
  </sheetViews>
  <sheetFormatPr baseColWidth="10" defaultRowHeight="15"/>
  <cols>
    <col min="2" max="2" width="48" customWidth="1"/>
    <col min="3" max="3" width="17.5703125" customWidth="1"/>
    <col min="9" max="9" width="16.42578125" customWidth="1"/>
  </cols>
  <sheetData>
    <row r="1" spans="1:9" ht="26.25">
      <c r="A1" s="570" t="s">
        <v>0</v>
      </c>
      <c r="B1" s="570"/>
      <c r="C1" s="570"/>
      <c r="D1" s="571" t="s">
        <v>52</v>
      </c>
      <c r="E1" s="571"/>
      <c r="F1" s="571"/>
      <c r="G1" s="571"/>
      <c r="H1" s="572"/>
    </row>
    <row r="2" spans="1:9" ht="21">
      <c r="A2" s="577" t="str">
        <f>'DATOS INICIALES'!B2</f>
        <v>MUNICIPIO DE DABEIBA</v>
      </c>
      <c r="B2" s="577"/>
      <c r="C2" s="577"/>
      <c r="D2" s="573"/>
      <c r="E2" s="573"/>
      <c r="F2" s="573"/>
      <c r="G2" s="573"/>
      <c r="H2" s="574"/>
    </row>
    <row r="3" spans="1:9" ht="44.1" customHeight="1">
      <c r="A3" s="578" t="str">
        <f>'DATOS INICIALES'!B3</f>
        <v xml:space="preserve">AMPLIACIÓN DEL SISTEMA DE ALCANTARILLADO EN SECTOR DEL BARRIO PABLO VI  DEL MUNICIPIO DE DABEIBA ANTIOQUIA </v>
      </c>
      <c r="B3" s="578"/>
      <c r="C3" s="578"/>
      <c r="D3" s="573"/>
      <c r="E3" s="573"/>
      <c r="F3" s="573"/>
      <c r="G3" s="573"/>
      <c r="H3" s="574"/>
    </row>
    <row r="4" spans="1:9">
      <c r="A4" s="17"/>
      <c r="B4" s="4"/>
      <c r="C4" s="4"/>
      <c r="D4" s="573"/>
      <c r="E4" s="573"/>
      <c r="F4" s="573"/>
      <c r="G4" s="573"/>
      <c r="H4" s="574"/>
    </row>
    <row r="5" spans="1:9">
      <c r="A5" s="489" t="s">
        <v>614</v>
      </c>
      <c r="B5" s="489"/>
      <c r="C5" s="489"/>
      <c r="D5" s="575"/>
      <c r="E5" s="575"/>
      <c r="F5" s="575"/>
      <c r="G5" s="575"/>
      <c r="H5" s="576"/>
    </row>
    <row r="7" spans="1:9">
      <c r="A7" s="132">
        <v>1</v>
      </c>
      <c r="B7" s="219" t="s">
        <v>613</v>
      </c>
      <c r="C7" s="219"/>
      <c r="D7" s="219"/>
      <c r="E7" s="219"/>
      <c r="F7" s="219"/>
      <c r="G7" s="220"/>
      <c r="H7" s="220">
        <f>SUM(H8)</f>
        <v>1</v>
      </c>
    </row>
    <row r="8" spans="1:9">
      <c r="A8" s="200" t="s">
        <v>51</v>
      </c>
      <c r="B8" s="106" t="s">
        <v>613</v>
      </c>
      <c r="C8" s="85"/>
      <c r="D8" s="86"/>
      <c r="E8" s="86"/>
      <c r="F8" s="86"/>
      <c r="G8" s="86"/>
      <c r="H8" s="221">
        <v>1</v>
      </c>
    </row>
    <row r="9" spans="1:9">
      <c r="A9" s="132">
        <v>2</v>
      </c>
      <c r="B9" s="219" t="s">
        <v>615</v>
      </c>
      <c r="C9" s="219"/>
      <c r="D9" s="219"/>
      <c r="E9" s="219"/>
      <c r="F9" s="219"/>
      <c r="G9" s="219"/>
      <c r="H9" s="220">
        <f>SUM(H10:H22)</f>
        <v>0.47189999999999999</v>
      </c>
    </row>
    <row r="10" spans="1:9">
      <c r="A10" s="200" t="s">
        <v>482</v>
      </c>
      <c r="B10" s="106" t="s">
        <v>616</v>
      </c>
      <c r="C10" s="85"/>
      <c r="D10" s="86" t="s">
        <v>52</v>
      </c>
      <c r="E10" s="86"/>
      <c r="F10" s="86"/>
      <c r="G10" s="86" t="s">
        <v>52</v>
      </c>
      <c r="H10" s="221">
        <v>8.3299999999999999E-2</v>
      </c>
    </row>
    <row r="11" spans="1:9">
      <c r="A11" s="200" t="s">
        <v>554</v>
      </c>
      <c r="B11" s="106" t="s">
        <v>617</v>
      </c>
      <c r="C11" s="85"/>
      <c r="D11" s="86"/>
      <c r="E11" s="86"/>
      <c r="F11" s="86"/>
      <c r="G11" s="86"/>
      <c r="H11" s="221">
        <v>8.3299999999999999E-2</v>
      </c>
    </row>
    <row r="12" spans="1:9">
      <c r="A12" s="200" t="s">
        <v>640</v>
      </c>
      <c r="B12" s="106" t="s">
        <v>618</v>
      </c>
      <c r="C12" s="85"/>
      <c r="D12" s="86"/>
      <c r="E12" s="86"/>
      <c r="F12" s="86"/>
      <c r="G12" s="86"/>
      <c r="H12" s="221">
        <v>0.01</v>
      </c>
    </row>
    <row r="13" spans="1:9">
      <c r="A13" s="200" t="s">
        <v>483</v>
      </c>
      <c r="B13" s="106" t="s">
        <v>619</v>
      </c>
      <c r="C13" s="85"/>
      <c r="D13" s="86"/>
      <c r="E13" s="86"/>
      <c r="F13" s="86"/>
      <c r="G13" s="86"/>
      <c r="H13" s="221">
        <v>4.1700000000000001E-2</v>
      </c>
    </row>
    <row r="14" spans="1:9" s="212" customFormat="1">
      <c r="A14" s="236" t="s">
        <v>641</v>
      </c>
      <c r="B14" s="223" t="s">
        <v>620</v>
      </c>
      <c r="C14" s="237"/>
      <c r="D14" s="238"/>
      <c r="E14" s="238"/>
      <c r="F14" s="238"/>
      <c r="G14" s="238"/>
      <c r="H14" s="239">
        <v>0</v>
      </c>
      <c r="I14" s="212">
        <v>8.5</v>
      </c>
    </row>
    <row r="15" spans="1:9">
      <c r="A15" s="200" t="s">
        <v>642</v>
      </c>
      <c r="B15" s="106" t="s">
        <v>621</v>
      </c>
      <c r="C15" s="85"/>
      <c r="D15" s="86"/>
      <c r="E15" s="86"/>
      <c r="F15" s="86"/>
      <c r="G15" s="86"/>
      <c r="H15" s="221">
        <v>0.12</v>
      </c>
    </row>
    <row r="16" spans="1:9" s="212" customFormat="1">
      <c r="A16" s="236" t="s">
        <v>643</v>
      </c>
      <c r="B16" s="223" t="s">
        <v>622</v>
      </c>
      <c r="C16" s="237"/>
      <c r="D16" s="238"/>
      <c r="E16" s="238"/>
      <c r="F16" s="238"/>
      <c r="G16" s="238"/>
      <c r="H16" s="239">
        <v>0</v>
      </c>
      <c r="I16" s="212">
        <v>0.2</v>
      </c>
    </row>
    <row r="17" spans="1:9" s="212" customFormat="1">
      <c r="A17" s="236" t="s">
        <v>644</v>
      </c>
      <c r="B17" s="223" t="s">
        <v>623</v>
      </c>
      <c r="C17" s="237"/>
      <c r="D17" s="238"/>
      <c r="E17" s="238"/>
      <c r="F17" s="238"/>
      <c r="G17" s="238"/>
      <c r="H17" s="239">
        <v>0</v>
      </c>
      <c r="I17" s="212">
        <v>0.3</v>
      </c>
    </row>
    <row r="18" spans="1:9">
      <c r="A18" s="200" t="s">
        <v>645</v>
      </c>
      <c r="B18" s="106" t="s">
        <v>624</v>
      </c>
      <c r="C18" s="85"/>
      <c r="D18" s="86"/>
      <c r="E18" s="86"/>
      <c r="F18" s="86"/>
      <c r="G18" s="86"/>
      <c r="H18" s="221">
        <v>0.04</v>
      </c>
    </row>
    <row r="19" spans="1:9">
      <c r="A19" s="200" t="s">
        <v>646</v>
      </c>
      <c r="B19" s="106" t="s">
        <v>625</v>
      </c>
      <c r="C19" s="85"/>
      <c r="D19" s="86"/>
      <c r="E19" s="86"/>
      <c r="F19" s="86"/>
      <c r="G19" s="86"/>
      <c r="H19" s="221">
        <v>6.9599999999999995E-2</v>
      </c>
    </row>
    <row r="20" spans="1:9">
      <c r="A20" s="200" t="s">
        <v>647</v>
      </c>
      <c r="B20" s="106" t="s">
        <v>626</v>
      </c>
      <c r="C20" s="85"/>
      <c r="D20" s="86"/>
      <c r="E20" s="86"/>
      <c r="F20" s="86"/>
      <c r="G20" s="86"/>
      <c r="H20" s="222">
        <v>8.0000000000000002E-3</v>
      </c>
      <c r="I20" s="224" t="s">
        <v>629</v>
      </c>
    </row>
    <row r="21" spans="1:9">
      <c r="A21" s="200" t="s">
        <v>648</v>
      </c>
      <c r="B21" s="106" t="s">
        <v>627</v>
      </c>
      <c r="C21" s="85"/>
      <c r="D21" s="86"/>
      <c r="E21" s="86"/>
      <c r="F21" s="86"/>
      <c r="G21" s="86"/>
      <c r="H21" s="222">
        <v>1.2E-2</v>
      </c>
      <c r="I21" s="224" t="s">
        <v>630</v>
      </c>
    </row>
    <row r="22" spans="1:9">
      <c r="A22" s="200" t="s">
        <v>649</v>
      </c>
      <c r="B22" s="106" t="s">
        <v>628</v>
      </c>
      <c r="C22" s="85"/>
      <c r="D22" s="86"/>
      <c r="E22" s="86"/>
      <c r="F22" s="86"/>
      <c r="G22" s="86"/>
      <c r="H22" s="222">
        <v>4.0000000000000001E-3</v>
      </c>
      <c r="I22" s="224" t="s">
        <v>631</v>
      </c>
    </row>
    <row r="23" spans="1:9">
      <c r="A23" s="132">
        <v>3</v>
      </c>
      <c r="B23" s="219" t="s">
        <v>632</v>
      </c>
      <c r="C23" s="225"/>
      <c r="D23" s="225"/>
      <c r="E23" s="225"/>
      <c r="F23" s="225"/>
      <c r="G23" s="225"/>
      <c r="H23" s="220">
        <f>SUM(H24:H28)</f>
        <v>0.1312010253432446</v>
      </c>
    </row>
    <row r="24" spans="1:9" ht="122.45" customHeight="1">
      <c r="A24" s="200" t="s">
        <v>485</v>
      </c>
      <c r="B24" s="75" t="s">
        <v>633</v>
      </c>
      <c r="C24" s="226">
        <v>1</v>
      </c>
      <c r="D24" s="86">
        <v>2500000</v>
      </c>
      <c r="E24" s="227">
        <v>0.2</v>
      </c>
      <c r="F24" s="226">
        <v>6</v>
      </c>
      <c r="G24" s="86">
        <f>+C24*D24*E24*F24</f>
        <v>3000000</v>
      </c>
      <c r="H24" s="221">
        <f>+IFERROR(G24/INTERVENTORIA!$I$20,"")</f>
        <v>5.1653946985529373E-2</v>
      </c>
    </row>
    <row r="25" spans="1:9" ht="24">
      <c r="A25" s="200" t="s">
        <v>553</v>
      </c>
      <c r="B25" s="75" t="s">
        <v>634</v>
      </c>
      <c r="C25" s="226">
        <v>1</v>
      </c>
      <c r="D25" s="86">
        <v>400000</v>
      </c>
      <c r="E25" s="227">
        <v>0.2</v>
      </c>
      <c r="F25" s="226">
        <v>6</v>
      </c>
      <c r="G25" s="86">
        <f>+C25*D25*E25*F25</f>
        <v>480000</v>
      </c>
      <c r="H25" s="221">
        <f>+IFERROR(G25/INTERVENTORIA!$I$20,"")</f>
        <v>8.2646315176847004E-3</v>
      </c>
    </row>
    <row r="26" spans="1:9" ht="24">
      <c r="A26" s="200" t="s">
        <v>595</v>
      </c>
      <c r="B26" s="75" t="s">
        <v>635</v>
      </c>
      <c r="C26" s="226">
        <v>1</v>
      </c>
      <c r="D26" s="86">
        <v>1200000</v>
      </c>
      <c r="E26" s="227">
        <v>0.2</v>
      </c>
      <c r="F26" s="226">
        <v>6</v>
      </c>
      <c r="G26" s="86">
        <f>+C26*D26*E26*F26</f>
        <v>1440000</v>
      </c>
      <c r="H26" s="221">
        <f>+IFERROR(G26/INTERVENTORIA!$I$20,"")</f>
        <v>2.4793894553054099E-2</v>
      </c>
    </row>
    <row r="27" spans="1:9" ht="48">
      <c r="A27" s="200" t="s">
        <v>486</v>
      </c>
      <c r="B27" s="75" t="s">
        <v>636</v>
      </c>
      <c r="C27" s="226">
        <v>1</v>
      </c>
      <c r="D27" s="86">
        <v>2000000</v>
      </c>
      <c r="E27" s="227">
        <v>0.1</v>
      </c>
      <c r="F27" s="226">
        <v>6</v>
      </c>
      <c r="G27" s="86">
        <f>+C27*D27*E27*F27</f>
        <v>1200000</v>
      </c>
      <c r="H27" s="221">
        <f>+IFERROR(G27/INTERVENTORIA!$I$20,"")</f>
        <v>2.0661578794211752E-2</v>
      </c>
    </row>
    <row r="28" spans="1:9" ht="27" customHeight="1">
      <c r="A28" s="200" t="s">
        <v>487</v>
      </c>
      <c r="B28" s="75" t="s">
        <v>637</v>
      </c>
      <c r="C28" s="226">
        <v>1</v>
      </c>
      <c r="D28" s="86">
        <v>2500000</v>
      </c>
      <c r="E28" s="227">
        <v>0.1</v>
      </c>
      <c r="F28" s="226">
        <v>6</v>
      </c>
      <c r="G28" s="86">
        <f>+C28*D28*E28*F28</f>
        <v>1500000</v>
      </c>
      <c r="H28" s="221">
        <f>+IFERROR(G28/INTERVENTORIA!$I$20,"")</f>
        <v>2.5826973492764686E-2</v>
      </c>
    </row>
    <row r="29" spans="1:9">
      <c r="A29" s="132">
        <v>4</v>
      </c>
      <c r="B29" s="219" t="s">
        <v>639</v>
      </c>
      <c r="C29" s="225"/>
      <c r="D29" s="225"/>
      <c r="E29" s="225"/>
      <c r="F29" s="225"/>
      <c r="G29" s="225"/>
      <c r="H29" s="232">
        <f ca="1">SUM(H30:H31)</f>
        <v>0.26457667947028168</v>
      </c>
    </row>
    <row r="30" spans="1:9">
      <c r="A30" s="200" t="s">
        <v>491</v>
      </c>
      <c r="B30" s="106" t="s">
        <v>506</v>
      </c>
      <c r="C30" s="86"/>
      <c r="D30" s="86"/>
      <c r="E30" s="86"/>
      <c r="F30" s="86"/>
      <c r="G30" s="229">
        <f ca="1">+'POLIZAS INTERVENTORIA'!G21</f>
        <v>751060.45895267522</v>
      </c>
      <c r="H30" s="230">
        <f ca="1">'POLIZAS INTERVENTORIA'!$G$22</f>
        <v>4.4746170134002863E-3</v>
      </c>
    </row>
    <row r="31" spans="1:9">
      <c r="A31" s="200" t="s">
        <v>492</v>
      </c>
      <c r="B31" s="106" t="s">
        <v>508</v>
      </c>
      <c r="C31" s="86"/>
      <c r="D31" s="86"/>
      <c r="E31" s="86"/>
      <c r="F31" s="86"/>
      <c r="G31" s="229">
        <f ca="1">IFERROR(IF(SUM(G32:G35)=0,"",SUM(G32:G35)),"")</f>
        <v>15106419.410490422</v>
      </c>
      <c r="H31" s="231">
        <f ca="1">SUM(H32:H35)</f>
        <v>0.26010206245688139</v>
      </c>
    </row>
    <row r="32" spans="1:9" ht="14.45" customHeight="1">
      <c r="A32" s="200" t="s">
        <v>650</v>
      </c>
      <c r="B32" s="161" t="s">
        <v>513</v>
      </c>
      <c r="C32" s="166">
        <v>0.01</v>
      </c>
      <c r="D32" s="86">
        <f ca="1">+IF(INTERVENTORIA!$I$20=0,"",IF(B32="","",INTERVENTORIA!$I$39))</f>
        <v>167849104.5610047</v>
      </c>
      <c r="E32" s="80"/>
      <c r="F32" s="80"/>
      <c r="G32" s="245">
        <f ca="1">+IFERROR(IF(C32*D32=0,"",C32*D32),"")</f>
        <v>1678491.0456100469</v>
      </c>
      <c r="H32" s="231">
        <f ca="1">+IFERROR(G32/INTERVENTORIA!$I$20,"")</f>
        <v>2.890022916187571E-2</v>
      </c>
      <c r="I32" s="582" t="s">
        <v>656</v>
      </c>
    </row>
    <row r="33" spans="1:9">
      <c r="A33" s="200" t="s">
        <v>651</v>
      </c>
      <c r="B33" s="161" t="s">
        <v>514</v>
      </c>
      <c r="C33" s="166">
        <v>0.02</v>
      </c>
      <c r="D33" s="86">
        <f ca="1">+IF(INTERVENTORIA!$I$20=0,"",IF(B33="","",INTERVENTORIA!$I$39))</f>
        <v>167849104.5610047</v>
      </c>
      <c r="E33" s="80"/>
      <c r="F33" s="80"/>
      <c r="G33" s="245">
        <f ca="1">+IFERROR(IF(C33*D33=0,"",C33*D33),"")</f>
        <v>3356982.0912200939</v>
      </c>
      <c r="H33" s="231">
        <f ca="1">+IFERROR(G33/INTERVENTORIA!$I$20,"")</f>
        <v>5.7800458323751421E-2</v>
      </c>
      <c r="I33" s="582"/>
    </row>
    <row r="34" spans="1:9">
      <c r="A34" s="200" t="s">
        <v>652</v>
      </c>
      <c r="B34" s="161" t="s">
        <v>515</v>
      </c>
      <c r="C34" s="166">
        <v>0.04</v>
      </c>
      <c r="D34" s="86">
        <f ca="1">+IF(INTERVENTORIA!$I$20=0,"",IF(B34="","",INTERVENTORIA!$I$39))</f>
        <v>167849104.5610047</v>
      </c>
      <c r="E34" s="80"/>
      <c r="F34" s="80"/>
      <c r="G34" s="245">
        <f ca="1">+IFERROR(IF(C34*D34=0,"",C34*D34),"")</f>
        <v>6713964.1824401878</v>
      </c>
      <c r="H34" s="231">
        <f ca="1">+IFERROR(G34/INTERVENTORIA!$I$20,"")</f>
        <v>0.11560091664750284</v>
      </c>
      <c r="I34" s="582"/>
    </row>
    <row r="35" spans="1:9">
      <c r="A35" s="200" t="s">
        <v>653</v>
      </c>
      <c r="B35" s="161" t="s">
        <v>516</v>
      </c>
      <c r="C35" s="166">
        <v>0.02</v>
      </c>
      <c r="D35" s="86">
        <f ca="1">+IF(INTERVENTORIA!$I$20=0,"",IF(B35="","",INTERVENTORIA!$I$39))</f>
        <v>167849104.5610047</v>
      </c>
      <c r="E35" s="80"/>
      <c r="F35" s="80"/>
      <c r="G35" s="245">
        <f ca="1">+IFERROR(IF(C35*D35=0,"",C35*D35),"")</f>
        <v>3356982.0912200939</v>
      </c>
      <c r="H35" s="231">
        <f ca="1">+IFERROR(G35/INTERVENTORIA!$I$20,"")</f>
        <v>5.7800458323751421E-2</v>
      </c>
      <c r="I35" s="582"/>
    </row>
    <row r="36" spans="1:9">
      <c r="A36" s="132">
        <v>5</v>
      </c>
      <c r="B36" s="219" t="s">
        <v>654</v>
      </c>
      <c r="C36" s="277"/>
      <c r="D36" s="225"/>
      <c r="E36" s="225"/>
      <c r="F36" s="225"/>
      <c r="G36" s="225"/>
      <c r="H36" s="220">
        <f ca="1">SUM(H37)</f>
        <v>0.14941421638508209</v>
      </c>
      <c r="I36" s="235"/>
    </row>
    <row r="37" spans="1:9">
      <c r="A37" s="200">
        <v>4.0999999999999996</v>
      </c>
      <c r="B37" s="106" t="s">
        <v>654</v>
      </c>
      <c r="C37" s="86"/>
      <c r="D37" s="86"/>
      <c r="E37" s="86"/>
      <c r="F37" s="86"/>
      <c r="G37" s="76">
        <v>0.08</v>
      </c>
      <c r="H37" s="230">
        <f ca="1">+IFERROR(G37*(H29+H23+H9+H7),"")</f>
        <v>0.14941421638508209</v>
      </c>
      <c r="I37" s="224" t="s">
        <v>657</v>
      </c>
    </row>
    <row r="38" spans="1:9">
      <c r="A38" s="580" t="s">
        <v>62</v>
      </c>
      <c r="B38" s="581"/>
      <c r="C38" s="581"/>
      <c r="D38" s="581"/>
      <c r="E38" s="581"/>
      <c r="F38" s="581"/>
      <c r="G38" s="581"/>
      <c r="H38" s="233">
        <f ca="1">IFERROR(SUM(H36,H29,H23,H9,H7),"")</f>
        <v>2.0170919211986083</v>
      </c>
      <c r="I38" s="235"/>
    </row>
    <row r="39" spans="1:9">
      <c r="A39" s="580" t="s">
        <v>655</v>
      </c>
      <c r="B39" s="581"/>
      <c r="C39" s="581"/>
      <c r="D39" s="581"/>
      <c r="E39" s="581"/>
      <c r="F39" s="581"/>
      <c r="G39" s="581"/>
      <c r="H39" s="234">
        <f ca="1">+IFERROR(ROUND(H38,2),"")</f>
        <v>2.02</v>
      </c>
      <c r="I39" s="4"/>
    </row>
    <row r="48" spans="1:9" ht="15.75">
      <c r="B48" s="538"/>
      <c r="C48" s="538"/>
      <c r="D48" s="298"/>
    </row>
    <row r="49" spans="2:4">
      <c r="B49" s="538" t="s">
        <v>781</v>
      </c>
      <c r="C49" s="538"/>
      <c r="D49" s="538"/>
    </row>
  </sheetData>
  <protectedRanges>
    <protectedRange sqref="H20:H22" name="Rango1"/>
    <protectedRange sqref="G37" name="Rango1_1"/>
  </protectedRanges>
  <mergeCells count="10">
    <mergeCell ref="B48:C48"/>
    <mergeCell ref="B49:D49"/>
    <mergeCell ref="A39:G39"/>
    <mergeCell ref="I32:I35"/>
    <mergeCell ref="A1:C1"/>
    <mergeCell ref="D1:H5"/>
    <mergeCell ref="A2:C2"/>
    <mergeCell ref="A3:C3"/>
    <mergeCell ref="A5:C5"/>
    <mergeCell ref="A38:G38"/>
  </mergeCells>
  <phoneticPr fontId="35" type="noConversion"/>
  <dataValidations count="1">
    <dataValidation allowBlank="1" showErrorMessage="1" sqref="B48:B49" xr:uid="{00000000-0002-0000-0800-000000000000}"/>
  </dataValidations>
  <pageMargins left="0.7" right="0.7" top="0.75" bottom="0.75" header="0.3" footer="0.3"/>
  <pageSetup scale="67" orientation="portrait" r:id="rId1"/>
  <colBreaks count="1" manualBreakCount="1">
    <brk id="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0"/>
  <sheetViews>
    <sheetView view="pageBreakPreview" zoomScale="60" zoomScaleNormal="100" workbookViewId="0">
      <selection activeCell="A29" sqref="A29:B29"/>
    </sheetView>
  </sheetViews>
  <sheetFormatPr baseColWidth="10" defaultRowHeight="15"/>
  <cols>
    <col min="1" max="1" width="32.85546875" customWidth="1"/>
    <col min="2" max="2" width="15.42578125" customWidth="1"/>
    <col min="3" max="3" width="11.5703125" bestFit="1" customWidth="1"/>
    <col min="4" max="4" width="15.42578125" customWidth="1"/>
    <col min="5" max="5" width="14.5703125" customWidth="1"/>
    <col min="6" max="7" width="11.5703125" bestFit="1" customWidth="1"/>
  </cols>
  <sheetData>
    <row r="1" spans="1:7" ht="23.25">
      <c r="A1" s="594" t="s">
        <v>0</v>
      </c>
      <c r="B1" s="595"/>
      <c r="C1" s="595"/>
      <c r="D1" s="595"/>
      <c r="E1" s="595"/>
      <c r="F1" s="596" t="s">
        <v>52</v>
      </c>
      <c r="G1" s="596"/>
    </row>
    <row r="2" spans="1:7" ht="15.75">
      <c r="A2" s="483" t="str">
        <f>'DATOS INICIALES'!B6</f>
        <v>MUNICIPIO DE DABEIBA</v>
      </c>
      <c r="B2" s="484"/>
      <c r="C2" s="484"/>
      <c r="D2" s="484"/>
      <c r="E2" s="484"/>
      <c r="F2" s="596"/>
      <c r="G2" s="596"/>
    </row>
    <row r="3" spans="1:7" ht="39.6" customHeight="1">
      <c r="A3" s="597" t="str">
        <f>'DATOS INICIALES'!B3</f>
        <v xml:space="preserve">AMPLIACIÓN DEL SISTEMA DE ALCANTARILLADO EN SECTOR DEL BARRIO PABLO VI  DEL MUNICIPIO DE DABEIBA ANTIOQUIA </v>
      </c>
      <c r="B3" s="598"/>
      <c r="C3" s="598"/>
      <c r="D3" s="598"/>
      <c r="E3" s="598"/>
      <c r="F3" s="596"/>
      <c r="G3" s="596"/>
    </row>
    <row r="4" spans="1:7">
      <c r="A4" s="69"/>
      <c r="B4" s="69"/>
      <c r="C4" s="69"/>
      <c r="D4" s="69"/>
      <c r="E4" s="4"/>
      <c r="F4" s="596"/>
      <c r="G4" s="596"/>
    </row>
    <row r="5" spans="1:7">
      <c r="A5" s="489" t="s">
        <v>528</v>
      </c>
      <c r="B5" s="490"/>
      <c r="C5" s="490"/>
      <c r="D5" s="490"/>
      <c r="E5" s="490"/>
      <c r="F5" s="596"/>
      <c r="G5" s="596"/>
    </row>
    <row r="6" spans="1:7">
      <c r="A6" s="185" t="s">
        <v>529</v>
      </c>
      <c r="B6" s="186">
        <f ca="1">INTERVENTORIA!I39</f>
        <v>167849104.5610047</v>
      </c>
      <c r="C6" s="592">
        <f ca="1">IFERROR(B6/'DATOS INICIALES'!B12,"")</f>
        <v>117.91296421566891</v>
      </c>
      <c r="D6" s="593"/>
    </row>
    <row r="7" spans="1:7">
      <c r="A7" s="185" t="s">
        <v>530</v>
      </c>
      <c r="B7" s="187">
        <f>'DATOS INICIALES'!B18</f>
        <v>1</v>
      </c>
      <c r="C7" s="589">
        <f>+IFERROR(B7*30,"")</f>
        <v>30</v>
      </c>
      <c r="D7" s="589"/>
    </row>
    <row r="8" spans="1:7">
      <c r="A8" s="185" t="s">
        <v>531</v>
      </c>
      <c r="B8" s="188">
        <v>0</v>
      </c>
      <c r="C8" s="590">
        <f ca="1">+IFERROR(B8*B6,"")</f>
        <v>0</v>
      </c>
      <c r="D8" s="590"/>
    </row>
    <row r="10" spans="1:7">
      <c r="A10" s="588" t="s">
        <v>532</v>
      </c>
      <c r="B10" s="588" t="s">
        <v>533</v>
      </c>
      <c r="C10" s="588"/>
      <c r="D10" s="588"/>
      <c r="E10" s="588" t="s">
        <v>534</v>
      </c>
      <c r="F10" s="588" t="s">
        <v>535</v>
      </c>
      <c r="G10" s="585" t="s">
        <v>536</v>
      </c>
    </row>
    <row r="11" spans="1:7" ht="21.6" customHeight="1">
      <c r="A11" s="588"/>
      <c r="B11" s="72" t="s">
        <v>90</v>
      </c>
      <c r="C11" s="72" t="s">
        <v>537</v>
      </c>
      <c r="D11" s="72" t="s">
        <v>538</v>
      </c>
      <c r="E11" s="591"/>
      <c r="F11" s="588"/>
      <c r="G11" s="585"/>
    </row>
    <row r="12" spans="1:7">
      <c r="A12" s="278" t="s">
        <v>539</v>
      </c>
      <c r="B12" s="279">
        <v>0.2</v>
      </c>
      <c r="C12" s="280">
        <f ca="1">$B$6</f>
        <v>167849104.5610047</v>
      </c>
      <c r="D12" s="130">
        <f ca="1">IFERROR(B12*C12,"")</f>
        <v>33569820.912200943</v>
      </c>
      <c r="E12" s="127">
        <f>IFERROR($C$7+180,"")</f>
        <v>210</v>
      </c>
      <c r="F12" s="281">
        <v>2E-3</v>
      </c>
      <c r="G12" s="130">
        <f ca="1">IFERROR(F12*D12*E12/360,"")</f>
        <v>39164.791064234436</v>
      </c>
    </row>
    <row r="13" spans="1:7" ht="24">
      <c r="A13" s="278" t="s">
        <v>540</v>
      </c>
      <c r="B13" s="279">
        <v>1</v>
      </c>
      <c r="C13" s="280">
        <f ca="1">$C$8</f>
        <v>0</v>
      </c>
      <c r="D13" s="130">
        <f ca="1">IFERROR(B13*C13,"")</f>
        <v>0</v>
      </c>
      <c r="E13" s="127">
        <f>IFERROR($C$7+180,"")</f>
        <v>210</v>
      </c>
      <c r="F13" s="281">
        <v>1.5E-3</v>
      </c>
      <c r="G13" s="130">
        <f ca="1">IFERROR(F13*D13*E13/360,"")</f>
        <v>0</v>
      </c>
    </row>
    <row r="14" spans="1:7" ht="23.45" customHeight="1">
      <c r="A14" s="278" t="s">
        <v>541</v>
      </c>
      <c r="B14" s="279">
        <v>0.2</v>
      </c>
      <c r="C14" s="280">
        <f ca="1">$B$6</f>
        <v>167849104.5610047</v>
      </c>
      <c r="D14" s="130">
        <f ca="1">IFERROR(B14*C14,"")</f>
        <v>33569820.912200943</v>
      </c>
      <c r="E14" s="127">
        <f>IFERROR($C$7+1080,"")</f>
        <v>1110</v>
      </c>
      <c r="F14" s="281">
        <v>1.5E-3</v>
      </c>
      <c r="G14" s="130">
        <f ca="1">IFERROR(F14*D14*E14/360,"")</f>
        <v>155260.42171892937</v>
      </c>
    </row>
    <row r="15" spans="1:7">
      <c r="A15" s="278" t="s">
        <v>542</v>
      </c>
      <c r="B15" s="279">
        <v>0.2</v>
      </c>
      <c r="C15" s="280">
        <f ca="1">$B$6</f>
        <v>167849104.5610047</v>
      </c>
      <c r="D15" s="130">
        <f ca="1">IFERROR(B15*C15,"")</f>
        <v>33569820.912200943</v>
      </c>
      <c r="E15" s="127">
        <f ca="1">IF($B$6="","",1800)</f>
        <v>1800</v>
      </c>
      <c r="F15" s="281">
        <v>2.2000000000000001E-3</v>
      </c>
      <c r="G15" s="130">
        <f ca="1">IFERROR(F15*D15*E15/360,"")</f>
        <v>369268.03003421036</v>
      </c>
    </row>
    <row r="16" spans="1:7" ht="24">
      <c r="A16" s="282" t="s">
        <v>543</v>
      </c>
      <c r="B16" s="283" t="s">
        <v>544</v>
      </c>
      <c r="C16" s="586" t="s">
        <v>545</v>
      </c>
      <c r="D16" s="586"/>
      <c r="E16" s="132" t="s">
        <v>546</v>
      </c>
      <c r="F16" s="283" t="s">
        <v>547</v>
      </c>
      <c r="G16" s="284" t="s">
        <v>536</v>
      </c>
    </row>
    <row r="17" spans="1:7">
      <c r="A17" s="285">
        <f ca="1">+IF(B6="","",IF(C6&lt;=1500,200,IF(C6&lt;=2500,300,IF(C6&lt;=5000,400,IF(C6&lt;=10000,500,"5%")))))</f>
        <v>200</v>
      </c>
      <c r="B17" s="286">
        <f>'DATOS INICIALES'!B12</f>
        <v>1423500</v>
      </c>
      <c r="C17" s="587">
        <f ca="1">IFERROR(IF(C6&gt;10000,B6+5%,A17*B17),"")</f>
        <v>284700000</v>
      </c>
      <c r="D17" s="587"/>
      <c r="E17" s="287">
        <f>B7</f>
        <v>1</v>
      </c>
      <c r="F17" s="288">
        <v>2E-3</v>
      </c>
      <c r="G17" s="289">
        <f ca="1">IFERROR(F17*E17*C17/12,"")</f>
        <v>47450</v>
      </c>
    </row>
    <row r="18" spans="1:7">
      <c r="A18" s="583" t="s">
        <v>548</v>
      </c>
      <c r="B18" s="583"/>
      <c r="C18" s="583"/>
      <c r="D18" s="583"/>
      <c r="E18" s="583"/>
      <c r="F18" s="583"/>
      <c r="G18" s="130">
        <f ca="1">IF(SUM(G12:G15,G17)=0,"",SUM(G12:G15,G17))</f>
        <v>611143.24281737418</v>
      </c>
    </row>
    <row r="19" spans="1:7">
      <c r="A19" s="583" t="s">
        <v>549</v>
      </c>
      <c r="B19" s="583"/>
      <c r="C19" s="583"/>
      <c r="D19" s="583"/>
      <c r="E19" s="583"/>
      <c r="F19" s="583"/>
      <c r="G19" s="130">
        <f ca="1">IF(G19="","",20000)</f>
        <v>20000</v>
      </c>
    </row>
    <row r="20" spans="1:7">
      <c r="A20" s="583" t="s">
        <v>550</v>
      </c>
      <c r="B20" s="583"/>
      <c r="C20" s="583"/>
      <c r="D20" s="583"/>
      <c r="E20" s="583"/>
      <c r="F20" s="583"/>
      <c r="G20" s="130">
        <f ca="1">IFERROR((G18+G19)*0.19,"")</f>
        <v>119917.21613530109</v>
      </c>
    </row>
    <row r="21" spans="1:7">
      <c r="A21" s="583" t="s">
        <v>551</v>
      </c>
      <c r="B21" s="583"/>
      <c r="C21" s="583"/>
      <c r="D21" s="583"/>
      <c r="E21" s="583"/>
      <c r="F21" s="583"/>
      <c r="G21" s="130">
        <f ca="1">IF(G18="","",SUM(G18:G20))</f>
        <v>751060.45895267522</v>
      </c>
    </row>
    <row r="22" spans="1:7">
      <c r="A22" s="584" t="s">
        <v>705</v>
      </c>
      <c r="B22" s="584"/>
      <c r="C22" s="584"/>
      <c r="D22" s="584"/>
      <c r="E22" s="584"/>
      <c r="F22" s="584"/>
      <c r="G22" s="290">
        <f ca="1">$G$21/$B$6</f>
        <v>4.4746170134002863E-3</v>
      </c>
    </row>
    <row r="29" spans="1:7" ht="15.75">
      <c r="A29" s="538"/>
      <c r="B29" s="538"/>
      <c r="C29" s="298"/>
    </row>
    <row r="30" spans="1:7">
      <c r="A30" s="538" t="s">
        <v>781</v>
      </c>
      <c r="B30" s="538"/>
      <c r="C30" s="538"/>
    </row>
  </sheetData>
  <protectedRanges>
    <protectedRange sqref="B8" name="Rango1"/>
    <protectedRange sqref="B12:B15" name="Rango1_1"/>
  </protectedRanges>
  <mergeCells count="22">
    <mergeCell ref="C6:D6"/>
    <mergeCell ref="A1:E1"/>
    <mergeCell ref="F1:G5"/>
    <mergeCell ref="A2:E2"/>
    <mergeCell ref="A3:E3"/>
    <mergeCell ref="A5:E5"/>
    <mergeCell ref="C7:D7"/>
    <mergeCell ref="C8:D8"/>
    <mergeCell ref="A10:A11"/>
    <mergeCell ref="B10:D10"/>
    <mergeCell ref="E10:E11"/>
    <mergeCell ref="A29:B29"/>
    <mergeCell ref="A30:C30"/>
    <mergeCell ref="A21:F21"/>
    <mergeCell ref="A22:F22"/>
    <mergeCell ref="G10:G11"/>
    <mergeCell ref="C16:D16"/>
    <mergeCell ref="C17:D17"/>
    <mergeCell ref="A18:F18"/>
    <mergeCell ref="A19:F19"/>
    <mergeCell ref="A20:F20"/>
    <mergeCell ref="F10:F11"/>
  </mergeCells>
  <dataValidations count="1">
    <dataValidation allowBlank="1" showErrorMessage="1" sqref="A29:A30" xr:uid="{00000000-0002-0000-0900-000000000000}"/>
  </dataValidations>
  <pageMargins left="0.7" right="0.7" top="0.75" bottom="0.75" header="0.3" footer="0.3"/>
  <pageSetup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7"/>
  <sheetViews>
    <sheetView view="pageBreakPreview" topLeftCell="A19" zoomScale="60" zoomScaleNormal="100" workbookViewId="0">
      <selection activeCell="B26" sqref="B26:D26"/>
    </sheetView>
  </sheetViews>
  <sheetFormatPr baseColWidth="10" defaultRowHeight="15"/>
  <cols>
    <col min="5" max="5" width="13.42578125" customWidth="1"/>
    <col min="6" max="6" width="24.85546875" customWidth="1"/>
    <col min="7" max="7" width="15.5703125" customWidth="1"/>
    <col min="8" max="8" width="16.42578125" customWidth="1"/>
  </cols>
  <sheetData>
    <row r="1" spans="1:8" ht="26.25">
      <c r="A1" s="570" t="s">
        <v>0</v>
      </c>
      <c r="B1" s="570"/>
      <c r="C1" s="570"/>
      <c r="D1" s="570"/>
      <c r="E1" s="570"/>
      <c r="F1" s="570"/>
      <c r="G1" s="249"/>
      <c r="H1" s="250"/>
    </row>
    <row r="2" spans="1:8" ht="21" customHeight="1">
      <c r="A2" s="577" t="str">
        <f>'DATOS INICIALES'!B2</f>
        <v>MUNICIPIO DE DABEIBA</v>
      </c>
      <c r="B2" s="577"/>
      <c r="C2" s="577"/>
      <c r="D2" s="577"/>
      <c r="E2" s="577"/>
      <c r="F2" s="577"/>
      <c r="G2" s="251"/>
      <c r="H2" s="252"/>
    </row>
    <row r="3" spans="1:8" ht="42" customHeight="1">
      <c r="A3" s="578" t="str">
        <f>'DATOS INICIALES'!B3</f>
        <v xml:space="preserve">AMPLIACIÓN DEL SISTEMA DE ALCANTARILLADO EN SECTOR DEL BARRIO PABLO VI  DEL MUNICIPIO DE DABEIBA ANTIOQUIA </v>
      </c>
      <c r="B3" s="578"/>
      <c r="C3" s="578"/>
      <c r="D3" s="578"/>
      <c r="E3" s="578"/>
      <c r="F3" s="578"/>
      <c r="G3" s="251"/>
      <c r="H3" s="252"/>
    </row>
    <row r="4" spans="1:8">
      <c r="A4" s="17"/>
      <c r="B4" s="4"/>
      <c r="C4" s="4"/>
      <c r="D4" s="251"/>
      <c r="E4" s="251"/>
      <c r="F4" s="251"/>
      <c r="G4" s="251"/>
      <c r="H4" s="252"/>
    </row>
    <row r="5" spans="1:8">
      <c r="A5" s="489" t="s">
        <v>673</v>
      </c>
      <c r="B5" s="489"/>
      <c r="C5" s="489"/>
      <c r="D5" s="489"/>
      <c r="E5" s="489"/>
      <c r="F5" s="489"/>
      <c r="G5" s="253"/>
      <c r="H5" s="254"/>
    </row>
    <row r="7" spans="1:8" ht="15.75" thickBot="1"/>
    <row r="8" spans="1:8" ht="24.75" thickBot="1">
      <c r="A8" s="255">
        <v>5</v>
      </c>
      <c r="B8" s="256" t="s">
        <v>672</v>
      </c>
      <c r="C8" s="257" t="s">
        <v>675</v>
      </c>
      <c r="D8" s="258" t="s">
        <v>676</v>
      </c>
      <c r="E8" s="259" t="s">
        <v>677</v>
      </c>
      <c r="F8" s="257" t="s">
        <v>678</v>
      </c>
      <c r="G8" s="260" t="s">
        <v>679</v>
      </c>
      <c r="H8" s="261" t="s">
        <v>680</v>
      </c>
    </row>
    <row r="9" spans="1:8" ht="36">
      <c r="A9" s="262">
        <v>4.0999999999999996</v>
      </c>
      <c r="B9" s="263" t="s">
        <v>700</v>
      </c>
      <c r="C9" s="264" t="s">
        <v>681</v>
      </c>
      <c r="D9" s="265">
        <v>6</v>
      </c>
      <c r="E9" s="264">
        <v>1</v>
      </c>
      <c r="F9" s="266"/>
      <c r="G9" s="267">
        <f>'INSUMOS MANO DE OBRA'!D61*'INSUMOS MANO DE OBRA'!E61</f>
        <v>4640610</v>
      </c>
      <c r="H9" s="268">
        <f>D9*E9*G9*0.1</f>
        <v>2784366</v>
      </c>
    </row>
    <row r="10" spans="1:8" ht="72">
      <c r="A10" s="269">
        <v>4.2</v>
      </c>
      <c r="B10" s="263" t="s">
        <v>682</v>
      </c>
      <c r="C10" s="264" t="s">
        <v>683</v>
      </c>
      <c r="D10" s="265">
        <v>6</v>
      </c>
      <c r="E10" s="264">
        <f>3*0.006*30</f>
        <v>0.54</v>
      </c>
      <c r="F10" s="270" t="s">
        <v>684</v>
      </c>
      <c r="G10" s="267">
        <v>9000</v>
      </c>
      <c r="H10" s="271">
        <f t="shared" ref="H10:H15" si="0">D10*E10*G10</f>
        <v>29160.000000000004</v>
      </c>
    </row>
    <row r="11" spans="1:8" ht="144">
      <c r="A11" s="269">
        <v>4.3</v>
      </c>
      <c r="B11" s="263" t="s">
        <v>685</v>
      </c>
      <c r="C11" s="264" t="s">
        <v>683</v>
      </c>
      <c r="D11" s="265">
        <v>6</v>
      </c>
      <c r="E11" s="264">
        <f>0.003*3*30</f>
        <v>0.27</v>
      </c>
      <c r="F11" s="270" t="s">
        <v>686</v>
      </c>
      <c r="G11" s="267">
        <v>11085</v>
      </c>
      <c r="H11" s="271">
        <f t="shared" si="0"/>
        <v>17957.7</v>
      </c>
    </row>
    <row r="12" spans="1:8" ht="48">
      <c r="A12" s="269">
        <v>4.4000000000000004</v>
      </c>
      <c r="B12" s="263" t="s">
        <v>687</v>
      </c>
      <c r="C12" s="264" t="s">
        <v>683</v>
      </c>
      <c r="D12" s="265">
        <v>6</v>
      </c>
      <c r="E12" s="264">
        <f>0.005*D12*30*3</f>
        <v>2.6999999999999997</v>
      </c>
      <c r="F12" s="270" t="s">
        <v>688</v>
      </c>
      <c r="G12" s="267">
        <v>3995</v>
      </c>
      <c r="H12" s="271">
        <f t="shared" si="0"/>
        <v>64719</v>
      </c>
    </row>
    <row r="13" spans="1:8" ht="96">
      <c r="A13" s="269">
        <v>4.5</v>
      </c>
      <c r="B13" s="263" t="s">
        <v>689</v>
      </c>
      <c r="C13" s="264" t="s">
        <v>683</v>
      </c>
      <c r="D13" s="265">
        <v>6</v>
      </c>
      <c r="E13" s="264">
        <f>3*0.05*1*0.15*30</f>
        <v>0.67500000000000004</v>
      </c>
      <c r="F13" s="270" t="s">
        <v>690</v>
      </c>
      <c r="G13" s="267">
        <v>2774</v>
      </c>
      <c r="H13" s="271">
        <f t="shared" si="0"/>
        <v>11234.700000000003</v>
      </c>
    </row>
    <row r="14" spans="1:8" ht="84">
      <c r="A14" s="269">
        <v>4.5999999999999996</v>
      </c>
      <c r="B14" s="263" t="s">
        <v>691</v>
      </c>
      <c r="C14" s="264" t="s">
        <v>388</v>
      </c>
      <c r="D14" s="265">
        <v>6</v>
      </c>
      <c r="E14" s="264">
        <f>4*3</f>
        <v>12</v>
      </c>
      <c r="F14" s="270" t="s">
        <v>692</v>
      </c>
      <c r="G14" s="267">
        <v>1000</v>
      </c>
      <c r="H14" s="271">
        <f t="shared" si="0"/>
        <v>72000</v>
      </c>
    </row>
    <row r="15" spans="1:8" ht="96">
      <c r="A15" s="269">
        <v>4.7</v>
      </c>
      <c r="B15" s="263" t="s">
        <v>693</v>
      </c>
      <c r="C15" s="264" t="s">
        <v>387</v>
      </c>
      <c r="D15" s="265">
        <v>6</v>
      </c>
      <c r="E15" s="264">
        <f>8*3</f>
        <v>24</v>
      </c>
      <c r="F15" s="270" t="s">
        <v>694</v>
      </c>
      <c r="G15" s="267">
        <v>598</v>
      </c>
      <c r="H15" s="271">
        <f t="shared" si="0"/>
        <v>86112</v>
      </c>
    </row>
    <row r="16" spans="1:8" ht="72">
      <c r="A16" s="269">
        <v>4.8</v>
      </c>
      <c r="B16" s="263" t="s">
        <v>695</v>
      </c>
      <c r="C16" s="264" t="s">
        <v>388</v>
      </c>
      <c r="D16" s="265">
        <v>1</v>
      </c>
      <c r="E16" s="264">
        <v>1</v>
      </c>
      <c r="F16" s="270" t="s">
        <v>696</v>
      </c>
      <c r="G16" s="267">
        <v>299000</v>
      </c>
      <c r="H16" s="271">
        <v>299000</v>
      </c>
    </row>
    <row r="17" spans="1:8" ht="96">
      <c r="A17" s="269">
        <v>4.9000000000000004</v>
      </c>
      <c r="B17" s="263" t="s">
        <v>697</v>
      </c>
      <c r="C17" s="264" t="s">
        <v>388</v>
      </c>
      <c r="D17" s="265">
        <v>1</v>
      </c>
      <c r="E17" s="264">
        <v>1</v>
      </c>
      <c r="F17" s="270" t="s">
        <v>698</v>
      </c>
      <c r="G17" s="267">
        <v>499600</v>
      </c>
      <c r="H17" s="271">
        <v>499600</v>
      </c>
    </row>
    <row r="18" spans="1:8">
      <c r="A18" s="272"/>
      <c r="B18" s="599" t="s">
        <v>699</v>
      </c>
      <c r="C18" s="599"/>
      <c r="D18" s="599"/>
      <c r="E18" s="599"/>
      <c r="F18" s="599"/>
      <c r="G18" s="600"/>
      <c r="H18" s="273">
        <f>SUM(H9:H17)</f>
        <v>3864149.4000000004</v>
      </c>
    </row>
    <row r="26" spans="1:8" ht="16.350000000000001" customHeight="1">
      <c r="B26" s="538"/>
      <c r="C26" s="538"/>
      <c r="D26" s="538"/>
    </row>
    <row r="27" spans="1:8">
      <c r="B27" s="538" t="s">
        <v>781</v>
      </c>
      <c r="C27" s="538"/>
      <c r="D27" s="538"/>
      <c r="E27" s="538"/>
    </row>
  </sheetData>
  <mergeCells count="7">
    <mergeCell ref="B26:D26"/>
    <mergeCell ref="B27:E27"/>
    <mergeCell ref="B18:G18"/>
    <mergeCell ref="A1:F1"/>
    <mergeCell ref="A2:F2"/>
    <mergeCell ref="A3:F3"/>
    <mergeCell ref="A5:F5"/>
  </mergeCells>
  <dataValidations count="2">
    <dataValidation allowBlank="1" showInputMessage="1" showErrorMessage="1" errorTitle="EDU" error="Utilice dos cifras decimales" promptTitle="VIVA" prompt="Utilice dos cifras decimales" sqref="H9:H18" xr:uid="{00000000-0002-0000-0A00-000000000000}"/>
    <dataValidation allowBlank="1" showErrorMessage="1" sqref="B26:B27" xr:uid="{00000000-0002-0000-0A00-000001000000}"/>
  </dataValidations>
  <pageMargins left="0.7" right="0.7" top="0.75" bottom="0.75" header="0.3" footer="0.3"/>
  <pageSetup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92"/>
  <sheetViews>
    <sheetView view="pageBreakPreview" topLeftCell="A70" zoomScale="93" zoomScaleNormal="80" zoomScaleSheetLayoutView="93" workbookViewId="0">
      <selection activeCell="H90" sqref="H90"/>
    </sheetView>
  </sheetViews>
  <sheetFormatPr baseColWidth="10" defaultRowHeight="15"/>
  <cols>
    <col min="1" max="1" width="7.85546875" customWidth="1"/>
    <col min="2" max="2" width="47.42578125" customWidth="1"/>
    <col min="3" max="3" width="15.42578125" customWidth="1"/>
    <col min="4" max="4" width="14.85546875" customWidth="1"/>
    <col min="6" max="6" width="13.42578125" customWidth="1"/>
    <col min="8" max="8" width="18.140625" customWidth="1"/>
    <col min="10" max="10" width="16" bestFit="1" customWidth="1"/>
    <col min="12" max="12" width="12.5703125" bestFit="1" customWidth="1"/>
  </cols>
  <sheetData>
    <row r="1" spans="1:8" ht="18.75">
      <c r="A1" s="480" t="str">
        <f>'DATOS INICIALES'!$B$1</f>
        <v>DEPARTAMENTO DE ANTIOQUIA</v>
      </c>
      <c r="B1" s="481"/>
      <c r="C1" s="481"/>
      <c r="D1" s="481"/>
      <c r="E1" s="482" t="s">
        <v>52</v>
      </c>
      <c r="F1" s="482"/>
      <c r="G1" s="482"/>
      <c r="H1" s="482"/>
    </row>
    <row r="2" spans="1:8" ht="15.75">
      <c r="A2" s="483" t="str">
        <f>'DATOS INICIALES'!$B$2</f>
        <v>MUNICIPIO DE DABEIBA</v>
      </c>
      <c r="B2" s="484"/>
      <c r="C2" s="484"/>
      <c r="D2" s="484"/>
      <c r="E2" s="482"/>
      <c r="F2" s="482"/>
      <c r="G2" s="482"/>
      <c r="H2" s="482"/>
    </row>
    <row r="3" spans="1:8" ht="43.15" customHeight="1">
      <c r="A3" s="485" t="str">
        <f>'DATOS INICIALES'!$B$3</f>
        <v xml:space="preserve">AMPLIACIÓN DEL SISTEMA DE ALCANTARILLADO EN SECTOR DEL BARRIO PABLO VI  DEL MUNICIPIO DE DABEIBA ANTIOQUIA </v>
      </c>
      <c r="B3" s="486"/>
      <c r="C3" s="486"/>
      <c r="D3" s="486"/>
      <c r="E3" s="482"/>
      <c r="F3" s="482"/>
      <c r="G3" s="482"/>
      <c r="H3" s="482"/>
    </row>
    <row r="4" spans="1:8">
      <c r="A4" s="487"/>
      <c r="B4" s="487"/>
      <c r="C4" s="487"/>
      <c r="D4" s="487"/>
      <c r="E4" s="482"/>
      <c r="F4" s="482"/>
      <c r="G4" s="482"/>
      <c r="H4" s="482"/>
    </row>
    <row r="5" spans="1:8">
      <c r="A5" s="489" t="s">
        <v>725</v>
      </c>
      <c r="B5" s="490"/>
      <c r="C5" s="490"/>
      <c r="D5" s="490"/>
      <c r="E5" s="482"/>
      <c r="F5" s="482"/>
      <c r="G5" s="482"/>
      <c r="H5" s="482"/>
    </row>
    <row r="7" spans="1:8">
      <c r="A7" s="22" t="s">
        <v>45</v>
      </c>
      <c r="B7" s="468" t="s">
        <v>46</v>
      </c>
      <c r="C7" s="469"/>
      <c r="D7" s="469"/>
      <c r="E7" s="469"/>
      <c r="F7" s="470"/>
      <c r="G7" s="22" t="s">
        <v>47</v>
      </c>
      <c r="H7" s="22" t="s">
        <v>48</v>
      </c>
    </row>
    <row r="8" spans="1:8" ht="55.15" customHeight="1">
      <c r="A8" s="210" t="str">
        <f>+PRESUPUESTO!A9</f>
        <v>1.1</v>
      </c>
      <c r="B8" s="601" t="str">
        <f>+PRESUPUESTO!D9</f>
        <v>Trazado localización y replanteo  para tramo de alcantarillado y control permanente de alineamientos</v>
      </c>
      <c r="C8" s="601"/>
      <c r="D8" s="601"/>
      <c r="E8" s="601"/>
      <c r="F8" s="601"/>
      <c r="G8" s="200" t="s">
        <v>591</v>
      </c>
      <c r="H8" s="295">
        <f>IFERROR(ROUND(IF(SUM(H11:H13)=0,"",SUM(H11:H13)),0),"")</f>
        <v>84</v>
      </c>
    </row>
    <row r="10" spans="1:8" ht="77.45" customHeight="1">
      <c r="A10" s="602" t="s">
        <v>726</v>
      </c>
      <c r="B10" s="602"/>
      <c r="C10" s="294" t="s">
        <v>727</v>
      </c>
      <c r="D10" s="294" t="s">
        <v>48</v>
      </c>
      <c r="E10" s="294" t="s">
        <v>728</v>
      </c>
      <c r="F10" s="294" t="s">
        <v>729</v>
      </c>
      <c r="G10" s="294" t="s">
        <v>730</v>
      </c>
      <c r="H10" s="294" t="s">
        <v>731</v>
      </c>
    </row>
    <row r="11" spans="1:8" ht="19.149999999999999" customHeight="1">
      <c r="A11" s="210" t="s">
        <v>51</v>
      </c>
      <c r="B11" s="419" t="s">
        <v>939</v>
      </c>
      <c r="C11" s="210"/>
      <c r="D11" s="210"/>
      <c r="E11" s="210">
        <v>84</v>
      </c>
      <c r="F11" s="210"/>
      <c r="G11" s="210"/>
      <c r="H11" s="385">
        <f>+E11</f>
        <v>84</v>
      </c>
    </row>
    <row r="12" spans="1:8">
      <c r="A12" s="210"/>
      <c r="B12" s="384"/>
      <c r="C12" s="210"/>
      <c r="D12" s="210"/>
      <c r="E12" s="210"/>
      <c r="F12" s="210"/>
      <c r="G12" s="210"/>
      <c r="H12" s="385"/>
    </row>
    <row r="13" spans="1:8">
      <c r="A13" s="210"/>
      <c r="B13" s="386"/>
      <c r="C13" s="210"/>
      <c r="D13" s="210"/>
      <c r="E13" s="210"/>
      <c r="F13" s="210"/>
      <c r="G13" s="210"/>
      <c r="H13" s="385" t="str">
        <f>+IF(A13=0,"",IF(AND(E13=0,F13=0,G13=0),C13*D13,IF(AND(F13=0,G13=0),C13*D13*E13,IF(G13=0,C13*D13*E13*F13,C13*D13*E13*F13*G13))))</f>
        <v/>
      </c>
    </row>
    <row r="14" spans="1:8">
      <c r="A14" s="603" t="str">
        <f>+"TOTAL CANTIDAD ITEM "&amp;A9</f>
        <v xml:space="preserve">TOTAL CANTIDAD ITEM </v>
      </c>
      <c r="B14" s="604"/>
      <c r="C14" s="604"/>
      <c r="D14" s="604"/>
      <c r="E14" s="604"/>
      <c r="F14" s="604"/>
      <c r="G14" s="605"/>
      <c r="H14" s="387">
        <f>IFERROR(ROUND(IF(SUM(H11:H13)=0,"",SUM(H11:H13)),0),"")</f>
        <v>84</v>
      </c>
    </row>
    <row r="17" spans="1:8" ht="24" customHeight="1">
      <c r="A17" s="480" t="str">
        <f>'DATOS INICIALES'!$B$1</f>
        <v>DEPARTAMENTO DE ANTIOQUIA</v>
      </c>
      <c r="B17" s="481"/>
      <c r="C17" s="481"/>
      <c r="D17" s="481"/>
      <c r="E17" s="482" t="s">
        <v>52</v>
      </c>
      <c r="F17" s="482"/>
      <c r="G17" s="482"/>
      <c r="H17" s="482"/>
    </row>
    <row r="18" spans="1:8" ht="15.75">
      <c r="A18" s="483" t="str">
        <f>'DATOS INICIALES'!$B$2</f>
        <v>MUNICIPIO DE DABEIBA</v>
      </c>
      <c r="B18" s="484"/>
      <c r="C18" s="484"/>
      <c r="D18" s="484"/>
      <c r="E18" s="482"/>
      <c r="F18" s="482"/>
      <c r="G18" s="482"/>
      <c r="H18" s="482"/>
    </row>
    <row r="19" spans="1:8">
      <c r="A19" s="485" t="str">
        <f>'DATOS INICIALES'!$B$3</f>
        <v xml:space="preserve">AMPLIACIÓN DEL SISTEMA DE ALCANTARILLADO EN SECTOR DEL BARRIO PABLO VI  DEL MUNICIPIO DE DABEIBA ANTIOQUIA </v>
      </c>
      <c r="B19" s="486"/>
      <c r="C19" s="486"/>
      <c r="D19" s="486"/>
      <c r="E19" s="482"/>
      <c r="F19" s="482"/>
      <c r="G19" s="482"/>
      <c r="H19" s="482"/>
    </row>
    <row r="20" spans="1:8">
      <c r="A20" s="487"/>
      <c r="B20" s="487"/>
      <c r="C20" s="487"/>
      <c r="D20" s="487"/>
      <c r="E20" s="482"/>
      <c r="F20" s="482"/>
      <c r="G20" s="482"/>
      <c r="H20" s="482"/>
    </row>
    <row r="21" spans="1:8">
      <c r="A21" s="489" t="s">
        <v>725</v>
      </c>
      <c r="B21" s="490"/>
      <c r="C21" s="490"/>
      <c r="D21" s="490"/>
      <c r="E21" s="482"/>
      <c r="F21" s="482"/>
      <c r="G21" s="482"/>
      <c r="H21" s="482"/>
    </row>
    <row r="23" spans="1:8">
      <c r="A23" s="22" t="s">
        <v>45</v>
      </c>
      <c r="B23" s="468" t="s">
        <v>46</v>
      </c>
      <c r="C23" s="469"/>
      <c r="D23" s="469"/>
      <c r="E23" s="469"/>
      <c r="F23" s="470"/>
      <c r="G23" s="22" t="s">
        <v>47</v>
      </c>
      <c r="H23" s="22" t="s">
        <v>48</v>
      </c>
    </row>
    <row r="24" spans="1:8" ht="26.45" customHeight="1">
      <c r="A24" s="210" t="str">
        <f>+PRESUPUESTO!A10</f>
        <v>1.2</v>
      </c>
      <c r="B24" s="601" t="str">
        <f>+PRESUPUESTO!D10</f>
        <v xml:space="preserve">excavacion de material heterogeneo a una pofundiad entre 1.20m - 1.50m, incluye retiro, transporte y disposicion final de material resultante de las actividades </v>
      </c>
      <c r="C24" s="601"/>
      <c r="D24" s="601"/>
      <c r="E24" s="601"/>
      <c r="F24" s="601"/>
      <c r="G24" s="200" t="str">
        <f>+PRESUPUESTO!E11</f>
        <v>ml</v>
      </c>
      <c r="H24" s="295">
        <f>IFERROR(ROUND(IF(SUM(H27:H29)=0,"",SUM(H27:H29)),0),"")</f>
        <v>34</v>
      </c>
    </row>
    <row r="25" spans="1:8" ht="50.25" customHeight="1"/>
    <row r="26" spans="1:8">
      <c r="A26" s="602" t="s">
        <v>726</v>
      </c>
      <c r="B26" s="602"/>
      <c r="C26" s="294" t="s">
        <v>727</v>
      </c>
      <c r="D26" s="294" t="s">
        <v>48</v>
      </c>
      <c r="E26" s="294" t="s">
        <v>728</v>
      </c>
      <c r="F26" s="294" t="s">
        <v>729</v>
      </c>
      <c r="G26" s="294" t="s">
        <v>730</v>
      </c>
      <c r="H26" s="294" t="s">
        <v>731</v>
      </c>
    </row>
    <row r="27" spans="1:8">
      <c r="A27" s="210">
        <v>1.1000000000000001</v>
      </c>
      <c r="B27" s="419" t="s">
        <v>940</v>
      </c>
      <c r="C27" s="210">
        <v>1</v>
      </c>
      <c r="D27" s="210">
        <v>1</v>
      </c>
      <c r="E27" s="210">
        <v>84</v>
      </c>
      <c r="F27" s="210">
        <v>1</v>
      </c>
      <c r="G27" s="210">
        <v>0.4</v>
      </c>
      <c r="H27" s="385">
        <f>+IF(A27=0,"",IF(AND(E27=0,F27=0,G27=0),C27*D27,IF(AND(F27=0,G27=0),C27*D27*E27,IF(G27=0,C27*D27*E27*F27,C27*D27*E27*F27*G27))))</f>
        <v>33.6</v>
      </c>
    </row>
    <row r="28" spans="1:8" ht="13.15" customHeight="1">
      <c r="A28" s="210"/>
      <c r="B28" s="384"/>
      <c r="C28" s="210"/>
      <c r="D28" s="210"/>
      <c r="E28" s="210"/>
      <c r="F28" s="210"/>
      <c r="G28" s="210"/>
      <c r="H28" s="385">
        <f>+D28*E28</f>
        <v>0</v>
      </c>
    </row>
    <row r="29" spans="1:8">
      <c r="A29" s="210"/>
      <c r="B29" s="384"/>
      <c r="C29" s="210"/>
      <c r="D29" s="210"/>
      <c r="E29" s="210"/>
      <c r="F29" s="210"/>
      <c r="G29" s="210"/>
      <c r="H29" s="385"/>
    </row>
    <row r="30" spans="1:8">
      <c r="A30" s="603" t="str">
        <f>+"TOTAL CANTIDAD ITEM "&amp;A25</f>
        <v xml:space="preserve">TOTAL CANTIDAD ITEM </v>
      </c>
      <c r="B30" s="604"/>
      <c r="C30" s="604"/>
      <c r="D30" s="604"/>
      <c r="E30" s="604"/>
      <c r="F30" s="604"/>
      <c r="G30" s="605"/>
      <c r="H30" s="387">
        <f>IFERROR(ROUND(IF(SUM(H27:H29)=0,"",SUM(H27:H29)),0),"")</f>
        <v>34</v>
      </c>
    </row>
    <row r="31" spans="1:8">
      <c r="A31" s="613"/>
      <c r="B31" s="613"/>
      <c r="C31" s="613"/>
      <c r="D31" s="613"/>
      <c r="E31" s="613"/>
      <c r="F31" s="613"/>
      <c r="G31" s="613"/>
      <c r="H31" s="613"/>
    </row>
    <row r="32" spans="1:8" ht="18.75">
      <c r="A32" s="480" t="str">
        <f>'DATOS INICIALES'!$B$1</f>
        <v>DEPARTAMENTO DE ANTIOQUIA</v>
      </c>
      <c r="B32" s="481"/>
      <c r="C32" s="481"/>
      <c r="D32" s="481"/>
      <c r="E32" s="482" t="s">
        <v>52</v>
      </c>
      <c r="F32" s="482"/>
      <c r="G32" s="482"/>
      <c r="H32" s="482"/>
    </row>
    <row r="33" spans="1:10" ht="15.75">
      <c r="A33" s="483" t="str">
        <f>'DATOS INICIALES'!$B$2</f>
        <v>MUNICIPIO DE DABEIBA</v>
      </c>
      <c r="B33" s="484"/>
      <c r="C33" s="484"/>
      <c r="D33" s="484"/>
      <c r="E33" s="482"/>
      <c r="F33" s="482"/>
      <c r="G33" s="482"/>
      <c r="H33" s="482"/>
    </row>
    <row r="34" spans="1:10">
      <c r="A34" s="485" t="str">
        <f>'DATOS INICIALES'!$B$3</f>
        <v xml:space="preserve">AMPLIACIÓN DEL SISTEMA DE ALCANTARILLADO EN SECTOR DEL BARRIO PABLO VI  DEL MUNICIPIO DE DABEIBA ANTIOQUIA </v>
      </c>
      <c r="B34" s="486"/>
      <c r="C34" s="486"/>
      <c r="D34" s="486"/>
      <c r="E34" s="482"/>
      <c r="F34" s="482"/>
      <c r="G34" s="482"/>
      <c r="H34" s="482"/>
    </row>
    <row r="35" spans="1:10">
      <c r="A35" s="487"/>
      <c r="B35" s="487"/>
      <c r="C35" s="487"/>
      <c r="D35" s="487"/>
      <c r="E35" s="482"/>
      <c r="F35" s="482"/>
      <c r="G35" s="482"/>
      <c r="H35" s="482"/>
    </row>
    <row r="36" spans="1:10">
      <c r="A36" s="489" t="s">
        <v>725</v>
      </c>
      <c r="B36" s="490"/>
      <c r="C36" s="490"/>
      <c r="D36" s="490"/>
      <c r="E36" s="482"/>
      <c r="F36" s="482"/>
      <c r="G36" s="482"/>
      <c r="H36" s="482"/>
    </row>
    <row r="37" spans="1:10" ht="49.5" customHeight="1"/>
    <row r="38" spans="1:10">
      <c r="A38" s="22" t="s">
        <v>45</v>
      </c>
      <c r="B38" s="468" t="s">
        <v>46</v>
      </c>
      <c r="C38" s="469"/>
      <c r="D38" s="469"/>
      <c r="E38" s="469"/>
      <c r="F38" s="470"/>
      <c r="G38" s="22" t="s">
        <v>47</v>
      </c>
      <c r="H38" s="22" t="s">
        <v>48</v>
      </c>
    </row>
    <row r="39" spans="1:10" ht="36.75" customHeight="1">
      <c r="A39" s="210" t="str">
        <f>+PRESUPUESTO!A11</f>
        <v>1.3</v>
      </c>
      <c r="B39" s="609" t="str">
        <f>+PRESUPUESTO!D11</f>
        <v xml:space="preserve">suministro e instalacion de tuberia novafort 8 ", incluye transportes, arenas y material granular  necesarios para su correcto funcionamiento </v>
      </c>
      <c r="C39" s="609"/>
      <c r="D39" s="609"/>
      <c r="E39" s="609"/>
      <c r="F39" s="609"/>
      <c r="G39" s="200" t="s">
        <v>526</v>
      </c>
      <c r="H39" s="295">
        <f>+H45</f>
        <v>84</v>
      </c>
    </row>
    <row r="40" spans="1:10" ht="36.6" customHeight="1"/>
    <row r="41" spans="1:10" ht="32.450000000000003" customHeight="1">
      <c r="A41" s="602" t="s">
        <v>726</v>
      </c>
      <c r="B41" s="602"/>
      <c r="C41" s="294" t="s">
        <v>727</v>
      </c>
      <c r="D41" s="294" t="s">
        <v>48</v>
      </c>
      <c r="E41" s="294" t="s">
        <v>728</v>
      </c>
      <c r="F41" s="294" t="s">
        <v>729</v>
      </c>
      <c r="G41" s="294" t="s">
        <v>730</v>
      </c>
      <c r="H41" s="294" t="s">
        <v>731</v>
      </c>
      <c r="J41" s="420" t="s">
        <v>953</v>
      </c>
    </row>
    <row r="42" spans="1:10" ht="21" customHeight="1">
      <c r="A42" s="210" t="s">
        <v>51</v>
      </c>
      <c r="B42" s="384" t="s">
        <v>939</v>
      </c>
      <c r="C42" s="210"/>
      <c r="D42" s="210"/>
      <c r="E42" s="210">
        <v>84</v>
      </c>
      <c r="F42" s="210"/>
      <c r="G42" s="210"/>
      <c r="H42" s="408">
        <f>+E42</f>
        <v>84</v>
      </c>
    </row>
    <row r="43" spans="1:10" ht="18" customHeight="1">
      <c r="A43" s="210"/>
      <c r="B43" s="409"/>
      <c r="C43" s="210"/>
      <c r="D43" s="210"/>
      <c r="E43" s="210"/>
      <c r="F43" s="210"/>
      <c r="G43" s="210"/>
      <c r="H43" s="408">
        <f>+E43*F43*G43</f>
        <v>0</v>
      </c>
    </row>
    <row r="44" spans="1:10" ht="16.149999999999999" customHeight="1">
      <c r="A44" s="210"/>
      <c r="B44" s="384"/>
      <c r="C44" s="210"/>
      <c r="D44" s="210"/>
      <c r="E44" s="210"/>
      <c r="F44" s="210"/>
      <c r="G44" s="210"/>
      <c r="H44" s="385"/>
    </row>
    <row r="45" spans="1:10" ht="32.450000000000003" customHeight="1">
      <c r="A45" s="606" t="str">
        <f>+"TOTAL CANTIDAD ITEM "&amp;A40</f>
        <v xml:space="preserve">TOTAL CANTIDAD ITEM </v>
      </c>
      <c r="B45" s="607"/>
      <c r="C45" s="607"/>
      <c r="D45" s="607"/>
      <c r="E45" s="607"/>
      <c r="F45" s="607"/>
      <c r="G45" s="608"/>
      <c r="H45" s="295">
        <f>+H42+H43</f>
        <v>84</v>
      </c>
    </row>
    <row r="46" spans="1:10" ht="32.450000000000003" customHeight="1">
      <c r="A46" s="610"/>
      <c r="B46" s="611"/>
      <c r="C46" s="611"/>
      <c r="D46" s="611"/>
      <c r="E46" s="611"/>
      <c r="F46" s="611"/>
      <c r="G46" s="611"/>
      <c r="H46" s="612"/>
    </row>
    <row r="47" spans="1:10" ht="32.450000000000003" customHeight="1">
      <c r="A47" s="480" t="str">
        <f>'DATOS INICIALES'!$B$1</f>
        <v>DEPARTAMENTO DE ANTIOQUIA</v>
      </c>
      <c r="B47" s="481"/>
      <c r="C47" s="481"/>
      <c r="D47" s="481"/>
      <c r="E47" s="482" t="s">
        <v>52</v>
      </c>
      <c r="F47" s="482"/>
      <c r="G47" s="482"/>
      <c r="H47" s="482"/>
    </row>
    <row r="48" spans="1:10" ht="32.450000000000003" customHeight="1">
      <c r="A48" s="483" t="str">
        <f>'DATOS INICIALES'!$B$2</f>
        <v>MUNICIPIO DE DABEIBA</v>
      </c>
      <c r="B48" s="484"/>
      <c r="C48" s="484"/>
      <c r="D48" s="484"/>
      <c r="E48" s="482"/>
      <c r="F48" s="482"/>
      <c r="G48" s="482"/>
      <c r="H48" s="482"/>
    </row>
    <row r="49" spans="1:8" ht="32.450000000000003" customHeight="1">
      <c r="A49" s="485" t="str">
        <f>'DATOS INICIALES'!$B$3</f>
        <v xml:space="preserve">AMPLIACIÓN DEL SISTEMA DE ALCANTARILLADO EN SECTOR DEL BARRIO PABLO VI  DEL MUNICIPIO DE DABEIBA ANTIOQUIA </v>
      </c>
      <c r="B49" s="486"/>
      <c r="C49" s="486"/>
      <c r="D49" s="486"/>
      <c r="E49" s="482"/>
      <c r="F49" s="482"/>
      <c r="G49" s="482"/>
      <c r="H49" s="482"/>
    </row>
    <row r="50" spans="1:8" ht="32.450000000000003" customHeight="1">
      <c r="A50" s="487"/>
      <c r="B50" s="487"/>
      <c r="C50" s="487"/>
      <c r="D50" s="487"/>
      <c r="E50" s="482"/>
      <c r="F50" s="482"/>
      <c r="G50" s="482"/>
      <c r="H50" s="482"/>
    </row>
    <row r="51" spans="1:8" ht="32.450000000000003" customHeight="1">
      <c r="A51" s="489" t="s">
        <v>725</v>
      </c>
      <c r="B51" s="490"/>
      <c r="C51" s="490"/>
      <c r="D51" s="490"/>
      <c r="E51" s="482"/>
      <c r="F51" s="482"/>
      <c r="G51" s="482"/>
      <c r="H51" s="482"/>
    </row>
    <row r="53" spans="1:8" ht="67.7" customHeight="1">
      <c r="A53" s="22" t="s">
        <v>45</v>
      </c>
      <c r="B53" s="468" t="s">
        <v>46</v>
      </c>
      <c r="C53" s="469"/>
      <c r="D53" s="469"/>
      <c r="E53" s="469"/>
      <c r="F53" s="470"/>
      <c r="G53" s="22" t="s">
        <v>47</v>
      </c>
      <c r="H53" s="22" t="s">
        <v>48</v>
      </c>
    </row>
    <row r="54" spans="1:8" ht="34.9" customHeight="1">
      <c r="A54" s="210" t="str">
        <f>+PRESUPUESTO!A12</f>
        <v>1.4</v>
      </c>
      <c r="B54" s="609" t="str">
        <f>+PRESUPUESTO!D12</f>
        <v xml:space="preserve">suministro e instalacion de silla yee 8x4 en acometidas de viviendas, incluye transporte y todo lo necesario para su correcto funcionamiento </v>
      </c>
      <c r="C54" s="609"/>
      <c r="D54" s="609"/>
      <c r="E54" s="609"/>
      <c r="F54" s="609"/>
      <c r="G54" s="200" t="s">
        <v>915</v>
      </c>
      <c r="H54" s="295">
        <f>IFERROR(ROUND(IF(SUM(H57:H59)=0,"",SUM(H57:H59)),0),"")</f>
        <v>8</v>
      </c>
    </row>
    <row r="56" spans="1:8">
      <c r="A56" s="602" t="s">
        <v>726</v>
      </c>
      <c r="B56" s="602"/>
      <c r="C56" s="294" t="s">
        <v>727</v>
      </c>
      <c r="D56" s="294" t="s">
        <v>48</v>
      </c>
      <c r="E56" s="294" t="s">
        <v>728</v>
      </c>
      <c r="F56" s="294" t="s">
        <v>729</v>
      </c>
      <c r="G56" s="294" t="s">
        <v>730</v>
      </c>
      <c r="H56" s="294" t="s">
        <v>731</v>
      </c>
    </row>
    <row r="57" spans="1:8">
      <c r="A57" s="210" t="s">
        <v>51</v>
      </c>
      <c r="B57" s="384" t="s">
        <v>941</v>
      </c>
      <c r="C57" s="210"/>
      <c r="D57" s="210">
        <v>8</v>
      </c>
      <c r="E57" s="210"/>
      <c r="F57" s="210"/>
      <c r="G57" s="210"/>
      <c r="H57" s="385">
        <f>+D57</f>
        <v>8</v>
      </c>
    </row>
    <row r="58" spans="1:8">
      <c r="A58" s="210"/>
      <c r="B58" s="384"/>
      <c r="C58" s="210"/>
      <c r="D58" s="210"/>
      <c r="E58" s="210"/>
      <c r="F58" s="210"/>
      <c r="G58" s="210"/>
      <c r="H58" s="385">
        <f t="shared" ref="H58" si="0">+D58</f>
        <v>0</v>
      </c>
    </row>
    <row r="59" spans="1:8">
      <c r="A59" s="210"/>
      <c r="B59" s="384"/>
      <c r="C59" s="210"/>
      <c r="D59" s="210"/>
      <c r="E59" s="210"/>
      <c r="F59" s="210"/>
      <c r="G59" s="210"/>
      <c r="H59" s="385"/>
    </row>
    <row r="60" spans="1:8" ht="24" customHeight="1">
      <c r="A60" s="606" t="str">
        <f>+"TOTAL CANTIDAD ITEM "&amp;A55</f>
        <v xml:space="preserve">TOTAL CANTIDAD ITEM </v>
      </c>
      <c r="B60" s="607"/>
      <c r="C60" s="607"/>
      <c r="D60" s="607"/>
      <c r="E60" s="607"/>
      <c r="F60" s="607"/>
      <c r="G60" s="608"/>
      <c r="H60" s="295">
        <f>IFERROR(ROUND(IF(SUM(H57:H59)=0,"",SUM(H57:H59)),0),"")</f>
        <v>8</v>
      </c>
    </row>
    <row r="61" spans="1:8">
      <c r="A61" s="526"/>
      <c r="B61" s="526"/>
      <c r="C61" s="526"/>
      <c r="D61" s="526"/>
      <c r="E61" s="526"/>
      <c r="F61" s="526"/>
      <c r="G61" s="526"/>
      <c r="H61" s="526"/>
    </row>
    <row r="63" spans="1:8" ht="18.75">
      <c r="A63" s="480" t="str">
        <f>'DATOS INICIALES'!$B$1</f>
        <v>DEPARTAMENTO DE ANTIOQUIA</v>
      </c>
      <c r="B63" s="481"/>
      <c r="C63" s="481"/>
      <c r="D63" s="481"/>
      <c r="E63" s="482" t="s">
        <v>52</v>
      </c>
      <c r="F63" s="482"/>
      <c r="G63" s="482"/>
      <c r="H63" s="482"/>
    </row>
    <row r="64" spans="1:8" ht="15.75">
      <c r="A64" s="483" t="str">
        <f>'DATOS INICIALES'!$B$2</f>
        <v>MUNICIPIO DE DABEIBA</v>
      </c>
      <c r="B64" s="484"/>
      <c r="C64" s="484"/>
      <c r="D64" s="484"/>
      <c r="E64" s="482"/>
      <c r="F64" s="482"/>
      <c r="G64" s="482"/>
      <c r="H64" s="482"/>
    </row>
    <row r="65" spans="1:8">
      <c r="A65" s="485" t="str">
        <f>'DATOS INICIALES'!$B$3</f>
        <v xml:space="preserve">AMPLIACIÓN DEL SISTEMA DE ALCANTARILLADO EN SECTOR DEL BARRIO PABLO VI  DEL MUNICIPIO DE DABEIBA ANTIOQUIA </v>
      </c>
      <c r="B65" s="486"/>
      <c r="C65" s="486"/>
      <c r="D65" s="486"/>
      <c r="E65" s="482"/>
      <c r="F65" s="482"/>
      <c r="G65" s="482"/>
      <c r="H65" s="482"/>
    </row>
    <row r="66" spans="1:8">
      <c r="A66" s="487"/>
      <c r="B66" s="487"/>
      <c r="C66" s="487"/>
      <c r="D66" s="487"/>
      <c r="E66" s="482"/>
      <c r="F66" s="482"/>
      <c r="G66" s="482"/>
      <c r="H66" s="482"/>
    </row>
    <row r="67" spans="1:8">
      <c r="A67" s="489" t="s">
        <v>725</v>
      </c>
      <c r="B67" s="490"/>
      <c r="C67" s="490"/>
      <c r="D67" s="490"/>
      <c r="E67" s="482"/>
      <c r="F67" s="482"/>
      <c r="G67" s="482"/>
      <c r="H67" s="482"/>
    </row>
    <row r="69" spans="1:8">
      <c r="A69" s="22" t="s">
        <v>45</v>
      </c>
      <c r="B69" s="468" t="s">
        <v>46</v>
      </c>
      <c r="C69" s="469"/>
      <c r="D69" s="469"/>
      <c r="E69" s="469"/>
      <c r="F69" s="470"/>
      <c r="G69" s="22" t="s">
        <v>47</v>
      </c>
      <c r="H69" s="22" t="s">
        <v>48</v>
      </c>
    </row>
    <row r="70" spans="1:8">
      <c r="A70" s="210" t="str">
        <f>+PRESUPUESTO!A13</f>
        <v>1.5</v>
      </c>
      <c r="B70" s="609" t="str">
        <f>+PRESUPUESTO!D13</f>
        <v xml:space="preserve">Relleno con material de excavación </v>
      </c>
      <c r="C70" s="609"/>
      <c r="D70" s="609"/>
      <c r="E70" s="609"/>
      <c r="F70" s="609"/>
      <c r="G70" s="200" t="s">
        <v>915</v>
      </c>
      <c r="H70" s="295">
        <f>IFERROR(ROUND(IF(SUM(H73:H75)=0,"",SUM(H73:H75)),0),"")</f>
        <v>19</v>
      </c>
    </row>
    <row r="72" spans="1:8">
      <c r="A72" s="602" t="s">
        <v>726</v>
      </c>
      <c r="B72" s="602"/>
      <c r="C72" s="294" t="s">
        <v>727</v>
      </c>
      <c r="D72" s="294" t="s">
        <v>48</v>
      </c>
      <c r="E72" s="294" t="s">
        <v>728</v>
      </c>
      <c r="F72" s="294" t="s">
        <v>729</v>
      </c>
      <c r="G72" s="294" t="s">
        <v>730</v>
      </c>
      <c r="H72" s="294" t="s">
        <v>731</v>
      </c>
    </row>
    <row r="73" spans="1:8">
      <c r="A73" s="210" t="s">
        <v>51</v>
      </c>
      <c r="B73" s="384" t="s">
        <v>951</v>
      </c>
      <c r="C73" s="210"/>
      <c r="D73" s="210">
        <v>1</v>
      </c>
      <c r="E73" s="210">
        <v>84</v>
      </c>
      <c r="F73" s="210">
        <v>0.5</v>
      </c>
      <c r="G73" s="210">
        <v>0.45</v>
      </c>
      <c r="H73" s="385">
        <f>+E73*F73*G73</f>
        <v>18.900000000000002</v>
      </c>
    </row>
    <row r="74" spans="1:8">
      <c r="A74" s="210"/>
      <c r="B74" s="384"/>
      <c r="C74" s="210"/>
      <c r="D74" s="210"/>
      <c r="E74" s="210"/>
      <c r="F74" s="210"/>
      <c r="G74" s="210"/>
      <c r="H74" s="385">
        <f t="shared" ref="H74" si="1">+D74</f>
        <v>0</v>
      </c>
    </row>
    <row r="75" spans="1:8">
      <c r="A75" s="210"/>
      <c r="B75" s="384"/>
      <c r="C75" s="210"/>
      <c r="D75" s="210"/>
      <c r="E75" s="210"/>
      <c r="F75" s="210"/>
      <c r="G75" s="210"/>
      <c r="H75" s="385"/>
    </row>
    <row r="76" spans="1:8">
      <c r="A76" s="606" t="str">
        <f>+"TOTAL CANTIDAD ITEM "&amp;A71</f>
        <v xml:space="preserve">TOTAL CANTIDAD ITEM </v>
      </c>
      <c r="B76" s="607"/>
      <c r="C76" s="607"/>
      <c r="D76" s="607"/>
      <c r="E76" s="607"/>
      <c r="F76" s="607"/>
      <c r="G76" s="608"/>
      <c r="H76" s="295">
        <f>IFERROR(ROUND(IF(SUM(H73:H75)=0,"",SUM(H73:H75)),0),"")</f>
        <v>19</v>
      </c>
    </row>
    <row r="77" spans="1:8">
      <c r="A77" s="526"/>
      <c r="B77" s="526"/>
      <c r="C77" s="526"/>
      <c r="D77" s="526"/>
      <c r="E77" s="526"/>
      <c r="F77" s="526"/>
      <c r="G77" s="526"/>
      <c r="H77" s="526"/>
    </row>
    <row r="78" spans="1:8" ht="35.450000000000003" customHeight="1">
      <c r="A78" s="421"/>
      <c r="B78" s="421"/>
      <c r="C78" s="421"/>
      <c r="D78" s="421"/>
      <c r="E78" s="421"/>
      <c r="F78" s="421"/>
      <c r="G78" s="421"/>
      <c r="H78" s="421"/>
    </row>
    <row r="79" spans="1:8" ht="18.75">
      <c r="A79" s="480" t="str">
        <f>'DATOS INICIALES'!$B$1</f>
        <v>DEPARTAMENTO DE ANTIOQUIA</v>
      </c>
      <c r="B79" s="481"/>
      <c r="C79" s="481"/>
      <c r="D79" s="481"/>
      <c r="E79" s="482" t="s">
        <v>52</v>
      </c>
      <c r="F79" s="482"/>
      <c r="G79" s="482"/>
      <c r="H79" s="482"/>
    </row>
    <row r="80" spans="1:8" ht="15.75">
      <c r="A80" s="483" t="str">
        <f>'DATOS INICIALES'!$B$2</f>
        <v>MUNICIPIO DE DABEIBA</v>
      </c>
      <c r="B80" s="484"/>
      <c r="C80" s="484"/>
      <c r="D80" s="484"/>
      <c r="E80" s="482"/>
      <c r="F80" s="482"/>
      <c r="G80" s="482"/>
      <c r="H80" s="482"/>
    </row>
    <row r="81" spans="1:8">
      <c r="A81" s="485" t="str">
        <f>'DATOS INICIALES'!$B$3</f>
        <v xml:space="preserve">AMPLIACIÓN DEL SISTEMA DE ALCANTARILLADO EN SECTOR DEL BARRIO PABLO VI  DEL MUNICIPIO DE DABEIBA ANTIOQUIA </v>
      </c>
      <c r="B81" s="486"/>
      <c r="C81" s="486"/>
      <c r="D81" s="486"/>
      <c r="E81" s="482"/>
      <c r="F81" s="482"/>
      <c r="G81" s="482"/>
      <c r="H81" s="482"/>
    </row>
    <row r="82" spans="1:8">
      <c r="A82" s="487"/>
      <c r="B82" s="487"/>
      <c r="C82" s="487"/>
      <c r="D82" s="487"/>
      <c r="E82" s="482"/>
      <c r="F82" s="482"/>
      <c r="G82" s="482"/>
      <c r="H82" s="482"/>
    </row>
    <row r="83" spans="1:8">
      <c r="A83" s="489" t="s">
        <v>725</v>
      </c>
      <c r="B83" s="490"/>
      <c r="C83" s="490"/>
      <c r="D83" s="490"/>
      <c r="E83" s="482"/>
      <c r="F83" s="482"/>
      <c r="G83" s="482"/>
      <c r="H83" s="482"/>
    </row>
    <row r="85" spans="1:8">
      <c r="A85" s="22" t="s">
        <v>45</v>
      </c>
      <c r="B85" s="468" t="s">
        <v>46</v>
      </c>
      <c r="C85" s="469"/>
      <c r="D85" s="469"/>
      <c r="E85" s="469"/>
      <c r="F85" s="470"/>
      <c r="G85" s="22" t="s">
        <v>47</v>
      </c>
      <c r="H85" s="22" t="s">
        <v>48</v>
      </c>
    </row>
    <row r="86" spans="1:8">
      <c r="A86" s="210" t="e">
        <f>+PRESUPUESTO!#REF!</f>
        <v>#REF!</v>
      </c>
      <c r="B86" s="609" t="e">
        <f>+PRESUPUESTO!#REF!</f>
        <v>#REF!</v>
      </c>
      <c r="C86" s="609"/>
      <c r="D86" s="609"/>
      <c r="E86" s="609"/>
      <c r="F86" s="609"/>
      <c r="G86" s="200" t="s">
        <v>915</v>
      </c>
      <c r="H86" s="295">
        <f>IFERROR(ROUND(IF(SUM(H89:H91)=0,"",SUM(H89:H91)),0),"")</f>
        <v>1</v>
      </c>
    </row>
    <row r="88" spans="1:8">
      <c r="A88" s="602" t="s">
        <v>726</v>
      </c>
      <c r="B88" s="602"/>
      <c r="C88" s="294" t="s">
        <v>727</v>
      </c>
      <c r="D88" s="294" t="s">
        <v>48</v>
      </c>
      <c r="E88" s="294" t="s">
        <v>728</v>
      </c>
      <c r="F88" s="294" t="s">
        <v>729</v>
      </c>
      <c r="G88" s="294" t="s">
        <v>730</v>
      </c>
      <c r="H88" s="294" t="s">
        <v>731</v>
      </c>
    </row>
    <row r="89" spans="1:8">
      <c r="A89" s="210" t="s">
        <v>51</v>
      </c>
      <c r="B89" s="384" t="s">
        <v>955</v>
      </c>
      <c r="C89" s="210"/>
      <c r="D89" s="210">
        <v>1</v>
      </c>
      <c r="E89" s="210"/>
      <c r="F89" s="210"/>
      <c r="G89" s="210"/>
      <c r="H89" s="385">
        <f>+D89</f>
        <v>1</v>
      </c>
    </row>
    <row r="90" spans="1:8">
      <c r="A90" s="210"/>
      <c r="B90" s="384"/>
      <c r="C90" s="210"/>
      <c r="D90" s="210"/>
      <c r="E90" s="210"/>
      <c r="F90" s="210"/>
      <c r="G90" s="210"/>
      <c r="H90" s="385">
        <f t="shared" ref="H90" si="2">+D90</f>
        <v>0</v>
      </c>
    </row>
    <row r="91" spans="1:8">
      <c r="A91" s="210"/>
      <c r="B91" s="384"/>
      <c r="C91" s="210"/>
      <c r="D91" s="210"/>
      <c r="E91" s="210"/>
      <c r="F91" s="210"/>
      <c r="G91" s="210"/>
      <c r="H91" s="385"/>
    </row>
    <row r="92" spans="1:8">
      <c r="A92" s="606" t="str">
        <f>+"TOTAL CANTIDAD ITEM "&amp;A87</f>
        <v xml:space="preserve">TOTAL CANTIDAD ITEM </v>
      </c>
      <c r="B92" s="607"/>
      <c r="C92" s="607"/>
      <c r="D92" s="607"/>
      <c r="E92" s="607"/>
      <c r="F92" s="607"/>
      <c r="G92" s="608"/>
      <c r="H92" s="295">
        <f>IFERROR(ROUND(IF(SUM(H89:H91)=0,"",SUM(H89:H91)),0),"")</f>
        <v>1</v>
      </c>
    </row>
  </sheetData>
  <mergeCells count="64">
    <mergeCell ref="B85:F85"/>
    <mergeCell ref="B86:F86"/>
    <mergeCell ref="A88:B88"/>
    <mergeCell ref="A92:G92"/>
    <mergeCell ref="A79:D79"/>
    <mergeCell ref="E79:H83"/>
    <mergeCell ref="A80:D80"/>
    <mergeCell ref="A81:D81"/>
    <mergeCell ref="A82:D82"/>
    <mergeCell ref="A83:D83"/>
    <mergeCell ref="B69:F69"/>
    <mergeCell ref="B70:F70"/>
    <mergeCell ref="A72:B72"/>
    <mergeCell ref="A76:G76"/>
    <mergeCell ref="A77:H77"/>
    <mergeCell ref="A63:D63"/>
    <mergeCell ref="E63:H67"/>
    <mergeCell ref="A64:D64"/>
    <mergeCell ref="A65:D65"/>
    <mergeCell ref="A66:D66"/>
    <mergeCell ref="A67:D67"/>
    <mergeCell ref="A56:B56"/>
    <mergeCell ref="B23:F23"/>
    <mergeCell ref="B24:F24"/>
    <mergeCell ref="A26:B26"/>
    <mergeCell ref="A30:G30"/>
    <mergeCell ref="A31:H31"/>
    <mergeCell ref="A32:D32"/>
    <mergeCell ref="E32:H36"/>
    <mergeCell ref="A33:D33"/>
    <mergeCell ref="A34:D34"/>
    <mergeCell ref="A35:D35"/>
    <mergeCell ref="A17:D17"/>
    <mergeCell ref="E17:H21"/>
    <mergeCell ref="A18:D18"/>
    <mergeCell ref="A19:D19"/>
    <mergeCell ref="A20:D20"/>
    <mergeCell ref="A21:D21"/>
    <mergeCell ref="A60:G60"/>
    <mergeCell ref="A61:H61"/>
    <mergeCell ref="A47:D47"/>
    <mergeCell ref="E47:H51"/>
    <mergeCell ref="A36:D36"/>
    <mergeCell ref="A48:D48"/>
    <mergeCell ref="A49:D49"/>
    <mergeCell ref="A50:D50"/>
    <mergeCell ref="A51:D51"/>
    <mergeCell ref="B38:F38"/>
    <mergeCell ref="B39:F39"/>
    <mergeCell ref="A41:B41"/>
    <mergeCell ref="A45:G45"/>
    <mergeCell ref="A46:H46"/>
    <mergeCell ref="B53:F53"/>
    <mergeCell ref="B54:F54"/>
    <mergeCell ref="B7:F7"/>
    <mergeCell ref="B8:F8"/>
    <mergeCell ref="A10:B10"/>
    <mergeCell ref="A14:G14"/>
    <mergeCell ref="A1:D1"/>
    <mergeCell ref="E1:H5"/>
    <mergeCell ref="A2:D2"/>
    <mergeCell ref="A3:D3"/>
    <mergeCell ref="A4:D4"/>
    <mergeCell ref="A5:D5"/>
  </mergeCells>
  <phoneticPr fontId="35" type="noConversion"/>
  <pageMargins left="0.70866141732283472" right="0.70866141732283472" top="0.74803149606299213" bottom="0.74803149606299213" header="0.31496062992125984" footer="0.31496062992125984"/>
  <pageSetup scale="23" orientation="portrait" r:id="rId1"/>
  <rowBreaks count="1" manualBreakCount="1">
    <brk id="6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15"/>
  <sheetViews>
    <sheetView view="pageBreakPreview" zoomScale="85" zoomScaleNormal="90" zoomScaleSheetLayoutView="85" workbookViewId="0">
      <pane ySplit="7" topLeftCell="A20" activePane="bottomLeft" state="frozen"/>
      <selection pane="bottomLeft" activeCell="F29" sqref="F29"/>
    </sheetView>
  </sheetViews>
  <sheetFormatPr baseColWidth="10" defaultRowHeight="15"/>
  <cols>
    <col min="2" max="2" width="65.42578125" customWidth="1"/>
    <col min="4" max="5" width="13.5703125" bestFit="1" customWidth="1"/>
  </cols>
  <sheetData>
    <row r="1" spans="1:4" ht="26.25">
      <c r="A1" s="570" t="s">
        <v>0</v>
      </c>
      <c r="B1" s="507"/>
      <c r="C1" s="596" t="s">
        <v>52</v>
      </c>
      <c r="D1" s="596"/>
    </row>
    <row r="2" spans="1:4" ht="21" customHeight="1">
      <c r="A2" s="577" t="str">
        <f>'DATOS INICIALES'!B6</f>
        <v>MUNICIPIO DE DABEIBA</v>
      </c>
      <c r="B2" s="515"/>
      <c r="C2" s="596"/>
      <c r="D2" s="596"/>
    </row>
    <row r="3" spans="1:4" ht="52.35" customHeight="1">
      <c r="A3" s="615" t="str">
        <f>'DATOS INICIALES'!B3</f>
        <v xml:space="preserve">AMPLIACIÓN DEL SISTEMA DE ALCANTARILLADO EN SECTOR DEL BARRIO PABLO VI  DEL MUNICIPIO DE DABEIBA ANTIOQUIA </v>
      </c>
      <c r="B3" s="616"/>
      <c r="C3" s="596"/>
      <c r="D3" s="596"/>
    </row>
    <row r="4" spans="1:4" ht="14.45" customHeight="1">
      <c r="A4" s="69"/>
      <c r="B4" s="4"/>
      <c r="C4" s="596"/>
      <c r="D4" s="596"/>
    </row>
    <row r="5" spans="1:4" ht="15.6" customHeight="1">
      <c r="A5" s="617" t="s">
        <v>148</v>
      </c>
      <c r="B5" s="618"/>
      <c r="C5" s="596"/>
      <c r="D5" s="596"/>
    </row>
    <row r="7" spans="1:4" ht="25.5">
      <c r="A7" s="83" t="s">
        <v>57</v>
      </c>
      <c r="B7" s="83" t="s">
        <v>46</v>
      </c>
      <c r="C7" s="83" t="s">
        <v>47</v>
      </c>
      <c r="D7" s="84" t="s">
        <v>88</v>
      </c>
    </row>
    <row r="8" spans="1:4" ht="14.45" customHeight="1">
      <c r="B8" s="176" t="s">
        <v>149</v>
      </c>
      <c r="C8" s="177"/>
      <c r="D8" s="178"/>
    </row>
    <row r="9" spans="1:4">
      <c r="A9" s="74" t="s">
        <v>150</v>
      </c>
      <c r="B9" s="75" t="s">
        <v>151</v>
      </c>
      <c r="C9" s="85" t="s">
        <v>152</v>
      </c>
      <c r="D9" s="86">
        <f t="shared" ref="D9:D21" ca="1" si="0">IFERROR(VLOOKUP(A9,APUAUXILIARES,7,0),"")</f>
        <v>117049</v>
      </c>
    </row>
    <row r="10" spans="1:4">
      <c r="A10" s="74" t="s">
        <v>153</v>
      </c>
      <c r="B10" s="75" t="s">
        <v>154</v>
      </c>
      <c r="C10" s="85" t="s">
        <v>152</v>
      </c>
      <c r="D10" s="86">
        <f t="shared" ca="1" si="0"/>
        <v>671549</v>
      </c>
    </row>
    <row r="11" spans="1:4">
      <c r="A11" s="74" t="s">
        <v>155</v>
      </c>
      <c r="B11" s="75" t="s">
        <v>156</v>
      </c>
      <c r="C11" s="85" t="s">
        <v>152</v>
      </c>
      <c r="D11" s="86">
        <f t="shared" ca="1" si="0"/>
        <v>559115</v>
      </c>
    </row>
    <row r="12" spans="1:4">
      <c r="A12" s="74" t="s">
        <v>157</v>
      </c>
      <c r="B12" s="75" t="s">
        <v>158</v>
      </c>
      <c r="C12" s="85" t="s">
        <v>152</v>
      </c>
      <c r="D12" s="86">
        <f t="shared" ca="1" si="0"/>
        <v>133675</v>
      </c>
    </row>
    <row r="13" spans="1:4">
      <c r="A13" s="74" t="s">
        <v>159</v>
      </c>
      <c r="B13" s="75" t="s">
        <v>160</v>
      </c>
      <c r="C13" s="85" t="s">
        <v>152</v>
      </c>
      <c r="D13" s="86">
        <f t="shared" ca="1" si="0"/>
        <v>141065</v>
      </c>
    </row>
    <row r="14" spans="1:4">
      <c r="A14" s="74" t="s">
        <v>161</v>
      </c>
      <c r="B14" s="75" t="s">
        <v>162</v>
      </c>
      <c r="C14" s="85" t="s">
        <v>152</v>
      </c>
      <c r="D14" s="86">
        <f t="shared" ca="1" si="0"/>
        <v>88672</v>
      </c>
    </row>
    <row r="15" spans="1:4">
      <c r="A15" s="74" t="s">
        <v>163</v>
      </c>
      <c r="B15" s="75" t="s">
        <v>164</v>
      </c>
      <c r="C15" s="85" t="s">
        <v>152</v>
      </c>
      <c r="D15" s="86">
        <f t="shared" ca="1" si="0"/>
        <v>99510</v>
      </c>
    </row>
    <row r="16" spans="1:4">
      <c r="A16" s="74" t="s">
        <v>165</v>
      </c>
      <c r="B16" s="75" t="s">
        <v>166</v>
      </c>
      <c r="C16" s="85" t="s">
        <v>152</v>
      </c>
      <c r="D16" s="86">
        <f t="shared" ca="1" si="0"/>
        <v>103555</v>
      </c>
    </row>
    <row r="17" spans="1:5">
      <c r="A17" s="74" t="s">
        <v>167</v>
      </c>
      <c r="B17" s="75" t="s">
        <v>168</v>
      </c>
      <c r="C17" s="85" t="s">
        <v>152</v>
      </c>
      <c r="D17" s="86">
        <f t="shared" ca="1" si="0"/>
        <v>103555</v>
      </c>
    </row>
    <row r="18" spans="1:5">
      <c r="A18" s="74" t="s">
        <v>169</v>
      </c>
      <c r="B18" s="75" t="s">
        <v>170</v>
      </c>
      <c r="C18" s="85" t="s">
        <v>152</v>
      </c>
      <c r="D18" s="86">
        <f t="shared" ca="1" si="0"/>
        <v>103555</v>
      </c>
    </row>
    <row r="19" spans="1:5">
      <c r="A19" s="74" t="s">
        <v>171</v>
      </c>
      <c r="B19" s="75" t="s">
        <v>172</v>
      </c>
      <c r="C19" s="85" t="s">
        <v>152</v>
      </c>
      <c r="D19" s="86">
        <f t="shared" ca="1" si="0"/>
        <v>103847</v>
      </c>
    </row>
    <row r="20" spans="1:5">
      <c r="A20" s="74" t="s">
        <v>173</v>
      </c>
      <c r="B20" s="75" t="s">
        <v>174</v>
      </c>
      <c r="C20" s="85" t="s">
        <v>152</v>
      </c>
      <c r="D20" s="86">
        <f t="shared" ca="1" si="0"/>
        <v>103847</v>
      </c>
    </row>
    <row r="21" spans="1:5">
      <c r="A21" s="74" t="s">
        <v>175</v>
      </c>
      <c r="B21" s="75" t="s">
        <v>176</v>
      </c>
      <c r="C21" s="85" t="s">
        <v>152</v>
      </c>
      <c r="D21" s="86">
        <f t="shared" ca="1" si="0"/>
        <v>103847</v>
      </c>
    </row>
    <row r="22" spans="1:5">
      <c r="A22" s="74" t="s">
        <v>177</v>
      </c>
      <c r="B22" s="75" t="s">
        <v>178</v>
      </c>
      <c r="C22" s="85" t="s">
        <v>152</v>
      </c>
      <c r="D22" s="86" t="str">
        <f>+IFERROR(VLOOKUP(A22,APU_AUXILIARES,7,0),"")</f>
        <v/>
      </c>
    </row>
    <row r="23" spans="1:5">
      <c r="A23" s="74" t="s">
        <v>179</v>
      </c>
      <c r="B23" s="75" t="s">
        <v>180</v>
      </c>
      <c r="C23" s="85" t="s">
        <v>152</v>
      </c>
      <c r="D23" s="86" t="str">
        <f>+IFERROR(VLOOKUP(A23,APU_AUXILIARES,7,0),"")</f>
        <v/>
      </c>
    </row>
    <row r="24" spans="1:5">
      <c r="A24" s="74" t="s">
        <v>181</v>
      </c>
      <c r="B24" s="75" t="s">
        <v>182</v>
      </c>
      <c r="C24" s="85" t="s">
        <v>152</v>
      </c>
      <c r="D24" s="86" t="str">
        <f>+IFERROR(VLOOKUP(A24,APU_AUXILIARES,7,0),"")</f>
        <v/>
      </c>
    </row>
    <row r="25" spans="1:5">
      <c r="A25" s="74" t="s">
        <v>183</v>
      </c>
      <c r="B25" s="75" t="s">
        <v>184</v>
      </c>
      <c r="C25" s="85" t="s">
        <v>185</v>
      </c>
      <c r="D25" s="86" t="str">
        <f>+IFERROR(VLOOKUP(A25,APU_AUXILIARES,7,0),"")</f>
        <v/>
      </c>
    </row>
    <row r="26" spans="1:5">
      <c r="A26" s="74" t="s">
        <v>186</v>
      </c>
      <c r="B26" s="77" t="s">
        <v>907</v>
      </c>
      <c r="C26" s="87" t="s">
        <v>833</v>
      </c>
      <c r="D26" s="86">
        <v>9800</v>
      </c>
    </row>
    <row r="27" spans="1:5">
      <c r="A27" s="74" t="s">
        <v>187</v>
      </c>
      <c r="B27" s="88"/>
      <c r="C27" s="87"/>
      <c r="D27" s="86" t="str">
        <f>+IFERROR(VLOOKUP(A27,APU_AUXILIARES,7,0),"")</f>
        <v/>
      </c>
    </row>
    <row r="28" spans="1:5">
      <c r="A28" s="89"/>
      <c r="B28" s="89" t="s">
        <v>188</v>
      </c>
      <c r="C28" s="90"/>
      <c r="D28" s="91"/>
    </row>
    <row r="29" spans="1:5">
      <c r="A29" s="74" t="s">
        <v>189</v>
      </c>
      <c r="B29" s="77" t="s">
        <v>919</v>
      </c>
      <c r="C29" s="87" t="s">
        <v>852</v>
      </c>
      <c r="D29" s="79">
        <v>55482</v>
      </c>
    </row>
    <row r="30" spans="1:5">
      <c r="A30" s="74" t="s">
        <v>191</v>
      </c>
      <c r="B30" s="77" t="s">
        <v>958</v>
      </c>
      <c r="C30" s="87" t="s">
        <v>852</v>
      </c>
      <c r="D30" s="79">
        <v>40000</v>
      </c>
    </row>
    <row r="31" spans="1:5">
      <c r="A31" s="74" t="s">
        <v>193</v>
      </c>
      <c r="B31" s="77" t="s">
        <v>959</v>
      </c>
      <c r="C31" s="87" t="s">
        <v>852</v>
      </c>
      <c r="D31" s="79">
        <v>18000</v>
      </c>
    </row>
    <row r="32" spans="1:5">
      <c r="A32" s="74" t="s">
        <v>195</v>
      </c>
      <c r="B32" s="77" t="s">
        <v>960</v>
      </c>
      <c r="C32" s="87" t="s">
        <v>852</v>
      </c>
      <c r="D32" s="79">
        <v>225000</v>
      </c>
      <c r="E32">
        <f>34000*1.19</f>
        <v>40460</v>
      </c>
    </row>
    <row r="33" spans="1:4">
      <c r="A33" s="74" t="s">
        <v>817</v>
      </c>
      <c r="B33" s="77" t="s">
        <v>909</v>
      </c>
      <c r="C33" s="87" t="s">
        <v>852</v>
      </c>
      <c r="D33" s="79">
        <v>1000</v>
      </c>
    </row>
    <row r="34" spans="1:4">
      <c r="A34" s="74" t="s">
        <v>197</v>
      </c>
      <c r="B34" s="77" t="s">
        <v>886</v>
      </c>
      <c r="C34" s="87" t="s">
        <v>852</v>
      </c>
      <c r="D34" s="79">
        <v>500</v>
      </c>
    </row>
    <row r="35" spans="1:4">
      <c r="A35" s="74" t="s">
        <v>198</v>
      </c>
      <c r="B35" s="77" t="s">
        <v>921</v>
      </c>
      <c r="C35" s="87" t="s">
        <v>920</v>
      </c>
      <c r="D35" s="79">
        <v>126500</v>
      </c>
    </row>
    <row r="36" spans="1:4">
      <c r="A36" s="74" t="s">
        <v>200</v>
      </c>
      <c r="B36" s="77" t="s">
        <v>882</v>
      </c>
      <c r="C36" s="87" t="s">
        <v>852</v>
      </c>
      <c r="D36" s="79">
        <v>280000</v>
      </c>
    </row>
    <row r="37" spans="1:4">
      <c r="A37" s="74" t="s">
        <v>201</v>
      </c>
      <c r="B37" s="77" t="s">
        <v>883</v>
      </c>
      <c r="C37" s="87" t="s">
        <v>852</v>
      </c>
      <c r="D37" s="79">
        <v>40000</v>
      </c>
    </row>
    <row r="38" spans="1:4">
      <c r="A38" s="74" t="s">
        <v>202</v>
      </c>
      <c r="B38" s="77" t="s">
        <v>933</v>
      </c>
      <c r="C38" s="87" t="s">
        <v>852</v>
      </c>
      <c r="D38" s="79">
        <v>20000</v>
      </c>
    </row>
    <row r="39" spans="1:4">
      <c r="A39" s="74" t="s">
        <v>203</v>
      </c>
      <c r="B39" s="77" t="s">
        <v>934</v>
      </c>
      <c r="C39" s="87" t="s">
        <v>852</v>
      </c>
      <c r="D39" s="79">
        <v>12000</v>
      </c>
    </row>
    <row r="40" spans="1:4">
      <c r="A40" s="74" t="s">
        <v>203</v>
      </c>
      <c r="B40" s="77" t="s">
        <v>910</v>
      </c>
      <c r="C40" s="87" t="s">
        <v>526</v>
      </c>
      <c r="D40" s="79">
        <v>4800</v>
      </c>
    </row>
    <row r="41" spans="1:4">
      <c r="A41" s="74" t="s">
        <v>204</v>
      </c>
      <c r="B41" s="77" t="s">
        <v>935</v>
      </c>
      <c r="C41" s="87" t="s">
        <v>932</v>
      </c>
      <c r="D41" s="79">
        <v>95000</v>
      </c>
    </row>
    <row r="42" spans="1:4">
      <c r="A42" s="74" t="s">
        <v>206</v>
      </c>
      <c r="B42" s="77" t="s">
        <v>862</v>
      </c>
      <c r="C42" s="87" t="s">
        <v>205</v>
      </c>
      <c r="D42" s="79">
        <v>82000</v>
      </c>
    </row>
    <row r="43" spans="1:4">
      <c r="A43" s="74" t="s">
        <v>207</v>
      </c>
      <c r="B43" s="77" t="s">
        <v>937</v>
      </c>
      <c r="C43" s="87" t="s">
        <v>852</v>
      </c>
      <c r="D43" s="79">
        <v>85000</v>
      </c>
    </row>
    <row r="44" spans="1:4">
      <c r="A44" s="74" t="s">
        <v>208</v>
      </c>
      <c r="B44" s="77" t="s">
        <v>861</v>
      </c>
      <c r="C44" s="87" t="s">
        <v>852</v>
      </c>
      <c r="D44" s="79">
        <v>8200</v>
      </c>
    </row>
    <row r="45" spans="1:4">
      <c r="A45" s="74" t="s">
        <v>209</v>
      </c>
      <c r="B45" s="77" t="s">
        <v>928</v>
      </c>
      <c r="C45" s="87" t="s">
        <v>210</v>
      </c>
      <c r="D45" s="79">
        <v>92900</v>
      </c>
    </row>
    <row r="46" spans="1:4">
      <c r="A46" s="74" t="s">
        <v>211</v>
      </c>
      <c r="B46" s="77" t="s">
        <v>949</v>
      </c>
      <c r="C46" s="87" t="s">
        <v>932</v>
      </c>
      <c r="D46" s="79">
        <v>60000</v>
      </c>
    </row>
    <row r="47" spans="1:4">
      <c r="A47" s="74" t="s">
        <v>212</v>
      </c>
      <c r="B47" s="77" t="s">
        <v>950</v>
      </c>
      <c r="C47" s="87" t="s">
        <v>852</v>
      </c>
      <c r="D47" s="79">
        <v>125500</v>
      </c>
    </row>
    <row r="48" spans="1:4">
      <c r="A48" s="74"/>
      <c r="B48" s="77"/>
      <c r="C48" s="87"/>
      <c r="D48" s="79"/>
    </row>
    <row r="49" spans="1:4">
      <c r="A49" s="74" t="s">
        <v>213</v>
      </c>
      <c r="B49" s="77" t="s">
        <v>811</v>
      </c>
      <c r="C49" s="87" t="s">
        <v>205</v>
      </c>
      <c r="D49" s="79">
        <v>85000</v>
      </c>
    </row>
    <row r="50" spans="1:4" ht="27.6" customHeight="1">
      <c r="A50" s="74" t="s">
        <v>214</v>
      </c>
      <c r="B50" s="77" t="s">
        <v>946</v>
      </c>
      <c r="C50" s="87" t="s">
        <v>591</v>
      </c>
      <c r="D50" s="79">
        <v>58947</v>
      </c>
    </row>
    <row r="51" spans="1:4" ht="32.450000000000003" customHeight="1">
      <c r="A51" s="74" t="s">
        <v>215</v>
      </c>
      <c r="B51" s="77" t="s">
        <v>855</v>
      </c>
      <c r="C51" s="87" t="s">
        <v>205</v>
      </c>
      <c r="D51" s="79">
        <v>1500</v>
      </c>
    </row>
    <row r="52" spans="1:4">
      <c r="A52" s="74" t="s">
        <v>216</v>
      </c>
      <c r="B52" s="77" t="s">
        <v>856</v>
      </c>
      <c r="C52" s="87" t="s">
        <v>205</v>
      </c>
      <c r="D52" s="79">
        <v>3000</v>
      </c>
    </row>
    <row r="53" spans="1:4">
      <c r="A53" s="74" t="s">
        <v>217</v>
      </c>
      <c r="B53" s="77" t="s">
        <v>857</v>
      </c>
      <c r="C53" s="87" t="s">
        <v>205</v>
      </c>
      <c r="D53" s="79">
        <v>16000</v>
      </c>
    </row>
    <row r="54" spans="1:4">
      <c r="A54" s="74" t="s">
        <v>218</v>
      </c>
      <c r="B54" s="77" t="s">
        <v>863</v>
      </c>
      <c r="C54" s="87" t="s">
        <v>205</v>
      </c>
      <c r="D54" s="79">
        <v>22000</v>
      </c>
    </row>
    <row r="55" spans="1:4">
      <c r="A55" s="74" t="s">
        <v>552</v>
      </c>
      <c r="B55" s="77" t="s">
        <v>858</v>
      </c>
      <c r="C55" s="87" t="s">
        <v>205</v>
      </c>
      <c r="D55" s="79">
        <v>1000</v>
      </c>
    </row>
    <row r="56" spans="1:4">
      <c r="A56" s="74" t="s">
        <v>597</v>
      </c>
      <c r="B56" s="77" t="s">
        <v>859</v>
      </c>
      <c r="C56" s="87" t="s">
        <v>860</v>
      </c>
      <c r="D56" s="79">
        <v>4800</v>
      </c>
    </row>
    <row r="57" spans="1:4">
      <c r="A57" s="74" t="s">
        <v>598</v>
      </c>
      <c r="B57" s="77" t="s">
        <v>925</v>
      </c>
      <c r="C57" s="87" t="s">
        <v>205</v>
      </c>
      <c r="D57" s="79">
        <v>5350</v>
      </c>
    </row>
    <row r="58" spans="1:4">
      <c r="A58" s="74" t="s">
        <v>599</v>
      </c>
      <c r="B58" s="77" t="s">
        <v>873</v>
      </c>
      <c r="C58" s="87" t="s">
        <v>185</v>
      </c>
      <c r="D58" s="79">
        <v>32000</v>
      </c>
    </row>
    <row r="59" spans="1:4">
      <c r="A59" s="74" t="s">
        <v>601</v>
      </c>
      <c r="B59" s="77" t="s">
        <v>874</v>
      </c>
      <c r="C59" s="87" t="s">
        <v>832</v>
      </c>
      <c r="D59" s="79">
        <v>3500</v>
      </c>
    </row>
    <row r="60" spans="1:4">
      <c r="A60" s="74" t="s">
        <v>602</v>
      </c>
      <c r="B60" s="77" t="s">
        <v>912</v>
      </c>
      <c r="C60" s="87" t="s">
        <v>591</v>
      </c>
      <c r="D60" s="79">
        <v>3250</v>
      </c>
    </row>
    <row r="61" spans="1:4">
      <c r="A61" s="74" t="s">
        <v>603</v>
      </c>
      <c r="B61" s="77" t="s">
        <v>913</v>
      </c>
      <c r="C61" s="87" t="s">
        <v>860</v>
      </c>
      <c r="D61" s="79">
        <v>3800</v>
      </c>
    </row>
    <row r="62" spans="1:4">
      <c r="A62" s="74" t="s">
        <v>604</v>
      </c>
      <c r="B62" s="77" t="s">
        <v>927</v>
      </c>
      <c r="C62" s="87" t="s">
        <v>832</v>
      </c>
      <c r="D62" s="79">
        <v>75000</v>
      </c>
    </row>
    <row r="63" spans="1:4">
      <c r="A63" s="74" t="s">
        <v>817</v>
      </c>
      <c r="B63" s="77" t="s">
        <v>924</v>
      </c>
      <c r="C63" s="87" t="s">
        <v>852</v>
      </c>
      <c r="D63" s="79">
        <v>486500</v>
      </c>
    </row>
    <row r="64" spans="1:4">
      <c r="A64" s="74" t="s">
        <v>605</v>
      </c>
      <c r="B64" s="77" t="s">
        <v>911</v>
      </c>
      <c r="C64" s="87" t="s">
        <v>852</v>
      </c>
      <c r="D64" s="79">
        <v>65000</v>
      </c>
    </row>
    <row r="65" spans="1:5">
      <c r="A65" s="74" t="s">
        <v>609</v>
      </c>
      <c r="B65" s="77" t="s">
        <v>931</v>
      </c>
      <c r="C65" s="87" t="s">
        <v>852</v>
      </c>
      <c r="D65" s="79">
        <v>188900</v>
      </c>
    </row>
    <row r="66" spans="1:5">
      <c r="A66" s="74" t="s">
        <v>707</v>
      </c>
      <c r="B66" s="77" t="s">
        <v>876</v>
      </c>
      <c r="C66" s="87" t="s">
        <v>591</v>
      </c>
      <c r="D66" s="79">
        <v>350</v>
      </c>
    </row>
    <row r="67" spans="1:5">
      <c r="A67" s="74" t="s">
        <v>708</v>
      </c>
      <c r="B67" s="77" t="s">
        <v>887</v>
      </c>
      <c r="C67" s="87" t="s">
        <v>852</v>
      </c>
      <c r="D67" s="79">
        <v>88000</v>
      </c>
    </row>
    <row r="68" spans="1:5">
      <c r="A68" s="74" t="s">
        <v>709</v>
      </c>
      <c r="B68" s="77" t="s">
        <v>878</v>
      </c>
      <c r="C68" s="87" t="s">
        <v>877</v>
      </c>
      <c r="D68" s="79">
        <v>89000</v>
      </c>
    </row>
    <row r="69" spans="1:5">
      <c r="A69" s="74" t="s">
        <v>710</v>
      </c>
      <c r="B69" s="77" t="s">
        <v>879</v>
      </c>
      <c r="C69" s="87" t="s">
        <v>877</v>
      </c>
      <c r="D69" s="79">
        <v>460000</v>
      </c>
    </row>
    <row r="70" spans="1:5">
      <c r="A70" s="74" t="s">
        <v>711</v>
      </c>
      <c r="B70" s="77" t="s">
        <v>926</v>
      </c>
      <c r="C70" s="87" t="s">
        <v>853</v>
      </c>
      <c r="D70" s="79">
        <v>40560</v>
      </c>
    </row>
    <row r="71" spans="1:5">
      <c r="A71" s="74" t="s">
        <v>712</v>
      </c>
      <c r="B71" s="77" t="s">
        <v>885</v>
      </c>
      <c r="C71" s="87" t="s">
        <v>205</v>
      </c>
      <c r="D71" s="79">
        <v>15000</v>
      </c>
    </row>
    <row r="72" spans="1:5">
      <c r="A72" s="74" t="s">
        <v>713</v>
      </c>
      <c r="B72" s="77" t="s">
        <v>864</v>
      </c>
      <c r="C72" s="87" t="s">
        <v>205</v>
      </c>
      <c r="D72" s="79">
        <v>2000</v>
      </c>
    </row>
    <row r="73" spans="1:5">
      <c r="A73" s="74" t="s">
        <v>714</v>
      </c>
      <c r="B73" s="77" t="s">
        <v>914</v>
      </c>
      <c r="C73" s="87" t="s">
        <v>853</v>
      </c>
      <c r="D73" s="79">
        <v>28600</v>
      </c>
    </row>
    <row r="74" spans="1:5">
      <c r="A74" s="74" t="s">
        <v>715</v>
      </c>
      <c r="B74" s="77" t="s">
        <v>929</v>
      </c>
      <c r="C74" s="87" t="s">
        <v>852</v>
      </c>
      <c r="D74" s="79">
        <v>435600</v>
      </c>
    </row>
    <row r="75" spans="1:5">
      <c r="A75" s="74" t="s">
        <v>717</v>
      </c>
      <c r="B75" s="77" t="s">
        <v>916</v>
      </c>
      <c r="C75" s="87" t="s">
        <v>852</v>
      </c>
      <c r="D75" s="79">
        <v>12500</v>
      </c>
    </row>
    <row r="76" spans="1:5">
      <c r="A76" s="74" t="s">
        <v>719</v>
      </c>
      <c r="B76" s="77" t="s">
        <v>875</v>
      </c>
      <c r="C76" s="87" t="s">
        <v>832</v>
      </c>
      <c r="D76" s="79">
        <v>9600</v>
      </c>
    </row>
    <row r="77" spans="1:5">
      <c r="A77" s="74" t="s">
        <v>720</v>
      </c>
      <c r="B77" s="77" t="s">
        <v>876</v>
      </c>
      <c r="C77" s="87" t="s">
        <v>526</v>
      </c>
      <c r="D77" s="79">
        <v>350</v>
      </c>
      <c r="E77" s="118">
        <f>613600/6</f>
        <v>102266.66666666667</v>
      </c>
    </row>
    <row r="78" spans="1:5">
      <c r="A78" s="74" t="s">
        <v>721</v>
      </c>
      <c r="B78" s="77" t="s">
        <v>917</v>
      </c>
      <c r="C78" s="87" t="s">
        <v>853</v>
      </c>
      <c r="D78" s="79">
        <v>35000</v>
      </c>
      <c r="E78" s="118">
        <f>426400/6</f>
        <v>71066.666666666672</v>
      </c>
    </row>
    <row r="79" spans="1:5">
      <c r="A79" s="74" t="s">
        <v>722</v>
      </c>
      <c r="B79" s="77" t="s">
        <v>889</v>
      </c>
      <c r="C79" s="87" t="s">
        <v>852</v>
      </c>
      <c r="D79" s="79">
        <v>2000</v>
      </c>
    </row>
    <row r="80" spans="1:5">
      <c r="A80" s="74" t="s">
        <v>723</v>
      </c>
      <c r="B80" s="77" t="s">
        <v>890</v>
      </c>
      <c r="C80" s="87" t="s">
        <v>852</v>
      </c>
      <c r="D80" s="79">
        <v>5100</v>
      </c>
    </row>
    <row r="81" spans="1:6">
      <c r="A81" s="74" t="s">
        <v>724</v>
      </c>
      <c r="B81" s="77" t="s">
        <v>891</v>
      </c>
      <c r="C81" s="87" t="s">
        <v>852</v>
      </c>
      <c r="D81" s="79">
        <v>1900</v>
      </c>
    </row>
    <row r="82" spans="1:6">
      <c r="A82" s="74" t="s">
        <v>733</v>
      </c>
      <c r="B82" s="77" t="s">
        <v>892</v>
      </c>
      <c r="C82" s="87" t="s">
        <v>852</v>
      </c>
      <c r="D82" s="79">
        <v>7800</v>
      </c>
      <c r="E82">
        <v>275000</v>
      </c>
      <c r="F82">
        <f>+E82/6</f>
        <v>45833.333333333336</v>
      </c>
    </row>
    <row r="83" spans="1:6">
      <c r="A83" s="74" t="s">
        <v>734</v>
      </c>
      <c r="B83" s="77" t="s">
        <v>947</v>
      </c>
      <c r="C83" s="87" t="s">
        <v>526</v>
      </c>
      <c r="D83" s="79">
        <v>20000</v>
      </c>
      <c r="E83">
        <v>89000</v>
      </c>
      <c r="F83">
        <f>+E83/6</f>
        <v>14833.333333333334</v>
      </c>
    </row>
    <row r="84" spans="1:6">
      <c r="A84" s="74" t="s">
        <v>735</v>
      </c>
      <c r="B84" s="77" t="s">
        <v>737</v>
      </c>
      <c r="C84" s="87" t="s">
        <v>738</v>
      </c>
      <c r="D84" s="79">
        <v>27000</v>
      </c>
    </row>
    <row r="85" spans="1:6">
      <c r="A85" s="74" t="s">
        <v>736</v>
      </c>
      <c r="B85" s="77" t="s">
        <v>893</v>
      </c>
      <c r="C85" s="87" t="s">
        <v>852</v>
      </c>
      <c r="D85" s="79">
        <v>15000</v>
      </c>
      <c r="E85">
        <v>17800</v>
      </c>
      <c r="F85">
        <f>+E85/6</f>
        <v>2966.6666666666665</v>
      </c>
    </row>
    <row r="86" spans="1:6">
      <c r="A86" s="74" t="s">
        <v>739</v>
      </c>
      <c r="B86" s="77" t="s">
        <v>918</v>
      </c>
      <c r="C86" s="87" t="s">
        <v>832</v>
      </c>
      <c r="D86" s="79">
        <v>485000</v>
      </c>
    </row>
    <row r="87" spans="1:6">
      <c r="A87" s="74" t="s">
        <v>740</v>
      </c>
      <c r="B87" s="77" t="s">
        <v>854</v>
      </c>
      <c r="C87" s="87" t="s">
        <v>742</v>
      </c>
      <c r="D87" s="79">
        <v>5000</v>
      </c>
    </row>
    <row r="88" spans="1:6">
      <c r="A88" s="74" t="s">
        <v>741</v>
      </c>
      <c r="B88" s="77" t="s">
        <v>899</v>
      </c>
      <c r="C88" s="87" t="s">
        <v>591</v>
      </c>
      <c r="D88" s="79">
        <v>12200</v>
      </c>
    </row>
    <row r="89" spans="1:6">
      <c r="A89" s="74" t="s">
        <v>743</v>
      </c>
      <c r="B89" s="77" t="s">
        <v>888</v>
      </c>
      <c r="C89" s="87" t="s">
        <v>742</v>
      </c>
      <c r="D89" s="79">
        <v>105000</v>
      </c>
    </row>
    <row r="90" spans="1:6">
      <c r="A90" s="74" t="s">
        <v>744</v>
      </c>
      <c r="B90" s="77" t="s">
        <v>898</v>
      </c>
      <c r="C90" s="87" t="s">
        <v>852</v>
      </c>
      <c r="D90" s="79">
        <v>4000</v>
      </c>
      <c r="E90" s="297">
        <f>1900000/6</f>
        <v>316666.66666666669</v>
      </c>
    </row>
    <row r="91" spans="1:6">
      <c r="A91" s="74" t="s">
        <v>745</v>
      </c>
      <c r="B91" s="77" t="s">
        <v>895</v>
      </c>
      <c r="C91" s="87" t="s">
        <v>526</v>
      </c>
      <c r="D91" s="79">
        <v>7150</v>
      </c>
    </row>
    <row r="92" spans="1:6">
      <c r="A92" s="74" t="s">
        <v>746</v>
      </c>
      <c r="B92" s="77" t="s">
        <v>865</v>
      </c>
      <c r="C92" s="87" t="s">
        <v>591</v>
      </c>
      <c r="D92" s="79">
        <v>8000</v>
      </c>
      <c r="E92">
        <f>2915000/6.5</f>
        <v>448461.53846153844</v>
      </c>
    </row>
    <row r="93" spans="1:6">
      <c r="A93" s="74" t="s">
        <v>747</v>
      </c>
      <c r="B93" s="77" t="s">
        <v>866</v>
      </c>
      <c r="C93" s="87" t="s">
        <v>742</v>
      </c>
      <c r="D93" s="79">
        <v>2000</v>
      </c>
    </row>
    <row r="94" spans="1:6">
      <c r="A94" s="74" t="s">
        <v>788</v>
      </c>
      <c r="B94" s="77" t="s">
        <v>867</v>
      </c>
      <c r="C94" s="87" t="s">
        <v>852</v>
      </c>
      <c r="D94" s="79">
        <v>10100</v>
      </c>
    </row>
    <row r="95" spans="1:6">
      <c r="A95" s="74" t="s">
        <v>814</v>
      </c>
      <c r="B95" s="77" t="s">
        <v>868</v>
      </c>
      <c r="C95" s="87" t="s">
        <v>860</v>
      </c>
      <c r="D95" s="79">
        <v>3200</v>
      </c>
    </row>
    <row r="96" spans="1:6">
      <c r="A96" s="74" t="s">
        <v>815</v>
      </c>
      <c r="B96" s="77" t="s">
        <v>869</v>
      </c>
      <c r="C96" s="87" t="s">
        <v>860</v>
      </c>
      <c r="D96" s="79">
        <v>3200</v>
      </c>
    </row>
    <row r="97" spans="1:4">
      <c r="A97" s="74" t="s">
        <v>816</v>
      </c>
      <c r="B97" s="77" t="s">
        <v>870</v>
      </c>
      <c r="C97" s="87" t="s">
        <v>860</v>
      </c>
      <c r="D97" s="79">
        <v>3200</v>
      </c>
    </row>
    <row r="98" spans="1:4">
      <c r="A98" s="74" t="s">
        <v>817</v>
      </c>
      <c r="B98" s="77" t="s">
        <v>909</v>
      </c>
      <c r="C98" s="87" t="s">
        <v>852</v>
      </c>
      <c r="D98" s="79">
        <v>1000</v>
      </c>
    </row>
    <row r="99" spans="1:4">
      <c r="A99" s="74" t="s">
        <v>818</v>
      </c>
      <c r="B99" s="77" t="s">
        <v>871</v>
      </c>
      <c r="C99" s="87" t="s">
        <v>832</v>
      </c>
      <c r="D99" s="79">
        <v>31000</v>
      </c>
    </row>
    <row r="100" spans="1:4">
      <c r="A100" s="74" t="s">
        <v>819</v>
      </c>
      <c r="B100" s="77" t="s">
        <v>894</v>
      </c>
      <c r="C100" s="87" t="s">
        <v>852</v>
      </c>
      <c r="D100" s="79">
        <v>65000</v>
      </c>
    </row>
    <row r="101" spans="1:4" ht="24">
      <c r="A101" s="74" t="s">
        <v>820</v>
      </c>
      <c r="B101" s="77" t="s">
        <v>936</v>
      </c>
      <c r="C101" s="87" t="s">
        <v>832</v>
      </c>
      <c r="D101" s="79">
        <v>255000</v>
      </c>
    </row>
    <row r="102" spans="1:4">
      <c r="A102" s="74" t="s">
        <v>821</v>
      </c>
      <c r="B102" s="77" t="s">
        <v>884</v>
      </c>
      <c r="C102" s="87" t="s">
        <v>839</v>
      </c>
      <c r="D102" s="79">
        <v>25000</v>
      </c>
    </row>
    <row r="103" spans="1:4" ht="24">
      <c r="A103" s="74" t="s">
        <v>822</v>
      </c>
      <c r="B103" s="77" t="s">
        <v>838</v>
      </c>
      <c r="C103" s="87" t="s">
        <v>833</v>
      </c>
      <c r="D103" s="79">
        <v>7800</v>
      </c>
    </row>
    <row r="104" spans="1:4">
      <c r="A104" s="74" t="s">
        <v>900</v>
      </c>
      <c r="B104" s="343" t="s">
        <v>905</v>
      </c>
      <c r="C104" s="344" t="s">
        <v>860</v>
      </c>
      <c r="D104" s="345">
        <v>8430</v>
      </c>
    </row>
    <row r="105" spans="1:4">
      <c r="A105" s="74" t="s">
        <v>901</v>
      </c>
      <c r="B105" s="343" t="s">
        <v>906</v>
      </c>
      <c r="C105" s="344" t="s">
        <v>852</v>
      </c>
      <c r="D105" s="345">
        <v>3000</v>
      </c>
    </row>
    <row r="106" spans="1:4">
      <c r="A106" s="74" t="s">
        <v>902</v>
      </c>
      <c r="B106" s="364" t="s">
        <v>908</v>
      </c>
      <c r="C106" s="344" t="s">
        <v>852</v>
      </c>
      <c r="D106" s="345">
        <v>120000</v>
      </c>
    </row>
    <row r="107" spans="1:4">
      <c r="A107" s="74" t="s">
        <v>903</v>
      </c>
      <c r="B107" s="343"/>
      <c r="C107" s="344"/>
      <c r="D107" s="345"/>
    </row>
    <row r="108" spans="1:4">
      <c r="A108" s="74" t="s">
        <v>904</v>
      </c>
      <c r="B108" s="343"/>
      <c r="C108" s="344"/>
      <c r="D108" s="345"/>
    </row>
    <row r="114" spans="1:5">
      <c r="A114" s="340"/>
      <c r="B114" s="614" t="s">
        <v>825</v>
      </c>
      <c r="C114" s="614"/>
      <c r="D114" s="614"/>
    </row>
    <row r="115" spans="1:5">
      <c r="B115" s="614" t="s">
        <v>24</v>
      </c>
      <c r="C115" s="614"/>
      <c r="D115" s="614"/>
      <c r="E115" s="614"/>
    </row>
  </sheetData>
  <protectedRanges>
    <protectedRange sqref="B9:C27 C50:D54 B29:D32 B34:D49" name="Rango1"/>
  </protectedRanges>
  <autoFilter ref="A7:D108" xr:uid="{00000000-0009-0000-0000-00000B000000}"/>
  <mergeCells count="7">
    <mergeCell ref="B114:D114"/>
    <mergeCell ref="B115:E115"/>
    <mergeCell ref="A1:B1"/>
    <mergeCell ref="C1:D5"/>
    <mergeCell ref="A2:B2"/>
    <mergeCell ref="A3:B3"/>
    <mergeCell ref="A5:B5"/>
  </mergeCells>
  <phoneticPr fontId="35" type="noConversion"/>
  <dataValidations disablePrompts="1" count="1">
    <dataValidation allowBlank="1" showErrorMessage="1" sqref="B114:B115" xr:uid="{00000000-0002-0000-0B00-000000000000}"/>
  </dataValidations>
  <pageMargins left="0.7" right="0.7" top="0.75" bottom="0.75" header="0.3" footer="0.3"/>
  <pageSetup scale="80" orientation="portrait" r:id="rId1"/>
  <rowBreaks count="2" manualBreakCount="2">
    <brk id="50" max="16383" man="1"/>
    <brk id="108" max="16383" man="1"/>
  </rowBreaks>
  <colBreaks count="1" manualBreakCount="1">
    <brk id="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06"/>
  <sheetViews>
    <sheetView view="pageBreakPreview" topLeftCell="A61" zoomScaleNormal="100" zoomScaleSheetLayoutView="100" workbookViewId="0">
      <selection activeCell="K74" sqref="K74"/>
    </sheetView>
  </sheetViews>
  <sheetFormatPr baseColWidth="10" defaultRowHeight="15"/>
  <cols>
    <col min="2" max="2" width="24.5703125" customWidth="1"/>
    <col min="3" max="3" width="12.140625" customWidth="1"/>
    <col min="6" max="6" width="13.42578125" customWidth="1"/>
    <col min="7" max="7" width="18" customWidth="1"/>
  </cols>
  <sheetData>
    <row r="1" spans="1:7" ht="18.75">
      <c r="A1" s="480" t="str">
        <f>'DATOS INICIALES'!$B$1</f>
        <v>DEPARTAMENTO DE ANTIOQUIA</v>
      </c>
      <c r="B1" s="481"/>
      <c r="C1" s="481"/>
      <c r="D1" s="481"/>
      <c r="E1" s="481"/>
      <c r="F1" s="482" t="s">
        <v>52</v>
      </c>
      <c r="G1" s="482"/>
    </row>
    <row r="2" spans="1:7" ht="15.75">
      <c r="A2" s="483" t="str">
        <f>'DATOS INICIALES'!$B$2</f>
        <v>MUNICIPIO DE DABEIBA</v>
      </c>
      <c r="B2" s="484"/>
      <c r="C2" s="484"/>
      <c r="D2" s="484"/>
      <c r="E2" s="484"/>
      <c r="F2" s="482"/>
      <c r="G2" s="482"/>
    </row>
    <row r="3" spans="1:7" ht="42.6" customHeight="1">
      <c r="A3" s="485" t="str">
        <f>'DATOS INICIALES'!$B$3</f>
        <v xml:space="preserve">AMPLIACIÓN DEL SISTEMA DE ALCANTARILLADO EN SECTOR DEL BARRIO PABLO VI  DEL MUNICIPIO DE DABEIBA ANTIOQUIA </v>
      </c>
      <c r="B3" s="486"/>
      <c r="C3" s="486"/>
      <c r="D3" s="486"/>
      <c r="E3" s="486"/>
      <c r="F3" s="482"/>
      <c r="G3" s="482"/>
    </row>
    <row r="4" spans="1:7" ht="8.4499999999999993" customHeight="1">
      <c r="A4" s="487"/>
      <c r="B4" s="487"/>
      <c r="C4" s="487"/>
      <c r="D4" s="487"/>
      <c r="E4" s="488"/>
      <c r="F4" s="482"/>
      <c r="G4" s="482"/>
    </row>
    <row r="5" spans="1:7">
      <c r="A5" s="489" t="s">
        <v>53</v>
      </c>
      <c r="B5" s="490"/>
      <c r="C5" s="490"/>
      <c r="D5" s="490"/>
      <c r="E5" s="490"/>
      <c r="F5" s="482"/>
      <c r="G5" s="482"/>
    </row>
    <row r="6" spans="1:7" ht="8.4499999999999993" customHeight="1">
      <c r="A6" s="487"/>
      <c r="B6" s="487"/>
      <c r="C6" s="487"/>
      <c r="D6" s="487"/>
      <c r="E6" s="487"/>
      <c r="F6" s="491"/>
      <c r="G6" s="491"/>
    </row>
    <row r="7" spans="1:7">
      <c r="A7" s="22" t="s">
        <v>45</v>
      </c>
      <c r="B7" s="468" t="s">
        <v>46</v>
      </c>
      <c r="C7" s="469"/>
      <c r="D7" s="470"/>
      <c r="E7" s="23" t="s">
        <v>47</v>
      </c>
      <c r="F7" s="24" t="s">
        <v>48</v>
      </c>
      <c r="G7" s="24" t="s">
        <v>54</v>
      </c>
    </row>
    <row r="8" spans="1:7" ht="23.1" customHeight="1">
      <c r="A8" s="25" t="s">
        <v>150</v>
      </c>
      <c r="B8" s="471" t="str">
        <f>+IFERROR(VLOOKUP($A8,INSUMOSMATERIALES,2,0),"")</f>
        <v>CONCRETO 2000 PSI (140 MPA) EN OBRA</v>
      </c>
      <c r="C8" s="472"/>
      <c r="D8" s="473"/>
      <c r="E8" s="82" t="str">
        <f>+IFERROR(VLOOKUP($A8,INSUMOSMATERIALES,3,0),"")</f>
        <v>M3</v>
      </c>
      <c r="F8" s="82" t="s">
        <v>456</v>
      </c>
      <c r="G8" s="153">
        <f ca="1">IF(G57=0,"",G47)</f>
        <v>117049</v>
      </c>
    </row>
    <row r="9" spans="1:7" ht="5.0999999999999996" customHeight="1">
      <c r="A9" s="20"/>
      <c r="B9" s="20"/>
      <c r="C9" s="20"/>
      <c r="D9" s="20"/>
      <c r="E9" s="19"/>
      <c r="F9" s="19"/>
      <c r="G9" s="21"/>
    </row>
    <row r="10" spans="1:7">
      <c r="A10" s="464" t="s">
        <v>55</v>
      </c>
      <c r="B10" s="464"/>
      <c r="C10" s="464"/>
      <c r="D10" s="464"/>
      <c r="E10" s="464"/>
      <c r="F10" s="464"/>
      <c r="G10" s="464"/>
    </row>
    <row r="11" spans="1:7" ht="5.0999999999999996" customHeight="1">
      <c r="A11" s="119"/>
      <c r="B11" s="119"/>
      <c r="C11" s="119"/>
      <c r="D11" s="119"/>
      <c r="E11" s="119"/>
      <c r="F11" s="119"/>
      <c r="G11" s="119"/>
    </row>
    <row r="12" spans="1:7">
      <c r="A12" s="474" t="s">
        <v>56</v>
      </c>
      <c r="B12" s="474"/>
      <c r="C12" s="474"/>
      <c r="D12" s="474"/>
      <c r="E12" s="474"/>
      <c r="F12" s="474"/>
      <c r="G12" s="475"/>
    </row>
    <row r="13" spans="1:7">
      <c r="A13" s="120" t="s">
        <v>57</v>
      </c>
      <c r="B13" s="476" t="s">
        <v>46</v>
      </c>
      <c r="C13" s="477"/>
      <c r="D13" s="120" t="s">
        <v>47</v>
      </c>
      <c r="E13" s="120" t="s">
        <v>58</v>
      </c>
      <c r="F13" s="120" t="s">
        <v>59</v>
      </c>
      <c r="G13" s="120" t="s">
        <v>60</v>
      </c>
    </row>
    <row r="14" spans="1:7">
      <c r="A14" s="26" t="str">
        <f>IF(B14="","",INDEX(CODIGOEQUIPOS,MATCH($B14,'INSUMOS EQUIPOS'!$B$7:$B$39,0)))</f>
        <v>EQ004</v>
      </c>
      <c r="B14" s="621" t="s">
        <v>95</v>
      </c>
      <c r="C14" s="622"/>
      <c r="D14" s="27" t="str">
        <f>IF(B14="","",(VLOOKUP($A14,INSUMOSEQUIPOS,3,0)))</f>
        <v>DÍA</v>
      </c>
      <c r="E14" s="28">
        <f>IF(B14="","",(VLOOKUP($A14,INSUMOSEQUIPOS,4,0)))</f>
        <v>62000</v>
      </c>
      <c r="F14" s="29">
        <v>8</v>
      </c>
      <c r="G14" s="30">
        <f>+IFERROR(E14/F14,"")</f>
        <v>7750</v>
      </c>
    </row>
    <row r="15" spans="1:7">
      <c r="A15" s="31" t="str">
        <f>+IF(G38="","","EQ001")</f>
        <v>EQ001</v>
      </c>
      <c r="B15" s="502" t="str">
        <f>+IF($A15="","",IFERROR(VLOOKUP($A15,INSUMOSEQUIPOS,2,0),""))</f>
        <v>HERRAMIENTA MENOR (10% DE LA MANO DE OBRA)</v>
      </c>
      <c r="C15" s="503"/>
      <c r="D15" s="27" t="str">
        <f>+IF($A15="","",IFERROR(VLOOKUP($A15,INSUMOSEQUIPOS,3,0),""))</f>
        <v>%</v>
      </c>
      <c r="E15" s="32">
        <f>+IF($A15="","",IFERROR(VLOOKUP($A15,INSUMOSEQUIPOS,4,0),""))</f>
        <v>0.1</v>
      </c>
      <c r="F15" s="33">
        <f>+IF(G38=0,"",G38)</f>
        <v>58453.375</v>
      </c>
      <c r="G15" s="30">
        <f>+IFERROR(E15*F15,"")</f>
        <v>5845.3375000000005</v>
      </c>
    </row>
    <row r="16" spans="1:7">
      <c r="A16" s="34"/>
      <c r="B16" s="35"/>
      <c r="C16" s="119"/>
      <c r="D16" s="119"/>
      <c r="E16" s="36"/>
      <c r="F16" s="37" t="s">
        <v>62</v>
      </c>
      <c r="G16" s="38">
        <f>+IF(SUM(G14:G15)=0,"",SUM(G14:G15))</f>
        <v>13595.337500000001</v>
      </c>
    </row>
    <row r="17" spans="1:7" ht="5.0999999999999996" customHeight="1">
      <c r="A17" s="35"/>
      <c r="B17" s="119"/>
      <c r="C17" s="119"/>
      <c r="D17" s="36"/>
      <c r="E17" s="39"/>
      <c r="F17" s="40"/>
      <c r="G17" s="34"/>
    </row>
    <row r="18" spans="1:7">
      <c r="A18" s="464" t="s">
        <v>63</v>
      </c>
      <c r="B18" s="464"/>
      <c r="C18" s="464"/>
      <c r="D18" s="464"/>
      <c r="E18" s="464"/>
      <c r="F18" s="464"/>
      <c r="G18" s="465"/>
    </row>
    <row r="19" spans="1:7">
      <c r="A19" s="120" t="s">
        <v>57</v>
      </c>
      <c r="B19" s="41" t="s">
        <v>46</v>
      </c>
      <c r="C19" s="42" t="s">
        <v>47</v>
      </c>
      <c r="D19" s="42" t="s">
        <v>48</v>
      </c>
      <c r="E19" s="42" t="s">
        <v>64</v>
      </c>
      <c r="F19" s="42" t="s">
        <v>65</v>
      </c>
      <c r="G19" s="42" t="s">
        <v>60</v>
      </c>
    </row>
    <row r="20" spans="1:7" ht="22.5">
      <c r="A20" s="26" t="e">
        <f>IF(B20="","",INDEX(CODIGOMATERIALES,MATCH($B20,'INSUMOS MATERIALES'!$B$7:$B$54,0)))</f>
        <v>#N/A</v>
      </c>
      <c r="B20" s="43" t="s">
        <v>190</v>
      </c>
      <c r="C20" s="44" t="e">
        <f>IF(B20="","",(VLOOKUP($A20,INSUMOSMATERIALES,3,0)))</f>
        <v>#N/A</v>
      </c>
      <c r="D20" s="45">
        <v>6</v>
      </c>
      <c r="E20" s="46">
        <v>0.05</v>
      </c>
      <c r="F20" s="47" t="e">
        <f>IF(B20="","",(VLOOKUP($A20,INSUMOSMATERIALES,4,0)))</f>
        <v>#N/A</v>
      </c>
      <c r="G20" s="30" t="str">
        <f>+IFERROR(F20*D20*(1+E20),"")</f>
        <v/>
      </c>
    </row>
    <row r="21" spans="1:7" ht="19.350000000000001" customHeight="1">
      <c r="A21" s="26" t="e">
        <f>IF(B21="","",INDEX(CODIGOMATERIALES,MATCH($B21,'INSUMOS MATERIALES'!$B$7:$B$54,0)))</f>
        <v>#N/A</v>
      </c>
      <c r="B21" s="43" t="s">
        <v>843</v>
      </c>
      <c r="C21" s="44" t="e">
        <f>IF(B21="","",(VLOOKUP($A21,INSUMOSMATERIALES,3,0)))</f>
        <v>#N/A</v>
      </c>
      <c r="D21" s="45">
        <v>1.5</v>
      </c>
      <c r="E21" s="46">
        <v>0.05</v>
      </c>
      <c r="F21" s="47" t="e">
        <f>IF(B21="","",(VLOOKUP($A21,INSUMOSMATERIALES,4,0)))</f>
        <v>#N/A</v>
      </c>
      <c r="G21" s="30" t="str">
        <f>+IFERROR(F21*D21*(1+E21),"")</f>
        <v/>
      </c>
    </row>
    <row r="22" spans="1:7">
      <c r="A22" s="26" t="e">
        <f>IF(B22="","",INDEX(CODIGOMATERIALES,MATCH($B22,'INSUMOS MATERIALES'!$B$7:$B$54,0)))</f>
        <v>#N/A</v>
      </c>
      <c r="B22" s="43" t="s">
        <v>199</v>
      </c>
      <c r="C22" s="44" t="e">
        <f>IF(B22="","",(VLOOKUP($A22,INSUMOSMATERIALES,3,0)))</f>
        <v>#N/A</v>
      </c>
      <c r="D22" s="45">
        <v>170</v>
      </c>
      <c r="E22" s="46">
        <v>0.1</v>
      </c>
      <c r="F22" s="47" t="e">
        <f>IF(B22="","",(VLOOKUP($A22,INSUMOSMATERIALES,4,0)))</f>
        <v>#N/A</v>
      </c>
      <c r="G22" s="30" t="str">
        <f>+IFERROR(F22*D22*(1+E22),"")</f>
        <v/>
      </c>
    </row>
    <row r="23" spans="1:7" ht="23.1" customHeight="1">
      <c r="A23" s="26" t="str">
        <f>IF(B23="","",INDEX(CODIGOMATERIALES,MATCH($B23,'INSUMOS MATERIALES'!$B$7:$B$54,0)))</f>
        <v/>
      </c>
      <c r="B23" s="43"/>
      <c r="C23" s="44" t="str">
        <f>IF(B23="","",(VLOOKUP($A23,INSUMOSMATERIALES,3,0)))</f>
        <v/>
      </c>
      <c r="D23" s="45"/>
      <c r="E23" s="46"/>
      <c r="F23" s="47" t="str">
        <f>IF(B23="","",(VLOOKUP($A23,INSUMOSMATERIALES,4,0)))</f>
        <v/>
      </c>
      <c r="G23" s="30" t="str">
        <f>+IFERROR(F23*D23*(1+E23),"")</f>
        <v/>
      </c>
    </row>
    <row r="24" spans="1:7">
      <c r="A24" s="34"/>
      <c r="B24" s="48"/>
      <c r="C24" s="119"/>
      <c r="D24" s="119"/>
      <c r="E24" s="36"/>
      <c r="F24" s="37" t="s">
        <v>62</v>
      </c>
      <c r="G24" s="38" t="str">
        <f>+IF(SUM(G20:G23)=0,"",SUM(G20:G23))</f>
        <v/>
      </c>
    </row>
    <row r="25" spans="1:7" ht="5.0999999999999996" customHeight="1">
      <c r="A25" s="35"/>
      <c r="B25" s="119"/>
      <c r="C25" s="119"/>
      <c r="D25" s="36"/>
      <c r="E25" s="49"/>
      <c r="F25" s="40"/>
      <c r="G25" s="34"/>
    </row>
    <row r="26" spans="1:7">
      <c r="A26" s="464" t="s">
        <v>66</v>
      </c>
      <c r="B26" s="464"/>
      <c r="C26" s="464"/>
      <c r="D26" s="464"/>
      <c r="E26" s="464"/>
      <c r="F26" s="464"/>
      <c r="G26" s="464"/>
    </row>
    <row r="27" spans="1:7">
      <c r="A27" s="120" t="s">
        <v>57</v>
      </c>
      <c r="B27" s="120" t="s">
        <v>46</v>
      </c>
      <c r="C27" s="120" t="s">
        <v>67</v>
      </c>
      <c r="D27" s="120" t="s">
        <v>68</v>
      </c>
      <c r="E27" s="42" t="s">
        <v>69</v>
      </c>
      <c r="F27" s="42" t="s">
        <v>58</v>
      </c>
      <c r="G27" s="42" t="s">
        <v>60</v>
      </c>
    </row>
    <row r="28" spans="1:7" ht="35.450000000000003" customHeight="1">
      <c r="A28" s="26" t="str">
        <f>IF(B28="","",INDEX(CODIGOTRANSPORTES,MATCH(B28,'INSUMOS TRANSPORTES'!$B$7:$B$122,0)))</f>
        <v>TR002</v>
      </c>
      <c r="B28" s="43" t="s">
        <v>842</v>
      </c>
      <c r="C28" s="50" t="s">
        <v>607</v>
      </c>
      <c r="D28" s="45">
        <v>1.5</v>
      </c>
      <c r="E28" s="51">
        <v>10</v>
      </c>
      <c r="F28" s="28">
        <f>+IF(B28="","",(VLOOKUP($A28,INSUMOSTRANSPORTES,4,0)))</f>
        <v>3000</v>
      </c>
      <c r="G28" s="30">
        <f>+IFERROR(D28*E28*F28,"")</f>
        <v>45000</v>
      </c>
    </row>
    <row r="29" spans="1:7" ht="23.1" customHeight="1">
      <c r="A29" s="26" t="str">
        <f>IF(B29="","",INDEX(CODIGOTRANSPORTES,MATCH(B29,'INSUMOS TRANSPORTES'!$B$7:$B$26,0)))</f>
        <v>TR001</v>
      </c>
      <c r="B29" s="43" t="s">
        <v>608</v>
      </c>
      <c r="C29" s="50" t="s">
        <v>458</v>
      </c>
      <c r="D29" s="45">
        <f>(50*D20)/1000</f>
        <v>0.3</v>
      </c>
      <c r="E29" s="51">
        <f>+IF(C29=0,"",IF(C29="INSUMOS",'DATOS INICIALES'!$B$24,IF(C29="PLAYA",'DATOS INICIALES'!$B$21,IF(C29="TIERRA",'DATOS INICIALES'!$B$19,IF(C29="ESCOMBROS",'DATOS INICIALES'!$B$20,IF(C29="ASFALTO",'DATOS INICIALES'!$B$25,IF(C29="GRANULAR",'DATOS INICIALES'!B23)))))))</f>
        <v>5</v>
      </c>
      <c r="F29" s="28">
        <f>+IF(B29="","",(VLOOKUP($A29,INSUMOSTRANSPORTES,4,0)))</f>
        <v>4250</v>
      </c>
      <c r="G29" s="30">
        <f>+IFERROR(D29*E29*F29,"")</f>
        <v>6375</v>
      </c>
    </row>
    <row r="30" spans="1:7">
      <c r="A30" s="34"/>
      <c r="B30" s="119"/>
      <c r="C30" s="119"/>
      <c r="D30" s="119"/>
      <c r="E30" s="36"/>
      <c r="F30" s="59" t="s">
        <v>62</v>
      </c>
      <c r="G30" s="211">
        <f>+IF(SUM(G28:G28)=0,"",SUM(G28:G28))</f>
        <v>45000</v>
      </c>
    </row>
    <row r="31" spans="1:7" ht="5.0999999999999996" customHeight="1">
      <c r="A31" s="119"/>
      <c r="B31" s="119"/>
      <c r="C31" s="119"/>
      <c r="D31" s="36"/>
      <c r="E31" s="49"/>
      <c r="F31" s="40"/>
      <c r="G31" s="34"/>
    </row>
    <row r="32" spans="1:7">
      <c r="A32" s="464" t="s">
        <v>70</v>
      </c>
      <c r="B32" s="464"/>
      <c r="C32" s="464"/>
      <c r="D32" s="464"/>
      <c r="E32" s="464"/>
      <c r="F32" s="464"/>
      <c r="G32" s="465"/>
    </row>
    <row r="33" spans="1:7">
      <c r="A33" s="120" t="s">
        <v>57</v>
      </c>
      <c r="B33" s="500" t="s">
        <v>71</v>
      </c>
      <c r="C33" s="500"/>
      <c r="D33" s="42" t="s">
        <v>48</v>
      </c>
      <c r="E33" s="42" t="s">
        <v>72</v>
      </c>
      <c r="F33" s="42" t="s">
        <v>59</v>
      </c>
      <c r="G33" s="42" t="s">
        <v>60</v>
      </c>
    </row>
    <row r="34" spans="1:7">
      <c r="A34" s="26" t="str">
        <f>IF(B34="","",INDEX(CODIGOSMANODEOBRA,MATCH($B34,'INSUMOS MANO DE OBRA'!$B$7:$B$61,0)))</f>
        <v>MO033</v>
      </c>
      <c r="B34" s="619" t="s">
        <v>357</v>
      </c>
      <c r="C34" s="620"/>
      <c r="D34" s="53">
        <v>1</v>
      </c>
      <c r="E34" s="47">
        <f>IF(B34="","",(VLOOKUP($A34,INSUMOSMANODEOBRA,8,0)))</f>
        <v>104675</v>
      </c>
      <c r="F34" s="45">
        <v>8</v>
      </c>
      <c r="G34" s="54">
        <f>+IFERROR(D34*E34/F34,"")</f>
        <v>13084.375</v>
      </c>
    </row>
    <row r="35" spans="1:7">
      <c r="A35" s="26" t="str">
        <f>IF(B35="","",INDEX(CODIGOSMANODEOBRA,MATCH($B35,'INSUMOS MANO DE OBRA'!$B$7:$B$61,0)))</f>
        <v>MO032</v>
      </c>
      <c r="B35" s="619" t="s">
        <v>356</v>
      </c>
      <c r="C35" s="620"/>
      <c r="D35" s="53">
        <v>4</v>
      </c>
      <c r="E35" s="47">
        <f>IF(B35="","",(VLOOKUP($A35,INSUMOSMANODEOBRA,8,0)))</f>
        <v>90738</v>
      </c>
      <c r="F35" s="45">
        <v>8</v>
      </c>
      <c r="G35" s="54">
        <f>+IFERROR(D35*E35/F35,"")</f>
        <v>45369</v>
      </c>
    </row>
    <row r="36" spans="1:7">
      <c r="A36" s="26"/>
      <c r="B36" s="619"/>
      <c r="C36" s="620"/>
      <c r="D36" s="53"/>
      <c r="E36" s="47"/>
      <c r="F36" s="55"/>
      <c r="G36" s="54" t="str">
        <f>+IFERROR(D36*E36/F36,"")</f>
        <v/>
      </c>
    </row>
    <row r="37" spans="1:7">
      <c r="A37" s="26" t="s">
        <v>52</v>
      </c>
      <c r="B37" s="619"/>
      <c r="C37" s="620"/>
      <c r="D37" s="53"/>
      <c r="E37" s="47" t="s">
        <v>52</v>
      </c>
      <c r="F37" s="55" t="str">
        <f>+IF(A37="","",IF(A37=0,"",IF(F36="","",F36)))</f>
        <v/>
      </c>
      <c r="G37" s="54" t="str">
        <f>+IFERROR(D37*E37/F37,"")</f>
        <v/>
      </c>
    </row>
    <row r="38" spans="1:7">
      <c r="A38" s="34"/>
      <c r="B38" s="35"/>
      <c r="C38" s="119"/>
      <c r="D38" s="119"/>
      <c r="E38" s="36"/>
      <c r="F38" s="37" t="s">
        <v>62</v>
      </c>
      <c r="G38" s="38">
        <f>+IF(SUM(G34:G37)=0,"",SUM(G34:G37))</f>
        <v>58453.375</v>
      </c>
    </row>
    <row r="39" spans="1:7" ht="5.0999999999999996" customHeight="1">
      <c r="A39" s="121"/>
      <c r="B39" s="119"/>
      <c r="C39" s="56"/>
      <c r="D39" s="56"/>
      <c r="E39" s="56"/>
      <c r="F39" s="40"/>
      <c r="G39" s="57"/>
    </row>
    <row r="40" spans="1:7">
      <c r="A40" s="464" t="s">
        <v>76</v>
      </c>
      <c r="B40" s="464"/>
      <c r="C40" s="464"/>
      <c r="D40" s="464"/>
      <c r="E40" s="464"/>
      <c r="F40" s="464"/>
      <c r="G40" s="465"/>
    </row>
    <row r="41" spans="1:7">
      <c r="A41" s="120" t="s">
        <v>57</v>
      </c>
      <c r="B41" s="500" t="s">
        <v>46</v>
      </c>
      <c r="C41" s="500"/>
      <c r="D41" s="120" t="s">
        <v>47</v>
      </c>
      <c r="E41" s="120" t="s">
        <v>48</v>
      </c>
      <c r="F41" s="120" t="s">
        <v>65</v>
      </c>
      <c r="G41" s="120" t="s">
        <v>60</v>
      </c>
    </row>
    <row r="42" spans="1:7">
      <c r="A42" s="26" t="str">
        <f>IF(B42="","",INDEX(CODIGOSSERVICIOS,MATCH($B42,'INSUMOS SERVICIOS'!$B$7:$B$21,0)))</f>
        <v/>
      </c>
      <c r="B42" s="619"/>
      <c r="C42" s="620"/>
      <c r="D42" s="44" t="str">
        <f>+IF(B42="","",(VLOOKUP($A42,INSUMOSSERVICIOS,3,0)))</f>
        <v/>
      </c>
      <c r="E42" s="58">
        <v>1</v>
      </c>
      <c r="F42" s="47" t="str">
        <f>IF(B42="","",(VLOOKUP($A42,INSUMOSSERVICIOS,4,0)))</f>
        <v/>
      </c>
      <c r="G42" s="30" t="str">
        <f>+IFERROR(E42*F42,"")</f>
        <v/>
      </c>
    </row>
    <row r="43" spans="1:7">
      <c r="A43" s="26" t="str">
        <f>IF(B43="","",INDEX(CODIGOSSERVICIOS,MATCH($B43,'INSUMOS SERVICIOS'!$B$7:$B$21,0)))</f>
        <v/>
      </c>
      <c r="B43" s="619"/>
      <c r="C43" s="620"/>
      <c r="D43" s="44" t="str">
        <f>+IF(B43="","",(VLOOKUP($A43,INSUMOSSERVICIOS,3,0)))</f>
        <v/>
      </c>
      <c r="E43" s="58">
        <v>1</v>
      </c>
      <c r="F43" s="47" t="str">
        <f>IF(B43="","",(VLOOKUP($A43,INSUMOSSERVICIOS,4,0)))</f>
        <v/>
      </c>
      <c r="G43" s="30" t="str">
        <f>+IFERROR(E43*F43,"")</f>
        <v/>
      </c>
    </row>
    <row r="44" spans="1:7">
      <c r="A44" s="26" t="s">
        <v>52</v>
      </c>
      <c r="B44" s="619"/>
      <c r="C44" s="620"/>
      <c r="D44" s="44" t="str">
        <f>+IF(B44="","",(VLOOKUP($A44,INSUMOS_SERVICIOS,3,0)))</f>
        <v/>
      </c>
      <c r="E44" s="58"/>
      <c r="F44" s="47" t="str">
        <f>IF(B44="","",(VLOOKUP($A44,INSUMOS_SERVICIOS,4,0)))</f>
        <v/>
      </c>
      <c r="G44" s="30" t="str">
        <f>+IFERROR(E44*F44,"")</f>
        <v/>
      </c>
    </row>
    <row r="45" spans="1:7">
      <c r="A45" s="34"/>
      <c r="B45" s="35"/>
      <c r="C45" s="119"/>
      <c r="D45" s="119"/>
      <c r="E45" s="36"/>
      <c r="F45" s="59" t="s">
        <v>62</v>
      </c>
      <c r="G45" s="38" t="str">
        <f>+IF(SUM(G42:G44)=0,"",SUM(G42:G44))</f>
        <v/>
      </c>
    </row>
    <row r="46" spans="1:7" ht="5.0999999999999996" customHeight="1">
      <c r="A46" s="121"/>
      <c r="B46" s="119"/>
      <c r="C46" s="56"/>
      <c r="D46" s="56"/>
      <c r="E46" s="56"/>
      <c r="F46" s="40"/>
      <c r="G46" s="57"/>
    </row>
    <row r="47" spans="1:7">
      <c r="A47" s="494" t="s">
        <v>77</v>
      </c>
      <c r="B47" s="494"/>
      <c r="C47" s="494"/>
      <c r="D47" s="494"/>
      <c r="E47" s="494"/>
      <c r="F47" s="494"/>
      <c r="G47" s="60">
        <f>IF(SUM(G16,G24,G30,G38,G45)=0,"",(ROUND(SUM(G16,G24,G30,G38,G45),0)))</f>
        <v>117049</v>
      </c>
    </row>
    <row r="48" spans="1:7" ht="5.0999999999999996" customHeight="1">
      <c r="A48" s="57"/>
      <c r="B48" s="49"/>
      <c r="C48" s="49"/>
      <c r="D48" s="49"/>
      <c r="E48" s="49"/>
      <c r="F48" s="49"/>
      <c r="G48" s="40"/>
    </row>
    <row r="49" spans="1:7">
      <c r="A49" s="464" t="s">
        <v>78</v>
      </c>
      <c r="B49" s="464"/>
      <c r="C49" s="464"/>
      <c r="D49" s="464"/>
      <c r="E49" s="464"/>
      <c r="F49" s="464"/>
      <c r="G49" s="464"/>
    </row>
    <row r="50" spans="1:7" ht="5.0999999999999996" customHeight="1">
      <c r="A50" s="119"/>
      <c r="B50" s="119"/>
      <c r="C50" s="119"/>
      <c r="D50" s="119"/>
      <c r="E50" s="119"/>
      <c r="F50" s="119"/>
      <c r="G50" s="119"/>
    </row>
    <row r="51" spans="1:7">
      <c r="A51" s="495" t="s">
        <v>46</v>
      </c>
      <c r="B51" s="495"/>
      <c r="C51" s="495"/>
      <c r="D51" s="495"/>
      <c r="E51" s="495"/>
      <c r="F51" s="61" t="s">
        <v>79</v>
      </c>
      <c r="G51" s="61" t="s">
        <v>50</v>
      </c>
    </row>
    <row r="52" spans="1:7">
      <c r="A52" s="496" t="s">
        <v>80</v>
      </c>
      <c r="B52" s="496"/>
      <c r="C52" s="496"/>
      <c r="D52" s="496"/>
      <c r="E52" s="496"/>
      <c r="F52" s="62">
        <f ca="1">AIU!$I$46</f>
        <v>0.34160000000000001</v>
      </c>
      <c r="G52" s="63">
        <f ca="1">+IFERROR(G47*F52,"")</f>
        <v>39983.938399999999</v>
      </c>
    </row>
    <row r="53" spans="1:7">
      <c r="A53" s="496" t="s">
        <v>81</v>
      </c>
      <c r="B53" s="496"/>
      <c r="C53" s="496"/>
      <c r="D53" s="496"/>
      <c r="E53" s="496"/>
      <c r="F53" s="62" t="str">
        <f>IF(AIU!$I$47=0,"",AIU!$I47)</f>
        <v/>
      </c>
      <c r="G53" s="63" t="str">
        <f>+IFERROR(G47*F53,"")</f>
        <v/>
      </c>
    </row>
    <row r="54" spans="1:7">
      <c r="A54" s="496" t="s">
        <v>82</v>
      </c>
      <c r="B54" s="496"/>
      <c r="C54" s="496"/>
      <c r="D54" s="496"/>
      <c r="E54" s="496"/>
      <c r="F54" s="62">
        <f>IF(AIU!$I$48=0,"",AIU!$I48)</f>
        <v>0.05</v>
      </c>
      <c r="G54" s="63">
        <f>+IFERROR(G47*F54,"")</f>
        <v>5852.4500000000007</v>
      </c>
    </row>
    <row r="55" spans="1:7">
      <c r="A55" s="497" t="s">
        <v>83</v>
      </c>
      <c r="B55" s="498"/>
      <c r="C55" s="498"/>
      <c r="D55" s="498"/>
      <c r="E55" s="498"/>
      <c r="F55" s="64">
        <f ca="1">IF(SUM(F52:F54)=0,"",SUM(F52:F54))</f>
        <v>0.3916</v>
      </c>
      <c r="G55" s="65">
        <f ca="1">IF(SUM(G52:G54)=0,"",ROUND(SUM(G52:G54),0))</f>
        <v>45836</v>
      </c>
    </row>
    <row r="56" spans="1:7" ht="5.0999999999999996" customHeight="1">
      <c r="A56" s="57"/>
      <c r="B56" s="35"/>
      <c r="C56" s="35"/>
      <c r="D56" s="35"/>
      <c r="E56" s="499"/>
      <c r="F56" s="499"/>
      <c r="G56" s="66"/>
    </row>
    <row r="57" spans="1:7">
      <c r="A57" s="466" t="s">
        <v>84</v>
      </c>
      <c r="B57" s="467"/>
      <c r="C57" s="467"/>
      <c r="D57" s="467"/>
      <c r="E57" s="467"/>
      <c r="F57" s="467"/>
      <c r="G57" s="67">
        <f ca="1">+IFERROR(ROUND(G47+G55,0),"")</f>
        <v>162885</v>
      </c>
    </row>
    <row r="58" spans="1:7" ht="6.6" customHeight="1">
      <c r="A58" s="20"/>
      <c r="B58" s="20"/>
      <c r="C58" s="20"/>
      <c r="D58" s="20"/>
      <c r="E58" s="19"/>
      <c r="F58" s="19"/>
      <c r="G58" s="21"/>
    </row>
    <row r="59" spans="1:7" ht="12.6" customHeight="1">
      <c r="A59" s="20"/>
      <c r="B59" s="184"/>
      <c r="C59" s="19"/>
      <c r="D59" s="19"/>
      <c r="E59" s="19"/>
      <c r="F59" s="19"/>
      <c r="G59" s="19"/>
    </row>
    <row r="60" spans="1:7">
      <c r="A60" s="20"/>
      <c r="B60" s="184" t="s">
        <v>781</v>
      </c>
      <c r="C60" s="19"/>
      <c r="D60" s="19"/>
      <c r="E60" s="19"/>
      <c r="F60" s="19"/>
      <c r="G60" s="19"/>
    </row>
    <row r="61" spans="1:7">
      <c r="A61" s="20"/>
      <c r="B61" s="184"/>
      <c r="C61" s="19"/>
      <c r="D61" s="68"/>
      <c r="E61" s="68"/>
      <c r="F61" s="68"/>
      <c r="G61" s="19"/>
    </row>
    <row r="62" spans="1:7">
      <c r="A62" s="20"/>
      <c r="B62" s="184"/>
      <c r="C62" s="21"/>
      <c r="D62" s="538" t="s">
        <v>85</v>
      </c>
      <c r="E62" s="538"/>
      <c r="F62" s="538"/>
      <c r="G62" s="21"/>
    </row>
    <row r="64" spans="1:7" ht="18.75">
      <c r="A64" s="480" t="str">
        <f>'DATOS INICIALES'!$B$1</f>
        <v>DEPARTAMENTO DE ANTIOQUIA</v>
      </c>
      <c r="B64" s="481"/>
      <c r="C64" s="481"/>
      <c r="D64" s="481"/>
      <c r="E64" s="481"/>
      <c r="F64" s="482" t="s">
        <v>52</v>
      </c>
      <c r="G64" s="482"/>
    </row>
    <row r="65" spans="1:7" ht="15.6" customHeight="1">
      <c r="A65" s="483" t="str">
        <f>'DATOS INICIALES'!$B$2</f>
        <v>MUNICIPIO DE DABEIBA</v>
      </c>
      <c r="B65" s="484"/>
      <c r="C65" s="484"/>
      <c r="D65" s="484"/>
      <c r="E65" s="484"/>
      <c r="F65" s="482"/>
      <c r="G65" s="482"/>
    </row>
    <row r="66" spans="1:7" ht="14.45" customHeight="1">
      <c r="A66" s="485" t="str">
        <f>'DATOS INICIALES'!$B$3</f>
        <v xml:space="preserve">AMPLIACIÓN DEL SISTEMA DE ALCANTARILLADO EN SECTOR DEL BARRIO PABLO VI  DEL MUNICIPIO DE DABEIBA ANTIOQUIA </v>
      </c>
      <c r="B66" s="486"/>
      <c r="C66" s="486"/>
      <c r="D66" s="486"/>
      <c r="E66" s="486"/>
      <c r="F66" s="482"/>
      <c r="G66" s="482"/>
    </row>
    <row r="67" spans="1:7">
      <c r="A67" s="487"/>
      <c r="B67" s="487"/>
      <c r="C67" s="487"/>
      <c r="D67" s="487"/>
      <c r="E67" s="488"/>
      <c r="F67" s="482"/>
      <c r="G67" s="482"/>
    </row>
    <row r="68" spans="1:7">
      <c r="A68" s="489" t="s">
        <v>53</v>
      </c>
      <c r="B68" s="490"/>
      <c r="C68" s="490"/>
      <c r="D68" s="490"/>
      <c r="E68" s="490"/>
      <c r="F68" s="482"/>
      <c r="G68" s="482"/>
    </row>
    <row r="69" spans="1:7">
      <c r="A69" s="487"/>
      <c r="B69" s="487"/>
      <c r="C69" s="487"/>
      <c r="D69" s="487"/>
      <c r="E69" s="487"/>
      <c r="F69" s="491"/>
      <c r="G69" s="491"/>
    </row>
    <row r="70" spans="1:7">
      <c r="A70" s="22" t="s">
        <v>45</v>
      </c>
      <c r="B70" s="468" t="s">
        <v>46</v>
      </c>
      <c r="C70" s="469"/>
      <c r="D70" s="470"/>
      <c r="E70" s="23" t="s">
        <v>47</v>
      </c>
      <c r="F70" s="24" t="s">
        <v>48</v>
      </c>
      <c r="G70" s="24" t="s">
        <v>54</v>
      </c>
    </row>
    <row r="71" spans="1:7" ht="14.45" customHeight="1">
      <c r="A71" s="25" t="s">
        <v>153</v>
      </c>
      <c r="B71" s="471" t="str">
        <f>+IFERROR(VLOOKUP($A71,INSUMOSMATERIALES,2,0),"")</f>
        <v>CONCRETO 2500 PSI (175 MPA) EN OBRA</v>
      </c>
      <c r="C71" s="472"/>
      <c r="D71" s="473"/>
      <c r="E71" s="82" t="str">
        <f>+IFERROR(VLOOKUP($A71,INSUMOSMATERIALES,3,0),"")</f>
        <v>M3</v>
      </c>
      <c r="F71" s="82" t="s">
        <v>456</v>
      </c>
      <c r="G71" s="153">
        <f ca="1">IF(G119=0,"",G109)</f>
        <v>671549</v>
      </c>
    </row>
    <row r="72" spans="1:7">
      <c r="A72" s="20"/>
      <c r="B72" s="20"/>
      <c r="C72" s="20"/>
      <c r="D72" s="20"/>
      <c r="E72" s="19"/>
      <c r="F72" s="19"/>
      <c r="G72" s="21"/>
    </row>
    <row r="73" spans="1:7">
      <c r="A73" s="464" t="s">
        <v>55</v>
      </c>
      <c r="B73" s="464"/>
      <c r="C73" s="464"/>
      <c r="D73" s="464"/>
      <c r="E73" s="464"/>
      <c r="F73" s="464"/>
      <c r="G73" s="464"/>
    </row>
    <row r="74" spans="1:7">
      <c r="A74" s="119"/>
      <c r="B74" s="119"/>
      <c r="C74" s="119"/>
      <c r="D74" s="119"/>
      <c r="E74" s="119"/>
      <c r="F74" s="119"/>
      <c r="G74" s="119"/>
    </row>
    <row r="75" spans="1:7">
      <c r="A75" s="474" t="s">
        <v>56</v>
      </c>
      <c r="B75" s="474"/>
      <c r="C75" s="474"/>
      <c r="D75" s="474"/>
      <c r="E75" s="474"/>
      <c r="F75" s="474"/>
      <c r="G75" s="475"/>
    </row>
    <row r="76" spans="1:7">
      <c r="A76" s="120" t="s">
        <v>57</v>
      </c>
      <c r="B76" s="476" t="s">
        <v>46</v>
      </c>
      <c r="C76" s="477"/>
      <c r="D76" s="120" t="s">
        <v>47</v>
      </c>
      <c r="E76" s="120" t="s">
        <v>58</v>
      </c>
      <c r="F76" s="120" t="s">
        <v>59</v>
      </c>
      <c r="G76" s="120" t="s">
        <v>60</v>
      </c>
    </row>
    <row r="77" spans="1:7">
      <c r="A77" s="26" t="str">
        <f>IF(B77="","",INDEX(CODIGOEQUIPOS,MATCH($B77,'INSUMOS EQUIPOS'!$B$7:$B$39,0)))</f>
        <v>EQ004</v>
      </c>
      <c r="B77" s="621" t="s">
        <v>95</v>
      </c>
      <c r="C77" s="622"/>
      <c r="D77" s="27" t="str">
        <f>IF(B77="","",(VLOOKUP($A77,INSUMOSEQUIPOS,3,0)))</f>
        <v>DÍA</v>
      </c>
      <c r="E77" s="28">
        <f>IF(B77="","",(VLOOKUP($A77,INSUMOSEQUIPOS,4,0)))</f>
        <v>62000</v>
      </c>
      <c r="F77" s="29">
        <v>8</v>
      </c>
      <c r="G77" s="30">
        <f>+IFERROR(E77/F77,"")</f>
        <v>7750</v>
      </c>
    </row>
    <row r="78" spans="1:7">
      <c r="A78" s="31" t="str">
        <f>+IF(G100="","","EQ001")</f>
        <v>EQ001</v>
      </c>
      <c r="B78" s="502" t="str">
        <f>+IF($A78="","",IFERROR(VLOOKUP($A78,INSUMOSEQUIPOS,2,0),""))</f>
        <v>HERRAMIENTA MENOR (10% DE LA MANO DE OBRA)</v>
      </c>
      <c r="C78" s="503"/>
      <c r="D78" s="27" t="str">
        <f>+IF($A78="","",IFERROR(VLOOKUP($A78,INSUMOSEQUIPOS,3,0),""))</f>
        <v>%</v>
      </c>
      <c r="E78" s="32">
        <f>+IF($A78="","",IFERROR(VLOOKUP($A78,INSUMOSEQUIPOS,4,0),""))</f>
        <v>0.1</v>
      </c>
      <c r="F78" s="33">
        <f>+IF(G100=0,"",G100)</f>
        <v>58453.375</v>
      </c>
      <c r="G78" s="30">
        <f>+IFERROR(E78*F78,"")</f>
        <v>5845.3375000000005</v>
      </c>
    </row>
    <row r="79" spans="1:7">
      <c r="A79" s="34"/>
      <c r="B79" s="35"/>
      <c r="C79" s="119"/>
      <c r="D79" s="119"/>
      <c r="E79" s="36"/>
      <c r="F79" s="37" t="s">
        <v>62</v>
      </c>
      <c r="G79" s="38">
        <f>+IF(SUM(G77:G78)=0,"",SUM(G77:G78))</f>
        <v>13595.337500000001</v>
      </c>
    </row>
    <row r="80" spans="1:7">
      <c r="A80" s="35"/>
      <c r="B80" s="119"/>
      <c r="C80" s="119"/>
      <c r="D80" s="36"/>
      <c r="E80" s="39"/>
      <c r="F80" s="40"/>
      <c r="G80" s="34"/>
    </row>
    <row r="81" spans="1:7">
      <c r="A81" s="464" t="s">
        <v>63</v>
      </c>
      <c r="B81" s="464"/>
      <c r="C81" s="464"/>
      <c r="D81" s="464"/>
      <c r="E81" s="464"/>
      <c r="F81" s="464"/>
      <c r="G81" s="465"/>
    </row>
    <row r="82" spans="1:7">
      <c r="A82" s="120" t="s">
        <v>57</v>
      </c>
      <c r="B82" s="41" t="s">
        <v>46</v>
      </c>
      <c r="C82" s="42" t="s">
        <v>47</v>
      </c>
      <c r="D82" s="42" t="s">
        <v>48</v>
      </c>
      <c r="E82" s="42" t="s">
        <v>64</v>
      </c>
      <c r="F82" s="42" t="s">
        <v>65</v>
      </c>
      <c r="G82" s="42" t="s">
        <v>60</v>
      </c>
    </row>
    <row r="83" spans="1:7" ht="22.5">
      <c r="A83" s="26" t="e">
        <f>IF(B83="","",INDEX(CODIGOMATERIALES,MATCH($B83,'INSUMOS MATERIALES'!$B$7:$B$54,0)))</f>
        <v>#N/A</v>
      </c>
      <c r="B83" s="43" t="s">
        <v>190</v>
      </c>
      <c r="C83" s="44" t="e">
        <f>IF(B83="","",(VLOOKUP($A83,INSUMOSMATERIALES,3,0)))</f>
        <v>#N/A</v>
      </c>
      <c r="D83" s="45">
        <v>6.5</v>
      </c>
      <c r="E83" s="46">
        <v>0.05</v>
      </c>
      <c r="F83" s="47">
        <f>+'INSUMOS MATERIALES'!D30</f>
        <v>40000</v>
      </c>
      <c r="G83" s="30">
        <f>+IFERROR(F83*D83*(1+E83),"")</f>
        <v>273000</v>
      </c>
    </row>
    <row r="84" spans="1:7">
      <c r="A84" s="26" t="e">
        <f>IF(B84="","",INDEX(CODIGOMATERIALES,MATCH($B84,'INSUMOS MATERIALES'!$B$7:$B$54,0)))</f>
        <v>#N/A</v>
      </c>
      <c r="B84" s="43" t="s">
        <v>843</v>
      </c>
      <c r="C84" s="44" t="e">
        <f>IF(B84="","",(VLOOKUP($A84,INSUMOSMATERIALES,3,0)))</f>
        <v>#N/A</v>
      </c>
      <c r="D84" s="45">
        <v>1.5</v>
      </c>
      <c r="E84" s="46">
        <v>0.05</v>
      </c>
      <c r="F84" s="47">
        <f>+'INSUMOS MATERIALES'!D46</f>
        <v>60000</v>
      </c>
      <c r="G84" s="30">
        <f>+IFERROR(F84*D84*(1+E84),"")</f>
        <v>94500</v>
      </c>
    </row>
    <row r="85" spans="1:7">
      <c r="A85" s="26" t="e">
        <f>IF(B85="","",INDEX(CODIGOMATERIALES,MATCH($B85,'INSUMOS MATERIALES'!$B$7:$B$54,0)))</f>
        <v>#N/A</v>
      </c>
      <c r="B85" s="43" t="s">
        <v>199</v>
      </c>
      <c r="C85" s="44" t="e">
        <f>IF(B85="","",(VLOOKUP($A85,INSUMOSMATERIALES,3,0)))</f>
        <v>#N/A</v>
      </c>
      <c r="D85" s="45">
        <v>170</v>
      </c>
      <c r="E85" s="46">
        <v>0.1</v>
      </c>
      <c r="F85" s="47">
        <v>1000</v>
      </c>
      <c r="G85" s="30">
        <f>+IFERROR(F85*D85*(1+E85),"")</f>
        <v>187000.00000000003</v>
      </c>
    </row>
    <row r="86" spans="1:7">
      <c r="A86" s="34"/>
      <c r="B86" s="48"/>
      <c r="C86" s="119"/>
      <c r="D86" s="119"/>
      <c r="E86" s="36"/>
      <c r="F86" s="37" t="s">
        <v>62</v>
      </c>
      <c r="G86" s="38">
        <f>+IF(SUM(G83:G85)=0,"",SUM(G83:G85))</f>
        <v>554500</v>
      </c>
    </row>
    <row r="87" spans="1:7">
      <c r="A87" s="35"/>
      <c r="B87" s="119"/>
      <c r="C87" s="119"/>
      <c r="D87" s="36"/>
      <c r="E87" s="49"/>
      <c r="F87" s="40"/>
      <c r="G87" s="34"/>
    </row>
    <row r="88" spans="1:7">
      <c r="A88" s="464" t="s">
        <v>66</v>
      </c>
      <c r="B88" s="464"/>
      <c r="C88" s="464"/>
      <c r="D88" s="464"/>
      <c r="E88" s="464"/>
      <c r="F88" s="464"/>
      <c r="G88" s="464"/>
    </row>
    <row r="89" spans="1:7">
      <c r="A89" s="120" t="s">
        <v>57</v>
      </c>
      <c r="B89" s="120" t="s">
        <v>46</v>
      </c>
      <c r="C89" s="120" t="s">
        <v>67</v>
      </c>
      <c r="D89" s="120" t="s">
        <v>68</v>
      </c>
      <c r="E89" s="42" t="s">
        <v>69</v>
      </c>
      <c r="F89" s="42" t="s">
        <v>58</v>
      </c>
      <c r="G89" s="42" t="s">
        <v>60</v>
      </c>
    </row>
    <row r="90" spans="1:7" ht="36" customHeight="1">
      <c r="A90" s="26" t="str">
        <f>IF(B90="","",INDEX(CODIGOTRANSPORTES,MATCH(B90,'INSUMOS TRANSPORTES'!$B$7:$B$122,0)))</f>
        <v>TR002</v>
      </c>
      <c r="B90" s="43" t="s">
        <v>842</v>
      </c>
      <c r="C90" s="50" t="s">
        <v>607</v>
      </c>
      <c r="D90" s="45">
        <v>1.5</v>
      </c>
      <c r="E90" s="51">
        <v>10</v>
      </c>
      <c r="F90" s="28">
        <f>+IF(B90="","",(VLOOKUP($A90,INSUMOSTRANSPORTES,4,0)))</f>
        <v>3000</v>
      </c>
      <c r="G90" s="30">
        <f>+IFERROR(D90*E90*F90,"")</f>
        <v>45000</v>
      </c>
    </row>
    <row r="91" spans="1:7" ht="22.5">
      <c r="A91" s="26" t="str">
        <f>IF(B91="","",INDEX(CODIGOTRANSPORTES,MATCH(B91,'INSUMOS TRANSPORTES'!$B$7:$B$26,0)))</f>
        <v>TR001</v>
      </c>
      <c r="B91" s="43" t="s">
        <v>608</v>
      </c>
      <c r="C91" s="50" t="s">
        <v>458</v>
      </c>
      <c r="D91" s="45">
        <f>(50*D83)/1000</f>
        <v>0.32500000000000001</v>
      </c>
      <c r="E91" s="51">
        <f>+IF(C91=0,"",IF(C91="INSUMOS",'DATOS INICIALES'!$B$24,IF(C91="PLAYA",'DATOS INICIALES'!$B$21,IF(C91="TIERRA",'DATOS INICIALES'!$B$19,IF(C91="ESCOMBROS",'DATOS INICIALES'!$B$20,IF(C91="ASFALTO",'DATOS INICIALES'!$B$25,IF(C91="GRANULAR",'DATOS INICIALES'!B104)))))))</f>
        <v>5</v>
      </c>
      <c r="F91" s="28">
        <f>+IF(B91="","",(VLOOKUP($A91,INSUMOSTRANSPORTES,4,0)))</f>
        <v>4250</v>
      </c>
      <c r="G91" s="30">
        <f>+IFERROR(D91*E91*F91,"")</f>
        <v>6906.25</v>
      </c>
    </row>
    <row r="92" spans="1:7">
      <c r="A92" s="34"/>
      <c r="B92" s="52"/>
      <c r="C92" s="119"/>
      <c r="D92" s="119"/>
      <c r="E92" s="36"/>
      <c r="F92" s="37" t="s">
        <v>62</v>
      </c>
      <c r="G92" s="38">
        <f>+IF(SUM(G90:G90)=0,"",SUM(G90:G90))</f>
        <v>45000</v>
      </c>
    </row>
    <row r="93" spans="1:7">
      <c r="A93" s="119"/>
      <c r="B93" s="119"/>
      <c r="C93" s="119"/>
      <c r="D93" s="36"/>
      <c r="E93" s="49"/>
      <c r="F93" s="40"/>
      <c r="G93" s="34"/>
    </row>
    <row r="94" spans="1:7">
      <c r="A94" s="464" t="s">
        <v>70</v>
      </c>
      <c r="B94" s="464"/>
      <c r="C94" s="464"/>
      <c r="D94" s="464"/>
      <c r="E94" s="464"/>
      <c r="F94" s="464"/>
      <c r="G94" s="465"/>
    </row>
    <row r="95" spans="1:7">
      <c r="A95" s="120" t="s">
        <v>57</v>
      </c>
      <c r="B95" s="500" t="s">
        <v>71</v>
      </c>
      <c r="C95" s="500"/>
      <c r="D95" s="42" t="s">
        <v>48</v>
      </c>
      <c r="E95" s="42" t="s">
        <v>72</v>
      </c>
      <c r="F95" s="42" t="s">
        <v>59</v>
      </c>
      <c r="G95" s="42" t="s">
        <v>60</v>
      </c>
    </row>
    <row r="96" spans="1:7">
      <c r="A96" s="26" t="str">
        <f>IF(B96="","",INDEX(CODIGOSMANODEOBRA,MATCH($B96,'INSUMOS MANO DE OBRA'!$B$7:$B$61,0)))</f>
        <v>MO033</v>
      </c>
      <c r="B96" s="619" t="s">
        <v>357</v>
      </c>
      <c r="C96" s="620"/>
      <c r="D96" s="53">
        <v>1</v>
      </c>
      <c r="E96" s="47">
        <f>IF(B96="","",(VLOOKUP($A96,INSUMOSMANODEOBRA,8,0)))</f>
        <v>104675</v>
      </c>
      <c r="F96" s="45">
        <v>8</v>
      </c>
      <c r="G96" s="54">
        <f>+IFERROR(D96*E96/F96,"")</f>
        <v>13084.375</v>
      </c>
    </row>
    <row r="97" spans="1:7">
      <c r="A97" s="26" t="str">
        <f>IF(B97="","",INDEX(CODIGOSMANODEOBRA,MATCH($B97,'INSUMOS MANO DE OBRA'!$B$7:$B$61,0)))</f>
        <v>MO032</v>
      </c>
      <c r="B97" s="619" t="s">
        <v>356</v>
      </c>
      <c r="C97" s="620"/>
      <c r="D97" s="53">
        <v>4</v>
      </c>
      <c r="E97" s="47">
        <f>IF(B97="","",(VLOOKUP($A97,INSUMOSMANODEOBRA,8,0)))</f>
        <v>90738</v>
      </c>
      <c r="F97" s="45">
        <v>8</v>
      </c>
      <c r="G97" s="54">
        <f>+IFERROR(D97*E97/F97,"")</f>
        <v>45369</v>
      </c>
    </row>
    <row r="98" spans="1:7">
      <c r="A98" s="26"/>
      <c r="B98" s="619"/>
      <c r="C98" s="620"/>
      <c r="D98" s="53"/>
      <c r="E98" s="47"/>
      <c r="F98" s="55"/>
      <c r="G98" s="54" t="str">
        <f>+IFERROR(D98*E98/F98,"")</f>
        <v/>
      </c>
    </row>
    <row r="99" spans="1:7">
      <c r="A99" s="26" t="s">
        <v>52</v>
      </c>
      <c r="B99" s="619"/>
      <c r="C99" s="620"/>
      <c r="D99" s="53"/>
      <c r="E99" s="47" t="s">
        <v>52</v>
      </c>
      <c r="F99" s="55" t="str">
        <f>+IF(A99="","",IF(A99=0,"",IF(F98="","",F98)))</f>
        <v/>
      </c>
      <c r="G99" s="54" t="str">
        <f>+IFERROR(D99*E99/F99,"")</f>
        <v/>
      </c>
    </row>
    <row r="100" spans="1:7">
      <c r="A100" s="34"/>
      <c r="B100" s="35"/>
      <c r="C100" s="119"/>
      <c r="D100" s="119"/>
      <c r="E100" s="36"/>
      <c r="F100" s="37" t="s">
        <v>62</v>
      </c>
      <c r="G100" s="38">
        <f>+IF(SUM(G96:G99)=0,"",SUM(G96:G99))</f>
        <v>58453.375</v>
      </c>
    </row>
    <row r="101" spans="1:7">
      <c r="A101" s="121"/>
      <c r="B101" s="119"/>
      <c r="C101" s="56"/>
      <c r="D101" s="56"/>
      <c r="E101" s="56"/>
      <c r="F101" s="40"/>
      <c r="G101" s="57"/>
    </row>
    <row r="102" spans="1:7">
      <c r="A102" s="464" t="s">
        <v>76</v>
      </c>
      <c r="B102" s="464"/>
      <c r="C102" s="464"/>
      <c r="D102" s="464"/>
      <c r="E102" s="464"/>
      <c r="F102" s="464"/>
      <c r="G102" s="465"/>
    </row>
    <row r="103" spans="1:7">
      <c r="A103" s="120" t="s">
        <v>57</v>
      </c>
      <c r="B103" s="500" t="s">
        <v>46</v>
      </c>
      <c r="C103" s="500"/>
      <c r="D103" s="120" t="s">
        <v>47</v>
      </c>
      <c r="E103" s="120" t="s">
        <v>48</v>
      </c>
      <c r="F103" s="120" t="s">
        <v>65</v>
      </c>
      <c r="G103" s="120" t="s">
        <v>60</v>
      </c>
    </row>
    <row r="104" spans="1:7">
      <c r="A104" s="26" t="str">
        <f>IF(B104="","",INDEX(CODIGOSSERVICIOS,MATCH($B104,'INSUMOS SERVICIOS'!$B$7:$B$21,0)))</f>
        <v/>
      </c>
      <c r="B104" s="619"/>
      <c r="C104" s="620"/>
      <c r="D104" s="44" t="str">
        <f>+IF(B104="","",(VLOOKUP($A104,INSUMOSSERVICIOS,3,0)))</f>
        <v/>
      </c>
      <c r="E104" s="58">
        <v>1</v>
      </c>
      <c r="F104" s="47" t="str">
        <f>IF(B104="","",(VLOOKUP($A104,INSUMOSSERVICIOS,4,0)))</f>
        <v/>
      </c>
      <c r="G104" s="30" t="str">
        <f>+IFERROR(E104*F104,"")</f>
        <v/>
      </c>
    </row>
    <row r="105" spans="1:7">
      <c r="A105" s="26" t="str">
        <f>IF(B105="","",INDEX(CODIGOSSERVICIOS,MATCH($B105,'INSUMOS SERVICIOS'!$B$7:$B$21,0)))</f>
        <v/>
      </c>
      <c r="B105" s="619"/>
      <c r="C105" s="620"/>
      <c r="D105" s="44" t="str">
        <f>+IF(B105="","",(VLOOKUP($A105,INSUMOSSERVICIOS,3,0)))</f>
        <v/>
      </c>
      <c r="E105" s="58">
        <v>1</v>
      </c>
      <c r="F105" s="47" t="str">
        <f>IF(B105="","",(VLOOKUP($A105,INSUMOSSERVICIOS,4,0)))</f>
        <v/>
      </c>
      <c r="G105" s="30" t="str">
        <f>+IFERROR(E105*F105,"")</f>
        <v/>
      </c>
    </row>
    <row r="106" spans="1:7">
      <c r="A106" s="26" t="s">
        <v>52</v>
      </c>
      <c r="B106" s="619"/>
      <c r="C106" s="620"/>
      <c r="D106" s="44" t="str">
        <f>+IF(B106="","",(VLOOKUP($A106,INSUMOS_SERVICIOS,3,0)))</f>
        <v/>
      </c>
      <c r="E106" s="58"/>
      <c r="F106" s="47" t="str">
        <f>IF(B106="","",(VLOOKUP($A106,INSUMOS_SERVICIOS,4,0)))</f>
        <v/>
      </c>
      <c r="G106" s="30" t="str">
        <f>+IFERROR(E106*F106,"")</f>
        <v/>
      </c>
    </row>
    <row r="107" spans="1:7">
      <c r="A107" s="34"/>
      <c r="B107" s="35"/>
      <c r="C107" s="119"/>
      <c r="D107" s="119"/>
      <c r="E107" s="36"/>
      <c r="F107" s="59" t="s">
        <v>62</v>
      </c>
      <c r="G107" s="38" t="str">
        <f>+IF(SUM(G104:G106)=0,"",SUM(G104:G106))</f>
        <v/>
      </c>
    </row>
    <row r="108" spans="1:7">
      <c r="A108" s="121"/>
      <c r="B108" s="119"/>
      <c r="C108" s="56"/>
      <c r="D108" s="56"/>
      <c r="E108" s="56"/>
      <c r="F108" s="40"/>
      <c r="G108" s="57"/>
    </row>
    <row r="109" spans="1:7">
      <c r="A109" s="494" t="s">
        <v>77</v>
      </c>
      <c r="B109" s="494"/>
      <c r="C109" s="494"/>
      <c r="D109" s="494"/>
      <c r="E109" s="494"/>
      <c r="F109" s="494"/>
      <c r="G109" s="60">
        <f>IF(SUM(G79,G86,G92,G100,G107)=0,"",(ROUND(SUM(G79,G86,G92,G100,G107),0)))</f>
        <v>671549</v>
      </c>
    </row>
    <row r="110" spans="1:7">
      <c r="A110" s="57"/>
      <c r="B110" s="49"/>
      <c r="C110" s="49"/>
      <c r="D110" s="49"/>
      <c r="E110" s="49"/>
      <c r="F110" s="49"/>
      <c r="G110" s="40"/>
    </row>
    <row r="111" spans="1:7">
      <c r="A111" s="464" t="s">
        <v>78</v>
      </c>
      <c r="B111" s="464"/>
      <c r="C111" s="464"/>
      <c r="D111" s="464"/>
      <c r="E111" s="464"/>
      <c r="F111" s="464"/>
      <c r="G111" s="464"/>
    </row>
    <row r="112" spans="1:7">
      <c r="A112" s="119"/>
      <c r="B112" s="119"/>
      <c r="C112" s="119"/>
      <c r="D112" s="119"/>
      <c r="E112" s="119"/>
      <c r="F112" s="119"/>
      <c r="G112" s="119"/>
    </row>
    <row r="113" spans="1:7">
      <c r="A113" s="495" t="s">
        <v>46</v>
      </c>
      <c r="B113" s="495"/>
      <c r="C113" s="495"/>
      <c r="D113" s="495"/>
      <c r="E113" s="495"/>
      <c r="F113" s="61" t="s">
        <v>79</v>
      </c>
      <c r="G113" s="61" t="s">
        <v>50</v>
      </c>
    </row>
    <row r="114" spans="1:7">
      <c r="A114" s="496" t="s">
        <v>80</v>
      </c>
      <c r="B114" s="496"/>
      <c r="C114" s="496"/>
      <c r="D114" s="496"/>
      <c r="E114" s="496"/>
      <c r="F114" s="62">
        <f ca="1">AIU!$I$46</f>
        <v>0.34160000000000001</v>
      </c>
      <c r="G114" s="63">
        <f ca="1">+IFERROR(G109*F114,"")</f>
        <v>229401.1384</v>
      </c>
    </row>
    <row r="115" spans="1:7">
      <c r="A115" s="496" t="s">
        <v>81</v>
      </c>
      <c r="B115" s="496"/>
      <c r="C115" s="496"/>
      <c r="D115" s="496"/>
      <c r="E115" s="496"/>
      <c r="F115" s="62" t="str">
        <f>IF(AIU!$I$47=0,"",AIU!$I$47)</f>
        <v/>
      </c>
      <c r="G115" s="63" t="str">
        <f>+IFERROR(G109*F115,"")</f>
        <v/>
      </c>
    </row>
    <row r="116" spans="1:7">
      <c r="A116" s="496" t="s">
        <v>82</v>
      </c>
      <c r="B116" s="496"/>
      <c r="C116" s="496"/>
      <c r="D116" s="496"/>
      <c r="E116" s="496"/>
      <c r="F116" s="62">
        <f>IF(AIU!$I$48=0,"",AIU!$I$48)</f>
        <v>0.05</v>
      </c>
      <c r="G116" s="63">
        <f>+IFERROR(G109*F116,"")</f>
        <v>33577.450000000004</v>
      </c>
    </row>
    <row r="117" spans="1:7">
      <c r="A117" s="497" t="s">
        <v>83</v>
      </c>
      <c r="B117" s="498"/>
      <c r="C117" s="498"/>
      <c r="D117" s="498"/>
      <c r="E117" s="498"/>
      <c r="F117" s="64">
        <f ca="1">IF(SUM(F114:F116)=0,"",SUM(F114:F116))</f>
        <v>0.3916</v>
      </c>
      <c r="G117" s="65">
        <f ca="1">IF(SUM(G114:G116)=0,"",ROUND(SUM(G114:G116),0))</f>
        <v>262979</v>
      </c>
    </row>
    <row r="118" spans="1:7">
      <c r="A118" s="57"/>
      <c r="B118" s="35"/>
      <c r="C118" s="35"/>
      <c r="D118" s="35"/>
      <c r="E118" s="499"/>
      <c r="F118" s="499"/>
      <c r="G118" s="66"/>
    </row>
    <row r="119" spans="1:7">
      <c r="A119" s="466" t="s">
        <v>84</v>
      </c>
      <c r="B119" s="467"/>
      <c r="C119" s="467"/>
      <c r="D119" s="467"/>
      <c r="E119" s="467"/>
      <c r="F119" s="467"/>
      <c r="G119" s="67">
        <f ca="1">+IFERROR(ROUND(G109+G117,0),"")</f>
        <v>934528</v>
      </c>
    </row>
    <row r="120" spans="1:7">
      <c r="A120" s="20"/>
      <c r="B120" s="20"/>
      <c r="C120" s="20"/>
      <c r="D120" s="20"/>
      <c r="E120" s="19"/>
      <c r="F120" s="19"/>
      <c r="G120" s="21"/>
    </row>
    <row r="121" spans="1:7">
      <c r="A121" s="20"/>
      <c r="B121" s="184"/>
      <c r="C121" s="19"/>
      <c r="D121" s="19"/>
      <c r="E121" s="19"/>
      <c r="F121" s="19"/>
      <c r="G121" s="19"/>
    </row>
    <row r="122" spans="1:7">
      <c r="A122" s="20"/>
      <c r="B122" s="184" t="s">
        <v>781</v>
      </c>
      <c r="C122" s="19"/>
      <c r="D122" s="19"/>
      <c r="E122" s="19"/>
      <c r="F122" s="19"/>
      <c r="G122" s="19"/>
    </row>
    <row r="123" spans="1:7">
      <c r="A123" s="20"/>
      <c r="B123" s="184"/>
      <c r="C123" s="19"/>
      <c r="D123" s="68"/>
      <c r="E123" s="68"/>
      <c r="F123" s="68"/>
      <c r="G123" s="19"/>
    </row>
    <row r="124" spans="1:7">
      <c r="A124" s="20"/>
      <c r="B124" s="184"/>
      <c r="C124" s="21"/>
      <c r="D124" s="538" t="s">
        <v>85</v>
      </c>
      <c r="E124" s="538"/>
      <c r="F124" s="538"/>
      <c r="G124" s="21"/>
    </row>
    <row r="125" spans="1:7">
      <c r="A125" s="57"/>
      <c r="B125" s="35"/>
      <c r="C125" s="35"/>
      <c r="D125" s="35"/>
      <c r="E125" s="499"/>
      <c r="F125" s="499"/>
      <c r="G125" s="66"/>
    </row>
    <row r="126" spans="1:7" ht="18.75">
      <c r="A126" s="480" t="str">
        <f>'DATOS INICIALES'!$B$1</f>
        <v>DEPARTAMENTO DE ANTIOQUIA</v>
      </c>
      <c r="B126" s="481"/>
      <c r="C126" s="481"/>
      <c r="D126" s="481"/>
      <c r="E126" s="481"/>
      <c r="F126" s="482" t="s">
        <v>52</v>
      </c>
      <c r="G126" s="482"/>
    </row>
    <row r="127" spans="1:7" ht="15.75">
      <c r="A127" s="483" t="str">
        <f>'DATOS INICIALES'!$B$2</f>
        <v>MUNICIPIO DE DABEIBA</v>
      </c>
      <c r="B127" s="484"/>
      <c r="C127" s="484"/>
      <c r="D127" s="484"/>
      <c r="E127" s="484"/>
      <c r="F127" s="482"/>
      <c r="G127" s="482"/>
    </row>
    <row r="128" spans="1:7">
      <c r="A128" s="485" t="str">
        <f>'DATOS INICIALES'!$B$3</f>
        <v xml:space="preserve">AMPLIACIÓN DEL SISTEMA DE ALCANTARILLADO EN SECTOR DEL BARRIO PABLO VI  DEL MUNICIPIO DE DABEIBA ANTIOQUIA </v>
      </c>
      <c r="B128" s="486"/>
      <c r="C128" s="486"/>
      <c r="D128" s="486"/>
      <c r="E128" s="486"/>
      <c r="F128" s="482"/>
      <c r="G128" s="482"/>
    </row>
    <row r="129" spans="1:7">
      <c r="A129" s="487"/>
      <c r="B129" s="487"/>
      <c r="C129" s="487"/>
      <c r="D129" s="487"/>
      <c r="E129" s="488"/>
      <c r="F129" s="482"/>
      <c r="G129" s="482"/>
    </row>
    <row r="130" spans="1:7">
      <c r="A130" s="489" t="s">
        <v>53</v>
      </c>
      <c r="B130" s="490"/>
      <c r="C130" s="490"/>
      <c r="D130" s="490"/>
      <c r="E130" s="490"/>
      <c r="F130" s="482"/>
      <c r="G130" s="482"/>
    </row>
    <row r="131" spans="1:7">
      <c r="A131" s="487"/>
      <c r="B131" s="487"/>
      <c r="C131" s="487"/>
      <c r="D131" s="487"/>
      <c r="E131" s="487"/>
      <c r="F131" s="491"/>
      <c r="G131" s="491"/>
    </row>
    <row r="132" spans="1:7">
      <c r="A132" s="22" t="s">
        <v>45</v>
      </c>
      <c r="B132" s="468" t="s">
        <v>46</v>
      </c>
      <c r="C132" s="469"/>
      <c r="D132" s="470"/>
      <c r="E132" s="23" t="s">
        <v>47</v>
      </c>
      <c r="F132" s="24" t="s">
        <v>48</v>
      </c>
      <c r="G132" s="24" t="s">
        <v>54</v>
      </c>
    </row>
    <row r="133" spans="1:7">
      <c r="A133" s="25" t="s">
        <v>155</v>
      </c>
      <c r="B133" s="471" t="str">
        <f>+IFERROR(VLOOKUP($A133,INSUMOSMATERIALES,2,0),"")</f>
        <v>CONCRETO 3000 PSI (210 MPA) EN OBRA</v>
      </c>
      <c r="C133" s="472"/>
      <c r="D133" s="473"/>
      <c r="E133" s="82" t="str">
        <f>+IFERROR(VLOOKUP($A133,INSUMOSMATERIALES,3,0),"")</f>
        <v>M3</v>
      </c>
      <c r="F133" s="82" t="s">
        <v>456</v>
      </c>
      <c r="G133" s="153">
        <f ca="1">IF(G181=0,"",G171)</f>
        <v>559115</v>
      </c>
    </row>
    <row r="134" spans="1:7">
      <c r="A134" s="20"/>
      <c r="B134" s="20"/>
      <c r="C134" s="20"/>
      <c r="D134" s="20"/>
      <c r="E134" s="19"/>
      <c r="F134" s="19"/>
      <c r="G134" s="21"/>
    </row>
    <row r="135" spans="1:7">
      <c r="A135" s="464" t="s">
        <v>55</v>
      </c>
      <c r="B135" s="464"/>
      <c r="C135" s="464"/>
      <c r="D135" s="464"/>
      <c r="E135" s="464"/>
      <c r="F135" s="464"/>
      <c r="G135" s="464"/>
    </row>
    <row r="136" spans="1:7">
      <c r="A136" s="119"/>
      <c r="B136" s="119"/>
      <c r="C136" s="119"/>
      <c r="D136" s="119"/>
      <c r="E136" s="119"/>
      <c r="F136" s="119"/>
      <c r="G136" s="119"/>
    </row>
    <row r="137" spans="1:7">
      <c r="A137" s="474" t="s">
        <v>56</v>
      </c>
      <c r="B137" s="474"/>
      <c r="C137" s="474"/>
      <c r="D137" s="474"/>
      <c r="E137" s="474"/>
      <c r="F137" s="474"/>
      <c r="G137" s="475"/>
    </row>
    <row r="138" spans="1:7">
      <c r="A138" s="120" t="s">
        <v>57</v>
      </c>
      <c r="B138" s="476" t="s">
        <v>46</v>
      </c>
      <c r="C138" s="477"/>
      <c r="D138" s="120" t="s">
        <v>47</v>
      </c>
      <c r="E138" s="120" t="s">
        <v>58</v>
      </c>
      <c r="F138" s="120" t="s">
        <v>59</v>
      </c>
      <c r="G138" s="120" t="s">
        <v>60</v>
      </c>
    </row>
    <row r="139" spans="1:7">
      <c r="A139" s="26" t="str">
        <f>IF(B139="","",INDEX(CODIGOEQUIPOS,MATCH($B139,'INSUMOS EQUIPOS'!$B$7:$B$39,0)))</f>
        <v>EQ004</v>
      </c>
      <c r="B139" s="621" t="s">
        <v>95</v>
      </c>
      <c r="C139" s="622"/>
      <c r="D139" s="27" t="str">
        <f>IF(B139="","",(VLOOKUP($A139,INSUMOSEQUIPOS,3,0)))</f>
        <v>DÍA</v>
      </c>
      <c r="E139" s="28">
        <f>IF(B139="","",(VLOOKUP($A139,INSUMOSEQUIPOS,4,0)))</f>
        <v>62000</v>
      </c>
      <c r="F139" s="29">
        <v>6.5</v>
      </c>
      <c r="G139" s="30">
        <f>+IFERROR(E139/F139,"")</f>
        <v>9538.461538461539</v>
      </c>
    </row>
    <row r="140" spans="1:7">
      <c r="A140" s="31" t="str">
        <f>+IF(G162="","","EQ001")</f>
        <v>EQ001</v>
      </c>
      <c r="B140" s="502" t="str">
        <f>+IF($A140="","",IFERROR(VLOOKUP($A140,INSUMOSEQUIPOS,2,0),""))</f>
        <v>HERRAMIENTA MENOR (10% DE LA MANO DE OBRA)</v>
      </c>
      <c r="C140" s="503"/>
      <c r="D140" s="27" t="str">
        <f>+IF($A140="","",IFERROR(VLOOKUP($A140,INSUMOSEQUIPOS,3,0),""))</f>
        <v>%</v>
      </c>
      <c r="E140" s="32">
        <f>+IF($A140="","",IFERROR(VLOOKUP($A140,INSUMOSEQUIPOS,4,0),""))</f>
        <v>0.1</v>
      </c>
      <c r="F140" s="33">
        <f>+IF(G162=0,"",G162)</f>
        <v>71942.61538461539</v>
      </c>
      <c r="G140" s="30">
        <f>+IFERROR(E140*F140,"")</f>
        <v>7194.2615384615392</v>
      </c>
    </row>
    <row r="141" spans="1:7">
      <c r="A141" s="34"/>
      <c r="B141" s="35"/>
      <c r="C141" s="119"/>
      <c r="D141" s="119"/>
      <c r="E141" s="36"/>
      <c r="F141" s="37" t="s">
        <v>62</v>
      </c>
      <c r="G141" s="38">
        <f>+IF(SUM(G139:G140)=0,"",SUM(G139:G140))</f>
        <v>16732.723076923077</v>
      </c>
    </row>
    <row r="142" spans="1:7">
      <c r="A142" s="35"/>
      <c r="B142" s="119"/>
      <c r="C142" s="119"/>
      <c r="D142" s="36"/>
      <c r="E142" s="39"/>
      <c r="F142" s="40"/>
      <c r="G142" s="34"/>
    </row>
    <row r="143" spans="1:7">
      <c r="A143" s="464" t="s">
        <v>63</v>
      </c>
      <c r="B143" s="464"/>
      <c r="C143" s="464"/>
      <c r="D143" s="464"/>
      <c r="E143" s="464"/>
      <c r="F143" s="464"/>
      <c r="G143" s="465"/>
    </row>
    <row r="144" spans="1:7">
      <c r="A144" s="120" t="s">
        <v>57</v>
      </c>
      <c r="B144" s="41" t="s">
        <v>46</v>
      </c>
      <c r="C144" s="42" t="s">
        <v>47</v>
      </c>
      <c r="D144" s="42" t="s">
        <v>48</v>
      </c>
      <c r="E144" s="42" t="s">
        <v>64</v>
      </c>
      <c r="F144" s="42" t="s">
        <v>65</v>
      </c>
      <c r="G144" s="42" t="s">
        <v>60</v>
      </c>
    </row>
    <row r="145" spans="1:7" ht="22.5">
      <c r="A145" s="26" t="e">
        <f>IF(B145="","",INDEX(CODIGOMATERIALES,MATCH($B145,'INSUMOS MATERIALES'!$B$7:$B$54,0)))</f>
        <v>#N/A</v>
      </c>
      <c r="B145" s="43" t="s">
        <v>190</v>
      </c>
      <c r="C145" s="44" t="e">
        <f>IF(B145="","",(VLOOKUP($A145,INSUMOSMATERIALES,3,0)))</f>
        <v>#N/A</v>
      </c>
      <c r="D145" s="45">
        <v>8</v>
      </c>
      <c r="E145" s="46">
        <v>0.05</v>
      </c>
      <c r="F145" s="47">
        <v>39200</v>
      </c>
      <c r="G145" s="30">
        <f>+IFERROR(F145*D145*(1+E145),"")</f>
        <v>329280</v>
      </c>
    </row>
    <row r="146" spans="1:7">
      <c r="A146" s="26" t="e">
        <f>IF(B146="","",INDEX(CODIGOMATERIALES,MATCH($B146,'INSUMOS MATERIALES'!$B$7:$B$54,0)))</f>
        <v>#N/A</v>
      </c>
      <c r="B146" s="43" t="s">
        <v>843</v>
      </c>
      <c r="C146" s="44" t="e">
        <f>IF(B146="","",(VLOOKUP($A146,INSUMOSMATERIALES,3,0)))</f>
        <v>#N/A</v>
      </c>
      <c r="D146" s="45">
        <v>1.5</v>
      </c>
      <c r="E146" s="46">
        <v>0.05</v>
      </c>
      <c r="F146" s="47">
        <v>50000</v>
      </c>
      <c r="G146" s="30">
        <f>+IFERROR(F146*D146*(1+E146),"")</f>
        <v>78750</v>
      </c>
    </row>
    <row r="147" spans="1:7">
      <c r="A147" s="26" t="e">
        <f>IF(B147="","",INDEX(CODIGOMATERIALES,MATCH($B147,'INSUMOS MATERIALES'!$B$7:$B$54,0)))</f>
        <v>#N/A</v>
      </c>
      <c r="B147" s="43" t="s">
        <v>199</v>
      </c>
      <c r="C147" s="44" t="e">
        <f>IF(B147="","",(VLOOKUP($A147,INSUMOSMATERIALES,3,0)))</f>
        <v>#N/A</v>
      </c>
      <c r="D147" s="45">
        <v>180</v>
      </c>
      <c r="E147" s="46">
        <v>0.1</v>
      </c>
      <c r="F147" s="47">
        <v>45</v>
      </c>
      <c r="G147" s="30">
        <f>+IFERROR(F147*D147*(1+E147),"")</f>
        <v>8910</v>
      </c>
    </row>
    <row r="148" spans="1:7">
      <c r="A148" s="34"/>
      <c r="B148" s="48"/>
      <c r="C148" s="119"/>
      <c r="D148" s="119"/>
      <c r="E148" s="36"/>
      <c r="F148" s="37" t="s">
        <v>62</v>
      </c>
      <c r="G148" s="38">
        <f>+IF(SUM(G145:G147)=0,"",SUM(G145:G147))</f>
        <v>416940</v>
      </c>
    </row>
    <row r="149" spans="1:7">
      <c r="A149" s="35"/>
      <c r="B149" s="119"/>
      <c r="C149" s="119"/>
      <c r="D149" s="36"/>
      <c r="E149" s="49"/>
      <c r="F149" s="40"/>
      <c r="G149" s="34"/>
    </row>
    <row r="150" spans="1:7">
      <c r="A150" s="464" t="s">
        <v>66</v>
      </c>
      <c r="B150" s="464"/>
      <c r="C150" s="464"/>
      <c r="D150" s="464"/>
      <c r="E150" s="464"/>
      <c r="F150" s="464"/>
      <c r="G150" s="464"/>
    </row>
    <row r="151" spans="1:7">
      <c r="A151" s="120" t="s">
        <v>57</v>
      </c>
      <c r="B151" s="120" t="s">
        <v>46</v>
      </c>
      <c r="C151" s="120" t="s">
        <v>67</v>
      </c>
      <c r="D151" s="120" t="s">
        <v>68</v>
      </c>
      <c r="E151" s="42" t="s">
        <v>69</v>
      </c>
      <c r="F151" s="42" t="s">
        <v>58</v>
      </c>
      <c r="G151" s="42" t="s">
        <v>60</v>
      </c>
    </row>
    <row r="152" spans="1:7" ht="36.6" customHeight="1">
      <c r="A152" s="26" t="str">
        <f>IF(B152="","",INDEX(CODIGOTRANSPORTES,MATCH(B152,'INSUMOS TRANSPORTES'!$B$7:$B$122,0)))</f>
        <v>TR002</v>
      </c>
      <c r="B152" s="43" t="s">
        <v>842</v>
      </c>
      <c r="C152" s="338" t="s">
        <v>607</v>
      </c>
      <c r="D152" s="45">
        <v>1.5</v>
      </c>
      <c r="E152" s="51">
        <v>10</v>
      </c>
      <c r="F152" s="28">
        <f>+IF(B152="","",(VLOOKUP($A152,INSUMOSTRANSPORTES,4,0)))</f>
        <v>3000</v>
      </c>
      <c r="G152" s="30">
        <f>+IFERROR(D152*E152*F152,"")</f>
        <v>45000</v>
      </c>
    </row>
    <row r="153" spans="1:7" ht="26.45" customHeight="1">
      <c r="A153" s="26" t="str">
        <f>IF(B153="","",INDEX(CODIGOTRANSPORTES,MATCH(B153,'INSUMOS TRANSPORTES'!$B$7:$B$26,0)))</f>
        <v>TR001</v>
      </c>
      <c r="B153" s="43" t="s">
        <v>608</v>
      </c>
      <c r="C153" s="50" t="s">
        <v>458</v>
      </c>
      <c r="D153" s="45">
        <f>(50*D145)/1000</f>
        <v>0.4</v>
      </c>
      <c r="E153" s="51">
        <f>+IF(C153=0,"",IF(C153="INSUMOS",'DATOS INICIALES'!$B$24,IF(C153="PLAYA",'DATOS INICIALES'!$B$21,IF(C153="TIERRA",'DATOS INICIALES'!$B$19,IF(C153="ESCOMBROS",'DATOS INICIALES'!$B$20,IF(C153="ASFALTO",'DATOS INICIALES'!$B$25,IF(C153="GRANULAR",'DATOS INICIALES'!B168)))))))</f>
        <v>5</v>
      </c>
      <c r="F153" s="28">
        <f>+IF(B153="","",(VLOOKUP($A153,INSUMOSTRANSPORTES,4,0)))</f>
        <v>4250</v>
      </c>
      <c r="G153" s="30">
        <f>+IFERROR(D153*E153*F153,"")</f>
        <v>8500</v>
      </c>
    </row>
    <row r="154" spans="1:7">
      <c r="A154" s="34"/>
      <c r="B154" s="52"/>
      <c r="C154" s="119"/>
      <c r="D154" s="119"/>
      <c r="E154" s="36"/>
      <c r="F154" s="37" t="s">
        <v>62</v>
      </c>
      <c r="G154" s="38">
        <f>+IF(SUM(G152:G153)=0,"",SUM(G152:G153))</f>
        <v>53500</v>
      </c>
    </row>
    <row r="155" spans="1:7">
      <c r="A155" s="119"/>
      <c r="B155" s="119"/>
      <c r="C155" s="119"/>
      <c r="D155" s="36"/>
      <c r="E155" s="49"/>
      <c r="F155" s="40"/>
      <c r="G155" s="34"/>
    </row>
    <row r="156" spans="1:7">
      <c r="A156" s="464" t="s">
        <v>70</v>
      </c>
      <c r="B156" s="464"/>
      <c r="C156" s="464"/>
      <c r="D156" s="464"/>
      <c r="E156" s="464"/>
      <c r="F156" s="464"/>
      <c r="G156" s="465"/>
    </row>
    <row r="157" spans="1:7">
      <c r="A157" s="120" t="s">
        <v>57</v>
      </c>
      <c r="B157" s="500" t="s">
        <v>71</v>
      </c>
      <c r="C157" s="500"/>
      <c r="D157" s="42" t="s">
        <v>48</v>
      </c>
      <c r="E157" s="42" t="s">
        <v>72</v>
      </c>
      <c r="F157" s="42" t="s">
        <v>59</v>
      </c>
      <c r="G157" s="42" t="s">
        <v>60</v>
      </c>
    </row>
    <row r="158" spans="1:7">
      <c r="A158" s="26" t="str">
        <f>IF(B158="","",INDEX(CODIGOSMANODEOBRA,MATCH($B158,'INSUMOS MANO DE OBRA'!$B$7:$B$61,0)))</f>
        <v>MO033</v>
      </c>
      <c r="B158" s="619" t="s">
        <v>357</v>
      </c>
      <c r="C158" s="620"/>
      <c r="D158" s="53">
        <v>1</v>
      </c>
      <c r="E158" s="47">
        <f>IF(B158="","",(VLOOKUP($A158,INSUMOSMANODEOBRA,8,0)))</f>
        <v>104675</v>
      </c>
      <c r="F158" s="45">
        <v>6.5</v>
      </c>
      <c r="G158" s="54">
        <f>+IFERROR(D158*E158/F158,"")</f>
        <v>16103.846153846154</v>
      </c>
    </row>
    <row r="159" spans="1:7">
      <c r="A159" s="26" t="str">
        <f>IF(B159="","",INDEX(CODIGOSMANODEOBRA,MATCH($B159,'INSUMOS MANO DE OBRA'!$B$7:$B$61,0)))</f>
        <v>MO032</v>
      </c>
      <c r="B159" s="619" t="s">
        <v>356</v>
      </c>
      <c r="C159" s="620"/>
      <c r="D159" s="53">
        <v>4</v>
      </c>
      <c r="E159" s="47">
        <f>IF(B159="","",(VLOOKUP($A159,INSUMOSMANODEOBRA,8,0)))</f>
        <v>90738</v>
      </c>
      <c r="F159" s="45">
        <v>6.5</v>
      </c>
      <c r="G159" s="54">
        <f>+IFERROR(D159*E159/F159,"")</f>
        <v>55838.769230769234</v>
      </c>
    </row>
    <row r="160" spans="1:7">
      <c r="A160" s="26"/>
      <c r="B160" s="619"/>
      <c r="C160" s="620"/>
      <c r="D160" s="53"/>
      <c r="E160" s="47"/>
      <c r="F160" s="55"/>
      <c r="G160" s="54" t="str">
        <f>+IFERROR(D160*E160/F160,"")</f>
        <v/>
      </c>
    </row>
    <row r="161" spans="1:7">
      <c r="A161" s="26" t="s">
        <v>52</v>
      </c>
      <c r="B161" s="619"/>
      <c r="C161" s="620"/>
      <c r="D161" s="53"/>
      <c r="E161" s="47" t="s">
        <v>52</v>
      </c>
      <c r="F161" s="55" t="str">
        <f>+IF(A161="","",IF(A161=0,"",IF(F160="","",F160)))</f>
        <v/>
      </c>
      <c r="G161" s="54" t="str">
        <f>+IFERROR(D161*E161/F161,"")</f>
        <v/>
      </c>
    </row>
    <row r="162" spans="1:7">
      <c r="A162" s="34"/>
      <c r="B162" s="35"/>
      <c r="C162" s="119"/>
      <c r="D162" s="119"/>
      <c r="E162" s="36"/>
      <c r="F162" s="37" t="s">
        <v>62</v>
      </c>
      <c r="G162" s="38">
        <f>+IF(SUM(G158:G161)=0,"",SUM(G158:G161))</f>
        <v>71942.61538461539</v>
      </c>
    </row>
    <row r="163" spans="1:7">
      <c r="A163" s="121"/>
      <c r="B163" s="119"/>
      <c r="C163" s="56"/>
      <c r="D163" s="56"/>
      <c r="E163" s="56"/>
      <c r="F163" s="40"/>
      <c r="G163" s="57"/>
    </row>
    <row r="164" spans="1:7">
      <c r="A164" s="464" t="s">
        <v>76</v>
      </c>
      <c r="B164" s="464"/>
      <c r="C164" s="464"/>
      <c r="D164" s="464"/>
      <c r="E164" s="464"/>
      <c r="F164" s="464"/>
      <c r="G164" s="465"/>
    </row>
    <row r="165" spans="1:7">
      <c r="A165" s="120" t="s">
        <v>57</v>
      </c>
      <c r="B165" s="500" t="s">
        <v>46</v>
      </c>
      <c r="C165" s="500"/>
      <c r="D165" s="120" t="s">
        <v>47</v>
      </c>
      <c r="E165" s="120" t="s">
        <v>48</v>
      </c>
      <c r="F165" s="120" t="s">
        <v>65</v>
      </c>
      <c r="G165" s="120" t="s">
        <v>60</v>
      </c>
    </row>
    <row r="166" spans="1:7">
      <c r="A166" s="26" t="str">
        <f>IF(B166="","",INDEX(CODIGOSSERVICIOS,MATCH($B166,'INSUMOS SERVICIOS'!$B$7:$B$21,0)))</f>
        <v/>
      </c>
      <c r="B166" s="619"/>
      <c r="C166" s="620"/>
      <c r="D166" s="44" t="str">
        <f>+IF(B166="","",(VLOOKUP($A166,INSUMOSSERVICIOS,3,0)))</f>
        <v/>
      </c>
      <c r="E166" s="58"/>
      <c r="F166" s="47" t="str">
        <f>IF(B166="","",(VLOOKUP($A166,INSUMOSSERVICIOS,4,0)))</f>
        <v/>
      </c>
      <c r="G166" s="30" t="str">
        <f>+IFERROR(E166*F166,"")</f>
        <v/>
      </c>
    </row>
    <row r="167" spans="1:7">
      <c r="A167" s="26" t="str">
        <f>IF(B167="","",INDEX(CODIGOSSERVICIOS,MATCH($B167,'INSUMOS SERVICIOS'!$B$7:$B$21,0)))</f>
        <v/>
      </c>
      <c r="B167" s="619"/>
      <c r="C167" s="620"/>
      <c r="D167" s="44" t="str">
        <f>+IF(B167="","",(VLOOKUP($A167,INSUMOSSERVICIOS,3,0)))</f>
        <v/>
      </c>
      <c r="E167" s="58"/>
      <c r="F167" s="47" t="str">
        <f>IF(B167="","",(VLOOKUP($A167,INSUMOSSERVICIOS,4,0)))</f>
        <v/>
      </c>
      <c r="G167" s="30" t="str">
        <f>+IFERROR(E167*F167,"")</f>
        <v/>
      </c>
    </row>
    <row r="168" spans="1:7">
      <c r="A168" s="26" t="s">
        <v>52</v>
      </c>
      <c r="B168" s="619"/>
      <c r="C168" s="620"/>
      <c r="D168" s="44" t="str">
        <f>+IF(B168="","",(VLOOKUP($A168,INSUMOS_SERVICIOS,3,0)))</f>
        <v/>
      </c>
      <c r="E168" s="58"/>
      <c r="F168" s="47" t="str">
        <f>IF(B168="","",(VLOOKUP($A168,INSUMOS_SERVICIOS,4,0)))</f>
        <v/>
      </c>
      <c r="G168" s="30" t="str">
        <f>+IFERROR(E168*F168,"")</f>
        <v/>
      </c>
    </row>
    <row r="169" spans="1:7">
      <c r="A169" s="34"/>
      <c r="B169" s="35"/>
      <c r="C169" s="119"/>
      <c r="D169" s="119"/>
      <c r="E169" s="36"/>
      <c r="F169" s="59" t="s">
        <v>62</v>
      </c>
      <c r="G169" s="38" t="str">
        <f>+IF(SUM(G166:G168)=0,"",SUM(G166:G168))</f>
        <v/>
      </c>
    </row>
    <row r="170" spans="1:7">
      <c r="A170" s="121"/>
      <c r="B170" s="119"/>
      <c r="C170" s="56"/>
      <c r="D170" s="56"/>
      <c r="E170" s="56"/>
      <c r="F170" s="40"/>
      <c r="G170" s="57"/>
    </row>
    <row r="171" spans="1:7">
      <c r="A171" s="494" t="s">
        <v>77</v>
      </c>
      <c r="B171" s="494"/>
      <c r="C171" s="494"/>
      <c r="D171" s="494"/>
      <c r="E171" s="494"/>
      <c r="F171" s="494"/>
      <c r="G171" s="60">
        <f>IF(SUM(G141,G148,G154,G162,G169)=0,"",(ROUND(SUM(G141,G148,G154,G162,G169),0)))</f>
        <v>559115</v>
      </c>
    </row>
    <row r="172" spans="1:7">
      <c r="A172" s="57"/>
      <c r="B172" s="49"/>
      <c r="C172" s="49"/>
      <c r="D172" s="49"/>
      <c r="E172" s="49"/>
      <c r="F172" s="49"/>
      <c r="G172" s="40"/>
    </row>
    <row r="173" spans="1:7">
      <c r="A173" s="464" t="s">
        <v>78</v>
      </c>
      <c r="B173" s="464"/>
      <c r="C173" s="464"/>
      <c r="D173" s="464"/>
      <c r="E173" s="464"/>
      <c r="F173" s="464"/>
      <c r="G173" s="464"/>
    </row>
    <row r="174" spans="1:7">
      <c r="A174" s="119"/>
      <c r="B174" s="119"/>
      <c r="C174" s="119"/>
      <c r="D174" s="119"/>
      <c r="E174" s="119"/>
      <c r="F174" s="119"/>
      <c r="G174" s="119"/>
    </row>
    <row r="175" spans="1:7">
      <c r="A175" s="495" t="s">
        <v>46</v>
      </c>
      <c r="B175" s="495"/>
      <c r="C175" s="495"/>
      <c r="D175" s="495"/>
      <c r="E175" s="495"/>
      <c r="F175" s="61" t="s">
        <v>79</v>
      </c>
      <c r="G175" s="61" t="s">
        <v>50</v>
      </c>
    </row>
    <row r="176" spans="1:7">
      <c r="A176" s="496" t="s">
        <v>80</v>
      </c>
      <c r="B176" s="496"/>
      <c r="C176" s="496"/>
      <c r="D176" s="496"/>
      <c r="E176" s="496"/>
      <c r="F176" s="62">
        <f ca="1">AIU!$I$46</f>
        <v>0.34160000000000001</v>
      </c>
      <c r="G176" s="63">
        <f ca="1">+IFERROR(G171*F176,"")</f>
        <v>190993.68400000001</v>
      </c>
    </row>
    <row r="177" spans="1:7">
      <c r="A177" s="496" t="s">
        <v>81</v>
      </c>
      <c r="B177" s="496"/>
      <c r="C177" s="496"/>
      <c r="D177" s="496"/>
      <c r="E177" s="496"/>
      <c r="F177" s="62" t="str">
        <f>IF(AIU!$I$47=0,"",AIU!$I$47)</f>
        <v/>
      </c>
      <c r="G177" s="63" t="str">
        <f>+IFERROR(G171*F177,"")</f>
        <v/>
      </c>
    </row>
    <row r="178" spans="1:7">
      <c r="A178" s="496" t="s">
        <v>82</v>
      </c>
      <c r="B178" s="496"/>
      <c r="C178" s="496"/>
      <c r="D178" s="496"/>
      <c r="E178" s="496"/>
      <c r="F178" s="62">
        <f>IF(AIU!$I$48=0,"",AIU!$I$48)</f>
        <v>0.05</v>
      </c>
      <c r="G178" s="63">
        <f>+IFERROR(G171*F178,"")</f>
        <v>27955.75</v>
      </c>
    </row>
    <row r="179" spans="1:7">
      <c r="A179" s="497" t="s">
        <v>83</v>
      </c>
      <c r="B179" s="498"/>
      <c r="C179" s="498"/>
      <c r="D179" s="498"/>
      <c r="E179" s="498"/>
      <c r="F179" s="64">
        <f ca="1">IF(SUM(F176:F178)=0,"",SUM(F176:F178))</f>
        <v>0.3916</v>
      </c>
      <c r="G179" s="65">
        <f ca="1">IF(SUM(G176:G178)=0,"",ROUND(SUM(G176:G178),0))</f>
        <v>218949</v>
      </c>
    </row>
    <row r="180" spans="1:7">
      <c r="A180" s="57"/>
      <c r="B180" s="35"/>
      <c r="C180" s="35"/>
      <c r="D180" s="35"/>
      <c r="E180" s="499"/>
      <c r="F180" s="499"/>
      <c r="G180" s="66"/>
    </row>
    <row r="181" spans="1:7">
      <c r="A181" s="466" t="s">
        <v>84</v>
      </c>
      <c r="B181" s="467"/>
      <c r="C181" s="467"/>
      <c r="D181" s="467"/>
      <c r="E181" s="467"/>
      <c r="F181" s="467"/>
      <c r="G181" s="67">
        <f ca="1">+IFERROR(ROUND(G171+G179,0),"")</f>
        <v>778064</v>
      </c>
    </row>
    <row r="182" spans="1:7">
      <c r="A182" s="20"/>
      <c r="B182" s="20"/>
      <c r="C182" s="20"/>
      <c r="D182" s="20"/>
      <c r="E182" s="19"/>
      <c r="F182" s="19"/>
      <c r="G182" s="21"/>
    </row>
    <row r="183" spans="1:7">
      <c r="A183" s="20"/>
      <c r="B183" s="184"/>
      <c r="C183" s="19"/>
      <c r="D183" s="19"/>
      <c r="E183" s="19"/>
      <c r="F183" s="19"/>
      <c r="G183" s="19"/>
    </row>
    <row r="184" spans="1:7">
      <c r="A184" s="20"/>
      <c r="B184" s="184" t="s">
        <v>781</v>
      </c>
      <c r="C184" s="19"/>
      <c r="D184" s="19"/>
      <c r="E184" s="19"/>
      <c r="F184" s="19"/>
      <c r="G184" s="19"/>
    </row>
    <row r="185" spans="1:7">
      <c r="A185" s="20"/>
      <c r="B185" s="184"/>
      <c r="C185" s="19"/>
      <c r="D185" s="68"/>
      <c r="E185" s="68"/>
      <c r="F185" s="68"/>
      <c r="G185" s="19"/>
    </row>
    <row r="186" spans="1:7">
      <c r="A186" s="20"/>
      <c r="B186" s="184"/>
      <c r="C186" s="21"/>
      <c r="D186" s="538" t="s">
        <v>85</v>
      </c>
      <c r="E186" s="538"/>
      <c r="F186" s="538"/>
      <c r="G186" s="21"/>
    </row>
    <row r="188" spans="1:7" ht="18.75">
      <c r="A188" s="480" t="str">
        <f>'DATOS INICIALES'!$B$1</f>
        <v>DEPARTAMENTO DE ANTIOQUIA</v>
      </c>
      <c r="B188" s="481"/>
      <c r="C188" s="481"/>
      <c r="D188" s="481"/>
      <c r="E188" s="481"/>
      <c r="F188" s="482" t="s">
        <v>52</v>
      </c>
      <c r="G188" s="482"/>
    </row>
    <row r="189" spans="1:7" ht="15.75">
      <c r="A189" s="483" t="str">
        <f>'DATOS INICIALES'!$B$2</f>
        <v>MUNICIPIO DE DABEIBA</v>
      </c>
      <c r="B189" s="484"/>
      <c r="C189" s="484"/>
      <c r="D189" s="484"/>
      <c r="E189" s="484"/>
      <c r="F189" s="482"/>
      <c r="G189" s="482"/>
    </row>
    <row r="190" spans="1:7">
      <c r="A190" s="485" t="str">
        <f>'DATOS INICIALES'!$B$3</f>
        <v xml:space="preserve">AMPLIACIÓN DEL SISTEMA DE ALCANTARILLADO EN SECTOR DEL BARRIO PABLO VI  DEL MUNICIPIO DE DABEIBA ANTIOQUIA </v>
      </c>
      <c r="B190" s="486"/>
      <c r="C190" s="486"/>
      <c r="D190" s="486"/>
      <c r="E190" s="486"/>
      <c r="F190" s="482"/>
      <c r="G190" s="482"/>
    </row>
    <row r="191" spans="1:7">
      <c r="A191" s="487"/>
      <c r="B191" s="487"/>
      <c r="C191" s="487"/>
      <c r="D191" s="487"/>
      <c r="E191" s="488"/>
      <c r="F191" s="482"/>
      <c r="G191" s="482"/>
    </row>
    <row r="192" spans="1:7">
      <c r="A192" s="489" t="s">
        <v>53</v>
      </c>
      <c r="B192" s="490"/>
      <c r="C192" s="490"/>
      <c r="D192" s="490"/>
      <c r="E192" s="490"/>
      <c r="F192" s="482"/>
      <c r="G192" s="482"/>
    </row>
    <row r="193" spans="1:7">
      <c r="A193" s="487"/>
      <c r="B193" s="487"/>
      <c r="C193" s="487"/>
      <c r="D193" s="487"/>
      <c r="E193" s="487"/>
      <c r="F193" s="491"/>
      <c r="G193" s="491"/>
    </row>
    <row r="194" spans="1:7">
      <c r="A194" s="22" t="s">
        <v>45</v>
      </c>
      <c r="B194" s="468" t="s">
        <v>46</v>
      </c>
      <c r="C194" s="469"/>
      <c r="D194" s="470"/>
      <c r="E194" s="23" t="s">
        <v>47</v>
      </c>
      <c r="F194" s="24" t="s">
        <v>48</v>
      </c>
      <c r="G194" s="24" t="s">
        <v>54</v>
      </c>
    </row>
    <row r="195" spans="1:7">
      <c r="A195" s="25" t="s">
        <v>157</v>
      </c>
      <c r="B195" s="471" t="str">
        <f>+IFERROR(VLOOKUP($A195,INSUMOSMATERIALES,2,0),"")</f>
        <v>CONCRETO 3500 PSI (245 MPA) EN OBRA</v>
      </c>
      <c r="C195" s="472"/>
      <c r="D195" s="473"/>
      <c r="E195" s="82" t="str">
        <f>+IFERROR(VLOOKUP($A195,INSUMOSMATERIALES,3,0),"")</f>
        <v>M3</v>
      </c>
      <c r="F195" s="82" t="s">
        <v>456</v>
      </c>
      <c r="G195" s="153">
        <f ca="1">IF(G243=0,"",G233)</f>
        <v>133675</v>
      </c>
    </row>
    <row r="196" spans="1:7">
      <c r="A196" s="20"/>
      <c r="B196" s="20"/>
      <c r="C196" s="20"/>
      <c r="D196" s="20"/>
      <c r="E196" s="19"/>
      <c r="F196" s="19"/>
      <c r="G196" s="21"/>
    </row>
    <row r="197" spans="1:7">
      <c r="A197" s="464" t="s">
        <v>55</v>
      </c>
      <c r="B197" s="464"/>
      <c r="C197" s="464"/>
      <c r="D197" s="464"/>
      <c r="E197" s="464"/>
      <c r="F197" s="464"/>
      <c r="G197" s="464"/>
    </row>
    <row r="198" spans="1:7">
      <c r="A198" s="119"/>
      <c r="B198" s="119"/>
      <c r="C198" s="119"/>
      <c r="D198" s="119"/>
      <c r="E198" s="119"/>
      <c r="F198" s="119"/>
      <c r="G198" s="119"/>
    </row>
    <row r="199" spans="1:7">
      <c r="A199" s="474" t="s">
        <v>56</v>
      </c>
      <c r="B199" s="474"/>
      <c r="C199" s="474"/>
      <c r="D199" s="474"/>
      <c r="E199" s="474"/>
      <c r="F199" s="474"/>
      <c r="G199" s="475"/>
    </row>
    <row r="200" spans="1:7">
      <c r="A200" s="120" t="s">
        <v>57</v>
      </c>
      <c r="B200" s="476" t="s">
        <v>46</v>
      </c>
      <c r="C200" s="477"/>
      <c r="D200" s="120" t="s">
        <v>47</v>
      </c>
      <c r="E200" s="120" t="s">
        <v>58</v>
      </c>
      <c r="F200" s="120" t="s">
        <v>59</v>
      </c>
      <c r="G200" s="120" t="s">
        <v>60</v>
      </c>
    </row>
    <row r="201" spans="1:7">
      <c r="A201" s="26" t="str">
        <f>IF(B201="","",INDEX(CODIGOEQUIPOS,MATCH($B201,'INSUMOS EQUIPOS'!$B$7:$B$39,0)))</f>
        <v>EQ004</v>
      </c>
      <c r="B201" s="621" t="s">
        <v>95</v>
      </c>
      <c r="C201" s="622"/>
      <c r="D201" s="27" t="str">
        <f>IF(B201="","",(VLOOKUP($A201,INSUMOSEQUIPOS,3,0)))</f>
        <v>DÍA</v>
      </c>
      <c r="E201" s="28">
        <f>IF(B201="","",(VLOOKUP($A201,INSUMOSEQUIPOS,4,0)))</f>
        <v>62000</v>
      </c>
      <c r="F201" s="29">
        <v>6.5</v>
      </c>
      <c r="G201" s="30">
        <f>+IFERROR(E201/F201,"")</f>
        <v>9538.461538461539</v>
      </c>
    </row>
    <row r="202" spans="1:7">
      <c r="A202" s="31" t="str">
        <f>+IF(G224="","","EQ001")</f>
        <v>EQ001</v>
      </c>
      <c r="B202" s="502" t="str">
        <f>+IF($A202="","",IFERROR(VLOOKUP($A202,INSUMOSEQUIPOS,2,0),""))</f>
        <v>HERRAMIENTA MENOR (10% DE LA MANO DE OBRA)</v>
      </c>
      <c r="C202" s="503"/>
      <c r="D202" s="27" t="str">
        <f>+IF($A202="","",IFERROR(VLOOKUP($A202,INSUMOSEQUIPOS,3,0),""))</f>
        <v>%</v>
      </c>
      <c r="E202" s="32">
        <f>+IF($A202="","",IFERROR(VLOOKUP($A202,INSUMOSEQUIPOS,4,0),""))</f>
        <v>0.1</v>
      </c>
      <c r="F202" s="33">
        <f>+IF(G224=0,"",G224)</f>
        <v>71942.61538461539</v>
      </c>
      <c r="G202" s="30">
        <f>+IFERROR(E202*F202,"")</f>
        <v>7194.2615384615392</v>
      </c>
    </row>
    <row r="203" spans="1:7">
      <c r="A203" s="34"/>
      <c r="B203" s="35"/>
      <c r="C203" s="119"/>
      <c r="D203" s="119"/>
      <c r="E203" s="36"/>
      <c r="F203" s="37" t="s">
        <v>62</v>
      </c>
      <c r="G203" s="38">
        <f>+IF(SUM(G201:G202)=0,"",SUM(G201:G202))</f>
        <v>16732.723076923077</v>
      </c>
    </row>
    <row r="204" spans="1:7">
      <c r="A204" s="35"/>
      <c r="B204" s="119"/>
      <c r="C204" s="119"/>
      <c r="D204" s="36"/>
      <c r="E204" s="39"/>
      <c r="F204" s="40"/>
      <c r="G204" s="34"/>
    </row>
    <row r="205" spans="1:7">
      <c r="A205" s="464" t="s">
        <v>63</v>
      </c>
      <c r="B205" s="464"/>
      <c r="C205" s="464"/>
      <c r="D205" s="464"/>
      <c r="E205" s="464"/>
      <c r="F205" s="464"/>
      <c r="G205" s="465"/>
    </row>
    <row r="206" spans="1:7">
      <c r="A206" s="120" t="s">
        <v>57</v>
      </c>
      <c r="B206" s="41" t="s">
        <v>46</v>
      </c>
      <c r="C206" s="42" t="s">
        <v>47</v>
      </c>
      <c r="D206" s="42" t="s">
        <v>48</v>
      </c>
      <c r="E206" s="42" t="s">
        <v>64</v>
      </c>
      <c r="F206" s="42" t="s">
        <v>65</v>
      </c>
      <c r="G206" s="42" t="s">
        <v>60</v>
      </c>
    </row>
    <row r="207" spans="1:7" ht="22.5">
      <c r="A207" s="26" t="e">
        <f>IF(B207="","",INDEX(CODIGOMATERIALES,MATCH($B207,'INSUMOS MATERIALES'!$B$7:$B$54,0)))</f>
        <v>#N/A</v>
      </c>
      <c r="B207" s="43" t="s">
        <v>190</v>
      </c>
      <c r="C207" s="44" t="e">
        <f>IF(B207="","",(VLOOKUP($A207,INSUMOSMATERIALES,3,0)))</f>
        <v>#N/A</v>
      </c>
      <c r="D207" s="45">
        <v>8.5</v>
      </c>
      <c r="E207" s="46">
        <v>0.05</v>
      </c>
      <c r="F207" s="47" t="e">
        <f>IF(B207="","",(VLOOKUP($A207,INSUMOSMATERIALES,4,0)))</f>
        <v>#N/A</v>
      </c>
      <c r="G207" s="30" t="str">
        <f>+IFERROR(F207*D207*(1+E207),"")</f>
        <v/>
      </c>
    </row>
    <row r="208" spans="1:7">
      <c r="A208" s="26" t="e">
        <f>IF(B208="","",INDEX(CODIGOMATERIALES,MATCH($B208,'INSUMOS MATERIALES'!$B$7:$B$54,0)))</f>
        <v>#N/A</v>
      </c>
      <c r="B208" s="43" t="s">
        <v>843</v>
      </c>
      <c r="C208" s="44" t="e">
        <f>IF(B208="","",(VLOOKUP($A208,INSUMOSMATERIALES,3,0)))</f>
        <v>#N/A</v>
      </c>
      <c r="D208" s="45">
        <v>1.5</v>
      </c>
      <c r="E208" s="46">
        <v>0.05</v>
      </c>
      <c r="F208" s="47" t="e">
        <f>IF(B208="","",(VLOOKUP($A208,INSUMOSMATERIALES,4,0)))</f>
        <v>#N/A</v>
      </c>
      <c r="G208" s="30" t="str">
        <f>+IFERROR(F208*D208*(1+E208),"")</f>
        <v/>
      </c>
    </row>
    <row r="209" spans="1:7">
      <c r="A209" s="26" t="e">
        <f>IF(B209="","",INDEX(CODIGOMATERIALES,MATCH($B209,'INSUMOS MATERIALES'!$B$7:$B$54,0)))</f>
        <v>#N/A</v>
      </c>
      <c r="B209" s="43" t="s">
        <v>199</v>
      </c>
      <c r="C209" s="44" t="e">
        <f>IF(B209="","",(VLOOKUP($A209,INSUMOSMATERIALES,3,0)))</f>
        <v>#N/A</v>
      </c>
      <c r="D209" s="45">
        <v>180</v>
      </c>
      <c r="E209" s="46">
        <v>0.1</v>
      </c>
      <c r="F209" s="47" t="e">
        <f>IF(B209="","",(VLOOKUP($A209,INSUMOSMATERIALES,4,0)))</f>
        <v>#N/A</v>
      </c>
      <c r="G209" s="30" t="str">
        <f>+IFERROR(F209*D209*(1+E209),"")</f>
        <v/>
      </c>
    </row>
    <row r="210" spans="1:7">
      <c r="A210" s="34"/>
      <c r="B210" s="48"/>
      <c r="C210" s="119"/>
      <c r="D210" s="119"/>
      <c r="E210" s="36"/>
      <c r="F210" s="37" t="s">
        <v>62</v>
      </c>
      <c r="G210" s="38" t="str">
        <f>+IF(SUM(G207:G209)=0,"",SUM(G207:G209))</f>
        <v/>
      </c>
    </row>
    <row r="211" spans="1:7">
      <c r="A211" s="35"/>
      <c r="B211" s="119"/>
      <c r="C211" s="119"/>
      <c r="D211" s="36"/>
      <c r="E211" s="49"/>
      <c r="F211" s="40"/>
      <c r="G211" s="34"/>
    </row>
    <row r="212" spans="1:7">
      <c r="A212" s="464" t="s">
        <v>66</v>
      </c>
      <c r="B212" s="464"/>
      <c r="C212" s="464"/>
      <c r="D212" s="464"/>
      <c r="E212" s="464"/>
      <c r="F212" s="464"/>
      <c r="G212" s="464"/>
    </row>
    <row r="213" spans="1:7">
      <c r="A213" s="120" t="s">
        <v>57</v>
      </c>
      <c r="B213" s="120" t="s">
        <v>46</v>
      </c>
      <c r="C213" s="120" t="s">
        <v>67</v>
      </c>
      <c r="D213" s="120" t="s">
        <v>68</v>
      </c>
      <c r="E213" s="42" t="s">
        <v>69</v>
      </c>
      <c r="F213" s="42" t="s">
        <v>58</v>
      </c>
      <c r="G213" s="42" t="s">
        <v>60</v>
      </c>
    </row>
    <row r="214" spans="1:7" ht="31.7" customHeight="1">
      <c r="A214" s="26" t="str">
        <f>IF(B214="","",INDEX(CODIGOTRANSPORTES,MATCH(B214,'INSUMOS TRANSPORTES'!$B$7:$B$122,0)))</f>
        <v>TR002</v>
      </c>
      <c r="B214" s="43" t="s">
        <v>842</v>
      </c>
      <c r="C214" s="50" t="s">
        <v>607</v>
      </c>
      <c r="D214" s="45">
        <v>1.5</v>
      </c>
      <c r="E214" s="51">
        <v>10</v>
      </c>
      <c r="F214" s="28">
        <f>+IF(B214="","",(VLOOKUP($A214,INSUMOSTRANSPORTES,4,0)))</f>
        <v>3000</v>
      </c>
      <c r="G214" s="30">
        <f>+IFERROR(D214*E214*F214,"")</f>
        <v>45000</v>
      </c>
    </row>
    <row r="215" spans="1:7" ht="22.5">
      <c r="A215" s="26" t="str">
        <f>IF(B215="","",INDEX(CODIGOTRANSPORTES,MATCH(B215,'INSUMOS TRANSPORTES'!$B$7:$B$26,0)))</f>
        <v>TR001</v>
      </c>
      <c r="B215" s="43" t="s">
        <v>608</v>
      </c>
      <c r="C215" s="50" t="s">
        <v>458</v>
      </c>
      <c r="D215" s="45">
        <f>(50*D207)/1000</f>
        <v>0.42499999999999999</v>
      </c>
      <c r="E215" s="51">
        <f>+IF(C215=0,"",IF(C215="INSUMOS",'DATOS INICIALES'!$B$24,IF(C215="PLAYA",'DATOS INICIALES'!$B$21,IF(C215="TIERRA",'DATOS INICIALES'!$B$19,IF(C215="ESCOMBROS",'DATOS INICIALES'!$B$20,IF(C215="ASFALTO",'DATOS INICIALES'!$B$25,IF(C215="GRANULAR",'DATOS INICIALES'!B233)))))))</f>
        <v>5</v>
      </c>
      <c r="F215" s="28">
        <f>+IF(B215="","",(VLOOKUP($A215,INSUMOSTRANSPORTES,4,0)))</f>
        <v>4250</v>
      </c>
      <c r="G215" s="30">
        <f>+IFERROR(D215*E215*F215,"")</f>
        <v>9031.25</v>
      </c>
    </row>
    <row r="216" spans="1:7">
      <c r="A216" s="34"/>
      <c r="B216" s="52"/>
      <c r="C216" s="119"/>
      <c r="D216" s="119"/>
      <c r="E216" s="36"/>
      <c r="F216" s="37" t="s">
        <v>62</v>
      </c>
      <c r="G216" s="38">
        <f>+IF(SUM(G214:G214)=0,"",SUM(G214:G214))</f>
        <v>45000</v>
      </c>
    </row>
    <row r="217" spans="1:7">
      <c r="A217" s="119"/>
      <c r="B217" s="119"/>
      <c r="C217" s="119"/>
      <c r="D217" s="36"/>
      <c r="E217" s="49"/>
      <c r="F217" s="40"/>
      <c r="G217" s="34"/>
    </row>
    <row r="218" spans="1:7">
      <c r="A218" s="464" t="s">
        <v>70</v>
      </c>
      <c r="B218" s="464"/>
      <c r="C218" s="464"/>
      <c r="D218" s="464"/>
      <c r="E218" s="464"/>
      <c r="F218" s="464"/>
      <c r="G218" s="465"/>
    </row>
    <row r="219" spans="1:7">
      <c r="A219" s="120" t="s">
        <v>57</v>
      </c>
      <c r="B219" s="500" t="s">
        <v>71</v>
      </c>
      <c r="C219" s="500"/>
      <c r="D219" s="42" t="s">
        <v>48</v>
      </c>
      <c r="E219" s="42" t="s">
        <v>72</v>
      </c>
      <c r="F219" s="42" t="s">
        <v>59</v>
      </c>
      <c r="G219" s="42" t="s">
        <v>60</v>
      </c>
    </row>
    <row r="220" spans="1:7">
      <c r="A220" s="26" t="str">
        <f>IF(B220="","",INDEX(CODIGOSMANODEOBRA,MATCH($B220,'INSUMOS MANO DE OBRA'!$B$7:$B$61,0)))</f>
        <v>MO033</v>
      </c>
      <c r="B220" s="619" t="s">
        <v>357</v>
      </c>
      <c r="C220" s="620"/>
      <c r="D220" s="53">
        <v>1</v>
      </c>
      <c r="E220" s="47">
        <f>IF(B220="","",(VLOOKUP($A220,INSUMOSMANODEOBRA,8,0)))</f>
        <v>104675</v>
      </c>
      <c r="F220" s="45">
        <v>6.5</v>
      </c>
      <c r="G220" s="54">
        <f>+IFERROR(D220*E220/F220,"")</f>
        <v>16103.846153846154</v>
      </c>
    </row>
    <row r="221" spans="1:7">
      <c r="A221" s="26" t="str">
        <f>IF(B221="","",INDEX(CODIGOSMANODEOBRA,MATCH($B221,'INSUMOS MANO DE OBRA'!$B$7:$B$61,0)))</f>
        <v>MO032</v>
      </c>
      <c r="B221" s="619" t="s">
        <v>356</v>
      </c>
      <c r="C221" s="620"/>
      <c r="D221" s="53">
        <v>4</v>
      </c>
      <c r="E221" s="47">
        <f>IF(B221="","",(VLOOKUP($A221,INSUMOSMANODEOBRA,8,0)))</f>
        <v>90738</v>
      </c>
      <c r="F221" s="45">
        <v>6.5</v>
      </c>
      <c r="G221" s="54">
        <f>+IFERROR(D221*E221/F221,"")</f>
        <v>55838.769230769234</v>
      </c>
    </row>
    <row r="222" spans="1:7">
      <c r="A222" s="26"/>
      <c r="B222" s="619"/>
      <c r="C222" s="620"/>
      <c r="D222" s="53"/>
      <c r="E222" s="47"/>
      <c r="F222" s="55"/>
      <c r="G222" s="54" t="str">
        <f>+IFERROR(D222*E222/F222,"")</f>
        <v/>
      </c>
    </row>
    <row r="223" spans="1:7">
      <c r="A223" s="26" t="s">
        <v>52</v>
      </c>
      <c r="B223" s="619"/>
      <c r="C223" s="620"/>
      <c r="D223" s="53"/>
      <c r="E223" s="47" t="s">
        <v>52</v>
      </c>
      <c r="F223" s="55" t="str">
        <f>+IF(A223="","",IF(A223=0,"",IF(F222="","",F222)))</f>
        <v/>
      </c>
      <c r="G223" s="54" t="str">
        <f>+IFERROR(D223*E223/F223,"")</f>
        <v/>
      </c>
    </row>
    <row r="224" spans="1:7">
      <c r="A224" s="34"/>
      <c r="B224" s="35"/>
      <c r="C224" s="119"/>
      <c r="D224" s="119"/>
      <c r="E224" s="36"/>
      <c r="F224" s="37" t="s">
        <v>62</v>
      </c>
      <c r="G224" s="38">
        <f>+IF(SUM(G220:G223)=0,"",SUM(G220:G223))</f>
        <v>71942.61538461539</v>
      </c>
    </row>
    <row r="225" spans="1:7">
      <c r="A225" s="121"/>
      <c r="B225" s="119"/>
      <c r="C225" s="56"/>
      <c r="D225" s="56"/>
      <c r="E225" s="56"/>
      <c r="F225" s="40"/>
      <c r="G225" s="57"/>
    </row>
    <row r="226" spans="1:7">
      <c r="A226" s="464" t="s">
        <v>76</v>
      </c>
      <c r="B226" s="464"/>
      <c r="C226" s="464"/>
      <c r="D226" s="464"/>
      <c r="E226" s="464"/>
      <c r="F226" s="464"/>
      <c r="G226" s="465"/>
    </row>
    <row r="227" spans="1:7">
      <c r="A227" s="120" t="s">
        <v>57</v>
      </c>
      <c r="B227" s="500" t="s">
        <v>46</v>
      </c>
      <c r="C227" s="500"/>
      <c r="D227" s="120" t="s">
        <v>47</v>
      </c>
      <c r="E227" s="120" t="s">
        <v>48</v>
      </c>
      <c r="F227" s="120" t="s">
        <v>65</v>
      </c>
      <c r="G227" s="120" t="s">
        <v>60</v>
      </c>
    </row>
    <row r="228" spans="1:7">
      <c r="A228" s="26" t="str">
        <f>IF(B228="","",INDEX(CODIGOSSERVICIOS,MATCH($B228,'INSUMOS SERVICIOS'!$B$7:$B$21,0)))</f>
        <v/>
      </c>
      <c r="B228" s="619"/>
      <c r="C228" s="620"/>
      <c r="D228" s="44" t="str">
        <f>+IF(B228="","",(VLOOKUP($A228,INSUMOSSERVICIOS,3,0)))</f>
        <v/>
      </c>
      <c r="E228" s="58">
        <v>1</v>
      </c>
      <c r="F228" s="47" t="str">
        <f>IF(B228="","",(VLOOKUP($A228,INSUMOSSERVICIOS,4,0)))</f>
        <v/>
      </c>
      <c r="G228" s="30" t="str">
        <f>+IFERROR(E228*F228,"")</f>
        <v/>
      </c>
    </row>
    <row r="229" spans="1:7">
      <c r="A229" s="26" t="str">
        <f>IF(B229="","",INDEX(CODIGOSSERVICIOS,MATCH($B229,'INSUMOS SERVICIOS'!$B$7:$B$21,0)))</f>
        <v/>
      </c>
      <c r="B229" s="619"/>
      <c r="C229" s="620"/>
      <c r="D229" s="44" t="str">
        <f>+IF(B229="","",(VLOOKUP($A229,INSUMOSSERVICIOS,3,0)))</f>
        <v/>
      </c>
      <c r="E229" s="58">
        <v>1</v>
      </c>
      <c r="F229" s="47" t="str">
        <f>IF(B229="","",(VLOOKUP($A229,INSUMOSSERVICIOS,4,0)))</f>
        <v/>
      </c>
      <c r="G229" s="30" t="str">
        <f>+IFERROR(E229*F229,"")</f>
        <v/>
      </c>
    </row>
    <row r="230" spans="1:7">
      <c r="A230" s="26" t="s">
        <v>52</v>
      </c>
      <c r="B230" s="619"/>
      <c r="C230" s="620"/>
      <c r="D230" s="44" t="str">
        <f>+IF(B230="","",(VLOOKUP($A230,INSUMOS_SERVICIOS,3,0)))</f>
        <v/>
      </c>
      <c r="E230" s="58"/>
      <c r="F230" s="47" t="str">
        <f>IF(B230="","",(VLOOKUP($A230,INSUMOS_SERVICIOS,4,0)))</f>
        <v/>
      </c>
      <c r="G230" s="30" t="str">
        <f>+IFERROR(E230*F230,"")</f>
        <v/>
      </c>
    </row>
    <row r="231" spans="1:7">
      <c r="A231" s="34"/>
      <c r="B231" s="35"/>
      <c r="C231" s="119"/>
      <c r="D231" s="119"/>
      <c r="E231" s="36"/>
      <c r="F231" s="59" t="s">
        <v>62</v>
      </c>
      <c r="G231" s="38" t="str">
        <f>+IF(SUM(G228:G230)=0,"",SUM(G228:G230))</f>
        <v/>
      </c>
    </row>
    <row r="232" spans="1:7">
      <c r="A232" s="121"/>
      <c r="B232" s="119"/>
      <c r="C232" s="56"/>
      <c r="D232" s="56"/>
      <c r="E232" s="56"/>
      <c r="F232" s="40"/>
      <c r="G232" s="57"/>
    </row>
    <row r="233" spans="1:7">
      <c r="A233" s="494" t="s">
        <v>77</v>
      </c>
      <c r="B233" s="494"/>
      <c r="C233" s="494"/>
      <c r="D233" s="494"/>
      <c r="E233" s="494"/>
      <c r="F233" s="494"/>
      <c r="G233" s="60">
        <f>IF(SUM(G203,G210,G216,G224,G231)=0,"",(ROUND(SUM(G203,G210,G216,G224,G231),0)))</f>
        <v>133675</v>
      </c>
    </row>
    <row r="234" spans="1:7">
      <c r="A234" s="57"/>
      <c r="B234" s="49"/>
      <c r="C234" s="49"/>
      <c r="D234" s="49"/>
      <c r="E234" s="49"/>
      <c r="F234" s="49"/>
      <c r="G234" s="40"/>
    </row>
    <row r="235" spans="1:7">
      <c r="A235" s="464" t="s">
        <v>78</v>
      </c>
      <c r="B235" s="464"/>
      <c r="C235" s="464"/>
      <c r="D235" s="464"/>
      <c r="E235" s="464"/>
      <c r="F235" s="464"/>
      <c r="G235" s="464"/>
    </row>
    <row r="236" spans="1:7">
      <c r="A236" s="119"/>
      <c r="B236" s="119"/>
      <c r="C236" s="119"/>
      <c r="D236" s="119"/>
      <c r="E236" s="119"/>
      <c r="F236" s="119"/>
      <c r="G236" s="119"/>
    </row>
    <row r="237" spans="1:7">
      <c r="A237" s="495" t="s">
        <v>46</v>
      </c>
      <c r="B237" s="495"/>
      <c r="C237" s="495"/>
      <c r="D237" s="495"/>
      <c r="E237" s="495"/>
      <c r="F237" s="61" t="s">
        <v>79</v>
      </c>
      <c r="G237" s="61" t="s">
        <v>50</v>
      </c>
    </row>
    <row r="238" spans="1:7">
      <c r="A238" s="496" t="s">
        <v>80</v>
      </c>
      <c r="B238" s="496"/>
      <c r="C238" s="496"/>
      <c r="D238" s="496"/>
      <c r="E238" s="496"/>
      <c r="F238" s="62">
        <f ca="1">AIU!$I$46</f>
        <v>0.34160000000000001</v>
      </c>
      <c r="G238" s="63">
        <f ca="1">+IFERROR(G233*F238,"")</f>
        <v>45663.380000000005</v>
      </c>
    </row>
    <row r="239" spans="1:7">
      <c r="A239" s="496" t="s">
        <v>81</v>
      </c>
      <c r="B239" s="496"/>
      <c r="C239" s="496"/>
      <c r="D239" s="496"/>
      <c r="E239" s="496"/>
      <c r="F239" s="62" t="str">
        <f>IF(AIU!$I$47=0,"",AIU!$I$47)</f>
        <v/>
      </c>
      <c r="G239" s="63" t="str">
        <f>+IFERROR(G233*F239,"")</f>
        <v/>
      </c>
    </row>
    <row r="240" spans="1:7">
      <c r="A240" s="496" t="s">
        <v>82</v>
      </c>
      <c r="B240" s="496"/>
      <c r="C240" s="496"/>
      <c r="D240" s="496"/>
      <c r="E240" s="496"/>
      <c r="F240" s="62">
        <f>IF(AIU!$I$48=0,"",AIU!$I$48)</f>
        <v>0.05</v>
      </c>
      <c r="G240" s="63">
        <f>+IFERROR(G233*F240,"")</f>
        <v>6683.75</v>
      </c>
    </row>
    <row r="241" spans="1:7">
      <c r="A241" s="497" t="s">
        <v>83</v>
      </c>
      <c r="B241" s="498"/>
      <c r="C241" s="498"/>
      <c r="D241" s="498"/>
      <c r="E241" s="498"/>
      <c r="F241" s="64">
        <f ca="1">IF(SUM(F238:F240)=0,"",SUM(F238:F240))</f>
        <v>0.3916</v>
      </c>
      <c r="G241" s="65">
        <f ca="1">IF(SUM(G238:G240)=0,"",ROUND(SUM(G238:G240),0))</f>
        <v>52347</v>
      </c>
    </row>
    <row r="242" spans="1:7">
      <c r="A242" s="57"/>
      <c r="B242" s="35"/>
      <c r="C242" s="35"/>
      <c r="D242" s="35"/>
      <c r="E242" s="499"/>
      <c r="F242" s="499"/>
      <c r="G242" s="66"/>
    </row>
    <row r="243" spans="1:7">
      <c r="A243" s="466" t="s">
        <v>84</v>
      </c>
      <c r="B243" s="467"/>
      <c r="C243" s="467"/>
      <c r="D243" s="467"/>
      <c r="E243" s="467"/>
      <c r="F243" s="467"/>
      <c r="G243" s="67">
        <f ca="1">+IFERROR(ROUND(G233+G241,0),"")</f>
        <v>186022</v>
      </c>
    </row>
    <row r="244" spans="1:7">
      <c r="A244" s="20"/>
      <c r="B244" s="20"/>
      <c r="C244" s="20"/>
      <c r="D244" s="20"/>
      <c r="E244" s="19"/>
      <c r="F244" s="19"/>
      <c r="G244" s="21"/>
    </row>
    <row r="245" spans="1:7">
      <c r="A245" s="20"/>
      <c r="B245" s="184"/>
      <c r="C245" s="19"/>
      <c r="D245" s="19"/>
      <c r="E245" s="19"/>
      <c r="F245" s="19"/>
      <c r="G245" s="19"/>
    </row>
    <row r="246" spans="1:7">
      <c r="A246" s="20"/>
      <c r="B246" s="184" t="s">
        <v>781</v>
      </c>
      <c r="C246" s="19"/>
      <c r="D246" s="19"/>
      <c r="E246" s="19"/>
      <c r="F246" s="19"/>
      <c r="G246" s="19"/>
    </row>
    <row r="247" spans="1:7">
      <c r="A247" s="20"/>
      <c r="B247" s="184"/>
      <c r="C247" s="19"/>
      <c r="D247" s="68"/>
      <c r="E247" s="68"/>
      <c r="F247" s="68"/>
      <c r="G247" s="19"/>
    </row>
    <row r="248" spans="1:7">
      <c r="A248" s="20"/>
      <c r="B248" s="184"/>
      <c r="C248" s="21"/>
      <c r="D248" s="538" t="s">
        <v>85</v>
      </c>
      <c r="E248" s="538"/>
      <c r="F248" s="538"/>
      <c r="G248" s="21"/>
    </row>
    <row r="250" spans="1:7" ht="18.75">
      <c r="A250" s="480" t="str">
        <f>'DATOS INICIALES'!$B$1</f>
        <v>DEPARTAMENTO DE ANTIOQUIA</v>
      </c>
      <c r="B250" s="481"/>
      <c r="C250" s="481"/>
      <c r="D250" s="481"/>
      <c r="E250" s="481"/>
      <c r="F250" s="482" t="s">
        <v>52</v>
      </c>
      <c r="G250" s="482"/>
    </row>
    <row r="251" spans="1:7" ht="15.75">
      <c r="A251" s="483" t="str">
        <f>'DATOS INICIALES'!$B$2</f>
        <v>MUNICIPIO DE DABEIBA</v>
      </c>
      <c r="B251" s="484"/>
      <c r="C251" s="484"/>
      <c r="D251" s="484"/>
      <c r="E251" s="484"/>
      <c r="F251" s="482"/>
      <c r="G251" s="482"/>
    </row>
    <row r="252" spans="1:7">
      <c r="A252" s="485" t="str">
        <f>'DATOS INICIALES'!$B$3</f>
        <v xml:space="preserve">AMPLIACIÓN DEL SISTEMA DE ALCANTARILLADO EN SECTOR DEL BARRIO PABLO VI  DEL MUNICIPIO DE DABEIBA ANTIOQUIA </v>
      </c>
      <c r="B252" s="486"/>
      <c r="C252" s="486"/>
      <c r="D252" s="486"/>
      <c r="E252" s="486"/>
      <c r="F252" s="482"/>
      <c r="G252" s="482"/>
    </row>
    <row r="253" spans="1:7">
      <c r="A253" s="487"/>
      <c r="B253" s="487"/>
      <c r="C253" s="487"/>
      <c r="D253" s="487"/>
      <c r="E253" s="488"/>
      <c r="F253" s="482"/>
      <c r="G253" s="482"/>
    </row>
    <row r="254" spans="1:7">
      <c r="A254" s="489" t="s">
        <v>53</v>
      </c>
      <c r="B254" s="490"/>
      <c r="C254" s="490"/>
      <c r="D254" s="490"/>
      <c r="E254" s="490"/>
      <c r="F254" s="482"/>
      <c r="G254" s="482"/>
    </row>
    <row r="255" spans="1:7">
      <c r="A255" s="487"/>
      <c r="B255" s="487"/>
      <c r="C255" s="487"/>
      <c r="D255" s="487"/>
      <c r="E255" s="487"/>
      <c r="F255" s="491"/>
      <c r="G255" s="491"/>
    </row>
    <row r="256" spans="1:7">
      <c r="A256" s="22" t="s">
        <v>45</v>
      </c>
      <c r="B256" s="468" t="s">
        <v>46</v>
      </c>
      <c r="C256" s="469"/>
      <c r="D256" s="470"/>
      <c r="E256" s="23" t="s">
        <v>47</v>
      </c>
      <c r="F256" s="24" t="s">
        <v>48</v>
      </c>
      <c r="G256" s="24" t="s">
        <v>54</v>
      </c>
    </row>
    <row r="257" spans="1:7">
      <c r="A257" s="25" t="s">
        <v>159</v>
      </c>
      <c r="B257" s="471" t="str">
        <f>+IFERROR(VLOOKUP($A257,INSUMOSMATERIALES,2,0),"")</f>
        <v>CONCRETO 4000 PSI (280 MPA) EN OBRA</v>
      </c>
      <c r="C257" s="472"/>
      <c r="D257" s="473"/>
      <c r="E257" s="82" t="str">
        <f>+IFERROR(VLOOKUP($A257,INSUMOSMATERIALES,3,0),"")</f>
        <v>M3</v>
      </c>
      <c r="F257" s="82" t="s">
        <v>456</v>
      </c>
      <c r="G257" s="153">
        <f ca="1">IF(G305=0,"",G295)</f>
        <v>141065</v>
      </c>
    </row>
    <row r="258" spans="1:7">
      <c r="A258" s="20"/>
      <c r="B258" s="20"/>
      <c r="C258" s="20"/>
      <c r="D258" s="20"/>
      <c r="E258" s="19"/>
      <c r="F258" s="19"/>
      <c r="G258" s="21"/>
    </row>
    <row r="259" spans="1:7">
      <c r="A259" s="464" t="s">
        <v>55</v>
      </c>
      <c r="B259" s="464"/>
      <c r="C259" s="464"/>
      <c r="D259" s="464"/>
      <c r="E259" s="464"/>
      <c r="F259" s="464"/>
      <c r="G259" s="464"/>
    </row>
    <row r="260" spans="1:7">
      <c r="A260" s="119"/>
      <c r="B260" s="119"/>
      <c r="C260" s="119"/>
      <c r="D260" s="119"/>
      <c r="E260" s="119"/>
      <c r="F260" s="119"/>
      <c r="G260" s="119"/>
    </row>
    <row r="261" spans="1:7">
      <c r="A261" s="474" t="s">
        <v>56</v>
      </c>
      <c r="B261" s="474"/>
      <c r="C261" s="474"/>
      <c r="D261" s="474"/>
      <c r="E261" s="474"/>
      <c r="F261" s="474"/>
      <c r="G261" s="475"/>
    </row>
    <row r="262" spans="1:7">
      <c r="A262" s="120" t="s">
        <v>57</v>
      </c>
      <c r="B262" s="476" t="s">
        <v>46</v>
      </c>
      <c r="C262" s="477"/>
      <c r="D262" s="120" t="s">
        <v>47</v>
      </c>
      <c r="E262" s="120" t="s">
        <v>58</v>
      </c>
      <c r="F262" s="120" t="s">
        <v>59</v>
      </c>
      <c r="G262" s="120" t="s">
        <v>60</v>
      </c>
    </row>
    <row r="263" spans="1:7">
      <c r="A263" s="26" t="str">
        <f>IF(B263="","",INDEX(CODIGOEQUIPOS,MATCH($B263,'INSUMOS EQUIPOS'!$B$7:$B$39,0)))</f>
        <v>EQ004</v>
      </c>
      <c r="B263" s="621" t="s">
        <v>95</v>
      </c>
      <c r="C263" s="622"/>
      <c r="D263" s="27" t="str">
        <f>IF(B263="","",(VLOOKUP($A263,INSUMOSEQUIPOS,3,0)))</f>
        <v>DÍA</v>
      </c>
      <c r="E263" s="28">
        <f>IF(B263="","",(VLOOKUP($A263,INSUMOSEQUIPOS,4,0)))</f>
        <v>62000</v>
      </c>
      <c r="F263" s="29">
        <v>6</v>
      </c>
      <c r="G263" s="30">
        <f>+IFERROR(E263/F263,"")</f>
        <v>10333.333333333334</v>
      </c>
    </row>
    <row r="264" spans="1:7">
      <c r="A264" s="31" t="str">
        <f>+IF(G286="","","EQ001")</f>
        <v>EQ001</v>
      </c>
      <c r="B264" s="502" t="str">
        <f>+IF($A264="","",IFERROR(VLOOKUP($A264,INSUMOSEQUIPOS,2,0),""))</f>
        <v>HERRAMIENTA MENOR (10% DE LA MANO DE OBRA)</v>
      </c>
      <c r="C264" s="503"/>
      <c r="D264" s="27" t="str">
        <f>+IF($A264="","",IFERROR(VLOOKUP($A264,INSUMOSEQUIPOS,3,0),""))</f>
        <v>%</v>
      </c>
      <c r="E264" s="32">
        <f>+IF($A264="","",IFERROR(VLOOKUP($A264,INSUMOSEQUIPOS,4,0),""))</f>
        <v>0.1</v>
      </c>
      <c r="F264" s="33">
        <f>+IF(G286=0,"",G286)</f>
        <v>77937.833333333328</v>
      </c>
      <c r="G264" s="30">
        <f>+IFERROR(E264*F264,"")</f>
        <v>7793.7833333333328</v>
      </c>
    </row>
    <row r="265" spans="1:7">
      <c r="A265" s="34"/>
      <c r="B265" s="35"/>
      <c r="C265" s="119"/>
      <c r="D265" s="119"/>
      <c r="E265" s="36"/>
      <c r="F265" s="37" t="s">
        <v>62</v>
      </c>
      <c r="G265" s="38">
        <f>+IF(SUM(G263:G264)=0,"",SUM(G263:G264))</f>
        <v>18127.116666666669</v>
      </c>
    </row>
    <row r="266" spans="1:7">
      <c r="A266" s="35"/>
      <c r="B266" s="119"/>
      <c r="C266" s="119"/>
      <c r="D266" s="36"/>
      <c r="E266" s="39"/>
      <c r="F266" s="40"/>
      <c r="G266" s="34"/>
    </row>
    <row r="267" spans="1:7">
      <c r="A267" s="464" t="s">
        <v>63</v>
      </c>
      <c r="B267" s="464"/>
      <c r="C267" s="464"/>
      <c r="D267" s="464"/>
      <c r="E267" s="464"/>
      <c r="F267" s="464"/>
      <c r="G267" s="465"/>
    </row>
    <row r="268" spans="1:7">
      <c r="A268" s="120" t="s">
        <v>57</v>
      </c>
      <c r="B268" s="41" t="s">
        <v>46</v>
      </c>
      <c r="C268" s="42" t="s">
        <v>47</v>
      </c>
      <c r="D268" s="42" t="s">
        <v>48</v>
      </c>
      <c r="E268" s="42" t="s">
        <v>64</v>
      </c>
      <c r="F268" s="42" t="s">
        <v>65</v>
      </c>
      <c r="G268" s="42" t="s">
        <v>60</v>
      </c>
    </row>
    <row r="269" spans="1:7" ht="22.5">
      <c r="A269" s="26" t="e">
        <f>IF(B269="","",INDEX(CODIGOMATERIALES,MATCH($B269,'INSUMOS MATERIALES'!$B$7:$B$54,0)))</f>
        <v>#N/A</v>
      </c>
      <c r="B269" s="43" t="s">
        <v>190</v>
      </c>
      <c r="C269" s="44" t="e">
        <f>IF(B269="","",(VLOOKUP($A269,INSUMOSMATERIALES,3,0)))</f>
        <v>#N/A</v>
      </c>
      <c r="D269" s="45">
        <v>10</v>
      </c>
      <c r="E269" s="46">
        <v>0.05</v>
      </c>
      <c r="F269" s="47" t="e">
        <f>IF(B269="","",(VLOOKUP($A269,INSUMOSMATERIALES,4,0)))</f>
        <v>#N/A</v>
      </c>
      <c r="G269" s="30" t="str">
        <f>+IFERROR(F269*D269*(1+E269),"")</f>
        <v/>
      </c>
    </row>
    <row r="270" spans="1:7">
      <c r="A270" s="26" t="e">
        <f>IF(B270="","",INDEX(CODIGOMATERIALES,MATCH($B270,'INSUMOS MATERIALES'!$B$7:$B$54,0)))</f>
        <v>#N/A</v>
      </c>
      <c r="B270" s="43" t="s">
        <v>843</v>
      </c>
      <c r="C270" s="44" t="e">
        <f>IF(B270="","",(VLOOKUP($A270,INSUMOSMATERIALES,3,0)))</f>
        <v>#N/A</v>
      </c>
      <c r="D270" s="45">
        <v>1.5</v>
      </c>
      <c r="E270" s="46">
        <v>0.05</v>
      </c>
      <c r="F270" s="47" t="e">
        <f>IF(B270="","",(VLOOKUP($A270,INSUMOSMATERIALES,4,0)))</f>
        <v>#N/A</v>
      </c>
      <c r="G270" s="30" t="str">
        <f>+IFERROR(F270*D270*(1+E270),"")</f>
        <v/>
      </c>
    </row>
    <row r="271" spans="1:7">
      <c r="A271" s="26" t="e">
        <f>IF(B271="","",INDEX(CODIGOMATERIALES,MATCH($B271,'INSUMOS MATERIALES'!$B$7:$B$54,0)))</f>
        <v>#N/A</v>
      </c>
      <c r="B271" s="43" t="s">
        <v>199</v>
      </c>
      <c r="C271" s="44" t="e">
        <f>IF(B271="","",(VLOOKUP($A271,INSUMOSMATERIALES,3,0)))</f>
        <v>#N/A</v>
      </c>
      <c r="D271" s="45">
        <v>180</v>
      </c>
      <c r="E271" s="46">
        <v>0.1</v>
      </c>
      <c r="F271" s="47" t="e">
        <f>IF(B271="","",(VLOOKUP($A271,INSUMOSMATERIALES,4,0)))</f>
        <v>#N/A</v>
      </c>
      <c r="G271" s="30" t="str">
        <f>+IFERROR(F271*D271*(1+E271),"")</f>
        <v/>
      </c>
    </row>
    <row r="272" spans="1:7">
      <c r="A272" s="34"/>
      <c r="B272" s="48"/>
      <c r="C272" s="119"/>
      <c r="D272" s="119"/>
      <c r="E272" s="36"/>
      <c r="F272" s="37" t="s">
        <v>62</v>
      </c>
      <c r="G272" s="38" t="str">
        <f>+IF(SUM(G269:G271)=0,"",SUM(G269:G271))</f>
        <v/>
      </c>
    </row>
    <row r="273" spans="1:8">
      <c r="A273" s="35"/>
      <c r="B273" s="119"/>
      <c r="C273" s="119"/>
      <c r="D273" s="36"/>
      <c r="E273" s="49"/>
      <c r="F273" s="40"/>
      <c r="G273" s="34"/>
    </row>
    <row r="274" spans="1:8">
      <c r="A274" s="464" t="s">
        <v>66</v>
      </c>
      <c r="B274" s="464"/>
      <c r="C274" s="464"/>
      <c r="D274" s="464"/>
      <c r="E274" s="464"/>
      <c r="F274" s="464"/>
      <c r="G274" s="464"/>
    </row>
    <row r="275" spans="1:8">
      <c r="A275" s="120" t="s">
        <v>57</v>
      </c>
      <c r="B275" s="120" t="s">
        <v>46</v>
      </c>
      <c r="C275" s="120" t="s">
        <v>67</v>
      </c>
      <c r="D275" s="120" t="s">
        <v>68</v>
      </c>
      <c r="E275" s="42" t="s">
        <v>69</v>
      </c>
      <c r="F275" s="42" t="s">
        <v>58</v>
      </c>
      <c r="G275" s="42" t="s">
        <v>60</v>
      </c>
    </row>
    <row r="276" spans="1:8" ht="31.7" customHeight="1">
      <c r="A276" s="26" t="str">
        <f>IF(B276="","",INDEX(CODIGOTRANSPORTES,MATCH(B276,'INSUMOS TRANSPORTES'!$B$7:$B$122,0)))</f>
        <v>TR002</v>
      </c>
      <c r="B276" s="43" t="s">
        <v>842</v>
      </c>
      <c r="C276" s="50" t="s">
        <v>607</v>
      </c>
      <c r="D276" s="45">
        <v>1.5</v>
      </c>
      <c r="E276" s="51">
        <v>10</v>
      </c>
      <c r="F276" s="28">
        <f>+IF(B276="","",(VLOOKUP($A276,INSUMOSTRANSPORTES,4,0)))</f>
        <v>3000</v>
      </c>
      <c r="G276" s="30">
        <f>+IFERROR(D276*E276*F276,"")</f>
        <v>45000</v>
      </c>
      <c r="H276" s="208"/>
    </row>
    <row r="277" spans="1:8" ht="22.5">
      <c r="A277" s="26" t="str">
        <f>IF(B277="","",INDEX(CODIGOTRANSPORTES,MATCH(B277,'INSUMOS TRANSPORTES'!$B$7:$B$26,0)))</f>
        <v>TR001</v>
      </c>
      <c r="B277" s="43" t="s">
        <v>608</v>
      </c>
      <c r="C277" s="50" t="s">
        <v>458</v>
      </c>
      <c r="D277" s="45">
        <f>(50*D269)/1000</f>
        <v>0.5</v>
      </c>
      <c r="E277" s="51">
        <f>+IF(C277=0,"",IF(C277="INSUMOS",'DATOS INICIALES'!$B$24,IF(C277="PLAYA",'DATOS INICIALES'!$B$21,IF(C277="TIERRA",'DATOS INICIALES'!$B$19,IF(C277="ESCOMBROS",'DATOS INICIALES'!$B$20,IF(C277="ASFALTO",'DATOS INICIALES'!$B$25,IF(C277="GRANULAR",'DATOS INICIALES'!B297)))))))</f>
        <v>5</v>
      </c>
      <c r="F277" s="28">
        <f>+IF(B277="","",(VLOOKUP($A277,INSUMOSTRANSPORTES,4,0)))</f>
        <v>4250</v>
      </c>
      <c r="G277" s="30">
        <f>+IFERROR(D277*E277*F277,"")</f>
        <v>10625</v>
      </c>
    </row>
    <row r="278" spans="1:8">
      <c r="A278" s="34"/>
      <c r="B278" s="52"/>
      <c r="C278" s="119"/>
      <c r="D278" s="119"/>
      <c r="E278" s="36"/>
      <c r="F278" s="37" t="s">
        <v>62</v>
      </c>
      <c r="G278" s="38">
        <f>+IF(SUM(G276:G276)=0,"",SUM(G276:G276))</f>
        <v>45000</v>
      </c>
    </row>
    <row r="279" spans="1:8">
      <c r="A279" s="119"/>
      <c r="B279" s="119"/>
      <c r="C279" s="119"/>
      <c r="D279" s="36"/>
      <c r="E279" s="49"/>
      <c r="F279" s="40"/>
      <c r="G279" s="34"/>
    </row>
    <row r="280" spans="1:8">
      <c r="A280" s="464" t="s">
        <v>70</v>
      </c>
      <c r="B280" s="464"/>
      <c r="C280" s="464"/>
      <c r="D280" s="464"/>
      <c r="E280" s="464"/>
      <c r="F280" s="464"/>
      <c r="G280" s="465"/>
    </row>
    <row r="281" spans="1:8">
      <c r="A281" s="120" t="s">
        <v>57</v>
      </c>
      <c r="B281" s="500" t="s">
        <v>71</v>
      </c>
      <c r="C281" s="500"/>
      <c r="D281" s="42" t="s">
        <v>48</v>
      </c>
      <c r="E281" s="42" t="s">
        <v>72</v>
      </c>
      <c r="F281" s="42" t="s">
        <v>59</v>
      </c>
      <c r="G281" s="42" t="s">
        <v>60</v>
      </c>
    </row>
    <row r="282" spans="1:8">
      <c r="A282" s="26" t="str">
        <f>IF(B282="","",INDEX(CODIGOSMANODEOBRA,MATCH($B282,'INSUMOS MANO DE OBRA'!$B$7:$B$61,0)))</f>
        <v>MO033</v>
      </c>
      <c r="B282" s="619" t="s">
        <v>357</v>
      </c>
      <c r="C282" s="620"/>
      <c r="D282" s="53">
        <v>1</v>
      </c>
      <c r="E282" s="47">
        <f>IF(B282="","",(VLOOKUP($A282,INSUMOSMANODEOBRA,8,0)))</f>
        <v>104675</v>
      </c>
      <c r="F282" s="45">
        <v>6</v>
      </c>
      <c r="G282" s="54">
        <f>+IFERROR(D282*E282/F282,"")</f>
        <v>17445.833333333332</v>
      </c>
    </row>
    <row r="283" spans="1:8">
      <c r="A283" s="26" t="str">
        <f>IF(B283="","",INDEX(CODIGOSMANODEOBRA,MATCH($B283,'INSUMOS MANO DE OBRA'!$B$7:$B$61,0)))</f>
        <v>MO032</v>
      </c>
      <c r="B283" s="619" t="s">
        <v>356</v>
      </c>
      <c r="C283" s="620"/>
      <c r="D283" s="53">
        <v>4</v>
      </c>
      <c r="E283" s="47">
        <f>IF(B283="","",(VLOOKUP($A283,INSUMOSMANODEOBRA,8,0)))</f>
        <v>90738</v>
      </c>
      <c r="F283" s="45">
        <v>6</v>
      </c>
      <c r="G283" s="54">
        <f>+IFERROR(D283*E283/F283,"")</f>
        <v>60492</v>
      </c>
    </row>
    <row r="284" spans="1:8">
      <c r="A284" s="26"/>
      <c r="B284" s="619"/>
      <c r="C284" s="620"/>
      <c r="D284" s="53"/>
      <c r="E284" s="47"/>
      <c r="F284" s="55"/>
      <c r="G284" s="54" t="str">
        <f>+IFERROR(D284*E284/F284,"")</f>
        <v/>
      </c>
    </row>
    <row r="285" spans="1:8">
      <c r="A285" s="26" t="s">
        <v>52</v>
      </c>
      <c r="B285" s="619"/>
      <c r="C285" s="620"/>
      <c r="D285" s="53"/>
      <c r="E285" s="47" t="s">
        <v>52</v>
      </c>
      <c r="F285" s="55" t="str">
        <f>+IF(A285="","",IF(A285=0,"",IF(F284="","",F284)))</f>
        <v/>
      </c>
      <c r="G285" s="54" t="str">
        <f>+IFERROR(D285*E285/F285,"")</f>
        <v/>
      </c>
    </row>
    <row r="286" spans="1:8">
      <c r="A286" s="34"/>
      <c r="B286" s="35"/>
      <c r="C286" s="119"/>
      <c r="D286" s="119"/>
      <c r="E286" s="36"/>
      <c r="F286" s="37" t="s">
        <v>62</v>
      </c>
      <c r="G286" s="38">
        <f>+IF(SUM(G282:G285)=0,"",SUM(G282:G285))</f>
        <v>77937.833333333328</v>
      </c>
    </row>
    <row r="287" spans="1:8">
      <c r="A287" s="121"/>
      <c r="B287" s="119"/>
      <c r="C287" s="56"/>
      <c r="D287" s="56"/>
      <c r="E287" s="56"/>
      <c r="F287" s="40"/>
      <c r="G287" s="57"/>
    </row>
    <row r="288" spans="1:8">
      <c r="A288" s="464" t="s">
        <v>76</v>
      </c>
      <c r="B288" s="464"/>
      <c r="C288" s="464"/>
      <c r="D288" s="464"/>
      <c r="E288" s="464"/>
      <c r="F288" s="464"/>
      <c r="G288" s="465"/>
    </row>
    <row r="289" spans="1:7">
      <c r="A289" s="120" t="s">
        <v>57</v>
      </c>
      <c r="B289" s="500" t="s">
        <v>46</v>
      </c>
      <c r="C289" s="500"/>
      <c r="D289" s="120" t="s">
        <v>47</v>
      </c>
      <c r="E289" s="120" t="s">
        <v>48</v>
      </c>
      <c r="F289" s="120" t="s">
        <v>65</v>
      </c>
      <c r="G289" s="120" t="s">
        <v>60</v>
      </c>
    </row>
    <row r="290" spans="1:7">
      <c r="A290" s="26" t="str">
        <f>IF(B290="","",INDEX(CODIGOSSERVICIOS,MATCH($B290,'INSUMOS SERVICIOS'!$B$7:$B$21,0)))</f>
        <v/>
      </c>
      <c r="B290" s="619"/>
      <c r="C290" s="620"/>
      <c r="D290" s="44" t="str">
        <f>+IF(B290="","",(VLOOKUP($A290,INSUMOSSERVICIOS,3,0)))</f>
        <v/>
      </c>
      <c r="E290" s="58">
        <v>1</v>
      </c>
      <c r="F290" s="47" t="str">
        <f>IF(B290="","",(VLOOKUP($A290,INSUMOSSERVICIOS,4,0)))</f>
        <v/>
      </c>
      <c r="G290" s="30" t="str">
        <f>+IFERROR(E290*F290,"")</f>
        <v/>
      </c>
    </row>
    <row r="291" spans="1:7">
      <c r="A291" s="26" t="str">
        <f>IF(B291="","",INDEX(CODIGOSSERVICIOS,MATCH($B291,'INSUMOS SERVICIOS'!$B$7:$B$21,0)))</f>
        <v/>
      </c>
      <c r="B291" s="619"/>
      <c r="C291" s="620"/>
      <c r="D291" s="44" t="str">
        <f>+IF(B291="","",(VLOOKUP($A291,INSUMOSSERVICIOS,3,0)))</f>
        <v/>
      </c>
      <c r="E291" s="58">
        <v>1</v>
      </c>
      <c r="F291" s="47" t="str">
        <f>IF(B291="","",(VLOOKUP($A291,INSUMOSSERVICIOS,4,0)))</f>
        <v/>
      </c>
      <c r="G291" s="30" t="str">
        <f>+IFERROR(E291*F291,"")</f>
        <v/>
      </c>
    </row>
    <row r="292" spans="1:7">
      <c r="A292" s="26" t="s">
        <v>52</v>
      </c>
      <c r="B292" s="619"/>
      <c r="C292" s="620"/>
      <c r="D292" s="44" t="str">
        <f>+IF(B292="","",(VLOOKUP($A292,INSUMOS_SERVICIOS,3,0)))</f>
        <v/>
      </c>
      <c r="E292" s="58"/>
      <c r="F292" s="47" t="str">
        <f>IF(B292="","",(VLOOKUP($A292,INSUMOS_SERVICIOS,4,0)))</f>
        <v/>
      </c>
      <c r="G292" s="30" t="str">
        <f>+IFERROR(E292*F292,"")</f>
        <v/>
      </c>
    </row>
    <row r="293" spans="1:7">
      <c r="A293" s="34"/>
      <c r="B293" s="35"/>
      <c r="C293" s="119"/>
      <c r="D293" s="119"/>
      <c r="E293" s="36"/>
      <c r="F293" s="59" t="s">
        <v>62</v>
      </c>
      <c r="G293" s="38" t="str">
        <f>+IF(SUM(G290:G292)=0,"",SUM(G290:G292))</f>
        <v/>
      </c>
    </row>
    <row r="294" spans="1:7">
      <c r="A294" s="121"/>
      <c r="B294" s="119"/>
      <c r="C294" s="56"/>
      <c r="D294" s="56"/>
      <c r="E294" s="56"/>
      <c r="F294" s="40"/>
      <c r="G294" s="57"/>
    </row>
    <row r="295" spans="1:7">
      <c r="A295" s="494" t="s">
        <v>77</v>
      </c>
      <c r="B295" s="494"/>
      <c r="C295" s="494"/>
      <c r="D295" s="494"/>
      <c r="E295" s="494"/>
      <c r="F295" s="494"/>
      <c r="G295" s="60">
        <f>IF(SUM(G265,G272,G278,G286,G293)=0,"",(ROUND(SUM(G265,G272,G278,G286,G293),0)))</f>
        <v>141065</v>
      </c>
    </row>
    <row r="296" spans="1:7">
      <c r="A296" s="57"/>
      <c r="B296" s="49"/>
      <c r="C296" s="49"/>
      <c r="D296" s="49"/>
      <c r="E296" s="49"/>
      <c r="F296" s="49"/>
      <c r="G296" s="40"/>
    </row>
    <row r="297" spans="1:7">
      <c r="A297" s="464" t="s">
        <v>78</v>
      </c>
      <c r="B297" s="464"/>
      <c r="C297" s="464"/>
      <c r="D297" s="464"/>
      <c r="E297" s="464"/>
      <c r="F297" s="464"/>
      <c r="G297" s="464"/>
    </row>
    <row r="298" spans="1:7">
      <c r="A298" s="119"/>
      <c r="B298" s="119"/>
      <c r="C298" s="119"/>
      <c r="D298" s="119"/>
      <c r="E298" s="119"/>
      <c r="F298" s="119"/>
      <c r="G298" s="119"/>
    </row>
    <row r="299" spans="1:7">
      <c r="A299" s="495" t="s">
        <v>46</v>
      </c>
      <c r="B299" s="495"/>
      <c r="C299" s="495"/>
      <c r="D299" s="495"/>
      <c r="E299" s="495"/>
      <c r="F299" s="61" t="s">
        <v>79</v>
      </c>
      <c r="G299" s="61" t="s">
        <v>50</v>
      </c>
    </row>
    <row r="300" spans="1:7">
      <c r="A300" s="496" t="s">
        <v>80</v>
      </c>
      <c r="B300" s="496"/>
      <c r="C300" s="496"/>
      <c r="D300" s="496"/>
      <c r="E300" s="496"/>
      <c r="F300" s="62">
        <f ca="1">AIU!$I$46</f>
        <v>0.34160000000000001</v>
      </c>
      <c r="G300" s="63">
        <f ca="1">+IFERROR(G295*F300,"")</f>
        <v>48187.804000000004</v>
      </c>
    </row>
    <row r="301" spans="1:7">
      <c r="A301" s="496" t="s">
        <v>81</v>
      </c>
      <c r="B301" s="496"/>
      <c r="C301" s="496"/>
      <c r="D301" s="496"/>
      <c r="E301" s="496"/>
      <c r="F301" s="62" t="str">
        <f>IF(AIU!$I$47=0,"",AIU!$I$47)</f>
        <v/>
      </c>
      <c r="G301" s="63" t="str">
        <f>+IFERROR(G295*F301,"")</f>
        <v/>
      </c>
    </row>
    <row r="302" spans="1:7">
      <c r="A302" s="496" t="s">
        <v>82</v>
      </c>
      <c r="B302" s="496"/>
      <c r="C302" s="496"/>
      <c r="D302" s="496"/>
      <c r="E302" s="496"/>
      <c r="F302" s="62">
        <f>IF(AIU!$I$48=0,"",AIU!$I$48)</f>
        <v>0.05</v>
      </c>
      <c r="G302" s="63">
        <f>+IFERROR(G295*F302,"")</f>
        <v>7053.25</v>
      </c>
    </row>
    <row r="303" spans="1:7">
      <c r="A303" s="497" t="s">
        <v>83</v>
      </c>
      <c r="B303" s="498"/>
      <c r="C303" s="498"/>
      <c r="D303" s="498"/>
      <c r="E303" s="498"/>
      <c r="F303" s="64">
        <f ca="1">IF(SUM(F300:F302)=0,"",SUM(F300:F302))</f>
        <v>0.3916</v>
      </c>
      <c r="G303" s="65">
        <f ca="1">IF(SUM(G300:G302)=0,"",ROUND(SUM(G300:G302),0))</f>
        <v>55241</v>
      </c>
    </row>
    <row r="304" spans="1:7">
      <c r="A304" s="57"/>
      <c r="B304" s="35"/>
      <c r="C304" s="35"/>
      <c r="D304" s="35"/>
      <c r="E304" s="499"/>
      <c r="F304" s="499"/>
      <c r="G304" s="66"/>
    </row>
    <row r="305" spans="1:7">
      <c r="A305" s="466" t="s">
        <v>84</v>
      </c>
      <c r="B305" s="467"/>
      <c r="C305" s="467"/>
      <c r="D305" s="467"/>
      <c r="E305" s="467"/>
      <c r="F305" s="467"/>
      <c r="G305" s="67">
        <f ca="1">+IFERROR(ROUND(G295+G303,0),"")</f>
        <v>196306</v>
      </c>
    </row>
    <row r="306" spans="1:7">
      <c r="A306" s="20"/>
      <c r="B306" s="20"/>
      <c r="C306" s="20"/>
      <c r="D306" s="20"/>
      <c r="E306" s="19"/>
      <c r="F306" s="19"/>
      <c r="G306" s="21"/>
    </row>
    <row r="307" spans="1:7">
      <c r="A307" s="20"/>
      <c r="B307" s="184"/>
      <c r="C307" s="19"/>
      <c r="D307" s="19"/>
      <c r="E307" s="19"/>
      <c r="F307" s="19"/>
      <c r="G307" s="19"/>
    </row>
    <row r="308" spans="1:7">
      <c r="A308" s="20"/>
      <c r="B308" s="184" t="s">
        <v>781</v>
      </c>
      <c r="C308" s="19"/>
      <c r="D308" s="19"/>
      <c r="E308" s="19"/>
      <c r="F308" s="19"/>
      <c r="G308" s="19"/>
    </row>
    <row r="309" spans="1:7">
      <c r="A309" s="20"/>
      <c r="B309" s="184"/>
      <c r="C309" s="19"/>
      <c r="D309" s="68"/>
      <c r="E309" s="68"/>
      <c r="F309" s="68"/>
      <c r="G309" s="19"/>
    </row>
    <row r="310" spans="1:7">
      <c r="A310" s="20"/>
      <c r="B310" s="184"/>
      <c r="C310" s="21"/>
      <c r="D310" s="538" t="s">
        <v>85</v>
      </c>
      <c r="E310" s="538"/>
      <c r="F310" s="538"/>
      <c r="G310" s="21"/>
    </row>
    <row r="312" spans="1:7" ht="18.75">
      <c r="A312" s="480" t="str">
        <f>'DATOS INICIALES'!$B$1</f>
        <v>DEPARTAMENTO DE ANTIOQUIA</v>
      </c>
      <c r="B312" s="481"/>
      <c r="C312" s="481"/>
      <c r="D312" s="481"/>
      <c r="E312" s="481"/>
      <c r="F312" s="482" t="s">
        <v>52</v>
      </c>
      <c r="G312" s="482"/>
    </row>
    <row r="313" spans="1:7" ht="15.75">
      <c r="A313" s="483" t="str">
        <f>'DATOS INICIALES'!$B$2</f>
        <v>MUNICIPIO DE DABEIBA</v>
      </c>
      <c r="B313" s="484"/>
      <c r="C313" s="484"/>
      <c r="D313" s="484"/>
      <c r="E313" s="484"/>
      <c r="F313" s="482"/>
      <c r="G313" s="482"/>
    </row>
    <row r="314" spans="1:7">
      <c r="A314" s="485" t="str">
        <f>'DATOS INICIALES'!$B$3</f>
        <v xml:space="preserve">AMPLIACIÓN DEL SISTEMA DE ALCANTARILLADO EN SECTOR DEL BARRIO PABLO VI  DEL MUNICIPIO DE DABEIBA ANTIOQUIA </v>
      </c>
      <c r="B314" s="486"/>
      <c r="C314" s="486"/>
      <c r="D314" s="486"/>
      <c r="E314" s="486"/>
      <c r="F314" s="482"/>
      <c r="G314" s="482"/>
    </row>
    <row r="315" spans="1:7">
      <c r="A315" s="487"/>
      <c r="B315" s="487"/>
      <c r="C315" s="487"/>
      <c r="D315" s="487"/>
      <c r="E315" s="488"/>
      <c r="F315" s="482"/>
      <c r="G315" s="482"/>
    </row>
    <row r="316" spans="1:7">
      <c r="A316" s="489" t="s">
        <v>53</v>
      </c>
      <c r="B316" s="490"/>
      <c r="C316" s="490"/>
      <c r="D316" s="490"/>
      <c r="E316" s="490"/>
      <c r="F316" s="482"/>
      <c r="G316" s="482"/>
    </row>
    <row r="317" spans="1:7">
      <c r="A317" s="487"/>
      <c r="B317" s="487"/>
      <c r="C317" s="487"/>
      <c r="D317" s="487"/>
      <c r="E317" s="487"/>
      <c r="F317" s="491"/>
      <c r="G317" s="491"/>
    </row>
    <row r="318" spans="1:7">
      <c r="A318" s="22" t="s">
        <v>45</v>
      </c>
      <c r="B318" s="468" t="s">
        <v>46</v>
      </c>
      <c r="C318" s="469"/>
      <c r="D318" s="470"/>
      <c r="E318" s="23" t="s">
        <v>47</v>
      </c>
      <c r="F318" s="24" t="s">
        <v>48</v>
      </c>
      <c r="G318" s="24" t="s">
        <v>54</v>
      </c>
    </row>
    <row r="319" spans="1:7">
      <c r="A319" s="25" t="s">
        <v>161</v>
      </c>
      <c r="B319" s="471" t="str">
        <f>+IFERROR(VLOOKUP($A319,INSUMOSMATERIALES,2,0),"")</f>
        <v>MORTERO 1:2 EN OBRA (REVOQUE)</v>
      </c>
      <c r="C319" s="472"/>
      <c r="D319" s="473"/>
      <c r="E319" s="82" t="str">
        <f>+IFERROR(VLOOKUP($A319,INSUMOSMATERIALES,3,0),"")</f>
        <v>M3</v>
      </c>
      <c r="F319" s="82" t="s">
        <v>456</v>
      </c>
      <c r="G319" s="153">
        <f ca="1">IF(G367=0,"",G357)</f>
        <v>88672</v>
      </c>
    </row>
    <row r="320" spans="1:7">
      <c r="A320" s="20"/>
      <c r="B320" s="20"/>
      <c r="C320" s="20"/>
      <c r="D320" s="20"/>
      <c r="E320" s="19"/>
      <c r="F320" s="19"/>
      <c r="G320" s="21"/>
    </row>
    <row r="321" spans="1:7">
      <c r="A321" s="464" t="s">
        <v>55</v>
      </c>
      <c r="B321" s="464"/>
      <c r="C321" s="464"/>
      <c r="D321" s="464"/>
      <c r="E321" s="464"/>
      <c r="F321" s="464"/>
      <c r="G321" s="464"/>
    </row>
    <row r="322" spans="1:7">
      <c r="A322" s="119"/>
      <c r="B322" s="119"/>
      <c r="C322" s="119"/>
      <c r="D322" s="119"/>
      <c r="E322" s="119"/>
      <c r="F322" s="119"/>
      <c r="G322" s="119"/>
    </row>
    <row r="323" spans="1:7">
      <c r="A323" s="474" t="s">
        <v>56</v>
      </c>
      <c r="B323" s="474"/>
      <c r="C323" s="474"/>
      <c r="D323" s="474"/>
      <c r="E323" s="474"/>
      <c r="F323" s="474"/>
      <c r="G323" s="475"/>
    </row>
    <row r="324" spans="1:7">
      <c r="A324" s="120" t="s">
        <v>57</v>
      </c>
      <c r="B324" s="476" t="s">
        <v>46</v>
      </c>
      <c r="C324" s="477"/>
      <c r="D324" s="120" t="s">
        <v>47</v>
      </c>
      <c r="E324" s="120" t="s">
        <v>58</v>
      </c>
      <c r="F324" s="120" t="s">
        <v>59</v>
      </c>
      <c r="G324" s="120" t="s">
        <v>60</v>
      </c>
    </row>
    <row r="325" spans="1:7">
      <c r="A325" s="26" t="str">
        <f>IF(B325="","",INDEX(CODIGOEQUIPOS,MATCH($B325,'INSUMOS EQUIPOS'!$B$7:$B$39,0)))</f>
        <v>EQ004</v>
      </c>
      <c r="B325" s="621" t="s">
        <v>95</v>
      </c>
      <c r="C325" s="622"/>
      <c r="D325" s="27" t="str">
        <f>IF(B325="","",(VLOOKUP($A325,INSUMOSEQUIPOS,3,0)))</f>
        <v>DÍA</v>
      </c>
      <c r="E325" s="28">
        <f>IF(B325="","",(VLOOKUP($A325,INSUMOSEQUIPOS,4,0)))</f>
        <v>62000</v>
      </c>
      <c r="F325" s="29">
        <v>8</v>
      </c>
      <c r="G325" s="30">
        <f>+IFERROR(E325/F325,"")</f>
        <v>7750</v>
      </c>
    </row>
    <row r="326" spans="1:7">
      <c r="A326" s="31" t="str">
        <f>+IF(G348="","","EQ001")</f>
        <v>EQ001</v>
      </c>
      <c r="B326" s="502" t="str">
        <f>+IF($A326="","",IFERROR(VLOOKUP($A326,INSUMOSEQUIPOS,2,0),""))</f>
        <v>HERRAMIENTA MENOR (10% DE LA MANO DE OBRA)</v>
      </c>
      <c r="C326" s="503"/>
      <c r="D326" s="27" t="str">
        <f>+IF($A326="","",IFERROR(VLOOKUP($A326,INSUMOSEQUIPOS,3,0),""))</f>
        <v>%</v>
      </c>
      <c r="E326" s="32">
        <f>+IF($A326="","",IFERROR(VLOOKUP($A326,INSUMOSEQUIPOS,4,0),""))</f>
        <v>0.1</v>
      </c>
      <c r="F326" s="33">
        <f>+IF(G348=0,"",G348)</f>
        <v>47111.125</v>
      </c>
      <c r="G326" s="30">
        <f>+IFERROR(E326*F326,"")</f>
        <v>4711.1125000000002</v>
      </c>
    </row>
    <row r="327" spans="1:7">
      <c r="A327" s="34"/>
      <c r="B327" s="35"/>
      <c r="C327" s="119"/>
      <c r="D327" s="119"/>
      <c r="E327" s="36"/>
      <c r="F327" s="37" t="s">
        <v>62</v>
      </c>
      <c r="G327" s="38">
        <f>+IF(SUM(G325:G326)=0,"",SUM(G325:G326))</f>
        <v>12461.112499999999</v>
      </c>
    </row>
    <row r="328" spans="1:7">
      <c r="A328" s="35"/>
      <c r="B328" s="119"/>
      <c r="C328" s="119"/>
      <c r="D328" s="36"/>
      <c r="E328" s="39"/>
      <c r="F328" s="40"/>
      <c r="G328" s="34"/>
    </row>
    <row r="329" spans="1:7">
      <c r="A329" s="464" t="s">
        <v>63</v>
      </c>
      <c r="B329" s="464"/>
      <c r="C329" s="464"/>
      <c r="D329" s="464"/>
      <c r="E329" s="464"/>
      <c r="F329" s="464"/>
      <c r="G329" s="465"/>
    </row>
    <row r="330" spans="1:7">
      <c r="A330" s="120" t="s">
        <v>57</v>
      </c>
      <c r="B330" s="41" t="s">
        <v>46</v>
      </c>
      <c r="C330" s="42" t="s">
        <v>47</v>
      </c>
      <c r="D330" s="42" t="s">
        <v>48</v>
      </c>
      <c r="E330" s="42" t="s">
        <v>64</v>
      </c>
      <c r="F330" s="42" t="s">
        <v>65</v>
      </c>
      <c r="G330" s="42" t="s">
        <v>60</v>
      </c>
    </row>
    <row r="331" spans="1:7" ht="22.5">
      <c r="A331" s="26" t="e">
        <f>IF(B331="","",INDEX(CODIGOMATERIALES,MATCH($B331,'INSUMOS MATERIALES'!$B$7:$B$54,0)))</f>
        <v>#N/A</v>
      </c>
      <c r="B331" s="43" t="s">
        <v>190</v>
      </c>
      <c r="C331" s="44" t="e">
        <f>IF(B331="","",(VLOOKUP($A331,INSUMOSMATERIALES,3,0)))</f>
        <v>#N/A</v>
      </c>
      <c r="D331" s="45">
        <v>10.199999999999999</v>
      </c>
      <c r="E331" s="46">
        <v>0.05</v>
      </c>
      <c r="F331" s="47" t="e">
        <f>IF(B331="","",(VLOOKUP($A331,INSUMOSMATERIALES,4,0)))</f>
        <v>#N/A</v>
      </c>
      <c r="G331" s="30" t="str">
        <f>+IFERROR(F331*D331*(1+E331),"")</f>
        <v/>
      </c>
    </row>
    <row r="332" spans="1:7">
      <c r="A332" s="26" t="e">
        <f>IF(B332="","",INDEX(CODIGOMATERIALES,MATCH($B332,'INSUMOS MATERIALES'!$B$7:$B$54,0)))</f>
        <v>#N/A</v>
      </c>
      <c r="B332" s="43" t="s">
        <v>194</v>
      </c>
      <c r="C332" s="44" t="e">
        <f>IF(B332="","",(VLOOKUP($A332,INSUMOSMATERIALES,3,0)))</f>
        <v>#N/A</v>
      </c>
      <c r="D332" s="45">
        <v>0.97</v>
      </c>
      <c r="E332" s="46">
        <v>0.05</v>
      </c>
      <c r="F332" s="47" t="e">
        <f>IF(B332="","",(VLOOKUP($A332,INSUMOSMATERIALES,4,0)))</f>
        <v>#N/A</v>
      </c>
      <c r="G332" s="30" t="str">
        <f>+IFERROR(F332*D332*(1+E332),"")</f>
        <v/>
      </c>
    </row>
    <row r="333" spans="1:7">
      <c r="A333" s="26" t="e">
        <f>IF(B333="","",INDEX(CODIGOMATERIALES,MATCH($B333,'INSUMOS MATERIALES'!$B$7:$B$54,0)))</f>
        <v>#N/A</v>
      </c>
      <c r="B333" s="43" t="s">
        <v>199</v>
      </c>
      <c r="C333" s="44" t="e">
        <f>IF(B333="","",(VLOOKUP($A333,INSUMOSMATERIALES,3,0)))</f>
        <v>#N/A</v>
      </c>
      <c r="D333" s="45">
        <v>180</v>
      </c>
      <c r="E333" s="46">
        <v>0.1</v>
      </c>
      <c r="F333" s="47" t="e">
        <f>IF(B333="","",(VLOOKUP($A333,INSUMOSMATERIALES,4,0)))</f>
        <v>#N/A</v>
      </c>
      <c r="G333" s="30" t="str">
        <f>+IFERROR(F333*D333*(1+E333),"")</f>
        <v/>
      </c>
    </row>
    <row r="334" spans="1:7">
      <c r="A334" s="34"/>
      <c r="B334" s="48"/>
      <c r="C334" s="119"/>
      <c r="D334" s="119"/>
      <c r="E334" s="36"/>
      <c r="F334" s="37" t="s">
        <v>62</v>
      </c>
      <c r="G334" s="38" t="str">
        <f>+IF(SUM(G331:G333)=0,"",SUM(G331:G333))</f>
        <v/>
      </c>
    </row>
    <row r="335" spans="1:7">
      <c r="A335" s="35"/>
      <c r="B335" s="119"/>
      <c r="C335" s="119"/>
      <c r="D335" s="36"/>
      <c r="E335" s="49"/>
      <c r="F335" s="40"/>
      <c r="G335" s="34"/>
    </row>
    <row r="336" spans="1:7">
      <c r="A336" s="464" t="s">
        <v>66</v>
      </c>
      <c r="B336" s="464"/>
      <c r="C336" s="464"/>
      <c r="D336" s="464"/>
      <c r="E336" s="464"/>
      <c r="F336" s="464"/>
      <c r="G336" s="464"/>
    </row>
    <row r="337" spans="1:7">
      <c r="A337" s="120" t="s">
        <v>57</v>
      </c>
      <c r="B337" s="120" t="s">
        <v>46</v>
      </c>
      <c r="C337" s="120" t="s">
        <v>67</v>
      </c>
      <c r="D337" s="120" t="s">
        <v>68</v>
      </c>
      <c r="E337" s="42" t="s">
        <v>69</v>
      </c>
      <c r="F337" s="42" t="s">
        <v>58</v>
      </c>
      <c r="G337" s="42" t="s">
        <v>60</v>
      </c>
    </row>
    <row r="338" spans="1:7" ht="33.75">
      <c r="A338" s="26" t="str">
        <f>IF(B338="","",INDEX(CODIGOTRANSPORTES,MATCH(B338,'INSUMOS TRANSPORTES'!$B$7:$B$13,0)))</f>
        <v>TR002</v>
      </c>
      <c r="B338" s="43" t="s">
        <v>842</v>
      </c>
      <c r="C338" s="50" t="s">
        <v>457</v>
      </c>
      <c r="D338" s="45">
        <f>D332</f>
        <v>0.97</v>
      </c>
      <c r="E338" s="51">
        <f>+IF(C338=0,"",IF(C338="INSUMOS",'DATOS INICIALES'!$B$24,IF(C338="PLAYA",'DATOS INICIALES'!$B$21,IF(C338="TIERRA",'DATOS INICIALES'!$B$19,IF(C338="ESCOMBROS",'DATOS INICIALES'!$B$20,IF(C338="ASFALTO",'DATOS INICIALES'!$B$25,IF(C338="GRANULAR",'DATOS INICIALES'!$B$23,IF(C338="PLAYATRITURADO",'DATOS INICIALES'!$B$22,0))))))))</f>
        <v>10</v>
      </c>
      <c r="F338" s="28">
        <f>+IF(B338="","",(VLOOKUP($A338,INSUMOSTRANSPORTES,4,0)))</f>
        <v>3000</v>
      </c>
      <c r="G338" s="30">
        <f>+IFERROR(D338*E338*F338,"")</f>
        <v>29099.999999999996</v>
      </c>
    </row>
    <row r="339" spans="1:7" ht="22.5">
      <c r="A339" s="26" t="str">
        <f>IF(B339="","",INDEX(CODIGOTRANSPORTES,MATCH(B339,'INSUMOS TRANSPORTES'!$B$7:$B$26,0)))</f>
        <v>TR001</v>
      </c>
      <c r="B339" s="43" t="s">
        <v>608</v>
      </c>
      <c r="C339" s="50" t="s">
        <v>458</v>
      </c>
      <c r="D339" s="45">
        <f>(D331*50)/1000</f>
        <v>0.5099999999999999</v>
      </c>
      <c r="E339" s="51">
        <f>+IF(C339=0,"",IF(C339="INSUMOS",'DATOS INICIALES'!$B$24,IF(C339="PLAYA",'DATOS INICIALES'!$B$21,IF(C339="TIERRA",'DATOS INICIALES'!$B$19,IF(C339="ESCOMBROS",'DATOS INICIALES'!$B$20,IF(C339="ASFALTO",'DATOS INICIALES'!$B$25,IF(C339="GRANULAR",'DATOS INICIALES'!B360)))))))</f>
        <v>5</v>
      </c>
      <c r="F339" s="28">
        <f>+IF(B339="","",(VLOOKUP($A339,INSUMOSTRANSPORTES,4,0)))</f>
        <v>4250</v>
      </c>
      <c r="G339" s="30">
        <f>+IFERROR(D339*E339*F339,"")</f>
        <v>10837.499999999998</v>
      </c>
    </row>
    <row r="340" spans="1:7">
      <c r="A340" s="34"/>
      <c r="B340" s="52"/>
      <c r="C340" s="119"/>
      <c r="D340" s="119"/>
      <c r="E340" s="36"/>
      <c r="F340" s="37" t="s">
        <v>62</v>
      </c>
      <c r="G340" s="38">
        <f>+IF(SUM(G338:G338)=0,"",SUM(G338:G338))</f>
        <v>29099.999999999996</v>
      </c>
    </row>
    <row r="341" spans="1:7">
      <c r="A341" s="119"/>
      <c r="B341" s="119"/>
      <c r="C341" s="119"/>
      <c r="D341" s="36"/>
      <c r="E341" s="49"/>
      <c r="F341" s="40"/>
      <c r="G341" s="34"/>
    </row>
    <row r="342" spans="1:7">
      <c r="A342" s="464" t="s">
        <v>70</v>
      </c>
      <c r="B342" s="464"/>
      <c r="C342" s="464"/>
      <c r="D342" s="464"/>
      <c r="E342" s="464"/>
      <c r="F342" s="464"/>
      <c r="G342" s="465"/>
    </row>
    <row r="343" spans="1:7">
      <c r="A343" s="120" t="s">
        <v>57</v>
      </c>
      <c r="B343" s="500" t="s">
        <v>71</v>
      </c>
      <c r="C343" s="500"/>
      <c r="D343" s="42" t="s">
        <v>48</v>
      </c>
      <c r="E343" s="42" t="s">
        <v>72</v>
      </c>
      <c r="F343" s="42" t="s">
        <v>59</v>
      </c>
      <c r="G343" s="42" t="s">
        <v>60</v>
      </c>
    </row>
    <row r="344" spans="1:7">
      <c r="A344" s="26" t="str">
        <f>IF(B344="","",INDEX(CODIGOSMANODEOBRA,MATCH($B344,'INSUMOS MANO DE OBRA'!$B$7:$B$61,0)))</f>
        <v>MO033</v>
      </c>
      <c r="B344" s="619" t="s">
        <v>357</v>
      </c>
      <c r="C344" s="620"/>
      <c r="D344" s="53">
        <v>1</v>
      </c>
      <c r="E344" s="47">
        <f>IF(B344="","",(VLOOKUP($A344,INSUMOSMANODEOBRA,8,0)))</f>
        <v>104675</v>
      </c>
      <c r="F344" s="45">
        <v>8</v>
      </c>
      <c r="G344" s="54">
        <f>+IFERROR(D344*E344/F344,"")</f>
        <v>13084.375</v>
      </c>
    </row>
    <row r="345" spans="1:7">
      <c r="A345" s="26" t="str">
        <f>IF(B345="","",INDEX(CODIGOSMANODEOBRA,MATCH($B345,'INSUMOS MANO DE OBRA'!$B$7:$B$61,0)))</f>
        <v>MO032</v>
      </c>
      <c r="B345" s="619" t="s">
        <v>356</v>
      </c>
      <c r="C345" s="620"/>
      <c r="D345" s="53">
        <v>3</v>
      </c>
      <c r="E345" s="47">
        <f>IF(B345="","",(VLOOKUP($A345,INSUMOSMANODEOBRA,8,0)))</f>
        <v>90738</v>
      </c>
      <c r="F345" s="45">
        <v>8</v>
      </c>
      <c r="G345" s="54">
        <f>+IFERROR(D345*E345/F345,"")</f>
        <v>34026.75</v>
      </c>
    </row>
    <row r="346" spans="1:7">
      <c r="A346" s="26"/>
      <c r="B346" s="619"/>
      <c r="C346" s="620"/>
      <c r="D346" s="53"/>
      <c r="E346" s="47"/>
      <c r="F346" s="55"/>
      <c r="G346" s="54" t="str">
        <f>+IFERROR(D346*E346/F346,"")</f>
        <v/>
      </c>
    </row>
    <row r="347" spans="1:7">
      <c r="A347" s="26" t="s">
        <v>52</v>
      </c>
      <c r="B347" s="619"/>
      <c r="C347" s="620"/>
      <c r="D347" s="53"/>
      <c r="E347" s="47" t="s">
        <v>52</v>
      </c>
      <c r="F347" s="55" t="str">
        <f>+IF(A347="","",IF(A347=0,"",IF(F346="","",F346)))</f>
        <v/>
      </c>
      <c r="G347" s="54" t="str">
        <f>+IFERROR(D347*E347/F347,"")</f>
        <v/>
      </c>
    </row>
    <row r="348" spans="1:7">
      <c r="A348" s="34"/>
      <c r="B348" s="35"/>
      <c r="C348" s="119"/>
      <c r="D348" s="119"/>
      <c r="E348" s="36"/>
      <c r="F348" s="37" t="s">
        <v>62</v>
      </c>
      <c r="G348" s="38">
        <f>+IF(SUM(G344:G347)=0,"",SUM(G344:G347))</f>
        <v>47111.125</v>
      </c>
    </row>
    <row r="349" spans="1:7">
      <c r="A349" s="121"/>
      <c r="B349" s="119"/>
      <c r="C349" s="56"/>
      <c r="D349" s="56"/>
      <c r="E349" s="56"/>
      <c r="F349" s="40"/>
      <c r="G349" s="57"/>
    </row>
    <row r="350" spans="1:7">
      <c r="A350" s="464" t="s">
        <v>76</v>
      </c>
      <c r="B350" s="464"/>
      <c r="C350" s="464"/>
      <c r="D350" s="464"/>
      <c r="E350" s="464"/>
      <c r="F350" s="464"/>
      <c r="G350" s="465"/>
    </row>
    <row r="351" spans="1:7">
      <c r="A351" s="120" t="s">
        <v>57</v>
      </c>
      <c r="B351" s="500" t="s">
        <v>46</v>
      </c>
      <c r="C351" s="500"/>
      <c r="D351" s="120" t="s">
        <v>47</v>
      </c>
      <c r="E351" s="120" t="s">
        <v>48</v>
      </c>
      <c r="F351" s="120" t="s">
        <v>65</v>
      </c>
      <c r="G351" s="120" t="s">
        <v>60</v>
      </c>
    </row>
    <row r="352" spans="1:7">
      <c r="A352" s="26" t="str">
        <f>IF(B352="","",INDEX(CODIGOSSERVICIOS,MATCH($B352,'INSUMOS SERVICIOS'!$B$7:$B$21,0)))</f>
        <v/>
      </c>
      <c r="B352" s="619"/>
      <c r="C352" s="620"/>
      <c r="D352" s="44" t="str">
        <f>+IF(B352="","",(VLOOKUP($A352,INSUMOSSERVICIOS,3,0)))</f>
        <v/>
      </c>
      <c r="E352" s="58">
        <v>1</v>
      </c>
      <c r="F352" s="47" t="str">
        <f>IF(B352="","",(VLOOKUP($A352,INSUMOSSERVICIOS,4,0)))</f>
        <v/>
      </c>
      <c r="G352" s="30" t="str">
        <f>+IFERROR(E352*F352,"")</f>
        <v/>
      </c>
    </row>
    <row r="353" spans="1:7">
      <c r="A353" s="26" t="str">
        <f>IF(B353="","",INDEX(CODIGOSSERVICIOS,MATCH($B353,'INSUMOS SERVICIOS'!$B$7:$B$21,0)))</f>
        <v/>
      </c>
      <c r="B353" s="619"/>
      <c r="C353" s="620"/>
      <c r="D353" s="44" t="str">
        <f>+IF(B353="","",(VLOOKUP($A353,INSUMOSSERVICIOS,3,0)))</f>
        <v/>
      </c>
      <c r="E353" s="58">
        <v>1</v>
      </c>
      <c r="F353" s="47" t="str">
        <f>IF(B353="","",(VLOOKUP($A353,INSUMOSSERVICIOS,4,0)))</f>
        <v/>
      </c>
      <c r="G353" s="30" t="str">
        <f>+IFERROR(E353*F353,"")</f>
        <v/>
      </c>
    </row>
    <row r="354" spans="1:7">
      <c r="A354" s="26" t="s">
        <v>52</v>
      </c>
      <c r="B354" s="619"/>
      <c r="C354" s="620"/>
      <c r="D354" s="44" t="str">
        <f>+IF(B354="","",(VLOOKUP($A354,INSUMOS_SERVICIOS,3,0)))</f>
        <v/>
      </c>
      <c r="E354" s="58"/>
      <c r="F354" s="47" t="str">
        <f>IF(B354="","",(VLOOKUP($A354,INSUMOS_SERVICIOS,4,0)))</f>
        <v/>
      </c>
      <c r="G354" s="30" t="str">
        <f>+IFERROR(E354*F354,"")</f>
        <v/>
      </c>
    </row>
    <row r="355" spans="1:7">
      <c r="A355" s="34"/>
      <c r="B355" s="35"/>
      <c r="C355" s="119"/>
      <c r="D355" s="119"/>
      <c r="E355" s="36"/>
      <c r="F355" s="59" t="s">
        <v>62</v>
      </c>
      <c r="G355" s="38" t="str">
        <f>+IF(SUM(G352:G354)=0,"",SUM(G352:G354))</f>
        <v/>
      </c>
    </row>
    <row r="356" spans="1:7">
      <c r="A356" s="121"/>
      <c r="B356" s="119"/>
      <c r="C356" s="56"/>
      <c r="D356" s="56"/>
      <c r="E356" s="56"/>
      <c r="F356" s="40"/>
      <c r="G356" s="57"/>
    </row>
    <row r="357" spans="1:7">
      <c r="A357" s="494" t="s">
        <v>77</v>
      </c>
      <c r="B357" s="494"/>
      <c r="C357" s="494"/>
      <c r="D357" s="494"/>
      <c r="E357" s="494"/>
      <c r="F357" s="494"/>
      <c r="G357" s="60">
        <f>IF(SUM(G327,G334,G340,G348,G355)=0,"",(ROUND(SUM(G327,G334,G340,G348,G355),0)))</f>
        <v>88672</v>
      </c>
    </row>
    <row r="358" spans="1:7">
      <c r="A358" s="57"/>
      <c r="B358" s="49"/>
      <c r="C358" s="49"/>
      <c r="D358" s="49"/>
      <c r="E358" s="49"/>
      <c r="F358" s="49"/>
      <c r="G358" s="40"/>
    </row>
    <row r="359" spans="1:7">
      <c r="A359" s="464" t="s">
        <v>78</v>
      </c>
      <c r="B359" s="464"/>
      <c r="C359" s="464"/>
      <c r="D359" s="464"/>
      <c r="E359" s="464"/>
      <c r="F359" s="464"/>
      <c r="G359" s="464"/>
    </row>
    <row r="360" spans="1:7">
      <c r="A360" s="119"/>
      <c r="B360" s="119"/>
      <c r="C360" s="119"/>
      <c r="D360" s="119"/>
      <c r="E360" s="119"/>
      <c r="F360" s="119"/>
      <c r="G360" s="119"/>
    </row>
    <row r="361" spans="1:7">
      <c r="A361" s="495" t="s">
        <v>46</v>
      </c>
      <c r="B361" s="495"/>
      <c r="C361" s="495"/>
      <c r="D361" s="495"/>
      <c r="E361" s="495"/>
      <c r="F361" s="61" t="s">
        <v>79</v>
      </c>
      <c r="G361" s="61" t="s">
        <v>50</v>
      </c>
    </row>
    <row r="362" spans="1:7">
      <c r="A362" s="496" t="s">
        <v>80</v>
      </c>
      <c r="B362" s="496"/>
      <c r="C362" s="496"/>
      <c r="D362" s="496"/>
      <c r="E362" s="496"/>
      <c r="F362" s="62">
        <f ca="1">AIU!$I$46</f>
        <v>0.34160000000000001</v>
      </c>
      <c r="G362" s="63">
        <f ca="1">+IFERROR(G357*F362,"")</f>
        <v>30290.355200000002</v>
      </c>
    </row>
    <row r="363" spans="1:7">
      <c r="A363" s="496" t="s">
        <v>81</v>
      </c>
      <c r="B363" s="496"/>
      <c r="C363" s="496"/>
      <c r="D363" s="496"/>
      <c r="E363" s="496"/>
      <c r="F363" s="62" t="str">
        <f>IF(AIU!$I$47=0,"",AIU!$I$47)</f>
        <v/>
      </c>
      <c r="G363" s="63" t="str">
        <f>+IFERROR(G357*F363,"")</f>
        <v/>
      </c>
    </row>
    <row r="364" spans="1:7">
      <c r="A364" s="496" t="s">
        <v>82</v>
      </c>
      <c r="B364" s="496"/>
      <c r="C364" s="496"/>
      <c r="D364" s="496"/>
      <c r="E364" s="496"/>
      <c r="F364" s="62">
        <f>IF(AIU!$I$48=0,"",AIU!$I$48)</f>
        <v>0.05</v>
      </c>
      <c r="G364" s="63">
        <f>+IFERROR(G357*F364,"")</f>
        <v>4433.6000000000004</v>
      </c>
    </row>
    <row r="365" spans="1:7">
      <c r="A365" s="497" t="s">
        <v>83</v>
      </c>
      <c r="B365" s="498"/>
      <c r="C365" s="498"/>
      <c r="D365" s="498"/>
      <c r="E365" s="498"/>
      <c r="F365" s="64">
        <f ca="1">IF(SUM(F362:F364)=0,"",SUM(F362:F364))</f>
        <v>0.3916</v>
      </c>
      <c r="G365" s="65">
        <f ca="1">IF(SUM(G362:G364)=0,"",ROUND(SUM(G362:G364),0))</f>
        <v>34724</v>
      </c>
    </row>
    <row r="366" spans="1:7">
      <c r="A366" s="57"/>
      <c r="B366" s="35"/>
      <c r="C366" s="35"/>
      <c r="D366" s="35"/>
      <c r="E366" s="499"/>
      <c r="F366" s="499"/>
      <c r="G366" s="66"/>
    </row>
    <row r="367" spans="1:7">
      <c r="A367" s="466" t="s">
        <v>84</v>
      </c>
      <c r="B367" s="467"/>
      <c r="C367" s="467"/>
      <c r="D367" s="467"/>
      <c r="E367" s="467"/>
      <c r="F367" s="467"/>
      <c r="G367" s="67">
        <f ca="1">+IFERROR(ROUND(G357+G365,0),"")</f>
        <v>123396</v>
      </c>
    </row>
    <row r="368" spans="1:7">
      <c r="A368" s="20"/>
      <c r="B368" s="20"/>
      <c r="C368" s="20"/>
      <c r="D368" s="20"/>
      <c r="E368" s="19"/>
      <c r="F368" s="19"/>
      <c r="G368" s="21"/>
    </row>
    <row r="369" spans="1:7">
      <c r="A369" s="20"/>
      <c r="B369" s="184"/>
      <c r="C369" s="19"/>
      <c r="D369" s="19"/>
      <c r="E369" s="19"/>
      <c r="F369" s="19"/>
      <c r="G369" s="19"/>
    </row>
    <row r="370" spans="1:7">
      <c r="A370" s="20"/>
      <c r="B370" s="184" t="s">
        <v>781</v>
      </c>
      <c r="C370" s="19"/>
      <c r="D370" s="19"/>
      <c r="E370" s="19"/>
      <c r="F370" s="19"/>
      <c r="G370" s="19"/>
    </row>
    <row r="371" spans="1:7">
      <c r="A371" s="20"/>
      <c r="B371" s="184"/>
      <c r="C371" s="19"/>
      <c r="D371" s="68"/>
      <c r="E371" s="68"/>
      <c r="F371" s="68"/>
      <c r="G371" s="19"/>
    </row>
    <row r="372" spans="1:7">
      <c r="A372" s="20"/>
      <c r="B372" s="184"/>
      <c r="C372" s="21"/>
      <c r="D372" s="538" t="s">
        <v>85</v>
      </c>
      <c r="E372" s="538"/>
      <c r="F372" s="538"/>
      <c r="G372" s="21"/>
    </row>
    <row r="374" spans="1:7" ht="18.75">
      <c r="A374" s="480" t="str">
        <f>'DATOS INICIALES'!$B$1</f>
        <v>DEPARTAMENTO DE ANTIOQUIA</v>
      </c>
      <c r="B374" s="481"/>
      <c r="C374" s="481"/>
      <c r="D374" s="481"/>
      <c r="E374" s="481"/>
      <c r="F374" s="482" t="s">
        <v>52</v>
      </c>
      <c r="G374" s="482"/>
    </row>
    <row r="375" spans="1:7" ht="15.75">
      <c r="A375" s="483" t="str">
        <f>'DATOS INICIALES'!$B$2</f>
        <v>MUNICIPIO DE DABEIBA</v>
      </c>
      <c r="B375" s="484"/>
      <c r="C375" s="484"/>
      <c r="D375" s="484"/>
      <c r="E375" s="484"/>
      <c r="F375" s="482"/>
      <c r="G375" s="482"/>
    </row>
    <row r="376" spans="1:7">
      <c r="A376" s="485" t="str">
        <f>'DATOS INICIALES'!$B$3</f>
        <v xml:space="preserve">AMPLIACIÓN DEL SISTEMA DE ALCANTARILLADO EN SECTOR DEL BARRIO PABLO VI  DEL MUNICIPIO DE DABEIBA ANTIOQUIA </v>
      </c>
      <c r="B376" s="486"/>
      <c r="C376" s="486"/>
      <c r="D376" s="486"/>
      <c r="E376" s="486"/>
      <c r="F376" s="482"/>
      <c r="G376" s="482"/>
    </row>
    <row r="377" spans="1:7">
      <c r="A377" s="487"/>
      <c r="B377" s="487"/>
      <c r="C377" s="487"/>
      <c r="D377" s="487"/>
      <c r="E377" s="488"/>
      <c r="F377" s="482"/>
      <c r="G377" s="482"/>
    </row>
    <row r="378" spans="1:7">
      <c r="A378" s="489" t="s">
        <v>53</v>
      </c>
      <c r="B378" s="490"/>
      <c r="C378" s="490"/>
      <c r="D378" s="490"/>
      <c r="E378" s="490"/>
      <c r="F378" s="482"/>
      <c r="G378" s="482"/>
    </row>
    <row r="379" spans="1:7">
      <c r="A379" s="487"/>
      <c r="B379" s="487"/>
      <c r="C379" s="487"/>
      <c r="D379" s="487"/>
      <c r="E379" s="487"/>
      <c r="F379" s="491"/>
      <c r="G379" s="491"/>
    </row>
    <row r="380" spans="1:7">
      <c r="A380" s="22" t="s">
        <v>45</v>
      </c>
      <c r="B380" s="468" t="s">
        <v>46</v>
      </c>
      <c r="C380" s="469"/>
      <c r="D380" s="470"/>
      <c r="E380" s="23" t="s">
        <v>47</v>
      </c>
      <c r="F380" s="24" t="s">
        <v>48</v>
      </c>
      <c r="G380" s="24" t="s">
        <v>54</v>
      </c>
    </row>
    <row r="381" spans="1:7">
      <c r="A381" s="25" t="s">
        <v>163</v>
      </c>
      <c r="B381" s="471" t="str">
        <f>+IFERROR(VLOOKUP($A381,INSUMOSMATERIALES,2,0),"")</f>
        <v>MORTERO 1:2 EN OBRA (GROUT)</v>
      </c>
      <c r="C381" s="472"/>
      <c r="D381" s="473"/>
      <c r="E381" s="82" t="str">
        <f>+IFERROR(VLOOKUP($A381,INSUMOSMATERIALES,3,0),"")</f>
        <v>M3</v>
      </c>
      <c r="F381" s="82" t="s">
        <v>456</v>
      </c>
      <c r="G381" s="153">
        <f ca="1">IF(G429=0,"",G419)</f>
        <v>99510</v>
      </c>
    </row>
    <row r="382" spans="1:7">
      <c r="A382" s="20"/>
      <c r="B382" s="20"/>
      <c r="C382" s="20"/>
      <c r="D382" s="20"/>
      <c r="E382" s="19"/>
      <c r="F382" s="19"/>
      <c r="G382" s="21"/>
    </row>
    <row r="383" spans="1:7">
      <c r="A383" s="464" t="s">
        <v>55</v>
      </c>
      <c r="B383" s="464"/>
      <c r="C383" s="464"/>
      <c r="D383" s="464"/>
      <c r="E383" s="464"/>
      <c r="F383" s="464"/>
      <c r="G383" s="464"/>
    </row>
    <row r="384" spans="1:7">
      <c r="A384" s="119"/>
      <c r="B384" s="119"/>
      <c r="C384" s="119"/>
      <c r="D384" s="119"/>
      <c r="E384" s="119"/>
      <c r="F384" s="119"/>
      <c r="G384" s="119"/>
    </row>
    <row r="385" spans="1:7">
      <c r="A385" s="474" t="s">
        <v>56</v>
      </c>
      <c r="B385" s="474"/>
      <c r="C385" s="474"/>
      <c r="D385" s="474"/>
      <c r="E385" s="474"/>
      <c r="F385" s="474"/>
      <c r="G385" s="475"/>
    </row>
    <row r="386" spans="1:7">
      <c r="A386" s="120" t="s">
        <v>57</v>
      </c>
      <c r="B386" s="476" t="s">
        <v>46</v>
      </c>
      <c r="C386" s="477"/>
      <c r="D386" s="120" t="s">
        <v>47</v>
      </c>
      <c r="E386" s="120" t="s">
        <v>58</v>
      </c>
      <c r="F386" s="120" t="s">
        <v>59</v>
      </c>
      <c r="G386" s="120" t="s">
        <v>60</v>
      </c>
    </row>
    <row r="387" spans="1:7">
      <c r="A387" s="26" t="str">
        <f>IF(B387="","",INDEX(CODIGOEQUIPOS,MATCH($B387,'INSUMOS EQUIPOS'!$B$7:$B$39,0)))</f>
        <v>EQ004</v>
      </c>
      <c r="B387" s="621" t="s">
        <v>95</v>
      </c>
      <c r="C387" s="622"/>
      <c r="D387" s="27" t="str">
        <f>IF(B387="","",(VLOOKUP($A387,INSUMOSEQUIPOS,3,0)))</f>
        <v>DÍA</v>
      </c>
      <c r="E387" s="28">
        <f>IF(B387="","",(VLOOKUP($A387,INSUMOSEQUIPOS,4,0)))</f>
        <v>62000</v>
      </c>
      <c r="F387" s="29">
        <v>8</v>
      </c>
      <c r="G387" s="30">
        <f>+IFERROR(E387/F387,"")</f>
        <v>7750</v>
      </c>
    </row>
    <row r="388" spans="1:7">
      <c r="A388" s="31" t="str">
        <f>+IF(G410="","","EQ001")</f>
        <v>EQ001</v>
      </c>
      <c r="B388" s="502" t="str">
        <f>+IF($A388="","",IFERROR(VLOOKUP($A388,INSUMOSEQUIPOS,2,0),""))</f>
        <v>HERRAMIENTA MENOR (10% DE LA MANO DE OBRA)</v>
      </c>
      <c r="C388" s="503"/>
      <c r="D388" s="27" t="str">
        <f>+IF($A388="","",IFERROR(VLOOKUP($A388,INSUMOSEQUIPOS,3,0),""))</f>
        <v>%</v>
      </c>
      <c r="E388" s="32">
        <f>+IF($A388="","",IFERROR(VLOOKUP($A388,INSUMOSEQUIPOS,4,0),""))</f>
        <v>0.1</v>
      </c>
      <c r="F388" s="33">
        <f>+IF(G410=0,"",G410)</f>
        <v>47111.125</v>
      </c>
      <c r="G388" s="30">
        <f>+IFERROR(E388*F388,"")</f>
        <v>4711.1125000000002</v>
      </c>
    </row>
    <row r="389" spans="1:7">
      <c r="A389" s="34"/>
      <c r="B389" s="35"/>
      <c r="C389" s="119"/>
      <c r="D389" s="119"/>
      <c r="E389" s="36"/>
      <c r="F389" s="37" t="s">
        <v>62</v>
      </c>
      <c r="G389" s="38">
        <f>+IF(SUM(G387:G388)=0,"",SUM(G387:G388))</f>
        <v>12461.112499999999</v>
      </c>
    </row>
    <row r="390" spans="1:7">
      <c r="A390" s="35"/>
      <c r="B390" s="119"/>
      <c r="C390" s="119"/>
      <c r="D390" s="36"/>
      <c r="E390" s="39"/>
      <c r="F390" s="40"/>
      <c r="G390" s="34"/>
    </row>
    <row r="391" spans="1:7">
      <c r="A391" s="464" t="s">
        <v>63</v>
      </c>
      <c r="B391" s="464"/>
      <c r="C391" s="464"/>
      <c r="D391" s="464"/>
      <c r="E391" s="464"/>
      <c r="F391" s="464"/>
      <c r="G391" s="465"/>
    </row>
    <row r="392" spans="1:7">
      <c r="A392" s="120" t="s">
        <v>57</v>
      </c>
      <c r="B392" s="41" t="s">
        <v>46</v>
      </c>
      <c r="C392" s="42" t="s">
        <v>47</v>
      </c>
      <c r="D392" s="42" t="s">
        <v>48</v>
      </c>
      <c r="E392" s="42" t="s">
        <v>64</v>
      </c>
      <c r="F392" s="42" t="s">
        <v>65</v>
      </c>
      <c r="G392" s="42" t="s">
        <v>60</v>
      </c>
    </row>
    <row r="393" spans="1:7" ht="22.5">
      <c r="A393" s="26" t="e">
        <f>IF(B393="","",INDEX(CODIGOMATERIALES,MATCH($B393,'INSUMOS MATERIALES'!$B$7:$B$54,0)))</f>
        <v>#N/A</v>
      </c>
      <c r="B393" s="43" t="s">
        <v>190</v>
      </c>
      <c r="C393" s="44" t="e">
        <f>IF(B393="","",(VLOOKUP($A393,INSUMOSMATERIALES,3,0)))</f>
        <v>#N/A</v>
      </c>
      <c r="D393" s="45">
        <v>10.199999999999999</v>
      </c>
      <c r="E393" s="46">
        <v>0.05</v>
      </c>
      <c r="F393" s="47" t="e">
        <f>IF(B393="","",(VLOOKUP($A393,INSUMOSMATERIALES,4,0)))</f>
        <v>#N/A</v>
      </c>
      <c r="G393" s="30" t="str">
        <f>+IFERROR(F393*D393*(1+E393),"")</f>
        <v/>
      </c>
    </row>
    <row r="394" spans="1:7">
      <c r="A394" s="26" t="e">
        <f>IF(B394="","",INDEX(CODIGOMATERIALES,MATCH($B394,'INSUMOS MATERIALES'!$B$7:$B$54,0)))</f>
        <v>#N/A</v>
      </c>
      <c r="B394" s="43" t="s">
        <v>196</v>
      </c>
      <c r="C394" s="44" t="e">
        <f>IF(B394="","",(VLOOKUP($A394,INSUMOSMATERIALES,3,0)))</f>
        <v>#N/A</v>
      </c>
      <c r="D394" s="45">
        <v>0.97</v>
      </c>
      <c r="E394" s="46">
        <v>0.05</v>
      </c>
      <c r="F394" s="47" t="e">
        <f>IF(B394="","",(VLOOKUP($A394,INSUMOSMATERIALES,4,0)))</f>
        <v>#N/A</v>
      </c>
      <c r="G394" s="30" t="str">
        <f>+IFERROR(F394*D394*(1+E394),"")</f>
        <v/>
      </c>
    </row>
    <row r="395" spans="1:7">
      <c r="A395" s="26" t="e">
        <f>IF(B395="","",INDEX(CODIGOMATERIALES,MATCH($B395,'INSUMOS MATERIALES'!$B$7:$B$54,0)))</f>
        <v>#N/A</v>
      </c>
      <c r="B395" s="43" t="s">
        <v>199</v>
      </c>
      <c r="C395" s="44" t="e">
        <f>IF(B395="","",(VLOOKUP($A395,INSUMOSMATERIALES,3,0)))</f>
        <v>#N/A</v>
      </c>
      <c r="D395" s="45">
        <v>180</v>
      </c>
      <c r="E395" s="46">
        <v>0.1</v>
      </c>
      <c r="F395" s="47" t="e">
        <f>IF(B395="","",(VLOOKUP($A395,INSUMOSMATERIALES,4,0)))</f>
        <v>#N/A</v>
      </c>
      <c r="G395" s="30" t="str">
        <f>+IFERROR(F395*D395*(1+E395),"")</f>
        <v/>
      </c>
    </row>
    <row r="396" spans="1:7">
      <c r="A396" s="34"/>
      <c r="B396" s="48"/>
      <c r="C396" s="119"/>
      <c r="D396" s="119"/>
      <c r="E396" s="36"/>
      <c r="F396" s="37" t="s">
        <v>62</v>
      </c>
      <c r="G396" s="38" t="str">
        <f>+IF(SUM(G393:G395)=0,"",SUM(G393:G395))</f>
        <v/>
      </c>
    </row>
    <row r="397" spans="1:7">
      <c r="A397" s="35"/>
      <c r="B397" s="119"/>
      <c r="C397" s="119"/>
      <c r="D397" s="36"/>
      <c r="E397" s="49"/>
      <c r="F397" s="40"/>
      <c r="G397" s="34"/>
    </row>
    <row r="398" spans="1:7">
      <c r="A398" s="464" t="s">
        <v>66</v>
      </c>
      <c r="B398" s="464"/>
      <c r="C398" s="464"/>
      <c r="D398" s="464"/>
      <c r="E398" s="464"/>
      <c r="F398" s="464"/>
      <c r="G398" s="464"/>
    </row>
    <row r="399" spans="1:7">
      <c r="A399" s="120" t="s">
        <v>57</v>
      </c>
      <c r="B399" s="120" t="s">
        <v>46</v>
      </c>
      <c r="C399" s="120" t="s">
        <v>67</v>
      </c>
      <c r="D399" s="120" t="s">
        <v>68</v>
      </c>
      <c r="E399" s="42" t="s">
        <v>69</v>
      </c>
      <c r="F399" s="42" t="s">
        <v>58</v>
      </c>
      <c r="G399" s="42" t="s">
        <v>60</v>
      </c>
    </row>
    <row r="400" spans="1:7" ht="33" customHeight="1">
      <c r="A400" s="26" t="str">
        <f>IF(B400="","",INDEX(CODIGOTRANSPORTES,MATCH(B400,'INSUMOS TRANSPORTES'!$B$7:$B$13,0)))</f>
        <v>TR002</v>
      </c>
      <c r="B400" s="43" t="s">
        <v>842</v>
      </c>
      <c r="C400" s="50" t="s">
        <v>457</v>
      </c>
      <c r="D400" s="45">
        <f>D394</f>
        <v>0.97</v>
      </c>
      <c r="E400" s="51">
        <f>+IF(C400=0,"",IF(C400="INSUMOS",'DATOS INICIALES'!$B$24,IF(C400="PLAYA",'DATOS INICIALES'!$B$21,IF(C400="TIERRA",'DATOS INICIALES'!$B$19,IF(C400="ESCOMBROS",'DATOS INICIALES'!$B$20,IF(C400="ASFALTO",'DATOS INICIALES'!$B$25,IF(C400="GRANULAR",'DATOS INICIALES'!B418)))))))</f>
        <v>10</v>
      </c>
      <c r="F400" s="28">
        <f>+IF(B400="","",(VLOOKUP($A400,INSUMOSTRANSPORTES,4,0)))</f>
        <v>3000</v>
      </c>
      <c r="G400" s="30">
        <f>+IFERROR(D400*E400*F400,"")</f>
        <v>29099.999999999996</v>
      </c>
    </row>
    <row r="401" spans="1:7" ht="22.5">
      <c r="A401" s="26" t="str">
        <f>IF(B401="","",INDEX(CODIGOTRANSPORTES,MATCH(B401,'INSUMOS TRANSPORTES'!$B$7:$B$26,0)))</f>
        <v>TR007</v>
      </c>
      <c r="B401" s="43" t="s">
        <v>459</v>
      </c>
      <c r="C401" s="50" t="s">
        <v>458</v>
      </c>
      <c r="D401" s="45">
        <f>(50*D393)/1000</f>
        <v>0.5099999999999999</v>
      </c>
      <c r="E401" s="51">
        <f>+IF(C401=0,"",IF(C401="INSUMOS",'DATOS INICIALES'!$B$24,IF(C401="PLAYA",'DATOS INICIALES'!$B$21,IF(C401="TIERRA",'DATOS INICIALES'!$B$19,IF(C401="ESCOMBROS",'DATOS INICIALES'!$B$20,IF(C401="ASFALTO",'DATOS INICIALES'!$B$25,IF(C401="GRANULAR",'DATOS INICIALES'!B419)))))))</f>
        <v>5</v>
      </c>
      <c r="F401" s="28">
        <f>+IF(B401="","",(VLOOKUP($A401,INSUMOSTRANSPORTES,4,0)))</f>
        <v>4250</v>
      </c>
      <c r="G401" s="30">
        <f>+IFERROR(D401*E401*F401,"")</f>
        <v>10837.499999999998</v>
      </c>
    </row>
    <row r="402" spans="1:7">
      <c r="A402" s="34"/>
      <c r="B402" s="52"/>
      <c r="C402" s="119"/>
      <c r="D402" s="119"/>
      <c r="E402" s="36"/>
      <c r="F402" s="37" t="s">
        <v>62</v>
      </c>
      <c r="G402" s="38">
        <f>+IF(SUM(G400:G401)=0,"",SUM(G400:G401))</f>
        <v>39937.499999999993</v>
      </c>
    </row>
    <row r="403" spans="1:7">
      <c r="A403" s="119"/>
      <c r="B403" s="119"/>
      <c r="C403" s="119"/>
      <c r="D403" s="36"/>
      <c r="E403" s="49"/>
      <c r="F403" s="40"/>
      <c r="G403" s="34"/>
    </row>
    <row r="404" spans="1:7">
      <c r="A404" s="464" t="s">
        <v>70</v>
      </c>
      <c r="B404" s="464"/>
      <c r="C404" s="464"/>
      <c r="D404" s="464"/>
      <c r="E404" s="464"/>
      <c r="F404" s="464"/>
      <c r="G404" s="465"/>
    </row>
    <row r="405" spans="1:7">
      <c r="A405" s="120" t="s">
        <v>57</v>
      </c>
      <c r="B405" s="500" t="s">
        <v>71</v>
      </c>
      <c r="C405" s="500"/>
      <c r="D405" s="42" t="s">
        <v>48</v>
      </c>
      <c r="E405" s="42" t="s">
        <v>72</v>
      </c>
      <c r="F405" s="42" t="s">
        <v>59</v>
      </c>
      <c r="G405" s="42" t="s">
        <v>60</v>
      </c>
    </row>
    <row r="406" spans="1:7">
      <c r="A406" s="26" t="str">
        <f>IF(B406="","",INDEX(CODIGOSMANODEOBRA,MATCH($B406,'INSUMOS MANO DE OBRA'!$B$7:$B$61,0)))</f>
        <v>MO033</v>
      </c>
      <c r="B406" s="619" t="s">
        <v>357</v>
      </c>
      <c r="C406" s="620"/>
      <c r="D406" s="53">
        <v>1</v>
      </c>
      <c r="E406" s="47">
        <f>IF(B406="","",(VLOOKUP($A406,INSUMOSMANODEOBRA,8,0)))</f>
        <v>104675</v>
      </c>
      <c r="F406" s="45">
        <v>8</v>
      </c>
      <c r="G406" s="54">
        <f>+IFERROR(D406*E406/F406,"")</f>
        <v>13084.375</v>
      </c>
    </row>
    <row r="407" spans="1:7">
      <c r="A407" s="26" t="str">
        <f>IF(B407="","",INDEX(CODIGOSMANODEOBRA,MATCH($B407,'INSUMOS MANO DE OBRA'!$B$7:$B$61,0)))</f>
        <v>MO032</v>
      </c>
      <c r="B407" s="619" t="s">
        <v>356</v>
      </c>
      <c r="C407" s="620"/>
      <c r="D407" s="53">
        <v>3</v>
      </c>
      <c r="E407" s="47">
        <f>IF(B407="","",(VLOOKUP($A407,INSUMOSMANODEOBRA,8,0)))</f>
        <v>90738</v>
      </c>
      <c r="F407" s="45">
        <v>8</v>
      </c>
      <c r="G407" s="54">
        <f>+IFERROR(D407*E407/F407,"")</f>
        <v>34026.75</v>
      </c>
    </row>
    <row r="408" spans="1:7">
      <c r="A408" s="26"/>
      <c r="B408" s="619"/>
      <c r="C408" s="620"/>
      <c r="D408" s="53"/>
      <c r="E408" s="47"/>
      <c r="F408" s="55"/>
      <c r="G408" s="54" t="str">
        <f>+IFERROR(D408*E408/F408,"")</f>
        <v/>
      </c>
    </row>
    <row r="409" spans="1:7">
      <c r="A409" s="26" t="s">
        <v>52</v>
      </c>
      <c r="B409" s="619"/>
      <c r="C409" s="620"/>
      <c r="D409" s="53"/>
      <c r="E409" s="47" t="s">
        <v>52</v>
      </c>
      <c r="F409" s="55" t="str">
        <f>+IF(A409="","",IF(A409=0,"",IF(F408="","",F408)))</f>
        <v/>
      </c>
      <c r="G409" s="54" t="str">
        <f>+IFERROR(D409*E409/F409,"")</f>
        <v/>
      </c>
    </row>
    <row r="410" spans="1:7">
      <c r="A410" s="34"/>
      <c r="B410" s="35"/>
      <c r="C410" s="119"/>
      <c r="D410" s="119"/>
      <c r="E410" s="36"/>
      <c r="F410" s="37" t="s">
        <v>62</v>
      </c>
      <c r="G410" s="38">
        <f>+IF(SUM(G406:G409)=0,"",SUM(G406:G409))</f>
        <v>47111.125</v>
      </c>
    </row>
    <row r="411" spans="1:7">
      <c r="A411" s="121"/>
      <c r="B411" s="119"/>
      <c r="C411" s="56"/>
      <c r="D411" s="56"/>
      <c r="E411" s="56"/>
      <c r="F411" s="40"/>
      <c r="G411" s="57"/>
    </row>
    <row r="412" spans="1:7">
      <c r="A412" s="464" t="s">
        <v>76</v>
      </c>
      <c r="B412" s="464"/>
      <c r="C412" s="464"/>
      <c r="D412" s="464"/>
      <c r="E412" s="464"/>
      <c r="F412" s="464"/>
      <c r="G412" s="465"/>
    </row>
    <row r="413" spans="1:7">
      <c r="A413" s="120" t="s">
        <v>57</v>
      </c>
      <c r="B413" s="500" t="s">
        <v>46</v>
      </c>
      <c r="C413" s="500"/>
      <c r="D413" s="120" t="s">
        <v>47</v>
      </c>
      <c r="E413" s="120" t="s">
        <v>48</v>
      </c>
      <c r="F413" s="120" t="s">
        <v>65</v>
      </c>
      <c r="G413" s="120" t="s">
        <v>60</v>
      </c>
    </row>
    <row r="414" spans="1:7">
      <c r="A414" s="26" t="str">
        <f>IF(B414="","",INDEX(CODIGOSSERVICIOS,MATCH($B414,'INSUMOS SERVICIOS'!$B$7:$B$21,0)))</f>
        <v/>
      </c>
      <c r="B414" s="619"/>
      <c r="C414" s="620"/>
      <c r="D414" s="44" t="str">
        <f>+IF(B414="","",(VLOOKUP($A414,INSUMOSSERVICIOS,3,0)))</f>
        <v/>
      </c>
      <c r="E414" s="58"/>
      <c r="F414" s="47" t="str">
        <f>IF(B414="","",(VLOOKUP($A414,INSUMOSSERVICIOS,4,0)))</f>
        <v/>
      </c>
      <c r="G414" s="30" t="str">
        <f>+IFERROR(E414*F414,"")</f>
        <v/>
      </c>
    </row>
    <row r="415" spans="1:7">
      <c r="A415" s="26" t="str">
        <f>IF(B415="","",INDEX(CODIGOSSERVICIOS,MATCH($B415,'INSUMOS SERVICIOS'!$B$7:$B$21,0)))</f>
        <v/>
      </c>
      <c r="B415" s="619"/>
      <c r="C415" s="620"/>
      <c r="D415" s="44" t="str">
        <f>+IF(B415="","",(VLOOKUP($A415,INSUMOSSERVICIOS,3,0)))</f>
        <v/>
      </c>
      <c r="E415" s="58"/>
      <c r="F415" s="47" t="str">
        <f>IF(B415="","",(VLOOKUP($A415,INSUMOSSERVICIOS,4,0)))</f>
        <v/>
      </c>
      <c r="G415" s="30" t="str">
        <f>+IFERROR(E415*F415,"")</f>
        <v/>
      </c>
    </row>
    <row r="416" spans="1:7">
      <c r="A416" s="26" t="s">
        <v>52</v>
      </c>
      <c r="B416" s="619"/>
      <c r="C416" s="620"/>
      <c r="D416" s="44" t="str">
        <f>+IF(B416="","",(VLOOKUP($A416,INSUMOS_SERVICIOS,3,0)))</f>
        <v/>
      </c>
      <c r="E416" s="58"/>
      <c r="F416" s="47" t="str">
        <f>IF(B416="","",(VLOOKUP($A416,INSUMOS_SERVICIOS,4,0)))</f>
        <v/>
      </c>
      <c r="G416" s="30" t="str">
        <f>+IFERROR(E416*F416,"")</f>
        <v/>
      </c>
    </row>
    <row r="417" spans="1:7">
      <c r="A417" s="34"/>
      <c r="B417" s="35"/>
      <c r="C417" s="119"/>
      <c r="D417" s="119"/>
      <c r="E417" s="36"/>
      <c r="F417" s="59" t="s">
        <v>62</v>
      </c>
      <c r="G417" s="38" t="str">
        <f>+IF(SUM(G414:G416)=0,"",SUM(G414:G416))</f>
        <v/>
      </c>
    </row>
    <row r="418" spans="1:7">
      <c r="A418" s="121"/>
      <c r="B418" s="119"/>
      <c r="C418" s="56"/>
      <c r="D418" s="56"/>
      <c r="E418" s="56"/>
      <c r="F418" s="40"/>
      <c r="G418" s="57"/>
    </row>
    <row r="419" spans="1:7">
      <c r="A419" s="494" t="s">
        <v>77</v>
      </c>
      <c r="B419" s="494"/>
      <c r="C419" s="494"/>
      <c r="D419" s="494"/>
      <c r="E419" s="494"/>
      <c r="F419" s="494"/>
      <c r="G419" s="60">
        <f>IF(SUM(G389,G396,G402,G410,G417)=0,"",(ROUND(SUM(G389,G396,G402,G410,G417),0)))</f>
        <v>99510</v>
      </c>
    </row>
    <row r="420" spans="1:7">
      <c r="A420" s="57"/>
      <c r="B420" s="49"/>
      <c r="C420" s="49"/>
      <c r="D420" s="49"/>
      <c r="E420" s="49"/>
      <c r="F420" s="49"/>
      <c r="G420" s="40"/>
    </row>
    <row r="421" spans="1:7">
      <c r="A421" s="464" t="s">
        <v>78</v>
      </c>
      <c r="B421" s="464"/>
      <c r="C421" s="464"/>
      <c r="D421" s="464"/>
      <c r="E421" s="464"/>
      <c r="F421" s="464"/>
      <c r="G421" s="464"/>
    </row>
    <row r="422" spans="1:7">
      <c r="A422" s="119"/>
      <c r="B422" s="119"/>
      <c r="C422" s="119"/>
      <c r="D422" s="119"/>
      <c r="E422" s="119"/>
      <c r="F422" s="119"/>
      <c r="G422" s="119"/>
    </row>
    <row r="423" spans="1:7">
      <c r="A423" s="495" t="s">
        <v>46</v>
      </c>
      <c r="B423" s="495"/>
      <c r="C423" s="495"/>
      <c r="D423" s="495"/>
      <c r="E423" s="495"/>
      <c r="F423" s="61" t="s">
        <v>79</v>
      </c>
      <c r="G423" s="61" t="s">
        <v>50</v>
      </c>
    </row>
    <row r="424" spans="1:7">
      <c r="A424" s="496" t="s">
        <v>80</v>
      </c>
      <c r="B424" s="496"/>
      <c r="C424" s="496"/>
      <c r="D424" s="496"/>
      <c r="E424" s="496"/>
      <c r="F424" s="62">
        <f ca="1">AIU!$I$46</f>
        <v>0.34160000000000001</v>
      </c>
      <c r="G424" s="63">
        <f ca="1">+IFERROR(G419*F424,"")</f>
        <v>33992.616000000002</v>
      </c>
    </row>
    <row r="425" spans="1:7">
      <c r="A425" s="496" t="s">
        <v>81</v>
      </c>
      <c r="B425" s="496"/>
      <c r="C425" s="496"/>
      <c r="D425" s="496"/>
      <c r="E425" s="496"/>
      <c r="F425" s="62" t="str">
        <f>IF(AIU!$I$47=0,"",AIU!$I$47)</f>
        <v/>
      </c>
      <c r="G425" s="63" t="str">
        <f>+IFERROR(G419*F425,"")</f>
        <v/>
      </c>
    </row>
    <row r="426" spans="1:7">
      <c r="A426" s="496" t="s">
        <v>82</v>
      </c>
      <c r="B426" s="496"/>
      <c r="C426" s="496"/>
      <c r="D426" s="496"/>
      <c r="E426" s="496"/>
      <c r="F426" s="62">
        <f>IF(AIU!$I$48=0,"",AIU!$I$48)</f>
        <v>0.05</v>
      </c>
      <c r="G426" s="63">
        <f>+IFERROR(G419*F426,"")</f>
        <v>4975.5</v>
      </c>
    </row>
    <row r="427" spans="1:7">
      <c r="A427" s="497" t="s">
        <v>83</v>
      </c>
      <c r="B427" s="498"/>
      <c r="C427" s="498"/>
      <c r="D427" s="498"/>
      <c r="E427" s="498"/>
      <c r="F427" s="64">
        <f ca="1">IF(SUM(F424:F426)=0,"",SUM(F424:F426))</f>
        <v>0.3916</v>
      </c>
      <c r="G427" s="65">
        <f ca="1">IF(SUM(G424:G426)=0,"",ROUND(SUM(G424:G426),0))</f>
        <v>38968</v>
      </c>
    </row>
    <row r="428" spans="1:7">
      <c r="A428" s="57"/>
      <c r="B428" s="35"/>
      <c r="C428" s="35"/>
      <c r="D428" s="35"/>
      <c r="E428" s="499"/>
      <c r="F428" s="499"/>
      <c r="G428" s="66"/>
    </row>
    <row r="429" spans="1:7">
      <c r="A429" s="466" t="s">
        <v>84</v>
      </c>
      <c r="B429" s="467"/>
      <c r="C429" s="467"/>
      <c r="D429" s="467"/>
      <c r="E429" s="467"/>
      <c r="F429" s="467"/>
      <c r="G429" s="67">
        <f ca="1">+IFERROR(ROUND(G419+G427,0),"")</f>
        <v>138478</v>
      </c>
    </row>
    <row r="430" spans="1:7">
      <c r="A430" s="20"/>
      <c r="B430" s="20"/>
      <c r="C430" s="20"/>
      <c r="D430" s="20"/>
      <c r="E430" s="19"/>
      <c r="F430" s="19"/>
      <c r="G430" s="21"/>
    </row>
    <row r="431" spans="1:7">
      <c r="A431" s="20"/>
      <c r="B431" s="184"/>
      <c r="C431" s="19"/>
      <c r="D431" s="19"/>
      <c r="E431" s="19"/>
      <c r="F431" s="19"/>
      <c r="G431" s="19"/>
    </row>
    <row r="432" spans="1:7">
      <c r="A432" s="20"/>
      <c r="B432" s="184" t="s">
        <v>781</v>
      </c>
      <c r="C432" s="19"/>
      <c r="D432" s="19"/>
      <c r="E432" s="19"/>
      <c r="F432" s="19"/>
      <c r="G432" s="19"/>
    </row>
    <row r="433" spans="1:7">
      <c r="A433" s="20"/>
      <c r="B433" s="184"/>
      <c r="C433" s="19"/>
      <c r="D433" s="68"/>
      <c r="E433" s="68"/>
      <c r="F433" s="68"/>
      <c r="G433" s="19"/>
    </row>
    <row r="434" spans="1:7">
      <c r="A434" s="20"/>
      <c r="B434" s="184"/>
      <c r="C434" s="21"/>
      <c r="D434" s="538" t="s">
        <v>85</v>
      </c>
      <c r="E434" s="538"/>
      <c r="F434" s="538"/>
      <c r="G434" s="21"/>
    </row>
    <row r="436" spans="1:7" ht="18.75">
      <c r="A436" s="480" t="str">
        <f>'DATOS INICIALES'!$B$1</f>
        <v>DEPARTAMENTO DE ANTIOQUIA</v>
      </c>
      <c r="B436" s="481"/>
      <c r="C436" s="481"/>
      <c r="D436" s="481"/>
      <c r="E436" s="481"/>
      <c r="F436" s="482" t="s">
        <v>52</v>
      </c>
      <c r="G436" s="482"/>
    </row>
    <row r="437" spans="1:7" ht="15.75">
      <c r="A437" s="483" t="str">
        <f>'DATOS INICIALES'!$B$2</f>
        <v>MUNICIPIO DE DABEIBA</v>
      </c>
      <c r="B437" s="484"/>
      <c r="C437" s="484"/>
      <c r="D437" s="484"/>
      <c r="E437" s="484"/>
      <c r="F437" s="482"/>
      <c r="G437" s="482"/>
    </row>
    <row r="438" spans="1:7">
      <c r="A438" s="485" t="str">
        <f>'DATOS INICIALES'!$B$3</f>
        <v xml:space="preserve">AMPLIACIÓN DEL SISTEMA DE ALCANTARILLADO EN SECTOR DEL BARRIO PABLO VI  DEL MUNICIPIO DE DABEIBA ANTIOQUIA </v>
      </c>
      <c r="B438" s="486"/>
      <c r="C438" s="486"/>
      <c r="D438" s="486"/>
      <c r="E438" s="486"/>
      <c r="F438" s="482"/>
      <c r="G438" s="482"/>
    </row>
    <row r="439" spans="1:7">
      <c r="A439" s="487"/>
      <c r="B439" s="487"/>
      <c r="C439" s="487"/>
      <c r="D439" s="487"/>
      <c r="E439" s="488"/>
      <c r="F439" s="482"/>
      <c r="G439" s="482"/>
    </row>
    <row r="440" spans="1:7">
      <c r="A440" s="489" t="s">
        <v>53</v>
      </c>
      <c r="B440" s="490"/>
      <c r="C440" s="490"/>
      <c r="D440" s="490"/>
      <c r="E440" s="490"/>
      <c r="F440" s="482"/>
      <c r="G440" s="482"/>
    </row>
    <row r="441" spans="1:7">
      <c r="A441" s="487"/>
      <c r="B441" s="487"/>
      <c r="C441" s="487"/>
      <c r="D441" s="487"/>
      <c r="E441" s="487"/>
      <c r="F441" s="491"/>
      <c r="G441" s="491"/>
    </row>
    <row r="442" spans="1:7">
      <c r="A442" s="22" t="s">
        <v>45</v>
      </c>
      <c r="B442" s="468" t="s">
        <v>46</v>
      </c>
      <c r="C442" s="469"/>
      <c r="D442" s="470"/>
      <c r="E442" s="23" t="s">
        <v>47</v>
      </c>
      <c r="F442" s="24" t="s">
        <v>48</v>
      </c>
      <c r="G442" s="24" t="s">
        <v>54</v>
      </c>
    </row>
    <row r="443" spans="1:7">
      <c r="A443" s="25" t="s">
        <v>165</v>
      </c>
      <c r="B443" s="471" t="str">
        <f>+IFERROR(VLOOKUP($A443,INSUMOSMATERIALES,2,0),"")</f>
        <v>MORTERO 1:3 EN OBRA (REVOQUE)</v>
      </c>
      <c r="C443" s="472"/>
      <c r="D443" s="473"/>
      <c r="E443" s="82" t="str">
        <f>+IFERROR(VLOOKUP($A443,INSUMOSMATERIALES,3,0),"")</f>
        <v>M3</v>
      </c>
      <c r="F443" s="82" t="s">
        <v>456</v>
      </c>
      <c r="G443" s="153">
        <f ca="1">IF(G491=0,"",G481)</f>
        <v>103555</v>
      </c>
    </row>
    <row r="444" spans="1:7">
      <c r="A444" s="20"/>
      <c r="B444" s="20"/>
      <c r="C444" s="20"/>
      <c r="D444" s="20"/>
      <c r="E444" s="19"/>
      <c r="F444" s="19"/>
      <c r="G444" s="21"/>
    </row>
    <row r="445" spans="1:7">
      <c r="A445" s="464" t="s">
        <v>55</v>
      </c>
      <c r="B445" s="464"/>
      <c r="C445" s="464"/>
      <c r="D445" s="464"/>
      <c r="E445" s="464"/>
      <c r="F445" s="464"/>
      <c r="G445" s="464"/>
    </row>
    <row r="446" spans="1:7">
      <c r="A446" s="119"/>
      <c r="B446" s="119"/>
      <c r="C446" s="119"/>
      <c r="D446" s="119"/>
      <c r="E446" s="119"/>
      <c r="F446" s="119"/>
      <c r="G446" s="119"/>
    </row>
    <row r="447" spans="1:7">
      <c r="A447" s="474" t="s">
        <v>56</v>
      </c>
      <c r="B447" s="474"/>
      <c r="C447" s="474"/>
      <c r="D447" s="474"/>
      <c r="E447" s="474"/>
      <c r="F447" s="474"/>
      <c r="G447" s="475"/>
    </row>
    <row r="448" spans="1:7">
      <c r="A448" s="120" t="s">
        <v>57</v>
      </c>
      <c r="B448" s="476" t="s">
        <v>46</v>
      </c>
      <c r="C448" s="477"/>
      <c r="D448" s="120" t="s">
        <v>47</v>
      </c>
      <c r="E448" s="120" t="s">
        <v>58</v>
      </c>
      <c r="F448" s="120" t="s">
        <v>59</v>
      </c>
      <c r="G448" s="120" t="s">
        <v>60</v>
      </c>
    </row>
    <row r="449" spans="1:7">
      <c r="A449" s="26" t="str">
        <f>IF(B449="","",INDEX(CODIGOEQUIPOS,MATCH($B449,'INSUMOS EQUIPOS'!$B$7:$B$39,0)))</f>
        <v>EQ004</v>
      </c>
      <c r="B449" s="621" t="s">
        <v>95</v>
      </c>
      <c r="C449" s="622"/>
      <c r="D449" s="27" t="str">
        <f>IF(B449="","",(VLOOKUP($A449,INSUMOSEQUIPOS,3,0)))</f>
        <v>DÍA</v>
      </c>
      <c r="E449" s="28">
        <f>IF(B449="","",(VLOOKUP($A449,INSUMOSEQUIPOS,4,0)))</f>
        <v>62000</v>
      </c>
      <c r="F449" s="29">
        <v>8</v>
      </c>
      <c r="G449" s="30">
        <f>+IFERROR(E449/F449,"")</f>
        <v>7750</v>
      </c>
    </row>
    <row r="450" spans="1:7">
      <c r="A450" s="31" t="str">
        <f>+IF(G472="","","EQ001")</f>
        <v>EQ001</v>
      </c>
      <c r="B450" s="502" t="str">
        <f>+IF($A450="","",IFERROR(VLOOKUP($A450,INSUMOSEQUIPOS,2,0),""))</f>
        <v>HERRAMIENTA MENOR (10% DE LA MANO DE OBRA)</v>
      </c>
      <c r="C450" s="503"/>
      <c r="D450" s="27" t="str">
        <f>+IF($A450="","",IFERROR(VLOOKUP($A450,INSUMOSEQUIPOS,3,0),""))</f>
        <v>%</v>
      </c>
      <c r="E450" s="32">
        <f>+IF($A450="","",IFERROR(VLOOKUP($A450,INSUMOSEQUIPOS,4,0),""))</f>
        <v>0.1</v>
      </c>
      <c r="F450" s="33">
        <f>+IF(G472=0,"",G472)</f>
        <v>47111.125</v>
      </c>
      <c r="G450" s="30">
        <f>+IFERROR(E450*F450,"")</f>
        <v>4711.1125000000002</v>
      </c>
    </row>
    <row r="451" spans="1:7">
      <c r="A451" s="34"/>
      <c r="B451" s="35"/>
      <c r="C451" s="119"/>
      <c r="D451" s="119"/>
      <c r="E451" s="36"/>
      <c r="F451" s="37" t="s">
        <v>62</v>
      </c>
      <c r="G451" s="38">
        <f>+IF(SUM(G449:G450)=0,"",SUM(G449:G450))</f>
        <v>12461.112499999999</v>
      </c>
    </row>
    <row r="452" spans="1:7">
      <c r="A452" s="35"/>
      <c r="B452" s="119"/>
      <c r="C452" s="119"/>
      <c r="D452" s="36"/>
      <c r="E452" s="39"/>
      <c r="F452" s="40"/>
      <c r="G452" s="34"/>
    </row>
    <row r="453" spans="1:7">
      <c r="A453" s="464" t="s">
        <v>63</v>
      </c>
      <c r="B453" s="464"/>
      <c r="C453" s="464"/>
      <c r="D453" s="464"/>
      <c r="E453" s="464"/>
      <c r="F453" s="464"/>
      <c r="G453" s="465"/>
    </row>
    <row r="454" spans="1:7">
      <c r="A454" s="120" t="s">
        <v>57</v>
      </c>
      <c r="B454" s="41" t="s">
        <v>46</v>
      </c>
      <c r="C454" s="42" t="s">
        <v>47</v>
      </c>
      <c r="D454" s="42" t="s">
        <v>48</v>
      </c>
      <c r="E454" s="42" t="s">
        <v>64</v>
      </c>
      <c r="F454" s="42" t="s">
        <v>65</v>
      </c>
      <c r="G454" s="42" t="s">
        <v>60</v>
      </c>
    </row>
    <row r="455" spans="1:7" ht="22.5">
      <c r="A455" s="26" t="e">
        <f>IF(B455="","",INDEX(CODIGOMATERIALES,MATCH($B455,'INSUMOS MATERIALES'!$B$7:$B$54,0)))</f>
        <v>#N/A</v>
      </c>
      <c r="B455" s="43" t="s">
        <v>190</v>
      </c>
      <c r="C455" s="44" t="e">
        <f>IF(B455="","",(VLOOKUP($A455,INSUMOSMATERIALES,3,0)))</f>
        <v>#N/A</v>
      </c>
      <c r="D455" s="45">
        <v>9.08</v>
      </c>
      <c r="E455" s="46">
        <v>0.05</v>
      </c>
      <c r="F455" s="47" t="e">
        <f>IF(B455="","",(VLOOKUP($A455,INSUMOSMATERIALES,4,0)))</f>
        <v>#N/A</v>
      </c>
      <c r="G455" s="30" t="str">
        <f>+IFERROR(F455*D455*(1+E455),"")</f>
        <v/>
      </c>
    </row>
    <row r="456" spans="1:7">
      <c r="A456" s="26" t="e">
        <f>IF(B456="","",INDEX(CODIGOMATERIALES,MATCH($B456,'INSUMOS MATERIALES'!$B$7:$B$54,0)))</f>
        <v>#N/A</v>
      </c>
      <c r="B456" s="43" t="s">
        <v>194</v>
      </c>
      <c r="C456" s="44" t="e">
        <f>IF(B456="","",(VLOOKUP($A456,INSUMOSMATERIALES,3,0)))</f>
        <v>#N/A</v>
      </c>
      <c r="D456" s="45">
        <v>1.0900000000000001</v>
      </c>
      <c r="E456" s="46">
        <v>0.05</v>
      </c>
      <c r="F456" s="47" t="e">
        <f>IF(B456="","",(VLOOKUP($A456,INSUMOSMATERIALES,4,0)))</f>
        <v>#N/A</v>
      </c>
      <c r="G456" s="30" t="str">
        <f>+IFERROR(F456*D456*(1+E456),"")</f>
        <v/>
      </c>
    </row>
    <row r="457" spans="1:7">
      <c r="A457" s="26" t="e">
        <f>IF(B457="","",INDEX(CODIGOMATERIALES,MATCH($B457,'INSUMOS MATERIALES'!$B$7:$B$54,0)))</f>
        <v>#N/A</v>
      </c>
      <c r="B457" s="43" t="s">
        <v>199</v>
      </c>
      <c r="C457" s="44" t="e">
        <f>IF(B457="","",(VLOOKUP($A457,INSUMOSMATERIALES,3,0)))</f>
        <v>#N/A</v>
      </c>
      <c r="D457" s="45">
        <v>185</v>
      </c>
      <c r="E457" s="46">
        <v>0.1</v>
      </c>
      <c r="F457" s="47" t="e">
        <f>IF(B457="","",(VLOOKUP($A457,INSUMOSMATERIALES,4,0)))</f>
        <v>#N/A</v>
      </c>
      <c r="G457" s="30" t="str">
        <f>+IFERROR(F457*D457*(1+E457),"")</f>
        <v/>
      </c>
    </row>
    <row r="458" spans="1:7">
      <c r="A458" s="34"/>
      <c r="B458" s="48"/>
      <c r="C458" s="119"/>
      <c r="D458" s="119"/>
      <c r="E458" s="36"/>
      <c r="F458" s="37" t="s">
        <v>62</v>
      </c>
      <c r="G458" s="38" t="str">
        <f>+IF(SUM(G455:G457)=0,"",SUM(G455:G457))</f>
        <v/>
      </c>
    </row>
    <row r="459" spans="1:7">
      <c r="A459" s="35"/>
      <c r="B459" s="119"/>
      <c r="C459" s="119"/>
      <c r="D459" s="36"/>
      <c r="E459" s="49"/>
      <c r="F459" s="40"/>
      <c r="G459" s="34"/>
    </row>
    <row r="460" spans="1:7">
      <c r="A460" s="464" t="s">
        <v>66</v>
      </c>
      <c r="B460" s="464"/>
      <c r="C460" s="464"/>
      <c r="D460" s="464"/>
      <c r="E460" s="464"/>
      <c r="F460" s="464"/>
      <c r="G460" s="464"/>
    </row>
    <row r="461" spans="1:7">
      <c r="A461" s="120" t="s">
        <v>57</v>
      </c>
      <c r="B461" s="120" t="s">
        <v>46</v>
      </c>
      <c r="C461" s="120" t="s">
        <v>67</v>
      </c>
      <c r="D461" s="120" t="s">
        <v>68</v>
      </c>
      <c r="E461" s="42" t="s">
        <v>69</v>
      </c>
      <c r="F461" s="42" t="s">
        <v>58</v>
      </c>
      <c r="G461" s="42" t="s">
        <v>60</v>
      </c>
    </row>
    <row r="462" spans="1:7" ht="33" customHeight="1">
      <c r="A462" s="26" t="str">
        <f>IF(B462="","",INDEX(CODIGOTRANSPORTES,MATCH(B462,'INSUMOS TRANSPORTES'!$B$7:$B$13,0)))</f>
        <v>TR002</v>
      </c>
      <c r="B462" s="43" t="s">
        <v>842</v>
      </c>
      <c r="C462" s="50" t="s">
        <v>457</v>
      </c>
      <c r="D462" s="45">
        <f>(D456)*1.05</f>
        <v>1.1445000000000001</v>
      </c>
      <c r="E462" s="51">
        <f>+IF(C462=0,"",IF(C462="INSUMOS",'DATOS INICIALES'!$B$24,IF(C462="PLAYA",'DATOS INICIALES'!$B$21,IF(C462="TIERRA",'DATOS INICIALES'!$B$19,IF(C462="ESCOMBROS",'DATOS INICIALES'!$B$20,IF(C462="ASFALTO",'DATOS INICIALES'!$B$25,IF(C462="GRANULAR",'DATOS INICIALES'!B480)))))))</f>
        <v>10</v>
      </c>
      <c r="F462" s="28">
        <f>+IF(B462="","",(VLOOKUP($A462,INSUMOSTRANSPORTES,4,0)))</f>
        <v>3000</v>
      </c>
      <c r="G462" s="30">
        <f>+IFERROR(D462*E462*F462,"")</f>
        <v>34335</v>
      </c>
    </row>
    <row r="463" spans="1:7" ht="22.5">
      <c r="A463" s="26" t="str">
        <f>IF(B463="","",INDEX(CODIGOTRANSPORTES,MATCH(B463,'INSUMOS TRANSPORTES'!$B$7:$B$26,0)))</f>
        <v>TR007</v>
      </c>
      <c r="B463" s="43" t="s">
        <v>459</v>
      </c>
      <c r="C463" s="50" t="s">
        <v>458</v>
      </c>
      <c r="D463" s="45">
        <f>(50*D455)/1000</f>
        <v>0.45400000000000001</v>
      </c>
      <c r="E463" s="51">
        <f>+IF(C463=0,"",IF(C463="INSUMOS",'DATOS INICIALES'!$B$24,IF(C463="PLAYA",'DATOS INICIALES'!$B$21,IF(C463="TIERRA",'DATOS INICIALES'!$B$19,IF(C463="ESCOMBROS",'DATOS INICIALES'!$B$20,IF(C463="ASFALTO",'DATOS INICIALES'!$B$25,IF(C463="GRANULAR",'DATOS INICIALES'!B481)))))))</f>
        <v>5</v>
      </c>
      <c r="F463" s="28">
        <f>+IF(B463="","",(VLOOKUP($A463,INSUMOSTRANSPORTES,4,0)))</f>
        <v>4250</v>
      </c>
      <c r="G463" s="30">
        <f>+IFERROR(D463*E463*F463,"")</f>
        <v>9647.5</v>
      </c>
    </row>
    <row r="464" spans="1:7">
      <c r="A464" s="34"/>
      <c r="B464" s="52"/>
      <c r="C464" s="119"/>
      <c r="D464" s="119"/>
      <c r="E464" s="36"/>
      <c r="F464" s="37" t="s">
        <v>62</v>
      </c>
      <c r="G464" s="38">
        <f>+IF(SUM(G462:G463)=0,"",SUM(G462:G463))</f>
        <v>43982.5</v>
      </c>
    </row>
    <row r="465" spans="1:7">
      <c r="A465" s="119"/>
      <c r="B465" s="119"/>
      <c r="C465" s="119"/>
      <c r="D465" s="36"/>
      <c r="E465" s="49"/>
      <c r="F465" s="40"/>
      <c r="G465" s="34"/>
    </row>
    <row r="466" spans="1:7">
      <c r="A466" s="464" t="s">
        <v>70</v>
      </c>
      <c r="B466" s="464"/>
      <c r="C466" s="464"/>
      <c r="D466" s="464"/>
      <c r="E466" s="464"/>
      <c r="F466" s="464"/>
      <c r="G466" s="465"/>
    </row>
    <row r="467" spans="1:7">
      <c r="A467" s="120" t="s">
        <v>57</v>
      </c>
      <c r="B467" s="500" t="s">
        <v>71</v>
      </c>
      <c r="C467" s="500"/>
      <c r="D467" s="42" t="s">
        <v>48</v>
      </c>
      <c r="E467" s="42" t="s">
        <v>72</v>
      </c>
      <c r="F467" s="42" t="s">
        <v>59</v>
      </c>
      <c r="G467" s="42" t="s">
        <v>60</v>
      </c>
    </row>
    <row r="468" spans="1:7">
      <c r="A468" s="26" t="str">
        <f>IF(B468="","",INDEX(CODIGOSMANODEOBRA,MATCH($B468,'INSUMOS MANO DE OBRA'!$B$7:$B$61,0)))</f>
        <v>MO033</v>
      </c>
      <c r="B468" s="619" t="s">
        <v>357</v>
      </c>
      <c r="C468" s="620"/>
      <c r="D468" s="53">
        <v>1</v>
      </c>
      <c r="E468" s="47">
        <f>IF(B468="","",(VLOOKUP($A468,INSUMOSMANODEOBRA,8,0)))</f>
        <v>104675</v>
      </c>
      <c r="F468" s="45">
        <v>8</v>
      </c>
      <c r="G468" s="54">
        <f>+IFERROR(D468*E468/F468,"")</f>
        <v>13084.375</v>
      </c>
    </row>
    <row r="469" spans="1:7">
      <c r="A469" s="26" t="str">
        <f>IF(B469="","",INDEX(CODIGOSMANODEOBRA,MATCH($B469,'INSUMOS MANO DE OBRA'!$B$7:$B$61,0)))</f>
        <v>MO032</v>
      </c>
      <c r="B469" s="619" t="s">
        <v>356</v>
      </c>
      <c r="C469" s="620"/>
      <c r="D469" s="53">
        <v>3</v>
      </c>
      <c r="E469" s="47">
        <f>IF(B469="","",(VLOOKUP($A469,INSUMOSMANODEOBRA,8,0)))</f>
        <v>90738</v>
      </c>
      <c r="F469" s="45">
        <v>8</v>
      </c>
      <c r="G469" s="54">
        <f>+IFERROR(D469*E469/F469,"")</f>
        <v>34026.75</v>
      </c>
    </row>
    <row r="470" spans="1:7">
      <c r="A470" s="26"/>
      <c r="B470" s="619"/>
      <c r="C470" s="620"/>
      <c r="D470" s="53"/>
      <c r="E470" s="47"/>
      <c r="F470" s="55"/>
      <c r="G470" s="54" t="str">
        <f>+IFERROR(D470*E470/F470,"")</f>
        <v/>
      </c>
    </row>
    <row r="471" spans="1:7">
      <c r="A471" s="26" t="s">
        <v>52</v>
      </c>
      <c r="B471" s="619"/>
      <c r="C471" s="620"/>
      <c r="D471" s="53"/>
      <c r="E471" s="47" t="s">
        <v>52</v>
      </c>
      <c r="F471" s="55" t="str">
        <f>+IF(A471="","",IF(A471=0,"",IF(F470="","",F470)))</f>
        <v/>
      </c>
      <c r="G471" s="54" t="str">
        <f>+IFERROR(D471*E471/F471,"")</f>
        <v/>
      </c>
    </row>
    <row r="472" spans="1:7">
      <c r="A472" s="34"/>
      <c r="B472" s="35"/>
      <c r="C472" s="119"/>
      <c r="D472" s="119"/>
      <c r="E472" s="36"/>
      <c r="F472" s="37" t="s">
        <v>62</v>
      </c>
      <c r="G472" s="38">
        <f>+IF(SUM(G468:G471)=0,"",SUM(G468:G471))</f>
        <v>47111.125</v>
      </c>
    </row>
    <row r="473" spans="1:7">
      <c r="A473" s="121"/>
      <c r="B473" s="119"/>
      <c r="C473" s="56"/>
      <c r="D473" s="56"/>
      <c r="E473" s="56"/>
      <c r="F473" s="40"/>
      <c r="G473" s="57"/>
    </row>
    <row r="474" spans="1:7">
      <c r="A474" s="464" t="s">
        <v>76</v>
      </c>
      <c r="B474" s="464"/>
      <c r="C474" s="464"/>
      <c r="D474" s="464"/>
      <c r="E474" s="464"/>
      <c r="F474" s="464"/>
      <c r="G474" s="465"/>
    </row>
    <row r="475" spans="1:7">
      <c r="A475" s="120" t="s">
        <v>57</v>
      </c>
      <c r="B475" s="500" t="s">
        <v>46</v>
      </c>
      <c r="C475" s="500"/>
      <c r="D475" s="120" t="s">
        <v>47</v>
      </c>
      <c r="E475" s="120" t="s">
        <v>48</v>
      </c>
      <c r="F475" s="120" t="s">
        <v>65</v>
      </c>
      <c r="G475" s="120" t="s">
        <v>60</v>
      </c>
    </row>
    <row r="476" spans="1:7">
      <c r="A476" s="26" t="str">
        <f>IF(B476="","",INDEX(CODIGOSSERVICIOS,MATCH($B476,'INSUMOS SERVICIOS'!$B$7:$B$21,0)))</f>
        <v/>
      </c>
      <c r="B476" s="619"/>
      <c r="C476" s="620"/>
      <c r="D476" s="44" t="str">
        <f>+IF(B476="","",(VLOOKUP($A476,INSUMOSSERVICIOS,3,0)))</f>
        <v/>
      </c>
      <c r="E476" s="58"/>
      <c r="F476" s="47" t="str">
        <f>IF(B476="","",(VLOOKUP($A476,INSUMOSSERVICIOS,4,0)))</f>
        <v/>
      </c>
      <c r="G476" s="30" t="str">
        <f>+IFERROR(E476*F476,"")</f>
        <v/>
      </c>
    </row>
    <row r="477" spans="1:7">
      <c r="A477" s="26" t="str">
        <f>IF(B477="","",INDEX(CODIGOSSERVICIOS,MATCH($B477,'INSUMOS SERVICIOS'!$B$7:$B$21,0)))</f>
        <v/>
      </c>
      <c r="B477" s="619"/>
      <c r="C477" s="620"/>
      <c r="D477" s="44" t="str">
        <f>+IF(B477="","",(VLOOKUP($A477,INSUMOSSERVICIOS,3,0)))</f>
        <v/>
      </c>
      <c r="E477" s="58"/>
      <c r="F477" s="47" t="str">
        <f>IF(B477="","",(VLOOKUP($A477,INSUMOSSERVICIOS,4,0)))</f>
        <v/>
      </c>
      <c r="G477" s="30" t="str">
        <f>+IFERROR(E477*F477,"")</f>
        <v/>
      </c>
    </row>
    <row r="478" spans="1:7">
      <c r="A478" s="26" t="s">
        <v>52</v>
      </c>
      <c r="B478" s="619"/>
      <c r="C478" s="620"/>
      <c r="D478" s="44" t="str">
        <f>+IF(B478="","",(VLOOKUP($A478,INSUMOS_SERVICIOS,3,0)))</f>
        <v/>
      </c>
      <c r="E478" s="58"/>
      <c r="F478" s="47" t="str">
        <f>IF(B478="","",(VLOOKUP($A478,INSUMOS_SERVICIOS,4,0)))</f>
        <v/>
      </c>
      <c r="G478" s="30" t="str">
        <f>+IFERROR(E478*F478,"")</f>
        <v/>
      </c>
    </row>
    <row r="479" spans="1:7">
      <c r="A479" s="34"/>
      <c r="B479" s="35"/>
      <c r="C479" s="119"/>
      <c r="D479" s="119"/>
      <c r="E479" s="36"/>
      <c r="F479" s="59" t="s">
        <v>62</v>
      </c>
      <c r="G479" s="38" t="str">
        <f>+IF(SUM(G476:G478)=0,"",SUM(G476:G478))</f>
        <v/>
      </c>
    </row>
    <row r="480" spans="1:7">
      <c r="A480" s="121"/>
      <c r="B480" s="119"/>
      <c r="C480" s="56"/>
      <c r="D480" s="56"/>
      <c r="E480" s="56"/>
      <c r="F480" s="40"/>
      <c r="G480" s="57"/>
    </row>
    <row r="481" spans="1:7">
      <c r="A481" s="494" t="s">
        <v>77</v>
      </c>
      <c r="B481" s="494"/>
      <c r="C481" s="494"/>
      <c r="D481" s="494"/>
      <c r="E481" s="494"/>
      <c r="F481" s="494"/>
      <c r="G481" s="60">
        <f>IF(SUM(G451,G458,G464,G472,G479)=0,"",(ROUND(SUM(G451,G458,G464,G472,G479),0)))</f>
        <v>103555</v>
      </c>
    </row>
    <row r="482" spans="1:7">
      <c r="A482" s="57"/>
      <c r="B482" s="49"/>
      <c r="C482" s="49"/>
      <c r="D482" s="49"/>
      <c r="E482" s="49"/>
      <c r="F482" s="49"/>
      <c r="G482" s="40"/>
    </row>
    <row r="483" spans="1:7">
      <c r="A483" s="464" t="s">
        <v>78</v>
      </c>
      <c r="B483" s="464"/>
      <c r="C483" s="464"/>
      <c r="D483" s="464"/>
      <c r="E483" s="464"/>
      <c r="F483" s="464"/>
      <c r="G483" s="464"/>
    </row>
    <row r="484" spans="1:7">
      <c r="A484" s="119"/>
      <c r="B484" s="119"/>
      <c r="C484" s="119"/>
      <c r="D484" s="119"/>
      <c r="E484" s="119"/>
      <c r="F484" s="119"/>
      <c r="G484" s="119"/>
    </row>
    <row r="485" spans="1:7">
      <c r="A485" s="495" t="s">
        <v>46</v>
      </c>
      <c r="B485" s="495"/>
      <c r="C485" s="495"/>
      <c r="D485" s="495"/>
      <c r="E485" s="495"/>
      <c r="F485" s="61" t="s">
        <v>79</v>
      </c>
      <c r="G485" s="61" t="s">
        <v>50</v>
      </c>
    </row>
    <row r="486" spans="1:7">
      <c r="A486" s="496" t="s">
        <v>80</v>
      </c>
      <c r="B486" s="496"/>
      <c r="C486" s="496"/>
      <c r="D486" s="496"/>
      <c r="E486" s="496"/>
      <c r="F486" s="62">
        <f ca="1">AIU!$I$46</f>
        <v>0.34160000000000001</v>
      </c>
      <c r="G486" s="63">
        <f ca="1">+IFERROR(G481*F486,"")</f>
        <v>35374.387999999999</v>
      </c>
    </row>
    <row r="487" spans="1:7">
      <c r="A487" s="496" t="s">
        <v>81</v>
      </c>
      <c r="B487" s="496"/>
      <c r="C487" s="496"/>
      <c r="D487" s="496"/>
      <c r="E487" s="496"/>
      <c r="F487" s="62" t="str">
        <f>IF(AIU!$I$47=0,"",AIU!$I$47)</f>
        <v/>
      </c>
      <c r="G487" s="63" t="str">
        <f>+IFERROR(G481*F487,"")</f>
        <v/>
      </c>
    </row>
    <row r="488" spans="1:7">
      <c r="A488" s="496" t="s">
        <v>82</v>
      </c>
      <c r="B488" s="496"/>
      <c r="C488" s="496"/>
      <c r="D488" s="496"/>
      <c r="E488" s="496"/>
      <c r="F488" s="62">
        <f>IF(AIU!$I$48=0,"",AIU!$I$48)</f>
        <v>0.05</v>
      </c>
      <c r="G488" s="63">
        <f>+IFERROR(G481*F488,"")</f>
        <v>5177.75</v>
      </c>
    </row>
    <row r="489" spans="1:7">
      <c r="A489" s="497" t="s">
        <v>83</v>
      </c>
      <c r="B489" s="498"/>
      <c r="C489" s="498"/>
      <c r="D489" s="498"/>
      <c r="E489" s="498"/>
      <c r="F489" s="64">
        <f ca="1">IF(SUM(F486:F488)=0,"",SUM(F486:F488))</f>
        <v>0.3916</v>
      </c>
      <c r="G489" s="65">
        <f ca="1">IF(SUM(G486:G488)=0,"",ROUND(SUM(G486:G488),0))</f>
        <v>40552</v>
      </c>
    </row>
    <row r="490" spans="1:7">
      <c r="A490" s="57"/>
      <c r="B490" s="35"/>
      <c r="C490" s="35"/>
      <c r="D490" s="35"/>
      <c r="E490" s="499"/>
      <c r="F490" s="499"/>
      <c r="G490" s="66"/>
    </row>
    <row r="491" spans="1:7">
      <c r="A491" s="466" t="s">
        <v>84</v>
      </c>
      <c r="B491" s="467"/>
      <c r="C491" s="467"/>
      <c r="D491" s="467"/>
      <c r="E491" s="467"/>
      <c r="F491" s="467"/>
      <c r="G491" s="67">
        <f ca="1">+IFERROR(ROUND(G481+G489,0),"")</f>
        <v>144107</v>
      </c>
    </row>
    <row r="492" spans="1:7">
      <c r="A492" s="20"/>
      <c r="B492" s="20"/>
      <c r="C492" s="20"/>
      <c r="D492" s="20"/>
      <c r="E492" s="19"/>
      <c r="F492" s="19"/>
      <c r="G492" s="21"/>
    </row>
    <row r="493" spans="1:7">
      <c r="A493" s="20"/>
      <c r="B493" s="184"/>
      <c r="C493" s="19"/>
      <c r="D493" s="19"/>
      <c r="E493" s="19"/>
      <c r="F493" s="19"/>
      <c r="G493" s="19"/>
    </row>
    <row r="494" spans="1:7">
      <c r="A494" s="20"/>
      <c r="B494" s="184" t="s">
        <v>781</v>
      </c>
      <c r="C494" s="19"/>
      <c r="D494" s="19"/>
      <c r="E494" s="19"/>
      <c r="F494" s="19"/>
      <c r="G494" s="19"/>
    </row>
    <row r="495" spans="1:7">
      <c r="A495" s="20"/>
      <c r="B495" s="184"/>
      <c r="C495" s="19"/>
      <c r="D495" s="68"/>
      <c r="E495" s="68"/>
      <c r="F495" s="68"/>
      <c r="G495" s="19"/>
    </row>
    <row r="496" spans="1:7">
      <c r="A496" s="20"/>
      <c r="B496" s="184"/>
      <c r="C496" s="21"/>
      <c r="D496" s="538" t="s">
        <v>85</v>
      </c>
      <c r="E496" s="538"/>
      <c r="F496" s="538"/>
      <c r="G496" s="21"/>
    </row>
    <row r="498" spans="1:7" ht="18.75">
      <c r="A498" s="480" t="str">
        <f>'DATOS INICIALES'!$B$1</f>
        <v>DEPARTAMENTO DE ANTIOQUIA</v>
      </c>
      <c r="B498" s="481"/>
      <c r="C498" s="481"/>
      <c r="D498" s="481"/>
      <c r="E498" s="481"/>
      <c r="F498" s="482" t="s">
        <v>52</v>
      </c>
      <c r="G498" s="482"/>
    </row>
    <row r="499" spans="1:7" ht="15.75">
      <c r="A499" s="483" t="str">
        <f>'DATOS INICIALES'!$B$2</f>
        <v>MUNICIPIO DE DABEIBA</v>
      </c>
      <c r="B499" s="484"/>
      <c r="C499" s="484"/>
      <c r="D499" s="484"/>
      <c r="E499" s="484"/>
      <c r="F499" s="482"/>
      <c r="G499" s="482"/>
    </row>
    <row r="500" spans="1:7">
      <c r="A500" s="485" t="str">
        <f>'DATOS INICIALES'!$B$3</f>
        <v xml:space="preserve">AMPLIACIÓN DEL SISTEMA DE ALCANTARILLADO EN SECTOR DEL BARRIO PABLO VI  DEL MUNICIPIO DE DABEIBA ANTIOQUIA </v>
      </c>
      <c r="B500" s="486"/>
      <c r="C500" s="486"/>
      <c r="D500" s="486"/>
      <c r="E500" s="486"/>
      <c r="F500" s="482"/>
      <c r="G500" s="482"/>
    </row>
    <row r="501" spans="1:7">
      <c r="A501" s="487"/>
      <c r="B501" s="487"/>
      <c r="C501" s="487"/>
      <c r="D501" s="487"/>
      <c r="E501" s="488"/>
      <c r="F501" s="482"/>
      <c r="G501" s="482"/>
    </row>
    <row r="502" spans="1:7">
      <c r="A502" s="489" t="s">
        <v>53</v>
      </c>
      <c r="B502" s="490"/>
      <c r="C502" s="490"/>
      <c r="D502" s="490"/>
      <c r="E502" s="490"/>
      <c r="F502" s="482"/>
      <c r="G502" s="482"/>
    </row>
    <row r="503" spans="1:7">
      <c r="A503" s="487"/>
      <c r="B503" s="487"/>
      <c r="C503" s="487"/>
      <c r="D503" s="487"/>
      <c r="E503" s="487"/>
      <c r="F503" s="491"/>
      <c r="G503" s="491"/>
    </row>
    <row r="504" spans="1:7">
      <c r="A504" s="22" t="s">
        <v>45</v>
      </c>
      <c r="B504" s="468" t="s">
        <v>46</v>
      </c>
      <c r="C504" s="469"/>
      <c r="D504" s="470"/>
      <c r="E504" s="23" t="s">
        <v>47</v>
      </c>
      <c r="F504" s="24" t="s">
        <v>48</v>
      </c>
      <c r="G504" s="24" t="s">
        <v>54</v>
      </c>
    </row>
    <row r="505" spans="1:7">
      <c r="A505" s="25" t="s">
        <v>167</v>
      </c>
      <c r="B505" s="471" t="str">
        <f>+IFERROR(VLOOKUP($A505,INSUMOSMATERIALES,2,0),"")</f>
        <v>MORTERO 1:3 EN OBRA (GROUT)</v>
      </c>
      <c r="C505" s="472"/>
      <c r="D505" s="473"/>
      <c r="E505" s="82" t="str">
        <f>+IFERROR(VLOOKUP($A505,INSUMOSMATERIALES,3,0),"")</f>
        <v>M3</v>
      </c>
      <c r="F505" s="82" t="s">
        <v>456</v>
      </c>
      <c r="G505" s="153">
        <f ca="1">IF(G553=0,"",G543)</f>
        <v>103555</v>
      </c>
    </row>
    <row r="506" spans="1:7">
      <c r="A506" s="20"/>
      <c r="B506" s="20"/>
      <c r="C506" s="20"/>
      <c r="D506" s="20"/>
      <c r="E506" s="19"/>
      <c r="F506" s="19"/>
      <c r="G506" s="21"/>
    </row>
    <row r="507" spans="1:7">
      <c r="A507" s="464" t="s">
        <v>55</v>
      </c>
      <c r="B507" s="464"/>
      <c r="C507" s="464"/>
      <c r="D507" s="464"/>
      <c r="E507" s="464"/>
      <c r="F507" s="464"/>
      <c r="G507" s="464"/>
    </row>
    <row r="508" spans="1:7">
      <c r="A508" s="119"/>
      <c r="B508" s="119"/>
      <c r="C508" s="119"/>
      <c r="D508" s="119"/>
      <c r="E508" s="119"/>
      <c r="F508" s="119"/>
      <c r="G508" s="119"/>
    </row>
    <row r="509" spans="1:7">
      <c r="A509" s="474" t="s">
        <v>56</v>
      </c>
      <c r="B509" s="474"/>
      <c r="C509" s="474"/>
      <c r="D509" s="474"/>
      <c r="E509" s="474"/>
      <c r="F509" s="474"/>
      <c r="G509" s="475"/>
    </row>
    <row r="510" spans="1:7">
      <c r="A510" s="120" t="s">
        <v>57</v>
      </c>
      <c r="B510" s="476" t="s">
        <v>46</v>
      </c>
      <c r="C510" s="477"/>
      <c r="D510" s="120" t="s">
        <v>47</v>
      </c>
      <c r="E510" s="120" t="s">
        <v>58</v>
      </c>
      <c r="F510" s="120" t="s">
        <v>59</v>
      </c>
      <c r="G510" s="120" t="s">
        <v>60</v>
      </c>
    </row>
    <row r="511" spans="1:7">
      <c r="A511" s="26" t="str">
        <f>IF(B511="","",INDEX(CODIGOEQUIPOS,MATCH($B511,'INSUMOS EQUIPOS'!$B$7:$B$39,0)))</f>
        <v>EQ004</v>
      </c>
      <c r="B511" s="621" t="s">
        <v>95</v>
      </c>
      <c r="C511" s="622"/>
      <c r="D511" s="27" t="str">
        <f>IF(B511="","",(VLOOKUP($A511,INSUMOSEQUIPOS,3,0)))</f>
        <v>DÍA</v>
      </c>
      <c r="E511" s="28">
        <f>IF(B511="","",(VLOOKUP($A511,INSUMOSEQUIPOS,4,0)))</f>
        <v>62000</v>
      </c>
      <c r="F511" s="29">
        <v>8</v>
      </c>
      <c r="G511" s="30">
        <f>+IFERROR(E511/F511,"")</f>
        <v>7750</v>
      </c>
    </row>
    <row r="512" spans="1:7">
      <c r="A512" s="31" t="str">
        <f>+IF(G534="","","EQ001")</f>
        <v>EQ001</v>
      </c>
      <c r="B512" s="502" t="str">
        <f>+IF($A512="","",IFERROR(VLOOKUP($A512,INSUMOSEQUIPOS,2,0),""))</f>
        <v>HERRAMIENTA MENOR (10% DE LA MANO DE OBRA)</v>
      </c>
      <c r="C512" s="503"/>
      <c r="D512" s="27" t="str">
        <f>+IF($A512="","",IFERROR(VLOOKUP($A512,INSUMOSEQUIPOS,3,0),""))</f>
        <v>%</v>
      </c>
      <c r="E512" s="32">
        <f>+IF($A512="","",IFERROR(VLOOKUP($A512,INSUMOSEQUIPOS,4,0),""))</f>
        <v>0.1</v>
      </c>
      <c r="F512" s="33">
        <f>+IF(G534=0,"",G534)</f>
        <v>47111.125</v>
      </c>
      <c r="G512" s="30">
        <f>+IFERROR(E512*F512,"")</f>
        <v>4711.1125000000002</v>
      </c>
    </row>
    <row r="513" spans="1:7">
      <c r="A513" s="34"/>
      <c r="B513" s="35"/>
      <c r="C513" s="119"/>
      <c r="D513" s="119"/>
      <c r="E513" s="36"/>
      <c r="F513" s="37" t="s">
        <v>62</v>
      </c>
      <c r="G513" s="38">
        <f>+IF(SUM(G511:G512)=0,"",SUM(G511:G512))</f>
        <v>12461.112499999999</v>
      </c>
    </row>
    <row r="514" spans="1:7">
      <c r="A514" s="35"/>
      <c r="B514" s="119"/>
      <c r="C514" s="119"/>
      <c r="D514" s="36"/>
      <c r="E514" s="39"/>
      <c r="F514" s="40"/>
      <c r="G514" s="34"/>
    </row>
    <row r="515" spans="1:7">
      <c r="A515" s="464" t="s">
        <v>63</v>
      </c>
      <c r="B515" s="464"/>
      <c r="C515" s="464"/>
      <c r="D515" s="464"/>
      <c r="E515" s="464"/>
      <c r="F515" s="464"/>
      <c r="G515" s="465"/>
    </row>
    <row r="516" spans="1:7">
      <c r="A516" s="120" t="s">
        <v>57</v>
      </c>
      <c r="B516" s="41" t="s">
        <v>46</v>
      </c>
      <c r="C516" s="42" t="s">
        <v>47</v>
      </c>
      <c r="D516" s="42" t="s">
        <v>48</v>
      </c>
      <c r="E516" s="42" t="s">
        <v>64</v>
      </c>
      <c r="F516" s="42" t="s">
        <v>65</v>
      </c>
      <c r="G516" s="42" t="s">
        <v>60</v>
      </c>
    </row>
    <row r="517" spans="1:7" ht="22.5">
      <c r="A517" s="26" t="e">
        <f>IF(B517="","",INDEX(CODIGOMATERIALES,MATCH($B517,'INSUMOS MATERIALES'!$B$7:$B$54,0)))</f>
        <v>#N/A</v>
      </c>
      <c r="B517" s="43" t="s">
        <v>190</v>
      </c>
      <c r="C517" s="44" t="e">
        <f>IF(B517="","",(VLOOKUP($A517,INSUMOSMATERIALES,3,0)))</f>
        <v>#N/A</v>
      </c>
      <c r="D517" s="45">
        <v>9.08</v>
      </c>
      <c r="E517" s="46">
        <v>0.05</v>
      </c>
      <c r="F517" s="47" t="e">
        <f>IF(B517="","",(VLOOKUP($A517,INSUMOSMATERIALES,4,0)))</f>
        <v>#N/A</v>
      </c>
      <c r="G517" s="30" t="str">
        <f>+IFERROR(F517*D517*(1+E517),"")</f>
        <v/>
      </c>
    </row>
    <row r="518" spans="1:7">
      <c r="A518" s="26" t="e">
        <f>IF(B518="","",INDEX(CODIGOMATERIALES,MATCH($B518,'INSUMOS MATERIALES'!$B$7:$B$54,0)))</f>
        <v>#N/A</v>
      </c>
      <c r="B518" s="43" t="s">
        <v>196</v>
      </c>
      <c r="C518" s="44" t="e">
        <f>IF(B518="","",(VLOOKUP($A518,INSUMOSMATERIALES,3,0)))</f>
        <v>#N/A</v>
      </c>
      <c r="D518" s="45">
        <v>1.0900000000000001</v>
      </c>
      <c r="E518" s="46">
        <v>0.05</v>
      </c>
      <c r="F518" s="47" t="e">
        <f>IF(B518="","",(VLOOKUP($A518,INSUMOSMATERIALES,4,0)))</f>
        <v>#N/A</v>
      </c>
      <c r="G518" s="30" t="str">
        <f>+IFERROR(F518*D518*(1+E518),"")</f>
        <v/>
      </c>
    </row>
    <row r="519" spans="1:7">
      <c r="A519" s="26" t="e">
        <f>IF(B519="","",INDEX(CODIGOMATERIALES,MATCH($B519,'INSUMOS MATERIALES'!$B$7:$B$54,0)))</f>
        <v>#N/A</v>
      </c>
      <c r="B519" s="43" t="s">
        <v>199</v>
      </c>
      <c r="C519" s="44" t="e">
        <f>IF(B519="","",(VLOOKUP($A519,INSUMOSMATERIALES,3,0)))</f>
        <v>#N/A</v>
      </c>
      <c r="D519" s="45">
        <v>185</v>
      </c>
      <c r="E519" s="46">
        <v>0.1</v>
      </c>
      <c r="F519" s="47" t="e">
        <f>IF(B519="","",(VLOOKUP($A519,INSUMOSMATERIALES,4,0)))</f>
        <v>#N/A</v>
      </c>
      <c r="G519" s="30" t="str">
        <f>+IFERROR(F519*D519*(1+E519),"")</f>
        <v/>
      </c>
    </row>
    <row r="520" spans="1:7">
      <c r="A520" s="34"/>
      <c r="B520" s="48"/>
      <c r="C520" s="119"/>
      <c r="D520" s="119"/>
      <c r="E520" s="36"/>
      <c r="F520" s="37" t="s">
        <v>62</v>
      </c>
      <c r="G520" s="38" t="str">
        <f>+IF(SUM(G517:G519)=0,"",SUM(G517:G519))</f>
        <v/>
      </c>
    </row>
    <row r="521" spans="1:7">
      <c r="A521" s="35"/>
      <c r="B521" s="119"/>
      <c r="C521" s="119"/>
      <c r="D521" s="36"/>
      <c r="E521" s="49"/>
      <c r="F521" s="40"/>
      <c r="G521" s="34"/>
    </row>
    <row r="522" spans="1:7">
      <c r="A522" s="464" t="s">
        <v>66</v>
      </c>
      <c r="B522" s="464"/>
      <c r="C522" s="464"/>
      <c r="D522" s="464"/>
      <c r="E522" s="464"/>
      <c r="F522" s="464"/>
      <c r="G522" s="464"/>
    </row>
    <row r="523" spans="1:7">
      <c r="A523" s="120" t="s">
        <v>57</v>
      </c>
      <c r="B523" s="120" t="s">
        <v>46</v>
      </c>
      <c r="C523" s="120" t="s">
        <v>67</v>
      </c>
      <c r="D523" s="120" t="s">
        <v>68</v>
      </c>
      <c r="E523" s="42" t="s">
        <v>69</v>
      </c>
      <c r="F523" s="42" t="s">
        <v>58</v>
      </c>
      <c r="G523" s="42" t="s">
        <v>60</v>
      </c>
    </row>
    <row r="524" spans="1:7" ht="39.6" customHeight="1">
      <c r="A524" s="26" t="str">
        <f>IF(B524="","",INDEX(CODIGOTRANSPORTES,MATCH(B524,'INSUMOS TRANSPORTES'!$B$7:$B$13,0)))</f>
        <v>TR002</v>
      </c>
      <c r="B524" s="43" t="s">
        <v>842</v>
      </c>
      <c r="C524" s="50" t="s">
        <v>457</v>
      </c>
      <c r="D524" s="45">
        <f>(D518)*1.05</f>
        <v>1.1445000000000001</v>
      </c>
      <c r="E524" s="51">
        <f>+IF(C524=0,"",IF(C524="INSUMOS",'DATOS INICIALES'!$B$24,IF(C524="PLAYA",'DATOS INICIALES'!$B$21,IF(C524="TIERRA",'DATOS INICIALES'!$B$19,IF(C524="ESCOMBROS",'DATOS INICIALES'!$B$20,IF(C524="ASFALTO",'DATOS INICIALES'!$B$25,IF(C524="GRANULAR",'DATOS INICIALES'!B542)))))))</f>
        <v>10</v>
      </c>
      <c r="F524" s="28">
        <f>+IF(B524="","",(VLOOKUP($A524,INSUMOSTRANSPORTES,4,0)))</f>
        <v>3000</v>
      </c>
      <c r="G524" s="30">
        <f>+IFERROR(D524*E524*F524,"")</f>
        <v>34335</v>
      </c>
    </row>
    <row r="525" spans="1:7" ht="22.5">
      <c r="A525" s="26" t="str">
        <f>IF(B525="","",INDEX(CODIGOTRANSPORTES,MATCH(B525,'INSUMOS TRANSPORTES'!$B$7:$B$26,0)))</f>
        <v>TR007</v>
      </c>
      <c r="B525" s="43" t="s">
        <v>459</v>
      </c>
      <c r="C525" s="50" t="s">
        <v>458</v>
      </c>
      <c r="D525" s="45">
        <f>(50*D517)/1000</f>
        <v>0.45400000000000001</v>
      </c>
      <c r="E525" s="51">
        <f>+IF(C525=0,"",IF(C525="INSUMOS",'DATOS INICIALES'!$B$24,IF(C525="PLAYA",'DATOS INICIALES'!$B$21,IF(C525="TIERRA",'DATOS INICIALES'!$B$19,IF(C525="ESCOMBROS",'DATOS INICIALES'!$B$20,IF(C525="ASFALTO",'DATOS INICIALES'!$B$25,IF(C525="GRANULAR",'DATOS INICIALES'!B543)))))))</f>
        <v>5</v>
      </c>
      <c r="F525" s="28">
        <f>+IF(B525="","",(VLOOKUP($A525,INSUMOSTRANSPORTES,4,0)))</f>
        <v>4250</v>
      </c>
      <c r="G525" s="30">
        <f>+IFERROR(D525*E525*F525,"")</f>
        <v>9647.5</v>
      </c>
    </row>
    <row r="526" spans="1:7">
      <c r="A526" s="34"/>
      <c r="B526" s="52"/>
      <c r="C526" s="119"/>
      <c r="D526" s="119"/>
      <c r="E526" s="36"/>
      <c r="F526" s="37" t="s">
        <v>62</v>
      </c>
      <c r="G526" s="38">
        <f>+IF(SUM(G524:G525)=0,"",SUM(G524:G525))</f>
        <v>43982.5</v>
      </c>
    </row>
    <row r="527" spans="1:7">
      <c r="A527" s="119"/>
      <c r="B527" s="119"/>
      <c r="C527" s="119"/>
      <c r="D527" s="36"/>
      <c r="E527" s="49"/>
      <c r="F527" s="40"/>
      <c r="G527" s="34"/>
    </row>
    <row r="528" spans="1:7">
      <c r="A528" s="464" t="s">
        <v>70</v>
      </c>
      <c r="B528" s="464"/>
      <c r="C528" s="464"/>
      <c r="D528" s="464"/>
      <c r="E528" s="464"/>
      <c r="F528" s="464"/>
      <c r="G528" s="465"/>
    </row>
    <row r="529" spans="1:7">
      <c r="A529" s="120" t="s">
        <v>57</v>
      </c>
      <c r="B529" s="500" t="s">
        <v>71</v>
      </c>
      <c r="C529" s="500"/>
      <c r="D529" s="42" t="s">
        <v>48</v>
      </c>
      <c r="E529" s="42" t="s">
        <v>72</v>
      </c>
      <c r="F529" s="42" t="s">
        <v>59</v>
      </c>
      <c r="G529" s="42" t="s">
        <v>60</v>
      </c>
    </row>
    <row r="530" spans="1:7">
      <c r="A530" s="26" t="str">
        <f>IF(B530="","",INDEX(CODIGOSMANODEOBRA,MATCH($B530,'INSUMOS MANO DE OBRA'!$B$7:$B$61,0)))</f>
        <v>MO033</v>
      </c>
      <c r="B530" s="619" t="s">
        <v>357</v>
      </c>
      <c r="C530" s="620"/>
      <c r="D530" s="53">
        <v>1</v>
      </c>
      <c r="E530" s="47">
        <f>IF(B530="","",(VLOOKUP($A530,INSUMOSMANODEOBRA,8,0)))</f>
        <v>104675</v>
      </c>
      <c r="F530" s="45">
        <v>8</v>
      </c>
      <c r="G530" s="54">
        <f>+IFERROR(D530*E530/F530,"")</f>
        <v>13084.375</v>
      </c>
    </row>
    <row r="531" spans="1:7">
      <c r="A531" s="26" t="str">
        <f>IF(B531="","",INDEX(CODIGOSMANODEOBRA,MATCH($B531,'INSUMOS MANO DE OBRA'!$B$7:$B$61,0)))</f>
        <v>MO032</v>
      </c>
      <c r="B531" s="619" t="s">
        <v>356</v>
      </c>
      <c r="C531" s="620"/>
      <c r="D531" s="53">
        <v>3</v>
      </c>
      <c r="E531" s="47">
        <f>IF(B531="","",(VLOOKUP($A531,INSUMOSMANODEOBRA,8,0)))</f>
        <v>90738</v>
      </c>
      <c r="F531" s="45">
        <v>8</v>
      </c>
      <c r="G531" s="54">
        <f>+IFERROR(D531*E531/F531,"")</f>
        <v>34026.75</v>
      </c>
    </row>
    <row r="532" spans="1:7">
      <c r="A532" s="26"/>
      <c r="B532" s="619"/>
      <c r="C532" s="620"/>
      <c r="D532" s="53"/>
      <c r="E532" s="47"/>
      <c r="F532" s="55"/>
      <c r="G532" s="54" t="str">
        <f>+IFERROR(D532*E532/F532,"")</f>
        <v/>
      </c>
    </row>
    <row r="533" spans="1:7">
      <c r="A533" s="26" t="s">
        <v>52</v>
      </c>
      <c r="B533" s="619"/>
      <c r="C533" s="620"/>
      <c r="D533" s="53"/>
      <c r="E533" s="47" t="s">
        <v>52</v>
      </c>
      <c r="F533" s="55" t="str">
        <f>+IF(A533="","",IF(A533=0,"",IF(F532="","",F532)))</f>
        <v/>
      </c>
      <c r="G533" s="54" t="str">
        <f>+IFERROR(D533*E533/F533,"")</f>
        <v/>
      </c>
    </row>
    <row r="534" spans="1:7">
      <c r="A534" s="34"/>
      <c r="B534" s="35"/>
      <c r="C534" s="119"/>
      <c r="D534" s="119"/>
      <c r="E534" s="36"/>
      <c r="F534" s="37" t="s">
        <v>62</v>
      </c>
      <c r="G534" s="38">
        <f>+IF(SUM(G530:G533)=0,"",SUM(G530:G533))</f>
        <v>47111.125</v>
      </c>
    </row>
    <row r="535" spans="1:7">
      <c r="A535" s="121"/>
      <c r="B535" s="119"/>
      <c r="C535" s="56"/>
      <c r="D535" s="56"/>
      <c r="E535" s="56"/>
      <c r="F535" s="40"/>
      <c r="G535" s="57"/>
    </row>
    <row r="536" spans="1:7">
      <c r="A536" s="464" t="s">
        <v>76</v>
      </c>
      <c r="B536" s="464"/>
      <c r="C536" s="464"/>
      <c r="D536" s="464"/>
      <c r="E536" s="464"/>
      <c r="F536" s="464"/>
      <c r="G536" s="465"/>
    </row>
    <row r="537" spans="1:7">
      <c r="A537" s="120" t="s">
        <v>57</v>
      </c>
      <c r="B537" s="500" t="s">
        <v>46</v>
      </c>
      <c r="C537" s="500"/>
      <c r="D537" s="120" t="s">
        <v>47</v>
      </c>
      <c r="E537" s="120" t="s">
        <v>48</v>
      </c>
      <c r="F537" s="120" t="s">
        <v>65</v>
      </c>
      <c r="G537" s="120" t="s">
        <v>60</v>
      </c>
    </row>
    <row r="538" spans="1:7">
      <c r="A538" s="26" t="str">
        <f>IF(B538="","",INDEX(CODIGOSSERVICIOS,MATCH($B538,'INSUMOS SERVICIOS'!$B$7:$B$21,0)))</f>
        <v/>
      </c>
      <c r="B538" s="619"/>
      <c r="C538" s="620"/>
      <c r="D538" s="44" t="str">
        <f>+IF(B538="","",(VLOOKUP($A538,INSUMOSSERVICIOS,3,0)))</f>
        <v/>
      </c>
      <c r="E538" s="58"/>
      <c r="F538" s="47" t="str">
        <f>IF(B538="","",(VLOOKUP($A538,INSUMOSSERVICIOS,4,0)))</f>
        <v/>
      </c>
      <c r="G538" s="30" t="str">
        <f>+IFERROR(E538*F538,"")</f>
        <v/>
      </c>
    </row>
    <row r="539" spans="1:7">
      <c r="A539" s="26" t="str">
        <f>IF(B539="","",INDEX(CODIGOSSERVICIOS,MATCH($B539,'INSUMOS SERVICIOS'!$B$7:$B$21,0)))</f>
        <v/>
      </c>
      <c r="B539" s="619"/>
      <c r="C539" s="620"/>
      <c r="D539" s="44" t="str">
        <f>+IF(B539="","",(VLOOKUP($A539,INSUMOSSERVICIOS,3,0)))</f>
        <v/>
      </c>
      <c r="E539" s="58"/>
      <c r="F539" s="47" t="str">
        <f>IF(B539="","",(VLOOKUP($A539,INSUMOSSERVICIOS,4,0)))</f>
        <v/>
      </c>
      <c r="G539" s="30" t="str">
        <f>+IFERROR(E539*F539,"")</f>
        <v/>
      </c>
    </row>
    <row r="540" spans="1:7">
      <c r="A540" s="26" t="s">
        <v>52</v>
      </c>
      <c r="B540" s="619"/>
      <c r="C540" s="620"/>
      <c r="D540" s="44" t="str">
        <f>+IF(B540="","",(VLOOKUP($A540,INSUMOS_SERVICIOS,3,0)))</f>
        <v/>
      </c>
      <c r="E540" s="58"/>
      <c r="F540" s="47" t="str">
        <f>IF(B540="","",(VLOOKUP($A540,INSUMOS_SERVICIOS,4,0)))</f>
        <v/>
      </c>
      <c r="G540" s="30" t="str">
        <f>+IFERROR(E540*F540,"")</f>
        <v/>
      </c>
    </row>
    <row r="541" spans="1:7">
      <c r="A541" s="34"/>
      <c r="B541" s="35"/>
      <c r="C541" s="119"/>
      <c r="D541" s="119"/>
      <c r="E541" s="36"/>
      <c r="F541" s="59" t="s">
        <v>62</v>
      </c>
      <c r="G541" s="38" t="str">
        <f>+IF(SUM(G538:G540)=0,"",SUM(G538:G540))</f>
        <v/>
      </c>
    </row>
    <row r="542" spans="1:7">
      <c r="A542" s="121"/>
      <c r="B542" s="119"/>
      <c r="C542" s="56"/>
      <c r="D542" s="56"/>
      <c r="E542" s="56"/>
      <c r="F542" s="40"/>
      <c r="G542" s="57"/>
    </row>
    <row r="543" spans="1:7">
      <c r="A543" s="494" t="s">
        <v>77</v>
      </c>
      <c r="B543" s="494"/>
      <c r="C543" s="494"/>
      <c r="D543" s="494"/>
      <c r="E543" s="494"/>
      <c r="F543" s="494"/>
      <c r="G543" s="60">
        <f>IF(SUM(G513,G520,G526,G534,G541)=0,"",(ROUND(SUM(G513,G520,G526,G534,G541),0)))</f>
        <v>103555</v>
      </c>
    </row>
    <row r="544" spans="1:7">
      <c r="A544" s="57"/>
      <c r="B544" s="49"/>
      <c r="C544" s="49"/>
      <c r="D544" s="49"/>
      <c r="E544" s="49"/>
      <c r="F544" s="49"/>
      <c r="G544" s="40"/>
    </row>
    <row r="545" spans="1:7">
      <c r="A545" s="464" t="s">
        <v>78</v>
      </c>
      <c r="B545" s="464"/>
      <c r="C545" s="464"/>
      <c r="D545" s="464"/>
      <c r="E545" s="464"/>
      <c r="F545" s="464"/>
      <c r="G545" s="464"/>
    </row>
    <row r="546" spans="1:7">
      <c r="A546" s="119"/>
      <c r="B546" s="119"/>
      <c r="C546" s="119"/>
      <c r="D546" s="119"/>
      <c r="E546" s="119"/>
      <c r="F546" s="119"/>
      <c r="G546" s="119"/>
    </row>
    <row r="547" spans="1:7">
      <c r="A547" s="495" t="s">
        <v>46</v>
      </c>
      <c r="B547" s="495"/>
      <c r="C547" s="495"/>
      <c r="D547" s="495"/>
      <c r="E547" s="495"/>
      <c r="F547" s="61" t="s">
        <v>79</v>
      </c>
      <c r="G547" s="61" t="s">
        <v>50</v>
      </c>
    </row>
    <row r="548" spans="1:7">
      <c r="A548" s="496" t="s">
        <v>80</v>
      </c>
      <c r="B548" s="496"/>
      <c r="C548" s="496"/>
      <c r="D548" s="496"/>
      <c r="E548" s="496"/>
      <c r="F548" s="62">
        <f ca="1">AIU!$I$46</f>
        <v>0.34160000000000001</v>
      </c>
      <c r="G548" s="63">
        <f ca="1">+IFERROR(G543*F548,"")</f>
        <v>35374.387999999999</v>
      </c>
    </row>
    <row r="549" spans="1:7">
      <c r="A549" s="496" t="s">
        <v>81</v>
      </c>
      <c r="B549" s="496"/>
      <c r="C549" s="496"/>
      <c r="D549" s="496"/>
      <c r="E549" s="496"/>
      <c r="F549" s="62" t="str">
        <f>IF(AIU!$I$47=0,"",AIU!$I$47)</f>
        <v/>
      </c>
      <c r="G549" s="63" t="str">
        <f>+IFERROR(G543*F549,"")</f>
        <v/>
      </c>
    </row>
    <row r="550" spans="1:7">
      <c r="A550" s="496" t="s">
        <v>82</v>
      </c>
      <c r="B550" s="496"/>
      <c r="C550" s="496"/>
      <c r="D550" s="496"/>
      <c r="E550" s="496"/>
      <c r="F550" s="62">
        <f>IF(AIU!$I$48=0,"",AIU!$I$48)</f>
        <v>0.05</v>
      </c>
      <c r="G550" s="63">
        <f>+IFERROR(G543*F550,"")</f>
        <v>5177.75</v>
      </c>
    </row>
    <row r="551" spans="1:7">
      <c r="A551" s="497" t="s">
        <v>83</v>
      </c>
      <c r="B551" s="498"/>
      <c r="C551" s="498"/>
      <c r="D551" s="498"/>
      <c r="E551" s="498"/>
      <c r="F551" s="64">
        <f ca="1">IF(SUM(F548:F550)=0,"",SUM(F548:F550))</f>
        <v>0.3916</v>
      </c>
      <c r="G551" s="65">
        <f ca="1">IF(SUM(G548:G550)=0,"",ROUND(SUM(G548:G550),0))</f>
        <v>40552</v>
      </c>
    </row>
    <row r="552" spans="1:7">
      <c r="A552" s="57"/>
      <c r="B552" s="35"/>
      <c r="C552" s="35"/>
      <c r="D552" s="35"/>
      <c r="E552" s="499"/>
      <c r="F552" s="499"/>
      <c r="G552" s="66"/>
    </row>
    <row r="553" spans="1:7">
      <c r="A553" s="466" t="s">
        <v>84</v>
      </c>
      <c r="B553" s="467"/>
      <c r="C553" s="467"/>
      <c r="D553" s="467"/>
      <c r="E553" s="467"/>
      <c r="F553" s="467"/>
      <c r="G553" s="67">
        <f ca="1">+IFERROR(ROUND(G543+G551,0),"")</f>
        <v>144107</v>
      </c>
    </row>
    <row r="554" spans="1:7">
      <c r="A554" s="20"/>
      <c r="B554" s="20"/>
      <c r="C554" s="20"/>
      <c r="D554" s="20"/>
      <c r="E554" s="19"/>
      <c r="F554" s="19"/>
      <c r="G554" s="21"/>
    </row>
    <row r="555" spans="1:7">
      <c r="A555" s="20"/>
      <c r="B555" s="184"/>
      <c r="C555" s="19"/>
      <c r="D555" s="19"/>
      <c r="E555" s="19"/>
      <c r="F555" s="19"/>
      <c r="G555" s="19"/>
    </row>
    <row r="556" spans="1:7">
      <c r="A556" s="20"/>
      <c r="B556" s="184" t="s">
        <v>781</v>
      </c>
      <c r="C556" s="19"/>
      <c r="D556" s="19"/>
      <c r="E556" s="19"/>
      <c r="F556" s="19"/>
      <c r="G556" s="19"/>
    </row>
    <row r="557" spans="1:7">
      <c r="A557" s="20"/>
      <c r="B557" s="184"/>
      <c r="C557" s="19"/>
      <c r="D557" s="68"/>
      <c r="E557" s="68"/>
      <c r="F557" s="68"/>
      <c r="G557" s="19"/>
    </row>
    <row r="558" spans="1:7">
      <c r="A558" s="20"/>
      <c r="B558" s="184"/>
      <c r="C558" s="21"/>
      <c r="D558" s="538" t="s">
        <v>85</v>
      </c>
      <c r="E558" s="538"/>
      <c r="F558" s="538"/>
      <c r="G558" s="21"/>
    </row>
    <row r="560" spans="1:7" ht="18.75">
      <c r="A560" s="480" t="str">
        <f>'DATOS INICIALES'!$B$1</f>
        <v>DEPARTAMENTO DE ANTIOQUIA</v>
      </c>
      <c r="B560" s="481"/>
      <c r="C560" s="481"/>
      <c r="D560" s="481"/>
      <c r="E560" s="481"/>
      <c r="F560" s="482" t="s">
        <v>52</v>
      </c>
      <c r="G560" s="482"/>
    </row>
    <row r="561" spans="1:7" ht="15.75">
      <c r="A561" s="483" t="str">
        <f>'DATOS INICIALES'!$B$2</f>
        <v>MUNICIPIO DE DABEIBA</v>
      </c>
      <c r="B561" s="484"/>
      <c r="C561" s="484"/>
      <c r="D561" s="484"/>
      <c r="E561" s="484"/>
      <c r="F561" s="482"/>
      <c r="G561" s="482"/>
    </row>
    <row r="562" spans="1:7">
      <c r="A562" s="485" t="str">
        <f>'DATOS INICIALES'!$B$3</f>
        <v xml:space="preserve">AMPLIACIÓN DEL SISTEMA DE ALCANTARILLADO EN SECTOR DEL BARRIO PABLO VI  DEL MUNICIPIO DE DABEIBA ANTIOQUIA </v>
      </c>
      <c r="B562" s="486"/>
      <c r="C562" s="486"/>
      <c r="D562" s="486"/>
      <c r="E562" s="486"/>
      <c r="F562" s="482"/>
      <c r="G562" s="482"/>
    </row>
    <row r="563" spans="1:7">
      <c r="A563" s="487"/>
      <c r="B563" s="487"/>
      <c r="C563" s="487"/>
      <c r="D563" s="487"/>
      <c r="E563" s="488"/>
      <c r="F563" s="482"/>
      <c r="G563" s="482"/>
    </row>
    <row r="564" spans="1:7">
      <c r="A564" s="489" t="s">
        <v>53</v>
      </c>
      <c r="B564" s="490"/>
      <c r="C564" s="490"/>
      <c r="D564" s="490"/>
      <c r="E564" s="490"/>
      <c r="F564" s="482"/>
      <c r="G564" s="482"/>
    </row>
    <row r="565" spans="1:7">
      <c r="A565" s="487"/>
      <c r="B565" s="487"/>
      <c r="C565" s="487"/>
      <c r="D565" s="487"/>
      <c r="E565" s="487"/>
      <c r="F565" s="491"/>
      <c r="G565" s="491"/>
    </row>
    <row r="566" spans="1:7">
      <c r="A566" s="22" t="s">
        <v>45</v>
      </c>
      <c r="B566" s="468" t="s">
        <v>46</v>
      </c>
      <c r="C566" s="469"/>
      <c r="D566" s="470"/>
      <c r="E566" s="23" t="s">
        <v>47</v>
      </c>
      <c r="F566" s="24" t="s">
        <v>48</v>
      </c>
      <c r="G566" s="24" t="s">
        <v>54</v>
      </c>
    </row>
    <row r="567" spans="1:7">
      <c r="A567" s="25" t="s">
        <v>169</v>
      </c>
      <c r="B567" s="471" t="str">
        <f>+IFERROR(VLOOKUP($A567,INSUMOSMATERIALES,2,0),"")</f>
        <v>MORTERO 1:3 EN OBRA (PEGA)</v>
      </c>
      <c r="C567" s="472"/>
      <c r="D567" s="473"/>
      <c r="E567" s="82" t="str">
        <f>+IFERROR(VLOOKUP($A567,INSUMOSMATERIALES,3,0),"")</f>
        <v>M3</v>
      </c>
      <c r="F567" s="82" t="s">
        <v>456</v>
      </c>
      <c r="G567" s="153">
        <f ca="1">IF(G615=0,"",G605)</f>
        <v>103555</v>
      </c>
    </row>
    <row r="568" spans="1:7">
      <c r="A568" s="20"/>
      <c r="B568" s="20"/>
      <c r="C568" s="20"/>
      <c r="D568" s="20"/>
      <c r="E568" s="19"/>
      <c r="F568" s="19"/>
      <c r="G568" s="21"/>
    </row>
    <row r="569" spans="1:7">
      <c r="A569" s="464" t="s">
        <v>55</v>
      </c>
      <c r="B569" s="464"/>
      <c r="C569" s="464"/>
      <c r="D569" s="464"/>
      <c r="E569" s="464"/>
      <c r="F569" s="464"/>
      <c r="G569" s="464"/>
    </row>
    <row r="570" spans="1:7">
      <c r="A570" s="119"/>
      <c r="B570" s="119"/>
      <c r="C570" s="119"/>
      <c r="D570" s="119"/>
      <c r="E570" s="119"/>
      <c r="F570" s="119"/>
      <c r="G570" s="119"/>
    </row>
    <row r="571" spans="1:7">
      <c r="A571" s="474" t="s">
        <v>56</v>
      </c>
      <c r="B571" s="474"/>
      <c r="C571" s="474"/>
      <c r="D571" s="474"/>
      <c r="E571" s="474"/>
      <c r="F571" s="474"/>
      <c r="G571" s="475"/>
    </row>
    <row r="572" spans="1:7">
      <c r="A572" s="120" t="s">
        <v>57</v>
      </c>
      <c r="B572" s="476" t="s">
        <v>46</v>
      </c>
      <c r="C572" s="477"/>
      <c r="D572" s="120" t="s">
        <v>47</v>
      </c>
      <c r="E572" s="120" t="s">
        <v>58</v>
      </c>
      <c r="F572" s="120" t="s">
        <v>59</v>
      </c>
      <c r="G572" s="120" t="s">
        <v>60</v>
      </c>
    </row>
    <row r="573" spans="1:7">
      <c r="A573" s="26" t="str">
        <f>IF(B573="","",INDEX(CODIGOEQUIPOS,MATCH($B573,'INSUMOS EQUIPOS'!$B$7:$B$39,0)))</f>
        <v>EQ004</v>
      </c>
      <c r="B573" s="621" t="s">
        <v>95</v>
      </c>
      <c r="C573" s="622"/>
      <c r="D573" s="27" t="str">
        <f>IF(B573="","",(VLOOKUP($A573,INSUMOSEQUIPOS,3,0)))</f>
        <v>DÍA</v>
      </c>
      <c r="E573" s="28">
        <f>IF(B573="","",(VLOOKUP($A573,INSUMOSEQUIPOS,4,0)))</f>
        <v>62000</v>
      </c>
      <c r="F573" s="29">
        <v>8</v>
      </c>
      <c r="G573" s="30">
        <f>+IFERROR(E573/F573,"")</f>
        <v>7750</v>
      </c>
    </row>
    <row r="574" spans="1:7">
      <c r="A574" s="31" t="str">
        <f>+IF(G596="","","EQ001")</f>
        <v>EQ001</v>
      </c>
      <c r="B574" s="502" t="str">
        <f>+IF($A574="","",IFERROR(VLOOKUP($A574,INSUMOSEQUIPOS,2,0),""))</f>
        <v>HERRAMIENTA MENOR (10% DE LA MANO DE OBRA)</v>
      </c>
      <c r="C574" s="503"/>
      <c r="D574" s="27" t="str">
        <f>+IF($A574="","",IFERROR(VLOOKUP($A574,INSUMOSEQUIPOS,3,0),""))</f>
        <v>%</v>
      </c>
      <c r="E574" s="32">
        <f>+IF($A574="","",IFERROR(VLOOKUP($A574,INSUMOSEQUIPOS,4,0),""))</f>
        <v>0.1</v>
      </c>
      <c r="F574" s="33">
        <f>+IF(G596=0,"",G596)</f>
        <v>47111.125</v>
      </c>
      <c r="G574" s="30">
        <f>+IFERROR(E574*F574,"")</f>
        <v>4711.1125000000002</v>
      </c>
    </row>
    <row r="575" spans="1:7">
      <c r="A575" s="34"/>
      <c r="B575" s="35"/>
      <c r="C575" s="119"/>
      <c r="D575" s="119"/>
      <c r="E575" s="36"/>
      <c r="F575" s="37" t="s">
        <v>62</v>
      </c>
      <c r="G575" s="38">
        <f>+IF(SUM(G573:G574)=0,"",SUM(G573:G574))</f>
        <v>12461.112499999999</v>
      </c>
    </row>
    <row r="576" spans="1:7">
      <c r="A576" s="35"/>
      <c r="B576" s="119"/>
      <c r="C576" s="119"/>
      <c r="D576" s="36"/>
      <c r="E576" s="39"/>
      <c r="F576" s="40"/>
      <c r="G576" s="34"/>
    </row>
    <row r="577" spans="1:7">
      <c r="A577" s="464" t="s">
        <v>63</v>
      </c>
      <c r="B577" s="464"/>
      <c r="C577" s="464"/>
      <c r="D577" s="464"/>
      <c r="E577" s="464"/>
      <c r="F577" s="464"/>
      <c r="G577" s="465"/>
    </row>
    <row r="578" spans="1:7">
      <c r="A578" s="120" t="s">
        <v>57</v>
      </c>
      <c r="B578" s="41" t="s">
        <v>46</v>
      </c>
      <c r="C578" s="42" t="s">
        <v>47</v>
      </c>
      <c r="D578" s="42" t="s">
        <v>48</v>
      </c>
      <c r="E578" s="42" t="s">
        <v>64</v>
      </c>
      <c r="F578" s="42" t="s">
        <v>65</v>
      </c>
      <c r="G578" s="42" t="s">
        <v>60</v>
      </c>
    </row>
    <row r="579" spans="1:7" ht="22.5">
      <c r="A579" s="26" t="e">
        <f>IF(B579="","",INDEX(CODIGOMATERIALES,MATCH($B579,'INSUMOS MATERIALES'!$B$7:$B$54,0)))</f>
        <v>#N/A</v>
      </c>
      <c r="B579" s="43" t="s">
        <v>190</v>
      </c>
      <c r="C579" s="44" t="e">
        <f>IF(B579="","",(VLOOKUP($A579,INSUMOSMATERIALES,3,0)))</f>
        <v>#N/A</v>
      </c>
      <c r="D579" s="45">
        <v>9.08</v>
      </c>
      <c r="E579" s="46">
        <v>0.05</v>
      </c>
      <c r="F579" s="47" t="e">
        <f>IF(B579="","",(VLOOKUP($A579,INSUMOSMATERIALES,4,0)))</f>
        <v>#N/A</v>
      </c>
      <c r="G579" s="30" t="str">
        <f>+IFERROR(F579*D579*(1+E579),"")</f>
        <v/>
      </c>
    </row>
    <row r="580" spans="1:7">
      <c r="A580" s="26" t="e">
        <f>IF(B580="","",INDEX(CODIGOMATERIALES,MATCH($B580,'INSUMOS MATERIALES'!$B$7:$B$54,0)))</f>
        <v>#N/A</v>
      </c>
      <c r="B580" s="43" t="s">
        <v>192</v>
      </c>
      <c r="C580" s="44" t="e">
        <f>IF(B580="","",(VLOOKUP($A580,INSUMOSMATERIALES,3,0)))</f>
        <v>#N/A</v>
      </c>
      <c r="D580" s="45">
        <v>1.0900000000000001</v>
      </c>
      <c r="E580" s="46">
        <v>0.05</v>
      </c>
      <c r="F580" s="47" t="e">
        <f>IF(B580="","",(VLOOKUP($A580,INSUMOSMATERIALES,4,0)))</f>
        <v>#N/A</v>
      </c>
      <c r="G580" s="30" t="str">
        <f>+IFERROR(F580*D580*(1+E580),"")</f>
        <v/>
      </c>
    </row>
    <row r="581" spans="1:7">
      <c r="A581" s="26" t="e">
        <f>IF(B581="","",INDEX(CODIGOMATERIALES,MATCH($B581,'INSUMOS MATERIALES'!$B$7:$B$54,0)))</f>
        <v>#N/A</v>
      </c>
      <c r="B581" s="43" t="s">
        <v>199</v>
      </c>
      <c r="C581" s="44" t="e">
        <f>IF(B581="","",(VLOOKUP($A581,INSUMOSMATERIALES,3,0)))</f>
        <v>#N/A</v>
      </c>
      <c r="D581" s="45">
        <v>185</v>
      </c>
      <c r="E581" s="46">
        <v>0.1</v>
      </c>
      <c r="F581" s="47" t="e">
        <f>IF(B581="","",(VLOOKUP($A581,INSUMOSMATERIALES,4,0)))</f>
        <v>#N/A</v>
      </c>
      <c r="G581" s="30" t="str">
        <f>+IFERROR(F581*D581*(1+E581),"")</f>
        <v/>
      </c>
    </row>
    <row r="582" spans="1:7">
      <c r="A582" s="34"/>
      <c r="B582" s="48"/>
      <c r="C582" s="119"/>
      <c r="D582" s="119"/>
      <c r="E582" s="36"/>
      <c r="F582" s="37" t="s">
        <v>62</v>
      </c>
      <c r="G582" s="38" t="str">
        <f>+IF(SUM(G579:G581)=0,"",SUM(G579:G581))</f>
        <v/>
      </c>
    </row>
    <row r="583" spans="1:7">
      <c r="A583" s="35"/>
      <c r="B583" s="119"/>
      <c r="C583" s="119"/>
      <c r="D583" s="36"/>
      <c r="E583" s="49"/>
      <c r="F583" s="40"/>
      <c r="G583" s="34"/>
    </row>
    <row r="584" spans="1:7">
      <c r="A584" s="464" t="s">
        <v>66</v>
      </c>
      <c r="B584" s="464"/>
      <c r="C584" s="464"/>
      <c r="D584" s="464"/>
      <c r="E584" s="464"/>
      <c r="F584" s="464"/>
      <c r="G584" s="464"/>
    </row>
    <row r="585" spans="1:7">
      <c r="A585" s="120" t="s">
        <v>57</v>
      </c>
      <c r="B585" s="120" t="s">
        <v>46</v>
      </c>
      <c r="C585" s="120" t="s">
        <v>67</v>
      </c>
      <c r="D585" s="120" t="s">
        <v>68</v>
      </c>
      <c r="E585" s="42" t="s">
        <v>69</v>
      </c>
      <c r="F585" s="42" t="s">
        <v>58</v>
      </c>
      <c r="G585" s="42" t="s">
        <v>60</v>
      </c>
    </row>
    <row r="586" spans="1:7" ht="34.35" customHeight="1">
      <c r="A586" s="26" t="str">
        <f>IF(B586="","",INDEX(CODIGOTRANSPORTES,MATCH(B586,'INSUMOS TRANSPORTES'!$B$7:$B$13,0)))</f>
        <v>TR002</v>
      </c>
      <c r="B586" s="43" t="s">
        <v>842</v>
      </c>
      <c r="C586" s="50" t="s">
        <v>457</v>
      </c>
      <c r="D586" s="45">
        <f>(D580)*1.05</f>
        <v>1.1445000000000001</v>
      </c>
      <c r="E586" s="51">
        <f>+IF(C586=0,"",IF(C586="INSUMOS",'DATOS INICIALES'!$B$24,IF(C586="PLAYA",'DATOS INICIALES'!$B$21,IF(C586="TIERRA",'DATOS INICIALES'!$B$19,IF(C586="ESCOMBROS",'DATOS INICIALES'!$B$20,IF(C586="ASFALTO",'DATOS INICIALES'!$B$25,IF(C586="GRANULAR",'DATOS INICIALES'!B604)))))))</f>
        <v>10</v>
      </c>
      <c r="F586" s="28">
        <f>+IF(B586="","",(VLOOKUP($A586,INSUMOSTRANSPORTES,4,0)))</f>
        <v>3000</v>
      </c>
      <c r="G586" s="30">
        <f>+IFERROR(D586*E586*F586,"")</f>
        <v>34335</v>
      </c>
    </row>
    <row r="587" spans="1:7" ht="22.5">
      <c r="A587" s="26" t="str">
        <f>IF(B587="","",INDEX(CODIGOTRANSPORTES,MATCH(B587,'INSUMOS TRANSPORTES'!$B$7:$B$26,0)))</f>
        <v>TR007</v>
      </c>
      <c r="B587" s="43" t="s">
        <v>459</v>
      </c>
      <c r="C587" s="50" t="s">
        <v>458</v>
      </c>
      <c r="D587" s="45">
        <f>(50*D579)/1000</f>
        <v>0.45400000000000001</v>
      </c>
      <c r="E587" s="51">
        <f>+IF(C587=0,"",IF(C587="INSUMOS",'DATOS INICIALES'!$B$24,IF(C587="PLAYA",'DATOS INICIALES'!$B$21,IF(C587="TIERRA",'DATOS INICIALES'!$B$19,IF(C587="ESCOMBROS",'DATOS INICIALES'!$B$20,IF(C587="ASFALTO",'DATOS INICIALES'!$B$25,IF(C587="GRANULAR",'DATOS INICIALES'!B605)))))))</f>
        <v>5</v>
      </c>
      <c r="F587" s="28">
        <f>+IF(B587="","",(VLOOKUP($A587,INSUMOSTRANSPORTES,4,0)))</f>
        <v>4250</v>
      </c>
      <c r="G587" s="30">
        <f>+IFERROR(D587*E587*F587,"")</f>
        <v>9647.5</v>
      </c>
    </row>
    <row r="588" spans="1:7">
      <c r="A588" s="34"/>
      <c r="B588" s="52"/>
      <c r="C588" s="119"/>
      <c r="D588" s="119"/>
      <c r="E588" s="36"/>
      <c r="F588" s="37" t="s">
        <v>62</v>
      </c>
      <c r="G588" s="38">
        <f>+IF(SUM(G586:G587)=0,"",SUM(G586:G587))</f>
        <v>43982.5</v>
      </c>
    </row>
    <row r="589" spans="1:7">
      <c r="A589" s="119"/>
      <c r="B589" s="119"/>
      <c r="C589" s="119"/>
      <c r="D589" s="36"/>
      <c r="E589" s="49"/>
      <c r="F589" s="40"/>
      <c r="G589" s="34"/>
    </row>
    <row r="590" spans="1:7">
      <c r="A590" s="464" t="s">
        <v>70</v>
      </c>
      <c r="B590" s="464"/>
      <c r="C590" s="464"/>
      <c r="D590" s="464"/>
      <c r="E590" s="464"/>
      <c r="F590" s="464"/>
      <c r="G590" s="465"/>
    </row>
    <row r="591" spans="1:7">
      <c r="A591" s="120" t="s">
        <v>57</v>
      </c>
      <c r="B591" s="500" t="s">
        <v>71</v>
      </c>
      <c r="C591" s="500"/>
      <c r="D591" s="42" t="s">
        <v>48</v>
      </c>
      <c r="E591" s="42" t="s">
        <v>72</v>
      </c>
      <c r="F591" s="42" t="s">
        <v>59</v>
      </c>
      <c r="G591" s="42" t="s">
        <v>60</v>
      </c>
    </row>
    <row r="592" spans="1:7">
      <c r="A592" s="26" t="str">
        <f>IF(B592="","",INDEX(CODIGOSMANODEOBRA,MATCH($B592,'INSUMOS MANO DE OBRA'!$B$7:$B$61,0)))</f>
        <v>MO033</v>
      </c>
      <c r="B592" s="619" t="s">
        <v>357</v>
      </c>
      <c r="C592" s="620"/>
      <c r="D592" s="53">
        <v>1</v>
      </c>
      <c r="E592" s="47">
        <f>IF(B592="","",(VLOOKUP($A592,INSUMOSMANODEOBRA,8,0)))</f>
        <v>104675</v>
      </c>
      <c r="F592" s="45">
        <v>8</v>
      </c>
      <c r="G592" s="54">
        <f>+IFERROR(D592*E592/F592,"")</f>
        <v>13084.375</v>
      </c>
    </row>
    <row r="593" spans="1:7">
      <c r="A593" s="26" t="str">
        <f>IF(B593="","",INDEX(CODIGOSMANODEOBRA,MATCH($B593,'INSUMOS MANO DE OBRA'!$B$7:$B$61,0)))</f>
        <v>MO032</v>
      </c>
      <c r="B593" s="619" t="s">
        <v>356</v>
      </c>
      <c r="C593" s="620"/>
      <c r="D593" s="53">
        <v>3</v>
      </c>
      <c r="E593" s="47">
        <f>IF(B593="","",(VLOOKUP($A593,INSUMOSMANODEOBRA,8,0)))</f>
        <v>90738</v>
      </c>
      <c r="F593" s="45">
        <v>8</v>
      </c>
      <c r="G593" s="54">
        <f>+IFERROR(D593*E593/F593,"")</f>
        <v>34026.75</v>
      </c>
    </row>
    <row r="594" spans="1:7">
      <c r="A594" s="26"/>
      <c r="B594" s="619"/>
      <c r="C594" s="620"/>
      <c r="D594" s="53"/>
      <c r="E594" s="47"/>
      <c r="F594" s="55"/>
      <c r="G594" s="54" t="str">
        <f>+IFERROR(D594*E594/F594,"")</f>
        <v/>
      </c>
    </row>
    <row r="595" spans="1:7">
      <c r="A595" s="26" t="s">
        <v>52</v>
      </c>
      <c r="B595" s="619"/>
      <c r="C595" s="620"/>
      <c r="D595" s="53"/>
      <c r="E595" s="47" t="s">
        <v>52</v>
      </c>
      <c r="F595" s="55" t="str">
        <f>+IF(A595="","",IF(A595=0,"",IF(F594="","",F594)))</f>
        <v/>
      </c>
      <c r="G595" s="54" t="str">
        <f>+IFERROR(D595*E595/F595,"")</f>
        <v/>
      </c>
    </row>
    <row r="596" spans="1:7">
      <c r="A596" s="34"/>
      <c r="B596" s="35"/>
      <c r="C596" s="119"/>
      <c r="D596" s="119"/>
      <c r="E596" s="36"/>
      <c r="F596" s="37" t="s">
        <v>62</v>
      </c>
      <c r="G596" s="38">
        <f>+IF(SUM(G592:G595)=0,"",SUM(G592:G595))</f>
        <v>47111.125</v>
      </c>
    </row>
    <row r="597" spans="1:7">
      <c r="A597" s="121"/>
      <c r="B597" s="119"/>
      <c r="C597" s="56"/>
      <c r="D597" s="56"/>
      <c r="E597" s="56"/>
      <c r="F597" s="40"/>
      <c r="G597" s="57"/>
    </row>
    <row r="598" spans="1:7">
      <c r="A598" s="464" t="s">
        <v>76</v>
      </c>
      <c r="B598" s="464"/>
      <c r="C598" s="464"/>
      <c r="D598" s="464"/>
      <c r="E598" s="464"/>
      <c r="F598" s="464"/>
      <c r="G598" s="465"/>
    </row>
    <row r="599" spans="1:7">
      <c r="A599" s="120" t="s">
        <v>57</v>
      </c>
      <c r="B599" s="500" t="s">
        <v>46</v>
      </c>
      <c r="C599" s="500"/>
      <c r="D599" s="120" t="s">
        <v>47</v>
      </c>
      <c r="E599" s="120" t="s">
        <v>48</v>
      </c>
      <c r="F599" s="120" t="s">
        <v>65</v>
      </c>
      <c r="G599" s="120" t="s">
        <v>60</v>
      </c>
    </row>
    <row r="600" spans="1:7">
      <c r="A600" s="26" t="str">
        <f>IF(B600="","",INDEX(CODIGOSSERVICIOS,MATCH($B600,'INSUMOS SERVICIOS'!$B$7:$B$21,0)))</f>
        <v/>
      </c>
      <c r="B600" s="619"/>
      <c r="C600" s="620"/>
      <c r="D600" s="44" t="str">
        <f>+IF(B600="","",(VLOOKUP($A600,INSUMOSSERVICIOS,3,0)))</f>
        <v/>
      </c>
      <c r="E600" s="58"/>
      <c r="F600" s="47" t="str">
        <f>IF(B600="","",(VLOOKUP($A600,INSUMOSSERVICIOS,4,0)))</f>
        <v/>
      </c>
      <c r="G600" s="30" t="str">
        <f>+IFERROR(E600*F600,"")</f>
        <v/>
      </c>
    </row>
    <row r="601" spans="1:7">
      <c r="A601" s="26" t="str">
        <f>IF(B601="","",INDEX(CODIGOSSERVICIOS,MATCH($B601,'INSUMOS SERVICIOS'!$B$7:$B$21,0)))</f>
        <v/>
      </c>
      <c r="B601" s="619"/>
      <c r="C601" s="620"/>
      <c r="D601" s="44" t="str">
        <f>+IF(B601="","",(VLOOKUP($A601,INSUMOSSERVICIOS,3,0)))</f>
        <v/>
      </c>
      <c r="E601" s="58"/>
      <c r="F601" s="47" t="str">
        <f>IF(B601="","",(VLOOKUP($A601,INSUMOSSERVICIOS,4,0)))</f>
        <v/>
      </c>
      <c r="G601" s="30" t="str">
        <f>+IFERROR(E601*F601,"")</f>
        <v/>
      </c>
    </row>
    <row r="602" spans="1:7">
      <c r="A602" s="26" t="s">
        <v>52</v>
      </c>
      <c r="B602" s="619"/>
      <c r="C602" s="620"/>
      <c r="D602" s="44" t="str">
        <f>+IF(B602="","",(VLOOKUP($A602,INSUMOS_SERVICIOS,3,0)))</f>
        <v/>
      </c>
      <c r="E602" s="58"/>
      <c r="F602" s="47" t="str">
        <f>IF(B602="","",(VLOOKUP($A602,INSUMOS_SERVICIOS,4,0)))</f>
        <v/>
      </c>
      <c r="G602" s="30" t="str">
        <f>+IFERROR(E602*F602,"")</f>
        <v/>
      </c>
    </row>
    <row r="603" spans="1:7">
      <c r="A603" s="34"/>
      <c r="B603" s="35"/>
      <c r="C603" s="119"/>
      <c r="D603" s="119"/>
      <c r="E603" s="36"/>
      <c r="F603" s="59" t="s">
        <v>62</v>
      </c>
      <c r="G603" s="38" t="str">
        <f>+IF(SUM(G600:G602)=0,"",SUM(G600:G602))</f>
        <v/>
      </c>
    </row>
    <row r="604" spans="1:7">
      <c r="A604" s="121"/>
      <c r="B604" s="119"/>
      <c r="C604" s="56"/>
      <c r="D604" s="56"/>
      <c r="E604" s="56"/>
      <c r="F604" s="40"/>
      <c r="G604" s="57"/>
    </row>
    <row r="605" spans="1:7">
      <c r="A605" s="494" t="s">
        <v>77</v>
      </c>
      <c r="B605" s="494"/>
      <c r="C605" s="494"/>
      <c r="D605" s="494"/>
      <c r="E605" s="494"/>
      <c r="F605" s="494"/>
      <c r="G605" s="60">
        <f>IF(SUM(G575,G582,G588,G596,G603)=0,"",(ROUND(SUM(G575,G582,G588,G596,G603),0)))</f>
        <v>103555</v>
      </c>
    </row>
    <row r="606" spans="1:7">
      <c r="A606" s="57"/>
      <c r="B606" s="49"/>
      <c r="C606" s="49"/>
      <c r="D606" s="49"/>
      <c r="E606" s="49"/>
      <c r="F606" s="49"/>
      <c r="G606" s="40"/>
    </row>
    <row r="607" spans="1:7">
      <c r="A607" s="464" t="s">
        <v>78</v>
      </c>
      <c r="B607" s="464"/>
      <c r="C607" s="464"/>
      <c r="D607" s="464"/>
      <c r="E607" s="464"/>
      <c r="F607" s="464"/>
      <c r="G607" s="464"/>
    </row>
    <row r="608" spans="1:7">
      <c r="A608" s="119"/>
      <c r="B608" s="119"/>
      <c r="C608" s="119"/>
      <c r="D608" s="119"/>
      <c r="E608" s="119"/>
      <c r="F608" s="119"/>
      <c r="G608" s="119"/>
    </row>
    <row r="609" spans="1:7">
      <c r="A609" s="495" t="s">
        <v>46</v>
      </c>
      <c r="B609" s="495"/>
      <c r="C609" s="495"/>
      <c r="D609" s="495"/>
      <c r="E609" s="495"/>
      <c r="F609" s="61" t="s">
        <v>79</v>
      </c>
      <c r="G609" s="61" t="s">
        <v>50</v>
      </c>
    </row>
    <row r="610" spans="1:7">
      <c r="A610" s="496" t="s">
        <v>80</v>
      </c>
      <c r="B610" s="496"/>
      <c r="C610" s="496"/>
      <c r="D610" s="496"/>
      <c r="E610" s="496"/>
      <c r="F610" s="62">
        <f ca="1">AIU!$I$46</f>
        <v>0.34160000000000001</v>
      </c>
      <c r="G610" s="63">
        <f ca="1">+IFERROR(G605*F610,"")</f>
        <v>35374.387999999999</v>
      </c>
    </row>
    <row r="611" spans="1:7">
      <c r="A611" s="496" t="s">
        <v>81</v>
      </c>
      <c r="B611" s="496"/>
      <c r="C611" s="496"/>
      <c r="D611" s="496"/>
      <c r="E611" s="496"/>
      <c r="F611" s="62" t="str">
        <f>IF(AIU!$I$47=0,"",AIU!$I$47)</f>
        <v/>
      </c>
      <c r="G611" s="63" t="str">
        <f>+IFERROR(G605*F611,"")</f>
        <v/>
      </c>
    </row>
    <row r="612" spans="1:7">
      <c r="A612" s="496" t="s">
        <v>82</v>
      </c>
      <c r="B612" s="496"/>
      <c r="C612" s="496"/>
      <c r="D612" s="496"/>
      <c r="E612" s="496"/>
      <c r="F612" s="62">
        <f>IF(AIU!$I$48=0,"",AIU!$I$48)</f>
        <v>0.05</v>
      </c>
      <c r="G612" s="63">
        <f>+IFERROR(G605*F612,"")</f>
        <v>5177.75</v>
      </c>
    </row>
    <row r="613" spans="1:7">
      <c r="A613" s="497" t="s">
        <v>83</v>
      </c>
      <c r="B613" s="498"/>
      <c r="C613" s="498"/>
      <c r="D613" s="498"/>
      <c r="E613" s="498"/>
      <c r="F613" s="64">
        <f ca="1">IF(SUM(F610:F612)=0,"",SUM(F610:F612))</f>
        <v>0.3916</v>
      </c>
      <c r="G613" s="65">
        <f ca="1">IF(SUM(G610:G612)=0,"",ROUND(SUM(G610:G612),0))</f>
        <v>40552</v>
      </c>
    </row>
    <row r="614" spans="1:7">
      <c r="A614" s="57"/>
      <c r="B614" s="35"/>
      <c r="C614" s="35"/>
      <c r="D614" s="35"/>
      <c r="E614" s="499"/>
      <c r="F614" s="499"/>
      <c r="G614" s="66"/>
    </row>
    <row r="615" spans="1:7">
      <c r="A615" s="466" t="s">
        <v>84</v>
      </c>
      <c r="B615" s="467"/>
      <c r="C615" s="467"/>
      <c r="D615" s="467"/>
      <c r="E615" s="467"/>
      <c r="F615" s="467"/>
      <c r="G615" s="67">
        <f ca="1">+IFERROR(ROUND(G605+G613,0),"")</f>
        <v>144107</v>
      </c>
    </row>
    <row r="616" spans="1:7">
      <c r="A616" s="20"/>
      <c r="B616" s="20"/>
      <c r="C616" s="20"/>
      <c r="D616" s="20"/>
      <c r="E616" s="19"/>
      <c r="F616" s="19"/>
      <c r="G616" s="21"/>
    </row>
    <row r="617" spans="1:7">
      <c r="A617" s="20"/>
      <c r="B617" s="184"/>
      <c r="C617" s="19"/>
      <c r="D617" s="19"/>
      <c r="E617" s="19"/>
      <c r="F617" s="19"/>
      <c r="G617" s="19"/>
    </row>
    <row r="618" spans="1:7">
      <c r="A618" s="20"/>
      <c r="B618" s="184" t="s">
        <v>781</v>
      </c>
      <c r="C618" s="19"/>
      <c r="D618" s="19"/>
      <c r="E618" s="19"/>
      <c r="F618" s="19"/>
      <c r="G618" s="19"/>
    </row>
    <row r="619" spans="1:7">
      <c r="A619" s="20"/>
      <c r="B619" s="184"/>
      <c r="C619" s="19"/>
      <c r="D619" s="68"/>
      <c r="E619" s="68"/>
      <c r="F619" s="68"/>
      <c r="G619" s="19"/>
    </row>
    <row r="620" spans="1:7">
      <c r="A620" s="20"/>
      <c r="B620" s="184"/>
      <c r="C620" s="21"/>
      <c r="D620" s="538" t="s">
        <v>85</v>
      </c>
      <c r="E620" s="538"/>
      <c r="F620" s="538"/>
      <c r="G620" s="21"/>
    </row>
    <row r="622" spans="1:7" ht="18.75">
      <c r="A622" s="480" t="str">
        <f>'DATOS INICIALES'!$B$1</f>
        <v>DEPARTAMENTO DE ANTIOQUIA</v>
      </c>
      <c r="B622" s="481"/>
      <c r="C622" s="481"/>
      <c r="D622" s="481"/>
      <c r="E622" s="481"/>
      <c r="F622" s="482" t="s">
        <v>52</v>
      </c>
      <c r="G622" s="482"/>
    </row>
    <row r="623" spans="1:7" ht="15.75">
      <c r="A623" s="483" t="str">
        <f>'DATOS INICIALES'!$B$2</f>
        <v>MUNICIPIO DE DABEIBA</v>
      </c>
      <c r="B623" s="484"/>
      <c r="C623" s="484"/>
      <c r="D623" s="484"/>
      <c r="E623" s="484"/>
      <c r="F623" s="482"/>
      <c r="G623" s="482"/>
    </row>
    <row r="624" spans="1:7">
      <c r="A624" s="485" t="str">
        <f>'DATOS INICIALES'!$B$3</f>
        <v xml:space="preserve">AMPLIACIÓN DEL SISTEMA DE ALCANTARILLADO EN SECTOR DEL BARRIO PABLO VI  DEL MUNICIPIO DE DABEIBA ANTIOQUIA </v>
      </c>
      <c r="B624" s="486"/>
      <c r="C624" s="486"/>
      <c r="D624" s="486"/>
      <c r="E624" s="486"/>
      <c r="F624" s="482"/>
      <c r="G624" s="482"/>
    </row>
    <row r="625" spans="1:7">
      <c r="A625" s="487"/>
      <c r="B625" s="487"/>
      <c r="C625" s="487"/>
      <c r="D625" s="487"/>
      <c r="E625" s="488"/>
      <c r="F625" s="482"/>
      <c r="G625" s="482"/>
    </row>
    <row r="626" spans="1:7">
      <c r="A626" s="489" t="s">
        <v>53</v>
      </c>
      <c r="B626" s="490"/>
      <c r="C626" s="490"/>
      <c r="D626" s="490"/>
      <c r="E626" s="490"/>
      <c r="F626" s="482"/>
      <c r="G626" s="482"/>
    </row>
    <row r="627" spans="1:7">
      <c r="A627" s="487"/>
      <c r="B627" s="487"/>
      <c r="C627" s="487"/>
      <c r="D627" s="487"/>
      <c r="E627" s="487"/>
      <c r="F627" s="491"/>
      <c r="G627" s="491"/>
    </row>
    <row r="628" spans="1:7">
      <c r="A628" s="22" t="s">
        <v>45</v>
      </c>
      <c r="B628" s="468" t="s">
        <v>46</v>
      </c>
      <c r="C628" s="469"/>
      <c r="D628" s="470"/>
      <c r="E628" s="23" t="s">
        <v>47</v>
      </c>
      <c r="F628" s="24" t="s">
        <v>48</v>
      </c>
      <c r="G628" s="24" t="s">
        <v>54</v>
      </c>
    </row>
    <row r="629" spans="1:7">
      <c r="A629" s="25" t="s">
        <v>171</v>
      </c>
      <c r="B629" s="471" t="str">
        <f>+IFERROR(VLOOKUP($A629,INSUMOSMATERIALES,2,0),"")</f>
        <v>MORTERO 1:4 EN OBRA (REVOQUE)</v>
      </c>
      <c r="C629" s="472"/>
      <c r="D629" s="473"/>
      <c r="E629" s="82" t="str">
        <f>+IFERROR(VLOOKUP($A629,INSUMOSMATERIALES,3,0),"")</f>
        <v>M3</v>
      </c>
      <c r="F629" s="82" t="s">
        <v>456</v>
      </c>
      <c r="G629" s="153">
        <f ca="1">IF(G677=0,"",G667)</f>
        <v>103847</v>
      </c>
    </row>
    <row r="630" spans="1:7">
      <c r="A630" s="20"/>
      <c r="B630" s="20"/>
      <c r="C630" s="20"/>
      <c r="D630" s="20"/>
      <c r="E630" s="19"/>
      <c r="F630" s="19"/>
      <c r="G630" s="21"/>
    </row>
    <row r="631" spans="1:7">
      <c r="A631" s="464" t="s">
        <v>55</v>
      </c>
      <c r="B631" s="464"/>
      <c r="C631" s="464"/>
      <c r="D631" s="464"/>
      <c r="E631" s="464"/>
      <c r="F631" s="464"/>
      <c r="G631" s="464"/>
    </row>
    <row r="632" spans="1:7">
      <c r="A632" s="119"/>
      <c r="B632" s="119"/>
      <c r="C632" s="119"/>
      <c r="D632" s="119"/>
      <c r="E632" s="119"/>
      <c r="F632" s="119"/>
      <c r="G632" s="119"/>
    </row>
    <row r="633" spans="1:7">
      <c r="A633" s="474" t="s">
        <v>56</v>
      </c>
      <c r="B633" s="474"/>
      <c r="C633" s="474"/>
      <c r="D633" s="474"/>
      <c r="E633" s="474"/>
      <c r="F633" s="474"/>
      <c r="G633" s="475"/>
    </row>
    <row r="634" spans="1:7">
      <c r="A634" s="120" t="s">
        <v>57</v>
      </c>
      <c r="B634" s="476" t="s">
        <v>46</v>
      </c>
      <c r="C634" s="477"/>
      <c r="D634" s="120" t="s">
        <v>47</v>
      </c>
      <c r="E634" s="120" t="s">
        <v>58</v>
      </c>
      <c r="F634" s="120" t="s">
        <v>59</v>
      </c>
      <c r="G634" s="120" t="s">
        <v>60</v>
      </c>
    </row>
    <row r="635" spans="1:7">
      <c r="A635" s="26" t="str">
        <f>IF(B635="","",INDEX(CODIGOEQUIPOS,MATCH($B635,'INSUMOS EQUIPOS'!$B$7:$B$39,0)))</f>
        <v>EQ004</v>
      </c>
      <c r="B635" s="621" t="s">
        <v>95</v>
      </c>
      <c r="C635" s="622"/>
      <c r="D635" s="27" t="str">
        <f>IF(B635="","",(VLOOKUP($A635,INSUMOSEQUIPOS,3,0)))</f>
        <v>DÍA</v>
      </c>
      <c r="E635" s="28">
        <f>IF(B635="","",(VLOOKUP($A635,INSUMOSEQUIPOS,4,0)))</f>
        <v>62000</v>
      </c>
      <c r="F635" s="29">
        <v>8</v>
      </c>
      <c r="G635" s="30">
        <f>+IFERROR(E635/F635,"")</f>
        <v>7750</v>
      </c>
    </row>
    <row r="636" spans="1:7">
      <c r="A636" s="31" t="str">
        <f>+IF(G658="","","EQ001")</f>
        <v>EQ001</v>
      </c>
      <c r="B636" s="502" t="str">
        <f>+IF($A636="","",IFERROR(VLOOKUP($A636,INSUMOSEQUIPOS,2,0),""))</f>
        <v>HERRAMIENTA MENOR (10% DE LA MANO DE OBRA)</v>
      </c>
      <c r="C636" s="503"/>
      <c r="D636" s="27" t="str">
        <f>+IF($A636="","",IFERROR(VLOOKUP($A636,INSUMOSEQUIPOS,3,0),""))</f>
        <v>%</v>
      </c>
      <c r="E636" s="32">
        <f>+IF($A636="","",IFERROR(VLOOKUP($A636,INSUMOSEQUIPOS,4,0),""))</f>
        <v>0.1</v>
      </c>
      <c r="F636" s="33">
        <f>+IF(G658=0,"",G658)</f>
        <v>47111.125</v>
      </c>
      <c r="G636" s="30">
        <f>+IFERROR(E636*F636,"")</f>
        <v>4711.1125000000002</v>
      </c>
    </row>
    <row r="637" spans="1:7">
      <c r="A637" s="34"/>
      <c r="B637" s="35"/>
      <c r="C637" s="119"/>
      <c r="D637" s="119"/>
      <c r="E637" s="36"/>
      <c r="F637" s="37" t="s">
        <v>62</v>
      </c>
      <c r="G637" s="38">
        <f>+IF(SUM(G635:G636)=0,"",SUM(G635:G636))</f>
        <v>12461.112499999999</v>
      </c>
    </row>
    <row r="638" spans="1:7">
      <c r="A638" s="35"/>
      <c r="B638" s="119"/>
      <c r="C638" s="119"/>
      <c r="D638" s="36"/>
      <c r="E638" s="39"/>
      <c r="F638" s="40"/>
      <c r="G638" s="34"/>
    </row>
    <row r="639" spans="1:7">
      <c r="A639" s="464" t="s">
        <v>63</v>
      </c>
      <c r="B639" s="464"/>
      <c r="C639" s="464"/>
      <c r="D639" s="464"/>
      <c r="E639" s="464"/>
      <c r="F639" s="464"/>
      <c r="G639" s="465"/>
    </row>
    <row r="640" spans="1:7">
      <c r="A640" s="120" t="s">
        <v>57</v>
      </c>
      <c r="B640" s="41" t="s">
        <v>46</v>
      </c>
      <c r="C640" s="42" t="s">
        <v>47</v>
      </c>
      <c r="D640" s="42" t="s">
        <v>48</v>
      </c>
      <c r="E640" s="42" t="s">
        <v>64</v>
      </c>
      <c r="F640" s="42" t="s">
        <v>65</v>
      </c>
      <c r="G640" s="42" t="s">
        <v>60</v>
      </c>
    </row>
    <row r="641" spans="1:7" ht="22.5">
      <c r="A641" s="26" t="e">
        <f>IF(B641="","",INDEX(CODIGOMATERIALES,MATCH($B641,'INSUMOS MATERIALES'!$B$7:$B$54,0)))</f>
        <v>#N/A</v>
      </c>
      <c r="B641" s="43" t="s">
        <v>190</v>
      </c>
      <c r="C641" s="44" t="e">
        <f>IF(B641="","",(VLOOKUP($A641,INSUMOSMATERIALES,3,0)))</f>
        <v>#N/A</v>
      </c>
      <c r="D641" s="45">
        <v>7.28</v>
      </c>
      <c r="E641" s="46">
        <v>0.05</v>
      </c>
      <c r="F641" s="47" t="e">
        <f>IF(B641="","",(VLOOKUP($A641,INSUMOSMATERIALES,4,0)))</f>
        <v>#N/A</v>
      </c>
      <c r="G641" s="30" t="str">
        <f>+IFERROR(F641*D641*(1+E641),"")</f>
        <v/>
      </c>
    </row>
    <row r="642" spans="1:7">
      <c r="A642" s="26" t="e">
        <f>IF(B642="","",INDEX(CODIGOMATERIALES,MATCH($B642,'INSUMOS MATERIALES'!$B$7:$B$54,0)))</f>
        <v>#N/A</v>
      </c>
      <c r="B642" s="43" t="s">
        <v>194</v>
      </c>
      <c r="C642" s="44" t="e">
        <f>IF(B642="","",(VLOOKUP($A642,INSUMOSMATERIALES,3,0)))</f>
        <v>#N/A</v>
      </c>
      <c r="D642" s="45">
        <v>1.1599999999999999</v>
      </c>
      <c r="E642" s="46">
        <v>0.05</v>
      </c>
      <c r="F642" s="47" t="e">
        <f>IF(B642="","",(VLOOKUP($A642,INSUMOSMATERIALES,4,0)))</f>
        <v>#N/A</v>
      </c>
      <c r="G642" s="30" t="str">
        <f>+IFERROR(F642*D642*(1+E642),"")</f>
        <v/>
      </c>
    </row>
    <row r="643" spans="1:7">
      <c r="A643" s="26" t="e">
        <f>IF(B643="","",INDEX(CODIGOMATERIALES,MATCH($B643,'INSUMOS MATERIALES'!$B$7:$B$54,0)))</f>
        <v>#N/A</v>
      </c>
      <c r="B643" s="43" t="s">
        <v>199</v>
      </c>
      <c r="C643" s="44" t="e">
        <f>IF(B643="","",(VLOOKUP($A643,INSUMOSMATERIALES,3,0)))</f>
        <v>#N/A</v>
      </c>
      <c r="D643" s="45">
        <v>170</v>
      </c>
      <c r="E643" s="46">
        <v>0.1</v>
      </c>
      <c r="F643" s="47" t="e">
        <f>IF(B643="","",(VLOOKUP($A643,INSUMOSMATERIALES,4,0)))</f>
        <v>#N/A</v>
      </c>
      <c r="G643" s="30" t="str">
        <f>+IFERROR(F643*D643*(1+E643),"")</f>
        <v/>
      </c>
    </row>
    <row r="644" spans="1:7">
      <c r="A644" s="34"/>
      <c r="B644" s="48"/>
      <c r="C644" s="119"/>
      <c r="D644" s="119"/>
      <c r="E644" s="36"/>
      <c r="F644" s="37" t="s">
        <v>62</v>
      </c>
      <c r="G644" s="38" t="str">
        <f>+IF(SUM(G641:G643)=0,"",SUM(G641:G643))</f>
        <v/>
      </c>
    </row>
    <row r="645" spans="1:7">
      <c r="A645" s="35"/>
      <c r="B645" s="119"/>
      <c r="C645" s="119"/>
      <c r="D645" s="36"/>
      <c r="E645" s="49"/>
      <c r="F645" s="40"/>
      <c r="G645" s="34"/>
    </row>
    <row r="646" spans="1:7">
      <c r="A646" s="464" t="s">
        <v>66</v>
      </c>
      <c r="B646" s="464"/>
      <c r="C646" s="464"/>
      <c r="D646" s="464"/>
      <c r="E646" s="464"/>
      <c r="F646" s="464"/>
      <c r="G646" s="464"/>
    </row>
    <row r="647" spans="1:7">
      <c r="A647" s="120" t="s">
        <v>57</v>
      </c>
      <c r="B647" s="120" t="s">
        <v>46</v>
      </c>
      <c r="C647" s="120" t="s">
        <v>67</v>
      </c>
      <c r="D647" s="120" t="s">
        <v>68</v>
      </c>
      <c r="E647" s="42" t="s">
        <v>69</v>
      </c>
      <c r="F647" s="42" t="s">
        <v>58</v>
      </c>
      <c r="G647" s="42" t="s">
        <v>60</v>
      </c>
    </row>
    <row r="648" spans="1:7" ht="50.1" customHeight="1">
      <c r="A648" s="26" t="str">
        <f>IF(B648="","",INDEX(CODIGOTRANSPORTES,MATCH(B648,'INSUMOS TRANSPORTES'!$B$7:$B$13,0)))</f>
        <v>TR002</v>
      </c>
      <c r="B648" s="43" t="s">
        <v>842</v>
      </c>
      <c r="C648" s="50" t="s">
        <v>457</v>
      </c>
      <c r="D648" s="45">
        <f>(D642)*1.05</f>
        <v>1.218</v>
      </c>
      <c r="E648" s="51">
        <f>+IF(C648=0,"",IF(C648="INSUMOS",'DATOS INICIALES'!$B$24,IF(C648="PLAYA",'DATOS INICIALES'!$B$21,IF(C648="TIERRA",'DATOS INICIALES'!$B$19,IF(C648="ESCOMBROS",'DATOS INICIALES'!$B$20,IF(C648="ASFALTO",'DATOS INICIALES'!$B$25,IF(C648="GRANULAR",'DATOS INICIALES'!B666)))))))</f>
        <v>10</v>
      </c>
      <c r="F648" s="28">
        <f>+IF(B648="","",(VLOOKUP($A648,INSUMOSTRANSPORTES,4,0)))</f>
        <v>3000</v>
      </c>
      <c r="G648" s="30">
        <f>+IFERROR(D648*E648*F648,"")</f>
        <v>36540</v>
      </c>
    </row>
    <row r="649" spans="1:7" ht="22.35" customHeight="1">
      <c r="A649" s="26" t="str">
        <f>IF(B649="","",INDEX(CODIGOTRANSPORTES,MATCH(B649,'INSUMOS TRANSPORTES'!$B$7:$B$26,0)))</f>
        <v>TR007</v>
      </c>
      <c r="B649" s="43" t="s">
        <v>459</v>
      </c>
      <c r="C649" s="50" t="s">
        <v>458</v>
      </c>
      <c r="D649" s="45">
        <f>(50*D641)/1000</f>
        <v>0.36399999999999999</v>
      </c>
      <c r="E649" s="51">
        <f>+IF(C649=0,"",IF(C649="INSUMOS",'DATOS INICIALES'!$B$24,IF(C649="PLAYA",'DATOS INICIALES'!$B$21,IF(C649="TIERRA",'DATOS INICIALES'!$B$19,IF(C649="ESCOMBROS",'DATOS INICIALES'!$B$20,IF(C649="ASFALTO",'DATOS INICIALES'!$B$25,IF(C649="GRANULAR",'DATOS INICIALES'!B667)))))))</f>
        <v>5</v>
      </c>
      <c r="F649" s="28">
        <f>+IF(B649="","",(VLOOKUP($A649,INSUMOSTRANSPORTES,4,0)))</f>
        <v>4250</v>
      </c>
      <c r="G649" s="30">
        <f>+IFERROR(D649*E649*F649,"")</f>
        <v>7734.9999999999991</v>
      </c>
    </row>
    <row r="650" spans="1:7">
      <c r="A650" s="34"/>
      <c r="B650" s="52"/>
      <c r="C650" s="119"/>
      <c r="D650" s="119"/>
      <c r="E650" s="36"/>
      <c r="F650" s="37" t="s">
        <v>62</v>
      </c>
      <c r="G650" s="38">
        <f>+IF(SUM(G648:G649)=0,"",SUM(G648:G649))</f>
        <v>44275</v>
      </c>
    </row>
    <row r="651" spans="1:7">
      <c r="A651" s="119"/>
      <c r="B651" s="119"/>
      <c r="C651" s="119"/>
      <c r="D651" s="36"/>
      <c r="E651" s="49"/>
      <c r="F651" s="40"/>
      <c r="G651" s="34"/>
    </row>
    <row r="652" spans="1:7">
      <c r="A652" s="464" t="s">
        <v>70</v>
      </c>
      <c r="B652" s="464"/>
      <c r="C652" s="464"/>
      <c r="D652" s="464"/>
      <c r="E652" s="464"/>
      <c r="F652" s="464"/>
      <c r="G652" s="465"/>
    </row>
    <row r="653" spans="1:7">
      <c r="A653" s="120" t="s">
        <v>57</v>
      </c>
      <c r="B653" s="500" t="s">
        <v>71</v>
      </c>
      <c r="C653" s="500"/>
      <c r="D653" s="42" t="s">
        <v>48</v>
      </c>
      <c r="E653" s="42" t="s">
        <v>72</v>
      </c>
      <c r="F653" s="42" t="s">
        <v>59</v>
      </c>
      <c r="G653" s="42" t="s">
        <v>60</v>
      </c>
    </row>
    <row r="654" spans="1:7">
      <c r="A654" s="26" t="str">
        <f>IF(B654="","",INDEX(CODIGOSMANODEOBRA,MATCH($B654,'INSUMOS MANO DE OBRA'!$B$7:$B$61,0)))</f>
        <v>MO033</v>
      </c>
      <c r="B654" s="619" t="s">
        <v>357</v>
      </c>
      <c r="C654" s="620"/>
      <c r="D654" s="53">
        <v>1</v>
      </c>
      <c r="E654" s="47">
        <f>IF(B654="","",(VLOOKUP($A654,INSUMOSMANODEOBRA,8,0)))</f>
        <v>104675</v>
      </c>
      <c r="F654" s="45">
        <v>8</v>
      </c>
      <c r="G654" s="54">
        <f>+IFERROR(D654*E654/F654,"")</f>
        <v>13084.375</v>
      </c>
    </row>
    <row r="655" spans="1:7">
      <c r="A655" s="26" t="str">
        <f>IF(B655="","",INDEX(CODIGOSMANODEOBRA,MATCH($B655,'INSUMOS MANO DE OBRA'!$B$7:$B$61,0)))</f>
        <v>MO032</v>
      </c>
      <c r="B655" s="619" t="s">
        <v>356</v>
      </c>
      <c r="C655" s="620"/>
      <c r="D655" s="53">
        <v>3</v>
      </c>
      <c r="E655" s="47">
        <f>IF(B655="","",(VLOOKUP($A655,INSUMOSMANODEOBRA,8,0)))</f>
        <v>90738</v>
      </c>
      <c r="F655" s="45">
        <v>8</v>
      </c>
      <c r="G655" s="54">
        <f>+IFERROR(D655*E655/F655,"")</f>
        <v>34026.75</v>
      </c>
    </row>
    <row r="656" spans="1:7">
      <c r="A656" s="26"/>
      <c r="B656" s="619"/>
      <c r="C656" s="620"/>
      <c r="D656" s="53"/>
      <c r="E656" s="47"/>
      <c r="F656" s="55"/>
      <c r="G656" s="54" t="str">
        <f>+IFERROR(D656*E656/F656,"")</f>
        <v/>
      </c>
    </row>
    <row r="657" spans="1:7">
      <c r="A657" s="26" t="s">
        <v>52</v>
      </c>
      <c r="B657" s="619"/>
      <c r="C657" s="620"/>
      <c r="D657" s="53"/>
      <c r="E657" s="47" t="s">
        <v>52</v>
      </c>
      <c r="F657" s="55" t="str">
        <f>+IF(A657="","",IF(A657=0,"",IF(F656="","",F656)))</f>
        <v/>
      </c>
      <c r="G657" s="54" t="str">
        <f>+IFERROR(D657*E657/F657,"")</f>
        <v/>
      </c>
    </row>
    <row r="658" spans="1:7">
      <c r="A658" s="34"/>
      <c r="B658" s="35"/>
      <c r="C658" s="119"/>
      <c r="D658" s="119"/>
      <c r="E658" s="36"/>
      <c r="F658" s="37" t="s">
        <v>62</v>
      </c>
      <c r="G658" s="38">
        <f>+IF(SUM(G654:G657)=0,"",SUM(G654:G657))</f>
        <v>47111.125</v>
      </c>
    </row>
    <row r="659" spans="1:7">
      <c r="A659" s="121"/>
      <c r="B659" s="119"/>
      <c r="C659" s="56"/>
      <c r="D659" s="56"/>
      <c r="E659" s="56"/>
      <c r="F659" s="40"/>
      <c r="G659" s="57"/>
    </row>
    <row r="660" spans="1:7">
      <c r="A660" s="464" t="s">
        <v>76</v>
      </c>
      <c r="B660" s="464"/>
      <c r="C660" s="464"/>
      <c r="D660" s="464"/>
      <c r="E660" s="464"/>
      <c r="F660" s="464"/>
      <c r="G660" s="465"/>
    </row>
    <row r="661" spans="1:7">
      <c r="A661" s="120" t="s">
        <v>57</v>
      </c>
      <c r="B661" s="500" t="s">
        <v>46</v>
      </c>
      <c r="C661" s="500"/>
      <c r="D661" s="120" t="s">
        <v>47</v>
      </c>
      <c r="E661" s="120" t="s">
        <v>48</v>
      </c>
      <c r="F661" s="120" t="s">
        <v>65</v>
      </c>
      <c r="G661" s="120" t="s">
        <v>60</v>
      </c>
    </row>
    <row r="662" spans="1:7">
      <c r="A662" s="26" t="str">
        <f>IF(B662="","",INDEX(CODIGOSSERVICIOS,MATCH($B662,'INSUMOS SERVICIOS'!$B$7:$B$21,0)))</f>
        <v/>
      </c>
      <c r="B662" s="619"/>
      <c r="C662" s="620"/>
      <c r="D662" s="44" t="str">
        <f>+IF(B662="","",(VLOOKUP($A662,INSUMOSSERVICIOS,3,0)))</f>
        <v/>
      </c>
      <c r="E662" s="58"/>
      <c r="F662" s="47" t="str">
        <f>IF(B662="","",(VLOOKUP($A662,INSUMOSSERVICIOS,4,0)))</f>
        <v/>
      </c>
      <c r="G662" s="30" t="str">
        <f>+IFERROR(E662*F662,"")</f>
        <v/>
      </c>
    </row>
    <row r="663" spans="1:7">
      <c r="A663" s="26" t="str">
        <f>IF(B663="","",INDEX(CODIGOSSERVICIOS,MATCH($B663,'INSUMOS SERVICIOS'!$B$7:$B$21,0)))</f>
        <v/>
      </c>
      <c r="B663" s="619"/>
      <c r="C663" s="620"/>
      <c r="D663" s="44" t="str">
        <f>+IF(B663="","",(VLOOKUP($A663,INSUMOSSERVICIOS,3,0)))</f>
        <v/>
      </c>
      <c r="E663" s="58"/>
      <c r="F663" s="47" t="str">
        <f>IF(B663="","",(VLOOKUP($A663,INSUMOSSERVICIOS,4,0)))</f>
        <v/>
      </c>
      <c r="G663" s="30" t="str">
        <f>+IFERROR(E663*F663,"")</f>
        <v/>
      </c>
    </row>
    <row r="664" spans="1:7">
      <c r="A664" s="26" t="s">
        <v>52</v>
      </c>
      <c r="B664" s="619"/>
      <c r="C664" s="620"/>
      <c r="D664" s="44" t="str">
        <f>+IF(B664="","",(VLOOKUP($A664,INSUMOS_SERVICIOS,3,0)))</f>
        <v/>
      </c>
      <c r="E664" s="58"/>
      <c r="F664" s="47" t="str">
        <f>IF(B664="","",(VLOOKUP($A664,INSUMOS_SERVICIOS,4,0)))</f>
        <v/>
      </c>
      <c r="G664" s="30" t="str">
        <f>+IFERROR(E664*F664,"")</f>
        <v/>
      </c>
    </row>
    <row r="665" spans="1:7">
      <c r="A665" s="34"/>
      <c r="B665" s="35"/>
      <c r="C665" s="119"/>
      <c r="D665" s="119"/>
      <c r="E665" s="36"/>
      <c r="F665" s="59" t="s">
        <v>62</v>
      </c>
      <c r="G665" s="38" t="str">
        <f>+IF(SUM(G662:G664)=0,"",SUM(G662:G664))</f>
        <v/>
      </c>
    </row>
    <row r="666" spans="1:7">
      <c r="A666" s="121"/>
      <c r="B666" s="119"/>
      <c r="C666" s="56"/>
      <c r="D666" s="56"/>
      <c r="E666" s="56"/>
      <c r="F666" s="40"/>
      <c r="G666" s="57"/>
    </row>
    <row r="667" spans="1:7">
      <c r="A667" s="494" t="s">
        <v>77</v>
      </c>
      <c r="B667" s="494"/>
      <c r="C667" s="494"/>
      <c r="D667" s="494"/>
      <c r="E667" s="494"/>
      <c r="F667" s="494"/>
      <c r="G667" s="60">
        <f>IF(SUM(G637,G644,G650,G658,G665)=0,"",(ROUND(SUM(G637,G644,G650,G658,G665),0)))</f>
        <v>103847</v>
      </c>
    </row>
    <row r="668" spans="1:7">
      <c r="A668" s="57"/>
      <c r="B668" s="49"/>
      <c r="C668" s="49"/>
      <c r="D668" s="49"/>
      <c r="E668" s="49"/>
      <c r="F668" s="49"/>
      <c r="G668" s="40"/>
    </row>
    <row r="669" spans="1:7">
      <c r="A669" s="464" t="s">
        <v>78</v>
      </c>
      <c r="B669" s="464"/>
      <c r="C669" s="464"/>
      <c r="D669" s="464"/>
      <c r="E669" s="464"/>
      <c r="F669" s="464"/>
      <c r="G669" s="464"/>
    </row>
    <row r="670" spans="1:7">
      <c r="A670" s="119"/>
      <c r="B670" s="119"/>
      <c r="C670" s="119"/>
      <c r="D670" s="119"/>
      <c r="E670" s="119"/>
      <c r="F670" s="119"/>
      <c r="G670" s="119"/>
    </row>
    <row r="671" spans="1:7">
      <c r="A671" s="495" t="s">
        <v>46</v>
      </c>
      <c r="B671" s="495"/>
      <c r="C671" s="495"/>
      <c r="D671" s="495"/>
      <c r="E671" s="495"/>
      <c r="F671" s="61" t="s">
        <v>79</v>
      </c>
      <c r="G671" s="61" t="s">
        <v>50</v>
      </c>
    </row>
    <row r="672" spans="1:7">
      <c r="A672" s="496" t="s">
        <v>80</v>
      </c>
      <c r="B672" s="496"/>
      <c r="C672" s="496"/>
      <c r="D672" s="496"/>
      <c r="E672" s="496"/>
      <c r="F672" s="62">
        <f ca="1">AIU!$I$46</f>
        <v>0.34160000000000001</v>
      </c>
      <c r="G672" s="63">
        <f ca="1">+IFERROR(G667*F672,"")</f>
        <v>35474.135200000004</v>
      </c>
    </row>
    <row r="673" spans="1:7">
      <c r="A673" s="496" t="s">
        <v>81</v>
      </c>
      <c r="B673" s="496"/>
      <c r="C673" s="496"/>
      <c r="D673" s="496"/>
      <c r="E673" s="496"/>
      <c r="F673" s="62" t="str">
        <f>IF(AIU!$I$47=0,"",AIU!$I$47)</f>
        <v/>
      </c>
      <c r="G673" s="63" t="str">
        <f>+IFERROR(G667*F673,"")</f>
        <v/>
      </c>
    </row>
    <row r="674" spans="1:7">
      <c r="A674" s="496" t="s">
        <v>82</v>
      </c>
      <c r="B674" s="496"/>
      <c r="C674" s="496"/>
      <c r="D674" s="496"/>
      <c r="E674" s="496"/>
      <c r="F674" s="62">
        <f>IF(AIU!$I$48=0,"",AIU!$I$48)</f>
        <v>0.05</v>
      </c>
      <c r="G674" s="63">
        <f>+IFERROR(G667*F674,"")</f>
        <v>5192.3500000000004</v>
      </c>
    </row>
    <row r="675" spans="1:7">
      <c r="A675" s="497" t="s">
        <v>83</v>
      </c>
      <c r="B675" s="498"/>
      <c r="C675" s="498"/>
      <c r="D675" s="498"/>
      <c r="E675" s="498"/>
      <c r="F675" s="64">
        <f ca="1">IF(SUM(F672:F674)=0,"",SUM(F672:F674))</f>
        <v>0.3916</v>
      </c>
      <c r="G675" s="65">
        <f ca="1">IF(SUM(G672:G674)=0,"",ROUND(SUM(G672:G674),0))</f>
        <v>40666</v>
      </c>
    </row>
    <row r="676" spans="1:7">
      <c r="A676" s="57"/>
      <c r="B676" s="35"/>
      <c r="C676" s="35"/>
      <c r="D676" s="35"/>
      <c r="E676" s="499"/>
      <c r="F676" s="499"/>
      <c r="G676" s="66"/>
    </row>
    <row r="677" spans="1:7">
      <c r="A677" s="466" t="s">
        <v>84</v>
      </c>
      <c r="B677" s="467"/>
      <c r="C677" s="467"/>
      <c r="D677" s="467"/>
      <c r="E677" s="467"/>
      <c r="F677" s="467"/>
      <c r="G677" s="67">
        <f ca="1">+IFERROR(ROUND(G667+G675,0),"")</f>
        <v>144513</v>
      </c>
    </row>
    <row r="678" spans="1:7">
      <c r="A678" s="20"/>
      <c r="B678" s="20"/>
      <c r="C678" s="20"/>
      <c r="D678" s="20"/>
      <c r="E678" s="19"/>
      <c r="F678" s="19"/>
      <c r="G678" s="21"/>
    </row>
    <row r="679" spans="1:7">
      <c r="A679" s="20"/>
      <c r="B679" s="184"/>
      <c r="C679" s="19"/>
      <c r="D679" s="19"/>
      <c r="E679" s="19"/>
      <c r="F679" s="19"/>
      <c r="G679" s="19"/>
    </row>
    <row r="680" spans="1:7">
      <c r="A680" s="20"/>
      <c r="B680" s="184" t="s">
        <v>781</v>
      </c>
      <c r="C680" s="19"/>
      <c r="D680" s="19"/>
      <c r="E680" s="19"/>
      <c r="F680" s="19"/>
      <c r="G680" s="19"/>
    </row>
    <row r="681" spans="1:7">
      <c r="A681" s="20"/>
      <c r="B681" s="184"/>
      <c r="C681" s="19"/>
      <c r="D681" s="68"/>
      <c r="E681" s="68"/>
      <c r="F681" s="68"/>
      <c r="G681" s="19"/>
    </row>
    <row r="682" spans="1:7">
      <c r="A682" s="20"/>
      <c r="B682" s="184"/>
      <c r="C682" s="21"/>
      <c r="D682" s="538" t="s">
        <v>85</v>
      </c>
      <c r="E682" s="538"/>
      <c r="F682" s="538"/>
      <c r="G682" s="21"/>
    </row>
    <row r="684" spans="1:7" ht="18.75">
      <c r="A684" s="480" t="str">
        <f>'DATOS INICIALES'!$B$1</f>
        <v>DEPARTAMENTO DE ANTIOQUIA</v>
      </c>
      <c r="B684" s="481"/>
      <c r="C684" s="481"/>
      <c r="D684" s="481"/>
      <c r="E684" s="481"/>
      <c r="F684" s="482" t="s">
        <v>52</v>
      </c>
      <c r="G684" s="482"/>
    </row>
    <row r="685" spans="1:7" ht="15.75">
      <c r="A685" s="483" t="str">
        <f>'DATOS INICIALES'!$B$2</f>
        <v>MUNICIPIO DE DABEIBA</v>
      </c>
      <c r="B685" s="484"/>
      <c r="C685" s="484"/>
      <c r="D685" s="484"/>
      <c r="E685" s="484"/>
      <c r="F685" s="482"/>
      <c r="G685" s="482"/>
    </row>
    <row r="686" spans="1:7">
      <c r="A686" s="485" t="str">
        <f>'DATOS INICIALES'!$B$3</f>
        <v xml:space="preserve">AMPLIACIÓN DEL SISTEMA DE ALCANTARILLADO EN SECTOR DEL BARRIO PABLO VI  DEL MUNICIPIO DE DABEIBA ANTIOQUIA </v>
      </c>
      <c r="B686" s="486"/>
      <c r="C686" s="486"/>
      <c r="D686" s="486"/>
      <c r="E686" s="486"/>
      <c r="F686" s="482"/>
      <c r="G686" s="482"/>
    </row>
    <row r="687" spans="1:7">
      <c r="A687" s="487"/>
      <c r="B687" s="487"/>
      <c r="C687" s="487"/>
      <c r="D687" s="487"/>
      <c r="E687" s="488"/>
      <c r="F687" s="482"/>
      <c r="G687" s="482"/>
    </row>
    <row r="688" spans="1:7">
      <c r="A688" s="489" t="s">
        <v>53</v>
      </c>
      <c r="B688" s="490"/>
      <c r="C688" s="490"/>
      <c r="D688" s="490"/>
      <c r="E688" s="490"/>
      <c r="F688" s="482"/>
      <c r="G688" s="482"/>
    </row>
    <row r="689" spans="1:7">
      <c r="A689" s="487"/>
      <c r="B689" s="487"/>
      <c r="C689" s="487"/>
      <c r="D689" s="487"/>
      <c r="E689" s="487"/>
      <c r="F689" s="491"/>
      <c r="G689" s="491"/>
    </row>
    <row r="690" spans="1:7">
      <c r="A690" s="22" t="s">
        <v>45</v>
      </c>
      <c r="B690" s="468" t="s">
        <v>46</v>
      </c>
      <c r="C690" s="469"/>
      <c r="D690" s="470"/>
      <c r="E690" s="23" t="s">
        <v>47</v>
      </c>
      <c r="F690" s="24" t="s">
        <v>48</v>
      </c>
      <c r="G690" s="24" t="s">
        <v>54</v>
      </c>
    </row>
    <row r="691" spans="1:7">
      <c r="A691" s="25" t="s">
        <v>173</v>
      </c>
      <c r="B691" s="471" t="str">
        <f>+IFERROR(VLOOKUP($A691,INSUMOSMATERIALES,2,0),"")</f>
        <v>MORTERO 1:4 EN OBRA (GROUT)</v>
      </c>
      <c r="C691" s="472"/>
      <c r="D691" s="473"/>
      <c r="E691" s="82" t="str">
        <f>+IFERROR(VLOOKUP($A691,INSUMOSMATERIALES,3,0),"")</f>
        <v>M3</v>
      </c>
      <c r="F691" s="82" t="s">
        <v>456</v>
      </c>
      <c r="G691" s="153">
        <f ca="1">IF(G739=0,"",G729)</f>
        <v>103847</v>
      </c>
    </row>
    <row r="692" spans="1:7">
      <c r="A692" s="20"/>
      <c r="B692" s="20"/>
      <c r="C692" s="20"/>
      <c r="D692" s="20"/>
      <c r="E692" s="19"/>
      <c r="F692" s="19"/>
      <c r="G692" s="21"/>
    </row>
    <row r="693" spans="1:7">
      <c r="A693" s="464" t="s">
        <v>55</v>
      </c>
      <c r="B693" s="464"/>
      <c r="C693" s="464"/>
      <c r="D693" s="464"/>
      <c r="E693" s="464"/>
      <c r="F693" s="464"/>
      <c r="G693" s="464"/>
    </row>
    <row r="694" spans="1:7">
      <c r="A694" s="119"/>
      <c r="B694" s="119"/>
      <c r="C694" s="119"/>
      <c r="D694" s="119"/>
      <c r="E694" s="119"/>
      <c r="F694" s="119"/>
      <c r="G694" s="119"/>
    </row>
    <row r="695" spans="1:7">
      <c r="A695" s="474" t="s">
        <v>56</v>
      </c>
      <c r="B695" s="474"/>
      <c r="C695" s="474"/>
      <c r="D695" s="474"/>
      <c r="E695" s="474"/>
      <c r="F695" s="474"/>
      <c r="G695" s="475"/>
    </row>
    <row r="696" spans="1:7">
      <c r="A696" s="120" t="s">
        <v>57</v>
      </c>
      <c r="B696" s="476" t="s">
        <v>46</v>
      </c>
      <c r="C696" s="477"/>
      <c r="D696" s="120" t="s">
        <v>47</v>
      </c>
      <c r="E696" s="120" t="s">
        <v>58</v>
      </c>
      <c r="F696" s="120" t="s">
        <v>59</v>
      </c>
      <c r="G696" s="120" t="s">
        <v>60</v>
      </c>
    </row>
    <row r="697" spans="1:7">
      <c r="A697" s="26" t="str">
        <f>IF(B697="","",INDEX(CODIGOEQUIPOS,MATCH($B697,'INSUMOS EQUIPOS'!$B$7:$B$39,0)))</f>
        <v>EQ004</v>
      </c>
      <c r="B697" s="621" t="s">
        <v>95</v>
      </c>
      <c r="C697" s="622"/>
      <c r="D697" s="27" t="str">
        <f>IF(B697="","",(VLOOKUP($A697,INSUMOSEQUIPOS,3,0)))</f>
        <v>DÍA</v>
      </c>
      <c r="E697" s="28">
        <f>IF(B697="","",(VLOOKUP($A697,INSUMOSEQUIPOS,4,0)))</f>
        <v>62000</v>
      </c>
      <c r="F697" s="29">
        <v>8</v>
      </c>
      <c r="G697" s="30">
        <f>+IFERROR(E697/F697,"")</f>
        <v>7750</v>
      </c>
    </row>
    <row r="698" spans="1:7">
      <c r="A698" s="31" t="str">
        <f>+IF(G720="","","EQ001")</f>
        <v>EQ001</v>
      </c>
      <c r="B698" s="502" t="str">
        <f>+IF($A698="","",IFERROR(VLOOKUP($A698,INSUMOSEQUIPOS,2,0),""))</f>
        <v>HERRAMIENTA MENOR (10% DE LA MANO DE OBRA)</v>
      </c>
      <c r="C698" s="503"/>
      <c r="D698" s="27" t="str">
        <f>+IF($A698="","",IFERROR(VLOOKUP($A698,INSUMOSEQUIPOS,3,0),""))</f>
        <v>%</v>
      </c>
      <c r="E698" s="32">
        <f>+IF($A698="","",IFERROR(VLOOKUP($A698,INSUMOSEQUIPOS,4,0),""))</f>
        <v>0.1</v>
      </c>
      <c r="F698" s="33">
        <f>+IF(G720=0,"",G720)</f>
        <v>47111.125</v>
      </c>
      <c r="G698" s="30">
        <f>+IFERROR(E698*F698,"")</f>
        <v>4711.1125000000002</v>
      </c>
    </row>
    <row r="699" spans="1:7">
      <c r="A699" s="34"/>
      <c r="B699" s="35"/>
      <c r="C699" s="119"/>
      <c r="D699" s="119"/>
      <c r="E699" s="36"/>
      <c r="F699" s="37" t="s">
        <v>62</v>
      </c>
      <c r="G699" s="38">
        <f>+IF(SUM(G697:G698)=0,"",SUM(G697:G698))</f>
        <v>12461.112499999999</v>
      </c>
    </row>
    <row r="700" spans="1:7">
      <c r="A700" s="35"/>
      <c r="B700" s="119"/>
      <c r="C700" s="119"/>
      <c r="D700" s="36"/>
      <c r="E700" s="39"/>
      <c r="F700" s="40"/>
      <c r="G700" s="34"/>
    </row>
    <row r="701" spans="1:7">
      <c r="A701" s="464" t="s">
        <v>63</v>
      </c>
      <c r="B701" s="464"/>
      <c r="C701" s="464"/>
      <c r="D701" s="464"/>
      <c r="E701" s="464"/>
      <c r="F701" s="464"/>
      <c r="G701" s="465"/>
    </row>
    <row r="702" spans="1:7">
      <c r="A702" s="120" t="s">
        <v>57</v>
      </c>
      <c r="B702" s="41" t="s">
        <v>46</v>
      </c>
      <c r="C702" s="42" t="s">
        <v>47</v>
      </c>
      <c r="D702" s="42" t="s">
        <v>48</v>
      </c>
      <c r="E702" s="42" t="s">
        <v>64</v>
      </c>
      <c r="F702" s="42" t="s">
        <v>65</v>
      </c>
      <c r="G702" s="42" t="s">
        <v>60</v>
      </c>
    </row>
    <row r="703" spans="1:7" ht="22.5">
      <c r="A703" s="26" t="e">
        <f>IF(B703="","",INDEX(CODIGOMATERIALES,MATCH($B703,'INSUMOS MATERIALES'!$B$7:$B$54,0)))</f>
        <v>#N/A</v>
      </c>
      <c r="B703" s="43" t="s">
        <v>190</v>
      </c>
      <c r="C703" s="44" t="e">
        <f>IF(B703="","",(VLOOKUP($A703,INSUMOSMATERIALES,3,0)))</f>
        <v>#N/A</v>
      </c>
      <c r="D703" s="45">
        <v>7.28</v>
      </c>
      <c r="E703" s="46">
        <v>0.05</v>
      </c>
      <c r="F703" s="47" t="e">
        <f>IF(B703="","",(VLOOKUP($A703,INSUMOSMATERIALES,4,0)))</f>
        <v>#N/A</v>
      </c>
      <c r="G703" s="30" t="str">
        <f>+IFERROR(F703*D703*(1+E703),"")</f>
        <v/>
      </c>
    </row>
    <row r="704" spans="1:7">
      <c r="A704" s="26" t="e">
        <f>IF(B704="","",INDEX(CODIGOMATERIALES,MATCH($B704,'INSUMOS MATERIALES'!$B$7:$B$54,0)))</f>
        <v>#N/A</v>
      </c>
      <c r="B704" s="43" t="s">
        <v>196</v>
      </c>
      <c r="C704" s="44" t="e">
        <f>IF(B704="","",(VLOOKUP($A704,INSUMOSMATERIALES,3,0)))</f>
        <v>#N/A</v>
      </c>
      <c r="D704" s="45">
        <v>1.1599999999999999</v>
      </c>
      <c r="E704" s="46">
        <v>0.05</v>
      </c>
      <c r="F704" s="47" t="e">
        <f>IF(B704="","",(VLOOKUP($A704,INSUMOSMATERIALES,4,0)))</f>
        <v>#N/A</v>
      </c>
      <c r="G704" s="30" t="str">
        <f>+IFERROR(F704*D704*(1+E704),"")</f>
        <v/>
      </c>
    </row>
    <row r="705" spans="1:7">
      <c r="A705" s="26" t="e">
        <f>IF(B705="","",INDEX(CODIGOMATERIALES,MATCH($B705,'INSUMOS MATERIALES'!$B$7:$B$54,0)))</f>
        <v>#N/A</v>
      </c>
      <c r="B705" s="43" t="s">
        <v>199</v>
      </c>
      <c r="C705" s="44" t="e">
        <f>IF(B705="","",(VLOOKUP($A705,INSUMOSMATERIALES,3,0)))</f>
        <v>#N/A</v>
      </c>
      <c r="D705" s="45">
        <v>170</v>
      </c>
      <c r="E705" s="46">
        <v>0.1</v>
      </c>
      <c r="F705" s="47" t="e">
        <f>IF(B705="","",(VLOOKUP($A705,INSUMOSMATERIALES,4,0)))</f>
        <v>#N/A</v>
      </c>
      <c r="G705" s="30" t="str">
        <f>+IFERROR(F705*D705*(1+E705),"")</f>
        <v/>
      </c>
    </row>
    <row r="706" spans="1:7">
      <c r="A706" s="34"/>
      <c r="B706" s="48"/>
      <c r="C706" s="119"/>
      <c r="D706" s="119"/>
      <c r="E706" s="36"/>
      <c r="F706" s="37" t="s">
        <v>62</v>
      </c>
      <c r="G706" s="38" t="str">
        <f>+IF(SUM(G703:G705)=0,"",SUM(G703:G705))</f>
        <v/>
      </c>
    </row>
    <row r="707" spans="1:7">
      <c r="A707" s="35"/>
      <c r="B707" s="119"/>
      <c r="C707" s="119"/>
      <c r="D707" s="36"/>
      <c r="E707" s="49"/>
      <c r="F707" s="40"/>
      <c r="G707" s="34"/>
    </row>
    <row r="708" spans="1:7">
      <c r="A708" s="464" t="s">
        <v>66</v>
      </c>
      <c r="B708" s="464"/>
      <c r="C708" s="464"/>
      <c r="D708" s="464"/>
      <c r="E708" s="464"/>
      <c r="F708" s="464"/>
      <c r="G708" s="464"/>
    </row>
    <row r="709" spans="1:7">
      <c r="A709" s="120" t="s">
        <v>57</v>
      </c>
      <c r="B709" s="120" t="s">
        <v>46</v>
      </c>
      <c r="C709" s="120" t="s">
        <v>67</v>
      </c>
      <c r="D709" s="120" t="s">
        <v>68</v>
      </c>
      <c r="E709" s="42" t="s">
        <v>69</v>
      </c>
      <c r="F709" s="42" t="s">
        <v>58</v>
      </c>
      <c r="G709" s="42" t="s">
        <v>60</v>
      </c>
    </row>
    <row r="710" spans="1:7" ht="42" customHeight="1">
      <c r="A710" s="26" t="str">
        <f>IF(B710="","",INDEX(CODIGOTRANSPORTES,MATCH(B710,'INSUMOS TRANSPORTES'!$B$7:$B$13,0)))</f>
        <v>TR002</v>
      </c>
      <c r="B710" s="43" t="s">
        <v>842</v>
      </c>
      <c r="C710" s="50" t="s">
        <v>457</v>
      </c>
      <c r="D710" s="45">
        <f>(D704)*1.05</f>
        <v>1.218</v>
      </c>
      <c r="E710" s="51">
        <f>+IF(C710=0,"",IF(C710="INSUMOS",'DATOS INICIALES'!$B$24,IF(C710="PLAYA",'DATOS INICIALES'!$B$21,IF(C710="TIERRA",'DATOS INICIALES'!$B$19,IF(C710="ESCOMBROS",'DATOS INICIALES'!$B$20,IF(C710="ASFALTO",'DATOS INICIALES'!$B$25,IF(C710="GRANULAR",'DATOS INICIALES'!B728)))))))</f>
        <v>10</v>
      </c>
      <c r="F710" s="28">
        <f>+IF(B710="","",(VLOOKUP($A710,INSUMOSTRANSPORTES,4,0)))</f>
        <v>3000</v>
      </c>
      <c r="G710" s="30">
        <f>+IFERROR(D710*E710*F710,"")</f>
        <v>36540</v>
      </c>
    </row>
    <row r="711" spans="1:7" ht="22.5">
      <c r="A711" s="26" t="str">
        <f>IF(B711="","",INDEX(CODIGOTRANSPORTES,MATCH(B711,'INSUMOS TRANSPORTES'!$B$7:$B$26,0)))</f>
        <v>TR007</v>
      </c>
      <c r="B711" s="43" t="s">
        <v>459</v>
      </c>
      <c r="C711" s="50" t="s">
        <v>458</v>
      </c>
      <c r="D711" s="45">
        <f>(50*D703)/1000</f>
        <v>0.36399999999999999</v>
      </c>
      <c r="E711" s="51">
        <f>+IF(C711=0,"",IF(C711="INSUMOS",'DATOS INICIALES'!$B$24,IF(C711="PLAYA",'DATOS INICIALES'!$B$21,IF(C711="TIERRA",'DATOS INICIALES'!$B$19,IF(C711="ESCOMBROS",'DATOS INICIALES'!$B$20,IF(C711="ASFALTO",'DATOS INICIALES'!$B$25,IF(C711="GRANULAR",'DATOS INICIALES'!B729)))))))</f>
        <v>5</v>
      </c>
      <c r="F711" s="28">
        <f>+IF(B711="","",(VLOOKUP($A711,INSUMOSTRANSPORTES,4,0)))</f>
        <v>4250</v>
      </c>
      <c r="G711" s="30">
        <f>+IFERROR(D711*E711*F711,"")</f>
        <v>7734.9999999999991</v>
      </c>
    </row>
    <row r="712" spans="1:7">
      <c r="A712" s="34"/>
      <c r="B712" s="52"/>
      <c r="C712" s="119"/>
      <c r="D712" s="119"/>
      <c r="E712" s="36"/>
      <c r="F712" s="37" t="s">
        <v>62</v>
      </c>
      <c r="G712" s="38">
        <f>+IF(SUM(G710:G711)=0,"",SUM(G710:G711))</f>
        <v>44275</v>
      </c>
    </row>
    <row r="713" spans="1:7">
      <c r="A713" s="119"/>
      <c r="B713" s="119"/>
      <c r="C713" s="119"/>
      <c r="D713" s="36"/>
      <c r="E713" s="49"/>
      <c r="F713" s="40"/>
      <c r="G713" s="34"/>
    </row>
    <row r="714" spans="1:7">
      <c r="A714" s="464" t="s">
        <v>70</v>
      </c>
      <c r="B714" s="464"/>
      <c r="C714" s="464"/>
      <c r="D714" s="464"/>
      <c r="E714" s="464"/>
      <c r="F714" s="464"/>
      <c r="G714" s="465"/>
    </row>
    <row r="715" spans="1:7">
      <c r="A715" s="120" t="s">
        <v>57</v>
      </c>
      <c r="B715" s="500" t="s">
        <v>71</v>
      </c>
      <c r="C715" s="500"/>
      <c r="D715" s="42" t="s">
        <v>48</v>
      </c>
      <c r="E715" s="42" t="s">
        <v>72</v>
      </c>
      <c r="F715" s="42" t="s">
        <v>59</v>
      </c>
      <c r="G715" s="42" t="s">
        <v>60</v>
      </c>
    </row>
    <row r="716" spans="1:7">
      <c r="A716" s="26" t="str">
        <f>IF(B716="","",INDEX(CODIGOSMANODEOBRA,MATCH($B716,'INSUMOS MANO DE OBRA'!$B$7:$B$61,0)))</f>
        <v>MO033</v>
      </c>
      <c r="B716" s="619" t="s">
        <v>357</v>
      </c>
      <c r="C716" s="620"/>
      <c r="D716" s="53">
        <v>1</v>
      </c>
      <c r="E716" s="47">
        <f>IF(B716="","",(VLOOKUP($A716,INSUMOSMANODEOBRA,8,0)))</f>
        <v>104675</v>
      </c>
      <c r="F716" s="45">
        <v>8</v>
      </c>
      <c r="G716" s="54">
        <f>+IFERROR(D716*E716/F716,"")</f>
        <v>13084.375</v>
      </c>
    </row>
    <row r="717" spans="1:7">
      <c r="A717" s="26" t="str">
        <f>IF(B717="","",INDEX(CODIGOSMANODEOBRA,MATCH($B717,'INSUMOS MANO DE OBRA'!$B$7:$B$61,0)))</f>
        <v>MO032</v>
      </c>
      <c r="B717" s="619" t="s">
        <v>356</v>
      </c>
      <c r="C717" s="620"/>
      <c r="D717" s="53">
        <v>3</v>
      </c>
      <c r="E717" s="47">
        <f>IF(B717="","",(VLOOKUP($A717,INSUMOSMANODEOBRA,8,0)))</f>
        <v>90738</v>
      </c>
      <c r="F717" s="45">
        <v>8</v>
      </c>
      <c r="G717" s="54">
        <f>+IFERROR(D717*E717/F717,"")</f>
        <v>34026.75</v>
      </c>
    </row>
    <row r="718" spans="1:7">
      <c r="A718" s="26"/>
      <c r="B718" s="619"/>
      <c r="C718" s="620"/>
      <c r="D718" s="53"/>
      <c r="E718" s="47"/>
      <c r="F718" s="55"/>
      <c r="G718" s="54" t="str">
        <f>+IFERROR(D718*E718/F718,"")</f>
        <v/>
      </c>
    </row>
    <row r="719" spans="1:7">
      <c r="A719" s="26" t="s">
        <v>52</v>
      </c>
      <c r="B719" s="619"/>
      <c r="C719" s="620"/>
      <c r="D719" s="53"/>
      <c r="E719" s="47" t="s">
        <v>52</v>
      </c>
      <c r="F719" s="55" t="str">
        <f>+IF(A719="","",IF(A719=0,"",IF(F718="","",F718)))</f>
        <v/>
      </c>
      <c r="G719" s="54" t="str">
        <f>+IFERROR(D719*E719/F719,"")</f>
        <v/>
      </c>
    </row>
    <row r="720" spans="1:7">
      <c r="A720" s="34"/>
      <c r="B720" s="35"/>
      <c r="C720" s="119"/>
      <c r="D720" s="119"/>
      <c r="E720" s="36"/>
      <c r="F720" s="37" t="s">
        <v>62</v>
      </c>
      <c r="G720" s="38">
        <f>+IF(SUM(G716:G719)=0,"",SUM(G716:G719))</f>
        <v>47111.125</v>
      </c>
    </row>
    <row r="721" spans="1:7">
      <c r="A721" s="121"/>
      <c r="B721" s="119"/>
      <c r="C721" s="56"/>
      <c r="D721" s="56"/>
      <c r="E721" s="56"/>
      <c r="F721" s="40"/>
      <c r="G721" s="57"/>
    </row>
    <row r="722" spans="1:7">
      <c r="A722" s="464" t="s">
        <v>76</v>
      </c>
      <c r="B722" s="464"/>
      <c r="C722" s="464"/>
      <c r="D722" s="464"/>
      <c r="E722" s="464"/>
      <c r="F722" s="464"/>
      <c r="G722" s="465"/>
    </row>
    <row r="723" spans="1:7">
      <c r="A723" s="120" t="s">
        <v>57</v>
      </c>
      <c r="B723" s="500" t="s">
        <v>46</v>
      </c>
      <c r="C723" s="500"/>
      <c r="D723" s="120" t="s">
        <v>47</v>
      </c>
      <c r="E723" s="120" t="s">
        <v>48</v>
      </c>
      <c r="F723" s="120" t="s">
        <v>65</v>
      </c>
      <c r="G723" s="120" t="s">
        <v>60</v>
      </c>
    </row>
    <row r="724" spans="1:7">
      <c r="A724" s="26" t="str">
        <f>IF(B724="","",INDEX(CODIGOSSERVICIOS,MATCH($B724,'INSUMOS SERVICIOS'!$B$7:$B$21,0)))</f>
        <v/>
      </c>
      <c r="B724" s="619"/>
      <c r="C724" s="620"/>
      <c r="D724" s="44" t="str">
        <f>+IF(B724="","",(VLOOKUP($A724,INSUMOSSERVICIOS,3,0)))</f>
        <v/>
      </c>
      <c r="E724" s="58"/>
      <c r="F724" s="47" t="str">
        <f>IF(B724="","",(VLOOKUP($A724,INSUMOSSERVICIOS,4,0)))</f>
        <v/>
      </c>
      <c r="G724" s="30" t="str">
        <f>+IFERROR(E724*F724,"")</f>
        <v/>
      </c>
    </row>
    <row r="725" spans="1:7">
      <c r="A725" s="26" t="str">
        <f>IF(B725="","",INDEX(CODIGOSSERVICIOS,MATCH($B725,'INSUMOS SERVICIOS'!$B$7:$B$21,0)))</f>
        <v/>
      </c>
      <c r="B725" s="619"/>
      <c r="C725" s="620"/>
      <c r="D725" s="44" t="str">
        <f>+IF(B725="","",(VLOOKUP($A725,INSUMOSSERVICIOS,3,0)))</f>
        <v/>
      </c>
      <c r="E725" s="58"/>
      <c r="F725" s="47" t="str">
        <f>IF(B725="","",(VLOOKUP($A725,INSUMOSSERVICIOS,4,0)))</f>
        <v/>
      </c>
      <c r="G725" s="30" t="str">
        <f>+IFERROR(E725*F725,"")</f>
        <v/>
      </c>
    </row>
    <row r="726" spans="1:7">
      <c r="A726" s="26" t="s">
        <v>52</v>
      </c>
      <c r="B726" s="619"/>
      <c r="C726" s="620"/>
      <c r="D726" s="44" t="str">
        <f>+IF(B726="","",(VLOOKUP($A726,INSUMOS_SERVICIOS,3,0)))</f>
        <v/>
      </c>
      <c r="E726" s="58"/>
      <c r="F726" s="47" t="str">
        <f>IF(B726="","",(VLOOKUP($A726,INSUMOS_SERVICIOS,4,0)))</f>
        <v/>
      </c>
      <c r="G726" s="30" t="str">
        <f>+IFERROR(E726*F726,"")</f>
        <v/>
      </c>
    </row>
    <row r="727" spans="1:7">
      <c r="A727" s="34"/>
      <c r="B727" s="35"/>
      <c r="C727" s="119"/>
      <c r="D727" s="119"/>
      <c r="E727" s="36"/>
      <c r="F727" s="59" t="s">
        <v>62</v>
      </c>
      <c r="G727" s="38" t="str">
        <f>+IF(SUM(G724:G726)=0,"",SUM(G724:G726))</f>
        <v/>
      </c>
    </row>
    <row r="728" spans="1:7">
      <c r="A728" s="121"/>
      <c r="B728" s="119"/>
      <c r="C728" s="56"/>
      <c r="D728" s="56"/>
      <c r="E728" s="56"/>
      <c r="F728" s="40"/>
      <c r="G728" s="57"/>
    </row>
    <row r="729" spans="1:7">
      <c r="A729" s="494" t="s">
        <v>77</v>
      </c>
      <c r="B729" s="494"/>
      <c r="C729" s="494"/>
      <c r="D729" s="494"/>
      <c r="E729" s="494"/>
      <c r="F729" s="494"/>
      <c r="G729" s="60">
        <f>IF(SUM(G699,G706,G712,G720,G727)=0,"",(ROUND(SUM(G699,G706,G712,G720,G727),0)))</f>
        <v>103847</v>
      </c>
    </row>
    <row r="730" spans="1:7">
      <c r="A730" s="57"/>
      <c r="B730" s="49"/>
      <c r="C730" s="49"/>
      <c r="D730" s="49"/>
      <c r="E730" s="49"/>
      <c r="F730" s="49"/>
      <c r="G730" s="40"/>
    </row>
    <row r="731" spans="1:7">
      <c r="A731" s="464" t="s">
        <v>78</v>
      </c>
      <c r="B731" s="464"/>
      <c r="C731" s="464"/>
      <c r="D731" s="464"/>
      <c r="E731" s="464"/>
      <c r="F731" s="464"/>
      <c r="G731" s="464"/>
    </row>
    <row r="732" spans="1:7">
      <c r="A732" s="119"/>
      <c r="B732" s="119"/>
      <c r="C732" s="119"/>
      <c r="D732" s="119"/>
      <c r="E732" s="119"/>
      <c r="F732" s="119"/>
      <c r="G732" s="119"/>
    </row>
    <row r="733" spans="1:7">
      <c r="A733" s="495" t="s">
        <v>46</v>
      </c>
      <c r="B733" s="495"/>
      <c r="C733" s="495"/>
      <c r="D733" s="495"/>
      <c r="E733" s="495"/>
      <c r="F733" s="61" t="s">
        <v>79</v>
      </c>
      <c r="G733" s="61" t="s">
        <v>50</v>
      </c>
    </row>
    <row r="734" spans="1:7">
      <c r="A734" s="496" t="s">
        <v>80</v>
      </c>
      <c r="B734" s="496"/>
      <c r="C734" s="496"/>
      <c r="D734" s="496"/>
      <c r="E734" s="496"/>
      <c r="F734" s="62">
        <f ca="1">AIU!$I$46</f>
        <v>0.34160000000000001</v>
      </c>
      <c r="G734" s="63">
        <f ca="1">+IFERROR(G729*F734,"")</f>
        <v>35474.135200000004</v>
      </c>
    </row>
    <row r="735" spans="1:7">
      <c r="A735" s="496" t="s">
        <v>81</v>
      </c>
      <c r="B735" s="496"/>
      <c r="C735" s="496"/>
      <c r="D735" s="496"/>
      <c r="E735" s="496"/>
      <c r="F735" s="62" t="str">
        <f>IF(AIU!$I$47=0,"",AIU!$I$47)</f>
        <v/>
      </c>
      <c r="G735" s="63" t="str">
        <f>+IFERROR(G729*F735,"")</f>
        <v/>
      </c>
    </row>
    <row r="736" spans="1:7">
      <c r="A736" s="496" t="s">
        <v>82</v>
      </c>
      <c r="B736" s="496"/>
      <c r="C736" s="496"/>
      <c r="D736" s="496"/>
      <c r="E736" s="496"/>
      <c r="F736" s="62">
        <f>IF(AIU!$I$48=0,"",AIU!$I$48)</f>
        <v>0.05</v>
      </c>
      <c r="G736" s="63">
        <f>+IFERROR(G729*F736,"")</f>
        <v>5192.3500000000004</v>
      </c>
    </row>
    <row r="737" spans="1:7">
      <c r="A737" s="497" t="s">
        <v>83</v>
      </c>
      <c r="B737" s="498"/>
      <c r="C737" s="498"/>
      <c r="D737" s="498"/>
      <c r="E737" s="498"/>
      <c r="F737" s="64">
        <f ca="1">IF(SUM(F734:F736)=0,"",SUM(F734:F736))</f>
        <v>0.3916</v>
      </c>
      <c r="G737" s="65">
        <f ca="1">IF(SUM(G734:G736)=0,"",ROUND(SUM(G734:G736),0))</f>
        <v>40666</v>
      </c>
    </row>
    <row r="738" spans="1:7">
      <c r="A738" s="57"/>
      <c r="B738" s="35"/>
      <c r="C738" s="35"/>
      <c r="D738" s="35"/>
      <c r="E738" s="499"/>
      <c r="F738" s="499"/>
      <c r="G738" s="66"/>
    </row>
    <row r="739" spans="1:7">
      <c r="A739" s="466" t="s">
        <v>84</v>
      </c>
      <c r="B739" s="467"/>
      <c r="C739" s="467"/>
      <c r="D739" s="467"/>
      <c r="E739" s="467"/>
      <c r="F739" s="467"/>
      <c r="G739" s="67">
        <f ca="1">+IFERROR(ROUND(G729+G737,0),"")</f>
        <v>144513</v>
      </c>
    </row>
    <row r="740" spans="1:7">
      <c r="A740" s="20"/>
      <c r="B740" s="20"/>
      <c r="C740" s="20"/>
      <c r="D740" s="20"/>
      <c r="E740" s="19"/>
      <c r="F740" s="19"/>
      <c r="G740" s="21"/>
    </row>
    <row r="741" spans="1:7">
      <c r="A741" s="20"/>
      <c r="B741" s="184"/>
      <c r="C741" s="19"/>
      <c r="D741" s="19"/>
      <c r="E741" s="19"/>
      <c r="F741" s="19"/>
      <c r="G741" s="19"/>
    </row>
    <row r="742" spans="1:7">
      <c r="A742" s="20"/>
      <c r="B742" s="184" t="s">
        <v>781</v>
      </c>
      <c r="C742" s="19"/>
      <c r="D742" s="19"/>
      <c r="E742" s="19"/>
      <c r="F742" s="19"/>
      <c r="G742" s="19"/>
    </row>
    <row r="743" spans="1:7">
      <c r="A743" s="20"/>
      <c r="B743" s="184"/>
      <c r="C743" s="19"/>
      <c r="D743" s="68"/>
      <c r="E743" s="68"/>
      <c r="F743" s="68"/>
      <c r="G743" s="19"/>
    </row>
    <row r="744" spans="1:7">
      <c r="A744" s="20"/>
      <c r="B744" s="184"/>
      <c r="C744" s="21"/>
      <c r="D744" s="538" t="s">
        <v>85</v>
      </c>
      <c r="E744" s="538"/>
      <c r="F744" s="538"/>
      <c r="G744" s="21"/>
    </row>
    <row r="746" spans="1:7" ht="18.75">
      <c r="A746" s="480" t="str">
        <f>'DATOS INICIALES'!$B$1</f>
        <v>DEPARTAMENTO DE ANTIOQUIA</v>
      </c>
      <c r="B746" s="481"/>
      <c r="C746" s="481"/>
      <c r="D746" s="481"/>
      <c r="E746" s="481"/>
      <c r="F746" s="482" t="s">
        <v>52</v>
      </c>
      <c r="G746" s="482"/>
    </row>
    <row r="747" spans="1:7" ht="15.75">
      <c r="A747" s="483" t="str">
        <f>'DATOS INICIALES'!$B$2</f>
        <v>MUNICIPIO DE DABEIBA</v>
      </c>
      <c r="B747" s="484"/>
      <c r="C747" s="484"/>
      <c r="D747" s="484"/>
      <c r="E747" s="484"/>
      <c r="F747" s="482"/>
      <c r="G747" s="482"/>
    </row>
    <row r="748" spans="1:7">
      <c r="A748" s="485" t="str">
        <f>'DATOS INICIALES'!$B$3</f>
        <v xml:space="preserve">AMPLIACIÓN DEL SISTEMA DE ALCANTARILLADO EN SECTOR DEL BARRIO PABLO VI  DEL MUNICIPIO DE DABEIBA ANTIOQUIA </v>
      </c>
      <c r="B748" s="486"/>
      <c r="C748" s="486"/>
      <c r="D748" s="486"/>
      <c r="E748" s="486"/>
      <c r="F748" s="482"/>
      <c r="G748" s="482"/>
    </row>
    <row r="749" spans="1:7">
      <c r="A749" s="487"/>
      <c r="B749" s="487"/>
      <c r="C749" s="487"/>
      <c r="D749" s="487"/>
      <c r="E749" s="488"/>
      <c r="F749" s="482"/>
      <c r="G749" s="482"/>
    </row>
    <row r="750" spans="1:7">
      <c r="A750" s="489" t="s">
        <v>53</v>
      </c>
      <c r="B750" s="490"/>
      <c r="C750" s="490"/>
      <c r="D750" s="490"/>
      <c r="E750" s="490"/>
      <c r="F750" s="482"/>
      <c r="G750" s="482"/>
    </row>
    <row r="751" spans="1:7">
      <c r="A751" s="487"/>
      <c r="B751" s="487"/>
      <c r="C751" s="487"/>
      <c r="D751" s="487"/>
      <c r="E751" s="487"/>
      <c r="F751" s="491"/>
      <c r="G751" s="491"/>
    </row>
    <row r="752" spans="1:7">
      <c r="A752" s="22" t="s">
        <v>45</v>
      </c>
      <c r="B752" s="468" t="s">
        <v>46</v>
      </c>
      <c r="C752" s="469"/>
      <c r="D752" s="470"/>
      <c r="E752" s="23" t="s">
        <v>47</v>
      </c>
      <c r="F752" s="24" t="s">
        <v>48</v>
      </c>
      <c r="G752" s="24" t="s">
        <v>54</v>
      </c>
    </row>
    <row r="753" spans="1:7">
      <c r="A753" s="25" t="s">
        <v>175</v>
      </c>
      <c r="B753" s="471" t="str">
        <f>+IFERROR(VLOOKUP($A753,INSUMOSMATERIALES,2,0),"")</f>
        <v>MORTERO 1:4 EN OBRA (PEGA)</v>
      </c>
      <c r="C753" s="472"/>
      <c r="D753" s="473"/>
      <c r="E753" s="82" t="str">
        <f>+IFERROR(VLOOKUP($A753,INSUMOSMATERIALES,3,0),"")</f>
        <v>M3</v>
      </c>
      <c r="F753" s="82" t="s">
        <v>456</v>
      </c>
      <c r="G753" s="153">
        <f ca="1">IF(G801=0,"",G791)</f>
        <v>103847</v>
      </c>
    </row>
    <row r="754" spans="1:7">
      <c r="A754" s="20"/>
      <c r="B754" s="20"/>
      <c r="C754" s="20"/>
      <c r="D754" s="20"/>
      <c r="E754" s="19"/>
      <c r="F754" s="19"/>
      <c r="G754" s="21"/>
    </row>
    <row r="755" spans="1:7">
      <c r="A755" s="464" t="s">
        <v>55</v>
      </c>
      <c r="B755" s="464"/>
      <c r="C755" s="464"/>
      <c r="D755" s="464"/>
      <c r="E755" s="464"/>
      <c r="F755" s="464"/>
      <c r="G755" s="464"/>
    </row>
    <row r="756" spans="1:7">
      <c r="A756" s="119"/>
      <c r="B756" s="119"/>
      <c r="C756" s="119"/>
      <c r="D756" s="119"/>
      <c r="E756" s="119"/>
      <c r="F756" s="119"/>
      <c r="G756" s="119"/>
    </row>
    <row r="757" spans="1:7">
      <c r="A757" s="474" t="s">
        <v>56</v>
      </c>
      <c r="B757" s="474"/>
      <c r="C757" s="474"/>
      <c r="D757" s="474"/>
      <c r="E757" s="474"/>
      <c r="F757" s="474"/>
      <c r="G757" s="475"/>
    </row>
    <row r="758" spans="1:7">
      <c r="A758" s="120" t="s">
        <v>57</v>
      </c>
      <c r="B758" s="476" t="s">
        <v>46</v>
      </c>
      <c r="C758" s="477"/>
      <c r="D758" s="120" t="s">
        <v>47</v>
      </c>
      <c r="E758" s="120" t="s">
        <v>58</v>
      </c>
      <c r="F758" s="120" t="s">
        <v>59</v>
      </c>
      <c r="G758" s="120" t="s">
        <v>60</v>
      </c>
    </row>
    <row r="759" spans="1:7">
      <c r="A759" s="26" t="str">
        <f>IF(B759="","",INDEX(CODIGOEQUIPOS,MATCH($B759,'INSUMOS EQUIPOS'!$B$7:$B$39,0)))</f>
        <v>EQ004</v>
      </c>
      <c r="B759" s="621" t="s">
        <v>95</v>
      </c>
      <c r="C759" s="622"/>
      <c r="D759" s="27" t="str">
        <f>IF(B759="","",(VLOOKUP($A759,INSUMOSEQUIPOS,3,0)))</f>
        <v>DÍA</v>
      </c>
      <c r="E759" s="28">
        <f>IF(B759="","",(VLOOKUP($A759,INSUMOSEQUIPOS,4,0)))</f>
        <v>62000</v>
      </c>
      <c r="F759" s="29">
        <v>8</v>
      </c>
      <c r="G759" s="30">
        <f>+IFERROR(E759/F759,"")</f>
        <v>7750</v>
      </c>
    </row>
    <row r="760" spans="1:7">
      <c r="A760" s="31" t="str">
        <f>+IF(G782="","","EQ001")</f>
        <v>EQ001</v>
      </c>
      <c r="B760" s="502" t="str">
        <f>+IF($A760="","",IFERROR(VLOOKUP($A760,INSUMOSEQUIPOS,2,0),""))</f>
        <v>HERRAMIENTA MENOR (10% DE LA MANO DE OBRA)</v>
      </c>
      <c r="C760" s="503"/>
      <c r="D760" s="27" t="str">
        <f>+IF($A760="","",IFERROR(VLOOKUP($A760,INSUMOSEQUIPOS,3,0),""))</f>
        <v>%</v>
      </c>
      <c r="E760" s="32">
        <f>+IF($A760="","",IFERROR(VLOOKUP($A760,INSUMOSEQUIPOS,4,0),""))</f>
        <v>0.1</v>
      </c>
      <c r="F760" s="33">
        <f>+IF(G782=0,"",G782)</f>
        <v>47111.125</v>
      </c>
      <c r="G760" s="30">
        <f>+IFERROR(E760*F760,"")</f>
        <v>4711.1125000000002</v>
      </c>
    </row>
    <row r="761" spans="1:7">
      <c r="A761" s="34"/>
      <c r="B761" s="35"/>
      <c r="C761" s="119"/>
      <c r="D761" s="119"/>
      <c r="E761" s="36"/>
      <c r="F761" s="37" t="s">
        <v>62</v>
      </c>
      <c r="G761" s="38">
        <f>+IF(SUM(G759:G760)=0,"",SUM(G759:G760))</f>
        <v>12461.112499999999</v>
      </c>
    </row>
    <row r="762" spans="1:7">
      <c r="A762" s="35"/>
      <c r="B762" s="119"/>
      <c r="C762" s="119"/>
      <c r="D762" s="36"/>
      <c r="E762" s="39"/>
      <c r="F762" s="40"/>
      <c r="G762" s="34"/>
    </row>
    <row r="763" spans="1:7">
      <c r="A763" s="464" t="s">
        <v>63</v>
      </c>
      <c r="B763" s="464"/>
      <c r="C763" s="464"/>
      <c r="D763" s="464"/>
      <c r="E763" s="464"/>
      <c r="F763" s="464"/>
      <c r="G763" s="465"/>
    </row>
    <row r="764" spans="1:7">
      <c r="A764" s="120" t="s">
        <v>57</v>
      </c>
      <c r="B764" s="41" t="s">
        <v>46</v>
      </c>
      <c r="C764" s="42" t="s">
        <v>47</v>
      </c>
      <c r="D764" s="42" t="s">
        <v>48</v>
      </c>
      <c r="E764" s="42" t="s">
        <v>64</v>
      </c>
      <c r="F764" s="42" t="s">
        <v>65</v>
      </c>
      <c r="G764" s="42" t="s">
        <v>60</v>
      </c>
    </row>
    <row r="765" spans="1:7" ht="22.5">
      <c r="A765" s="26" t="e">
        <f>IF(B765="","",INDEX(CODIGOMATERIALES,MATCH($B765,'INSUMOS MATERIALES'!$B$7:$B$54,0)))</f>
        <v>#N/A</v>
      </c>
      <c r="B765" s="43" t="s">
        <v>190</v>
      </c>
      <c r="C765" s="44" t="e">
        <f>IF(B765="","",(VLOOKUP($A765,INSUMOSMATERIALES,3,0)))</f>
        <v>#N/A</v>
      </c>
      <c r="D765" s="45">
        <v>7.28</v>
      </c>
      <c r="E765" s="46">
        <v>0.05</v>
      </c>
      <c r="F765" s="47" t="e">
        <f>IF(B765="","",(VLOOKUP($A765,INSUMOSMATERIALES,4,0)))</f>
        <v>#N/A</v>
      </c>
      <c r="G765" s="30" t="str">
        <f>+IFERROR(F765*D765*(1+E765),"")</f>
        <v/>
      </c>
    </row>
    <row r="766" spans="1:7">
      <c r="A766" s="26" t="e">
        <f>IF(B766="","",INDEX(CODIGOMATERIALES,MATCH($B766,'INSUMOS MATERIALES'!$B$7:$B$54,0)))</f>
        <v>#N/A</v>
      </c>
      <c r="B766" s="43" t="s">
        <v>196</v>
      </c>
      <c r="C766" s="44" t="e">
        <f>IF(B766="","",(VLOOKUP($A766,INSUMOSMATERIALES,3,0)))</f>
        <v>#N/A</v>
      </c>
      <c r="D766" s="45">
        <v>1.1599999999999999</v>
      </c>
      <c r="E766" s="46">
        <v>0.05</v>
      </c>
      <c r="F766" s="47" t="e">
        <f>IF(B766="","",(VLOOKUP($A766,INSUMOSMATERIALES,4,0)))</f>
        <v>#N/A</v>
      </c>
      <c r="G766" s="30" t="str">
        <f>+IFERROR(F766*D766*(1+E766),"")</f>
        <v/>
      </c>
    </row>
    <row r="767" spans="1:7">
      <c r="A767" s="26" t="e">
        <f>IF(B767="","",INDEX(CODIGOMATERIALES,MATCH($B767,'INSUMOS MATERIALES'!$B$7:$B$54,0)))</f>
        <v>#N/A</v>
      </c>
      <c r="B767" s="43" t="s">
        <v>199</v>
      </c>
      <c r="C767" s="44" t="e">
        <f>IF(B767="","",(VLOOKUP($A767,INSUMOSMATERIALES,3,0)))</f>
        <v>#N/A</v>
      </c>
      <c r="D767" s="45">
        <v>185</v>
      </c>
      <c r="E767" s="46">
        <v>0.1</v>
      </c>
      <c r="F767" s="47" t="e">
        <f>IF(B767="","",(VLOOKUP($A767,INSUMOSMATERIALES,4,0)))</f>
        <v>#N/A</v>
      </c>
      <c r="G767" s="30" t="str">
        <f>+IFERROR(F767*D767*(1+E767),"")</f>
        <v/>
      </c>
    </row>
    <row r="768" spans="1:7">
      <c r="A768" s="34"/>
      <c r="B768" s="48"/>
      <c r="C768" s="119"/>
      <c r="D768" s="119"/>
      <c r="E768" s="36"/>
      <c r="F768" s="37" t="s">
        <v>62</v>
      </c>
      <c r="G768" s="38" t="str">
        <f>+IF(SUM(G765:G767)=0,"",SUM(G765:G767))</f>
        <v/>
      </c>
    </row>
    <row r="769" spans="1:7">
      <c r="A769" s="35"/>
      <c r="B769" s="119"/>
      <c r="C769" s="119"/>
      <c r="D769" s="36"/>
      <c r="E769" s="49"/>
      <c r="F769" s="40"/>
      <c r="G769" s="34"/>
    </row>
    <row r="770" spans="1:7">
      <c r="A770" s="464" t="s">
        <v>66</v>
      </c>
      <c r="B770" s="464"/>
      <c r="C770" s="464"/>
      <c r="D770" s="464"/>
      <c r="E770" s="464"/>
      <c r="F770" s="464"/>
      <c r="G770" s="464"/>
    </row>
    <row r="771" spans="1:7">
      <c r="A771" s="120" t="s">
        <v>57</v>
      </c>
      <c r="B771" s="120" t="s">
        <v>46</v>
      </c>
      <c r="C771" s="120" t="s">
        <v>67</v>
      </c>
      <c r="D771" s="120" t="s">
        <v>68</v>
      </c>
      <c r="E771" s="42" t="s">
        <v>69</v>
      </c>
      <c r="F771" s="42" t="s">
        <v>58</v>
      </c>
      <c r="G771" s="42" t="s">
        <v>60</v>
      </c>
    </row>
    <row r="772" spans="1:7" ht="33.75">
      <c r="A772" s="26" t="str">
        <f>IF(B772="","",INDEX(CODIGOTRANSPORTES,MATCH(B772,'INSUMOS TRANSPORTES'!$B$7:$B$13,0)))</f>
        <v>TR002</v>
      </c>
      <c r="B772" s="43" t="s">
        <v>842</v>
      </c>
      <c r="C772" s="50" t="s">
        <v>457</v>
      </c>
      <c r="D772" s="45">
        <f>(D766)*1.05</f>
        <v>1.218</v>
      </c>
      <c r="E772" s="51">
        <f>+IF(C772=0,"",IF(C772="INSUMOS",'DATOS INICIALES'!$B$24,IF(C772="PLAYA",'DATOS INICIALES'!$B$21,IF(C772="TIERRA",'DATOS INICIALES'!$B$19,IF(C772="ESCOMBROS",'DATOS INICIALES'!$B$20,IF(C772="ASFALTO",'DATOS INICIALES'!$B$25,IF(C772="GRANULAR",'DATOS INICIALES'!B790)))))))</f>
        <v>10</v>
      </c>
      <c r="F772" s="28">
        <f>+IF(B772="","",(VLOOKUP($A772,INSUMOSTRANSPORTES,4,0)))</f>
        <v>3000</v>
      </c>
      <c r="G772" s="30">
        <f>+IFERROR(D772*E772*F772,"")</f>
        <v>36540</v>
      </c>
    </row>
    <row r="773" spans="1:7" ht="22.5">
      <c r="A773" s="26" t="str">
        <f>IF(B773="","",INDEX(CODIGOTRANSPORTES,MATCH(B773,'INSUMOS TRANSPORTES'!$B$7:$B$26,0)))</f>
        <v>TR007</v>
      </c>
      <c r="B773" s="43" t="s">
        <v>459</v>
      </c>
      <c r="C773" s="50" t="s">
        <v>458</v>
      </c>
      <c r="D773" s="45">
        <f>(50*D765)/1000</f>
        <v>0.36399999999999999</v>
      </c>
      <c r="E773" s="51">
        <f>+IF(C773=0,"",IF(C773="INSUMOS",'DATOS INICIALES'!$B$24,IF(C773="PLAYA",'DATOS INICIALES'!$B$21,IF(C773="TIERRA",'DATOS INICIALES'!$B$19,IF(C773="ESCOMBROS",'DATOS INICIALES'!$B$20,IF(C773="ASFALTO",'DATOS INICIALES'!$B$25,IF(C773="GRANULAR",'DATOS INICIALES'!B791)))))))</f>
        <v>5</v>
      </c>
      <c r="F773" s="28">
        <f>+IF(B773="","",(VLOOKUP($A773,INSUMOSTRANSPORTES,4,0)))</f>
        <v>4250</v>
      </c>
      <c r="G773" s="30">
        <f>+IFERROR(D773*E773*F773,"")</f>
        <v>7734.9999999999991</v>
      </c>
    </row>
    <row r="774" spans="1:7">
      <c r="A774" s="34"/>
      <c r="B774" s="52"/>
      <c r="C774" s="119"/>
      <c r="D774" s="119"/>
      <c r="E774" s="36"/>
      <c r="F774" s="37" t="s">
        <v>62</v>
      </c>
      <c r="G774" s="38">
        <f>+IF(SUM(G772:G773)=0,"",SUM(G772:G773))</f>
        <v>44275</v>
      </c>
    </row>
    <row r="775" spans="1:7">
      <c r="A775" s="119"/>
      <c r="B775" s="119"/>
      <c r="C775" s="119"/>
      <c r="D775" s="36"/>
      <c r="E775" s="49"/>
      <c r="F775" s="40"/>
      <c r="G775" s="34"/>
    </row>
    <row r="776" spans="1:7">
      <c r="A776" s="464" t="s">
        <v>70</v>
      </c>
      <c r="B776" s="464"/>
      <c r="C776" s="464"/>
      <c r="D776" s="464"/>
      <c r="E776" s="464"/>
      <c r="F776" s="464"/>
      <c r="G776" s="465"/>
    </row>
    <row r="777" spans="1:7">
      <c r="A777" s="120" t="s">
        <v>57</v>
      </c>
      <c r="B777" s="500" t="s">
        <v>71</v>
      </c>
      <c r="C777" s="500"/>
      <c r="D777" s="42" t="s">
        <v>48</v>
      </c>
      <c r="E777" s="42" t="s">
        <v>72</v>
      </c>
      <c r="F777" s="42" t="s">
        <v>59</v>
      </c>
      <c r="G777" s="42" t="s">
        <v>60</v>
      </c>
    </row>
    <row r="778" spans="1:7">
      <c r="A778" s="26" t="str">
        <f>IF(B778="","",INDEX(CODIGOSMANODEOBRA,MATCH($B778,'INSUMOS MANO DE OBRA'!$B$7:$B$61,0)))</f>
        <v>MO033</v>
      </c>
      <c r="B778" s="619" t="s">
        <v>357</v>
      </c>
      <c r="C778" s="620"/>
      <c r="D778" s="53">
        <v>1</v>
      </c>
      <c r="E778" s="47">
        <f>IF(B778="","",(VLOOKUP($A778,INSUMOSMANODEOBRA,8,0)))</f>
        <v>104675</v>
      </c>
      <c r="F778" s="45">
        <v>8</v>
      </c>
      <c r="G778" s="54">
        <f>+IFERROR(D778*E778/F778,"")</f>
        <v>13084.375</v>
      </c>
    </row>
    <row r="779" spans="1:7">
      <c r="A779" s="26" t="str">
        <f>IF(B779="","",INDEX(CODIGOSMANODEOBRA,MATCH($B779,'INSUMOS MANO DE OBRA'!$B$7:$B$61,0)))</f>
        <v>MO032</v>
      </c>
      <c r="B779" s="619" t="s">
        <v>356</v>
      </c>
      <c r="C779" s="620"/>
      <c r="D779" s="53">
        <v>3</v>
      </c>
      <c r="E779" s="47">
        <f>IF(B779="","",(VLOOKUP($A779,INSUMOSMANODEOBRA,8,0)))</f>
        <v>90738</v>
      </c>
      <c r="F779" s="45">
        <v>8</v>
      </c>
      <c r="G779" s="54">
        <f>+IFERROR(D779*E779/F779,"")</f>
        <v>34026.75</v>
      </c>
    </row>
    <row r="780" spans="1:7">
      <c r="A780" s="26"/>
      <c r="B780" s="619"/>
      <c r="C780" s="620"/>
      <c r="D780" s="53"/>
      <c r="E780" s="47"/>
      <c r="F780" s="55"/>
      <c r="G780" s="54" t="str">
        <f>+IFERROR(D780*E780/F780,"")</f>
        <v/>
      </c>
    </row>
    <row r="781" spans="1:7">
      <c r="A781" s="26" t="s">
        <v>52</v>
      </c>
      <c r="B781" s="619"/>
      <c r="C781" s="620"/>
      <c r="D781" s="53"/>
      <c r="E781" s="47" t="s">
        <v>52</v>
      </c>
      <c r="F781" s="55" t="str">
        <f>+IF(A781="","",IF(A781=0,"",IF(F780="","",F780)))</f>
        <v/>
      </c>
      <c r="G781" s="54" t="str">
        <f>+IFERROR(D781*E781/F781,"")</f>
        <v/>
      </c>
    </row>
    <row r="782" spans="1:7">
      <c r="A782" s="34"/>
      <c r="B782" s="35"/>
      <c r="C782" s="119"/>
      <c r="D782" s="119"/>
      <c r="E782" s="36"/>
      <c r="F782" s="37" t="s">
        <v>62</v>
      </c>
      <c r="G782" s="38">
        <f>+IF(SUM(G778:G781)=0,"",SUM(G778:G781))</f>
        <v>47111.125</v>
      </c>
    </row>
    <row r="783" spans="1:7">
      <c r="A783" s="121"/>
      <c r="B783" s="119"/>
      <c r="C783" s="56"/>
      <c r="D783" s="56"/>
      <c r="E783" s="56"/>
      <c r="F783" s="40"/>
      <c r="G783" s="57"/>
    </row>
    <row r="784" spans="1:7">
      <c r="A784" s="464" t="s">
        <v>76</v>
      </c>
      <c r="B784" s="464"/>
      <c r="C784" s="464"/>
      <c r="D784" s="464"/>
      <c r="E784" s="464"/>
      <c r="F784" s="464"/>
      <c r="G784" s="465"/>
    </row>
    <row r="785" spans="1:7">
      <c r="A785" s="120" t="s">
        <v>57</v>
      </c>
      <c r="B785" s="500" t="s">
        <v>46</v>
      </c>
      <c r="C785" s="500"/>
      <c r="D785" s="120" t="s">
        <v>47</v>
      </c>
      <c r="E785" s="120" t="s">
        <v>48</v>
      </c>
      <c r="F785" s="120" t="s">
        <v>65</v>
      </c>
      <c r="G785" s="120" t="s">
        <v>60</v>
      </c>
    </row>
    <row r="786" spans="1:7">
      <c r="A786" s="26" t="str">
        <f>IF(B786="","",INDEX(CODIGOSSERVICIOS,MATCH($B786,'INSUMOS SERVICIOS'!$B$7:$B$21,0)))</f>
        <v/>
      </c>
      <c r="B786" s="619"/>
      <c r="C786" s="620"/>
      <c r="D786" s="44" t="str">
        <f>+IF(B786="","",(VLOOKUP($A786,INSUMOSSERVICIOS,3,0)))</f>
        <v/>
      </c>
      <c r="E786" s="58"/>
      <c r="F786" s="47" t="str">
        <f>IF(B786="","",(VLOOKUP($A786,INSUMOSSERVICIOS,4,0)))</f>
        <v/>
      </c>
      <c r="G786" s="30" t="str">
        <f>+IFERROR(E786*F786,"")</f>
        <v/>
      </c>
    </row>
    <row r="787" spans="1:7">
      <c r="A787" s="26" t="str">
        <f>IF(B787="","",INDEX(CODIGOSSERVICIOS,MATCH($B787,'INSUMOS SERVICIOS'!$B$7:$B$21,0)))</f>
        <v/>
      </c>
      <c r="B787" s="619"/>
      <c r="C787" s="620"/>
      <c r="D787" s="44" t="str">
        <f>+IF(B787="","",(VLOOKUP($A787,INSUMOSSERVICIOS,3,0)))</f>
        <v/>
      </c>
      <c r="E787" s="58"/>
      <c r="F787" s="47" t="str">
        <f>IF(B787="","",(VLOOKUP($A787,INSUMOSSERVICIOS,4,0)))</f>
        <v/>
      </c>
      <c r="G787" s="30" t="str">
        <f>+IFERROR(E787*F787,"")</f>
        <v/>
      </c>
    </row>
    <row r="788" spans="1:7">
      <c r="A788" s="26" t="s">
        <v>52</v>
      </c>
      <c r="B788" s="619"/>
      <c r="C788" s="620"/>
      <c r="D788" s="44" t="str">
        <f>+IF(B788="","",(VLOOKUP($A788,INSUMOS_SERVICIOS,3,0)))</f>
        <v/>
      </c>
      <c r="E788" s="58"/>
      <c r="F788" s="47" t="str">
        <f>IF(B788="","",(VLOOKUP($A788,INSUMOS_SERVICIOS,4,0)))</f>
        <v/>
      </c>
      <c r="G788" s="30" t="str">
        <f>+IFERROR(E788*F788,"")</f>
        <v/>
      </c>
    </row>
    <row r="789" spans="1:7">
      <c r="A789" s="34"/>
      <c r="B789" s="35"/>
      <c r="C789" s="119"/>
      <c r="D789" s="119"/>
      <c r="E789" s="36"/>
      <c r="F789" s="59" t="s">
        <v>62</v>
      </c>
      <c r="G789" s="38" t="str">
        <f>+IF(SUM(G786:G788)=0,"",SUM(G786:G788))</f>
        <v/>
      </c>
    </row>
    <row r="790" spans="1:7">
      <c r="A790" s="121"/>
      <c r="B790" s="119"/>
      <c r="C790" s="56"/>
      <c r="D790" s="56"/>
      <c r="E790" s="56"/>
      <c r="F790" s="40"/>
      <c r="G790" s="57"/>
    </row>
    <row r="791" spans="1:7">
      <c r="A791" s="494" t="s">
        <v>77</v>
      </c>
      <c r="B791" s="494"/>
      <c r="C791" s="494"/>
      <c r="D791" s="494"/>
      <c r="E791" s="494"/>
      <c r="F791" s="494"/>
      <c r="G791" s="60">
        <f>IF(SUM(G761,G768,G774,G782,G789)=0,"",(ROUND(SUM(G761,G768,G774,G782,G789),0)))</f>
        <v>103847</v>
      </c>
    </row>
    <row r="792" spans="1:7">
      <c r="A792" s="57"/>
      <c r="B792" s="49"/>
      <c r="C792" s="49"/>
      <c r="D792" s="49"/>
      <c r="E792" s="49"/>
      <c r="F792" s="49"/>
      <c r="G792" s="40"/>
    </row>
    <row r="793" spans="1:7">
      <c r="A793" s="464" t="s">
        <v>78</v>
      </c>
      <c r="B793" s="464"/>
      <c r="C793" s="464"/>
      <c r="D793" s="464"/>
      <c r="E793" s="464"/>
      <c r="F793" s="464"/>
      <c r="G793" s="464"/>
    </row>
    <row r="794" spans="1:7">
      <c r="A794" s="119"/>
      <c r="B794" s="119"/>
      <c r="C794" s="119"/>
      <c r="D794" s="119"/>
      <c r="E794" s="119"/>
      <c r="F794" s="119"/>
      <c r="G794" s="119"/>
    </row>
    <row r="795" spans="1:7">
      <c r="A795" s="495" t="s">
        <v>46</v>
      </c>
      <c r="B795" s="495"/>
      <c r="C795" s="495"/>
      <c r="D795" s="495"/>
      <c r="E795" s="495"/>
      <c r="F795" s="61" t="s">
        <v>79</v>
      </c>
      <c r="G795" s="61" t="s">
        <v>50</v>
      </c>
    </row>
    <row r="796" spans="1:7">
      <c r="A796" s="496" t="s">
        <v>80</v>
      </c>
      <c r="B796" s="496"/>
      <c r="C796" s="496"/>
      <c r="D796" s="496"/>
      <c r="E796" s="496"/>
      <c r="F796" s="62">
        <f ca="1">AIU!$I$46</f>
        <v>0.34160000000000001</v>
      </c>
      <c r="G796" s="63">
        <f ca="1">+IFERROR(G791*F796,"")</f>
        <v>35474.135200000004</v>
      </c>
    </row>
    <row r="797" spans="1:7">
      <c r="A797" s="496" t="s">
        <v>81</v>
      </c>
      <c r="B797" s="496"/>
      <c r="C797" s="496"/>
      <c r="D797" s="496"/>
      <c r="E797" s="496"/>
      <c r="F797" s="62" t="str">
        <f>IF(AIU!$I$47=0,"",AIU!$I$47)</f>
        <v/>
      </c>
      <c r="G797" s="63" t="str">
        <f>+IFERROR(G791*F797,"")</f>
        <v/>
      </c>
    </row>
    <row r="798" spans="1:7">
      <c r="A798" s="496" t="s">
        <v>82</v>
      </c>
      <c r="B798" s="496"/>
      <c r="C798" s="496"/>
      <c r="D798" s="496"/>
      <c r="E798" s="496"/>
      <c r="F798" s="62">
        <f>IF(AIU!$I$48=0,"",AIU!$I$48)</f>
        <v>0.05</v>
      </c>
      <c r="G798" s="63">
        <f>+IFERROR(G791*F798,"")</f>
        <v>5192.3500000000004</v>
      </c>
    </row>
    <row r="799" spans="1:7">
      <c r="A799" s="497" t="s">
        <v>83</v>
      </c>
      <c r="B799" s="498"/>
      <c r="C799" s="498"/>
      <c r="D799" s="498"/>
      <c r="E799" s="498"/>
      <c r="F799" s="64">
        <f ca="1">IF(SUM(F796:F798)=0,"",SUM(F796:F798))</f>
        <v>0.3916</v>
      </c>
      <c r="G799" s="65">
        <f ca="1">IF(SUM(G796:G798)=0,"",ROUND(SUM(G796:G798),0))</f>
        <v>40666</v>
      </c>
    </row>
    <row r="800" spans="1:7">
      <c r="A800" s="57"/>
      <c r="B800" s="35"/>
      <c r="C800" s="35"/>
      <c r="D800" s="35"/>
      <c r="E800" s="499"/>
      <c r="F800" s="499"/>
      <c r="G800" s="66"/>
    </row>
    <row r="801" spans="1:7">
      <c r="A801" s="466" t="s">
        <v>84</v>
      </c>
      <c r="B801" s="467"/>
      <c r="C801" s="467"/>
      <c r="D801" s="467"/>
      <c r="E801" s="467"/>
      <c r="F801" s="467"/>
      <c r="G801" s="67">
        <f ca="1">+IFERROR(ROUND(G791+G799,0),"")</f>
        <v>144513</v>
      </c>
    </row>
    <row r="802" spans="1:7">
      <c r="A802" s="20"/>
      <c r="B802" s="20"/>
      <c r="C802" s="20"/>
      <c r="D802" s="20"/>
      <c r="E802" s="19"/>
      <c r="F802" s="19"/>
      <c r="G802" s="21"/>
    </row>
    <row r="803" spans="1:7">
      <c r="A803" s="20"/>
      <c r="B803" s="184"/>
      <c r="C803" s="19"/>
      <c r="D803" s="19"/>
      <c r="E803" s="19"/>
      <c r="F803" s="19"/>
      <c r="G803" s="19"/>
    </row>
    <row r="804" spans="1:7">
      <c r="A804" s="20"/>
      <c r="B804" s="184" t="s">
        <v>781</v>
      </c>
      <c r="C804" s="19"/>
      <c r="D804" s="19"/>
      <c r="E804" s="19"/>
      <c r="F804" s="19"/>
      <c r="G804" s="19"/>
    </row>
    <row r="805" spans="1:7">
      <c r="A805" s="20"/>
      <c r="B805" s="184"/>
      <c r="C805" s="19"/>
      <c r="D805" s="68"/>
      <c r="E805" s="68"/>
      <c r="F805" s="68"/>
      <c r="G805" s="19"/>
    </row>
    <row r="806" spans="1:7">
      <c r="A806" s="20"/>
      <c r="B806" s="184"/>
      <c r="C806" s="21"/>
      <c r="D806" s="538" t="s">
        <v>85</v>
      </c>
      <c r="E806" s="538"/>
      <c r="F806" s="538"/>
      <c r="G806" s="21"/>
    </row>
  </sheetData>
  <protectedRanges>
    <protectedRange sqref="A8 B14:C14 E42:E44 B34:D37 F34:F35 B42:C44 F14 A71 B77:C77 E104:E106 B96:D99 F96:F97 B104:C106 F77 A133 B139:C139 E166:E168 B158:D161 F158:F159 B166:C168 F139 A195 B201:C201 E228:E230 B220:D223 F220:F221 B228:C230 F201 A257 B263:C263 E290:E292 B282:D285 F282:F283 B290:C292 F263 A319 B325:C325 E352:E354 B344:D347 F344:F345 B352:C354 F325 B331:B333 D331:E333 A381 B387:C387 E414:E416 B406:D409 F406:F407 B414:C416 F387 B338:D339 B393:B395 D393:E395 A443 B449:C449 E476:E478 B468:D471 F468:F469 B476:C478 F449 B400:D401 B455:B457 D455:E457 A505 B511:C511 E538:E540 B530:D533 F530:F531 B538:C540 F511 B462:D463 B517:B519 D517:E519 A567 B573:C573 E600:E602 B592:D595 F592:F593 B600:C602 F573 B524:D525 B579:B581 D579:E581 A629 B635:C635 E662:E664 B654:D657 F654:F655 B662:C664 F635 B586:D587 B641:B643 D641:E643 A691 B697:C697 E724:E726 B716:D719 F716:F717 B724:C726 F697 B648:D649 B703:B705 D703:E705 B710:D711 A753 B759:C759 E786:E788 B778:D781 F778:F779 B786:C788 F759 B765:B767 D765:E767 B772:D773 B20:B23 D20:E23 B28:D29 B83:B85 D83:E85 B90:D91 B145:B147 D145:E147 B152:D153 B207:B209 D207:E209 B214:D215 B269:B271 D269:E271 B276:D277" name="Rango1"/>
  </protectedRanges>
  <mergeCells count="495">
    <mergeCell ref="A801:F801"/>
    <mergeCell ref="D806:F806"/>
    <mergeCell ref="B788:C788"/>
    <mergeCell ref="A791:F791"/>
    <mergeCell ref="A793:G793"/>
    <mergeCell ref="A795:E795"/>
    <mergeCell ref="A796:E796"/>
    <mergeCell ref="A797:E797"/>
    <mergeCell ref="A798:E798"/>
    <mergeCell ref="A799:E799"/>
    <mergeCell ref="E800:F800"/>
    <mergeCell ref="B777:C777"/>
    <mergeCell ref="B778:C778"/>
    <mergeCell ref="B779:C779"/>
    <mergeCell ref="B780:C780"/>
    <mergeCell ref="B781:C781"/>
    <mergeCell ref="A784:G784"/>
    <mergeCell ref="B785:C785"/>
    <mergeCell ref="B786:C786"/>
    <mergeCell ref="B787:C787"/>
    <mergeCell ref="B753:D753"/>
    <mergeCell ref="A755:G755"/>
    <mergeCell ref="A757:G757"/>
    <mergeCell ref="B758:C758"/>
    <mergeCell ref="B759:C759"/>
    <mergeCell ref="B760:C760"/>
    <mergeCell ref="A763:G763"/>
    <mergeCell ref="A770:G770"/>
    <mergeCell ref="A776:G776"/>
    <mergeCell ref="A746:E746"/>
    <mergeCell ref="F746:G750"/>
    <mergeCell ref="A747:E747"/>
    <mergeCell ref="A748:E748"/>
    <mergeCell ref="A749:E749"/>
    <mergeCell ref="A750:E750"/>
    <mergeCell ref="A751:E751"/>
    <mergeCell ref="F751:G751"/>
    <mergeCell ref="B752:D752"/>
    <mergeCell ref="A12:G12"/>
    <mergeCell ref="A1:E1"/>
    <mergeCell ref="F1:G5"/>
    <mergeCell ref="A2:E2"/>
    <mergeCell ref="A3:E3"/>
    <mergeCell ref="A4:E4"/>
    <mergeCell ref="A5:E5"/>
    <mergeCell ref="A6:E6"/>
    <mergeCell ref="F6:G6"/>
    <mergeCell ref="B7:D7"/>
    <mergeCell ref="B8:D8"/>
    <mergeCell ref="A10:G10"/>
    <mergeCell ref="B35:C35"/>
    <mergeCell ref="B13:C13"/>
    <mergeCell ref="B14:C14"/>
    <mergeCell ref="B15:C15"/>
    <mergeCell ref="A18:G18"/>
    <mergeCell ref="A26:G26"/>
    <mergeCell ref="A32:G32"/>
    <mergeCell ref="B33:C33"/>
    <mergeCell ref="B34:C34"/>
    <mergeCell ref="A53:E53"/>
    <mergeCell ref="B36:C36"/>
    <mergeCell ref="B37:C37"/>
    <mergeCell ref="A40:G40"/>
    <mergeCell ref="B41:C41"/>
    <mergeCell ref="B42:C42"/>
    <mergeCell ref="B43:C43"/>
    <mergeCell ref="B44:C44"/>
    <mergeCell ref="A47:F47"/>
    <mergeCell ref="A49:G49"/>
    <mergeCell ref="A51:E51"/>
    <mergeCell ref="A52:E52"/>
    <mergeCell ref="B78:C78"/>
    <mergeCell ref="A54:E54"/>
    <mergeCell ref="A55:E55"/>
    <mergeCell ref="E56:F56"/>
    <mergeCell ref="A57:F57"/>
    <mergeCell ref="D62:F62"/>
    <mergeCell ref="A64:E64"/>
    <mergeCell ref="F64:G68"/>
    <mergeCell ref="A65:E65"/>
    <mergeCell ref="A66:E66"/>
    <mergeCell ref="A67:E67"/>
    <mergeCell ref="A68:E68"/>
    <mergeCell ref="A69:E69"/>
    <mergeCell ref="F69:G69"/>
    <mergeCell ref="B70:D70"/>
    <mergeCell ref="B71:D71"/>
    <mergeCell ref="A73:G73"/>
    <mergeCell ref="A75:G75"/>
    <mergeCell ref="B76:C76"/>
    <mergeCell ref="B77:C77"/>
    <mergeCell ref="A94:G94"/>
    <mergeCell ref="B103:C103"/>
    <mergeCell ref="B104:C104"/>
    <mergeCell ref="B105:C105"/>
    <mergeCell ref="B106:C106"/>
    <mergeCell ref="A81:G81"/>
    <mergeCell ref="A88:G88"/>
    <mergeCell ref="B95:C95"/>
    <mergeCell ref="B96:C96"/>
    <mergeCell ref="B97:C97"/>
    <mergeCell ref="B98:C98"/>
    <mergeCell ref="B99:C99"/>
    <mergeCell ref="A102:G102"/>
    <mergeCell ref="A109:F109"/>
    <mergeCell ref="E125:F125"/>
    <mergeCell ref="A117:E117"/>
    <mergeCell ref="E118:F118"/>
    <mergeCell ref="A119:F119"/>
    <mergeCell ref="D124:F124"/>
    <mergeCell ref="A126:E126"/>
    <mergeCell ref="F126:G130"/>
    <mergeCell ref="A127:E127"/>
    <mergeCell ref="A128:E128"/>
    <mergeCell ref="A129:E129"/>
    <mergeCell ref="A130:E130"/>
    <mergeCell ref="A111:G111"/>
    <mergeCell ref="A113:E113"/>
    <mergeCell ref="A114:E114"/>
    <mergeCell ref="A115:E115"/>
    <mergeCell ref="A116:E116"/>
    <mergeCell ref="A137:G137"/>
    <mergeCell ref="B138:C138"/>
    <mergeCell ref="B139:C139"/>
    <mergeCell ref="B140:C140"/>
    <mergeCell ref="A143:G143"/>
    <mergeCell ref="A131:E131"/>
    <mergeCell ref="F131:G131"/>
    <mergeCell ref="B132:D132"/>
    <mergeCell ref="B133:D133"/>
    <mergeCell ref="A135:G135"/>
    <mergeCell ref="B160:C160"/>
    <mergeCell ref="B161:C161"/>
    <mergeCell ref="A164:G164"/>
    <mergeCell ref="B165:C165"/>
    <mergeCell ref="B166:C166"/>
    <mergeCell ref="A150:G150"/>
    <mergeCell ref="A156:G156"/>
    <mergeCell ref="B157:C157"/>
    <mergeCell ref="B158:C158"/>
    <mergeCell ref="B159:C159"/>
    <mergeCell ref="A176:E176"/>
    <mergeCell ref="A177:E177"/>
    <mergeCell ref="A178:E178"/>
    <mergeCell ref="A179:E179"/>
    <mergeCell ref="E180:F180"/>
    <mergeCell ref="B167:C167"/>
    <mergeCell ref="B168:C168"/>
    <mergeCell ref="A171:F171"/>
    <mergeCell ref="A173:G173"/>
    <mergeCell ref="A175:E175"/>
    <mergeCell ref="A193:E193"/>
    <mergeCell ref="F193:G193"/>
    <mergeCell ref="B194:D194"/>
    <mergeCell ref="B195:D195"/>
    <mergeCell ref="A197:G197"/>
    <mergeCell ref="A181:F181"/>
    <mergeCell ref="D186:F186"/>
    <mergeCell ref="A188:E188"/>
    <mergeCell ref="F188:G192"/>
    <mergeCell ref="A189:E189"/>
    <mergeCell ref="A190:E190"/>
    <mergeCell ref="A191:E191"/>
    <mergeCell ref="A192:E192"/>
    <mergeCell ref="A212:G212"/>
    <mergeCell ref="A218:G218"/>
    <mergeCell ref="B219:C219"/>
    <mergeCell ref="B220:C220"/>
    <mergeCell ref="B221:C221"/>
    <mergeCell ref="A199:G199"/>
    <mergeCell ref="B200:C200"/>
    <mergeCell ref="B201:C201"/>
    <mergeCell ref="B202:C202"/>
    <mergeCell ref="A205:G205"/>
    <mergeCell ref="B229:C229"/>
    <mergeCell ref="B230:C230"/>
    <mergeCell ref="A233:F233"/>
    <mergeCell ref="A235:G235"/>
    <mergeCell ref="A237:E237"/>
    <mergeCell ref="B222:C222"/>
    <mergeCell ref="B223:C223"/>
    <mergeCell ref="A226:G226"/>
    <mergeCell ref="B227:C227"/>
    <mergeCell ref="B228:C228"/>
    <mergeCell ref="A243:F243"/>
    <mergeCell ref="D248:F248"/>
    <mergeCell ref="A250:E250"/>
    <mergeCell ref="A251:E251"/>
    <mergeCell ref="A252:E252"/>
    <mergeCell ref="A253:E253"/>
    <mergeCell ref="A238:E238"/>
    <mergeCell ref="A239:E239"/>
    <mergeCell ref="A240:E240"/>
    <mergeCell ref="A241:E241"/>
    <mergeCell ref="E242:F242"/>
    <mergeCell ref="F250:G254"/>
    <mergeCell ref="A254:E254"/>
    <mergeCell ref="A303:E303"/>
    <mergeCell ref="B290:C290"/>
    <mergeCell ref="B291:C291"/>
    <mergeCell ref="A297:G297"/>
    <mergeCell ref="B283:C283"/>
    <mergeCell ref="B284:C284"/>
    <mergeCell ref="B289:C289"/>
    <mergeCell ref="B281:C281"/>
    <mergeCell ref="B282:C282"/>
    <mergeCell ref="A280:G280"/>
    <mergeCell ref="B285:C285"/>
    <mergeCell ref="A288:G288"/>
    <mergeCell ref="B292:C292"/>
    <mergeCell ref="A295:F295"/>
    <mergeCell ref="A299:E299"/>
    <mergeCell ref="A300:E300"/>
    <mergeCell ref="A301:E301"/>
    <mergeCell ref="A302:E302"/>
    <mergeCell ref="A255:E255"/>
    <mergeCell ref="F255:G255"/>
    <mergeCell ref="B257:D257"/>
    <mergeCell ref="A259:G259"/>
    <mergeCell ref="A261:G261"/>
    <mergeCell ref="B264:C264"/>
    <mergeCell ref="A267:G267"/>
    <mergeCell ref="A274:G274"/>
    <mergeCell ref="B262:C262"/>
    <mergeCell ref="B263:C263"/>
    <mergeCell ref="B256:D256"/>
    <mergeCell ref="E304:F304"/>
    <mergeCell ref="A305:F305"/>
    <mergeCell ref="D310:F310"/>
    <mergeCell ref="A312:E312"/>
    <mergeCell ref="F312:G316"/>
    <mergeCell ref="A313:E313"/>
    <mergeCell ref="A314:E314"/>
    <mergeCell ref="A315:E315"/>
    <mergeCell ref="A316:E316"/>
    <mergeCell ref="A323:G323"/>
    <mergeCell ref="B324:C324"/>
    <mergeCell ref="B325:C325"/>
    <mergeCell ref="B326:C326"/>
    <mergeCell ref="A329:G329"/>
    <mergeCell ref="A317:E317"/>
    <mergeCell ref="F317:G317"/>
    <mergeCell ref="B318:D318"/>
    <mergeCell ref="B319:D319"/>
    <mergeCell ref="A321:G321"/>
    <mergeCell ref="B346:C346"/>
    <mergeCell ref="B347:C347"/>
    <mergeCell ref="A350:G350"/>
    <mergeCell ref="B351:C351"/>
    <mergeCell ref="B352:C352"/>
    <mergeCell ref="A336:G336"/>
    <mergeCell ref="A342:G342"/>
    <mergeCell ref="B343:C343"/>
    <mergeCell ref="B344:C344"/>
    <mergeCell ref="B345:C345"/>
    <mergeCell ref="A362:E362"/>
    <mergeCell ref="A363:E363"/>
    <mergeCell ref="A364:E364"/>
    <mergeCell ref="A365:E365"/>
    <mergeCell ref="E366:F366"/>
    <mergeCell ref="B353:C353"/>
    <mergeCell ref="B354:C354"/>
    <mergeCell ref="A357:F357"/>
    <mergeCell ref="A359:G359"/>
    <mergeCell ref="A361:E361"/>
    <mergeCell ref="A379:E379"/>
    <mergeCell ref="F379:G379"/>
    <mergeCell ref="B380:D380"/>
    <mergeCell ref="B381:D381"/>
    <mergeCell ref="A383:G383"/>
    <mergeCell ref="A367:F367"/>
    <mergeCell ref="D372:F372"/>
    <mergeCell ref="A374:E374"/>
    <mergeCell ref="F374:G378"/>
    <mergeCell ref="A375:E375"/>
    <mergeCell ref="A376:E376"/>
    <mergeCell ref="A377:E377"/>
    <mergeCell ref="A378:E378"/>
    <mergeCell ref="A398:G398"/>
    <mergeCell ref="A404:G404"/>
    <mergeCell ref="B405:C405"/>
    <mergeCell ref="B406:C406"/>
    <mergeCell ref="B407:C407"/>
    <mergeCell ref="A385:G385"/>
    <mergeCell ref="B386:C386"/>
    <mergeCell ref="B387:C387"/>
    <mergeCell ref="B388:C388"/>
    <mergeCell ref="A391:G391"/>
    <mergeCell ref="B415:C415"/>
    <mergeCell ref="B416:C416"/>
    <mergeCell ref="A419:F419"/>
    <mergeCell ref="A421:G421"/>
    <mergeCell ref="A423:E423"/>
    <mergeCell ref="B408:C408"/>
    <mergeCell ref="B409:C409"/>
    <mergeCell ref="A412:G412"/>
    <mergeCell ref="B413:C413"/>
    <mergeCell ref="B414:C414"/>
    <mergeCell ref="A429:F429"/>
    <mergeCell ref="D434:F434"/>
    <mergeCell ref="A436:E436"/>
    <mergeCell ref="F436:G440"/>
    <mergeCell ref="A437:E437"/>
    <mergeCell ref="A438:E438"/>
    <mergeCell ref="A439:E439"/>
    <mergeCell ref="A440:E440"/>
    <mergeCell ref="A424:E424"/>
    <mergeCell ref="A425:E425"/>
    <mergeCell ref="A426:E426"/>
    <mergeCell ref="A427:E427"/>
    <mergeCell ref="E428:F428"/>
    <mergeCell ref="A447:G447"/>
    <mergeCell ref="B448:C448"/>
    <mergeCell ref="B449:C449"/>
    <mergeCell ref="B450:C450"/>
    <mergeCell ref="A453:G453"/>
    <mergeCell ref="A441:E441"/>
    <mergeCell ref="F441:G441"/>
    <mergeCell ref="B442:D442"/>
    <mergeCell ref="B443:D443"/>
    <mergeCell ref="A445:G445"/>
    <mergeCell ref="B470:C470"/>
    <mergeCell ref="B471:C471"/>
    <mergeCell ref="A474:G474"/>
    <mergeCell ref="B475:C475"/>
    <mergeCell ref="B476:C476"/>
    <mergeCell ref="A460:G460"/>
    <mergeCell ref="A466:G466"/>
    <mergeCell ref="B467:C467"/>
    <mergeCell ref="B468:C468"/>
    <mergeCell ref="B469:C469"/>
    <mergeCell ref="A486:E486"/>
    <mergeCell ref="A487:E487"/>
    <mergeCell ref="A488:E488"/>
    <mergeCell ref="A489:E489"/>
    <mergeCell ref="E490:F490"/>
    <mergeCell ref="B477:C477"/>
    <mergeCell ref="B478:C478"/>
    <mergeCell ref="A481:F481"/>
    <mergeCell ref="A483:G483"/>
    <mergeCell ref="A485:E485"/>
    <mergeCell ref="A503:E503"/>
    <mergeCell ref="F503:G503"/>
    <mergeCell ref="B504:D504"/>
    <mergeCell ref="B505:D505"/>
    <mergeCell ref="A507:G507"/>
    <mergeCell ref="A491:F491"/>
    <mergeCell ref="D496:F496"/>
    <mergeCell ref="A498:E498"/>
    <mergeCell ref="F498:G502"/>
    <mergeCell ref="A499:E499"/>
    <mergeCell ref="A500:E500"/>
    <mergeCell ref="A501:E501"/>
    <mergeCell ref="A502:E502"/>
    <mergeCell ref="A522:G522"/>
    <mergeCell ref="A528:G528"/>
    <mergeCell ref="B529:C529"/>
    <mergeCell ref="B530:C530"/>
    <mergeCell ref="B531:C531"/>
    <mergeCell ref="A509:G509"/>
    <mergeCell ref="B510:C510"/>
    <mergeCell ref="B511:C511"/>
    <mergeCell ref="B512:C512"/>
    <mergeCell ref="A515:G515"/>
    <mergeCell ref="B539:C539"/>
    <mergeCell ref="B540:C540"/>
    <mergeCell ref="A543:F543"/>
    <mergeCell ref="A545:G545"/>
    <mergeCell ref="A547:E547"/>
    <mergeCell ref="B532:C532"/>
    <mergeCell ref="B533:C533"/>
    <mergeCell ref="A536:G536"/>
    <mergeCell ref="B537:C537"/>
    <mergeCell ref="B538:C538"/>
    <mergeCell ref="A553:F553"/>
    <mergeCell ref="D558:F558"/>
    <mergeCell ref="A560:E560"/>
    <mergeCell ref="F560:G564"/>
    <mergeCell ref="A561:E561"/>
    <mergeCell ref="A562:E562"/>
    <mergeCell ref="A563:E563"/>
    <mergeCell ref="A564:E564"/>
    <mergeCell ref="A548:E548"/>
    <mergeCell ref="A549:E549"/>
    <mergeCell ref="A550:E550"/>
    <mergeCell ref="A551:E551"/>
    <mergeCell ref="E552:F552"/>
    <mergeCell ref="A571:G571"/>
    <mergeCell ref="B572:C572"/>
    <mergeCell ref="B573:C573"/>
    <mergeCell ref="B574:C574"/>
    <mergeCell ref="A577:G577"/>
    <mergeCell ref="A565:E565"/>
    <mergeCell ref="F565:G565"/>
    <mergeCell ref="B566:D566"/>
    <mergeCell ref="B567:D567"/>
    <mergeCell ref="A569:G569"/>
    <mergeCell ref="B594:C594"/>
    <mergeCell ref="B595:C595"/>
    <mergeCell ref="A598:G598"/>
    <mergeCell ref="B599:C599"/>
    <mergeCell ref="B600:C600"/>
    <mergeCell ref="A584:G584"/>
    <mergeCell ref="A590:G590"/>
    <mergeCell ref="B591:C591"/>
    <mergeCell ref="B592:C592"/>
    <mergeCell ref="B593:C593"/>
    <mergeCell ref="A610:E610"/>
    <mergeCell ref="A611:E611"/>
    <mergeCell ref="A612:E612"/>
    <mergeCell ref="A613:E613"/>
    <mergeCell ref="E614:F614"/>
    <mergeCell ref="B601:C601"/>
    <mergeCell ref="B602:C602"/>
    <mergeCell ref="A605:F605"/>
    <mergeCell ref="A607:G607"/>
    <mergeCell ref="A609:E609"/>
    <mergeCell ref="A627:E627"/>
    <mergeCell ref="F627:G627"/>
    <mergeCell ref="B628:D628"/>
    <mergeCell ref="B629:D629"/>
    <mergeCell ref="A631:G631"/>
    <mergeCell ref="A615:F615"/>
    <mergeCell ref="D620:F620"/>
    <mergeCell ref="A622:E622"/>
    <mergeCell ref="F622:G626"/>
    <mergeCell ref="A623:E623"/>
    <mergeCell ref="A624:E624"/>
    <mergeCell ref="A625:E625"/>
    <mergeCell ref="A626:E626"/>
    <mergeCell ref="A646:G646"/>
    <mergeCell ref="A652:G652"/>
    <mergeCell ref="B653:C653"/>
    <mergeCell ref="B654:C654"/>
    <mergeCell ref="B655:C655"/>
    <mergeCell ref="A633:G633"/>
    <mergeCell ref="B634:C634"/>
    <mergeCell ref="B635:C635"/>
    <mergeCell ref="B636:C636"/>
    <mergeCell ref="A639:G639"/>
    <mergeCell ref="B663:C663"/>
    <mergeCell ref="B664:C664"/>
    <mergeCell ref="A667:F667"/>
    <mergeCell ref="A669:G669"/>
    <mergeCell ref="A671:E671"/>
    <mergeCell ref="B656:C656"/>
    <mergeCell ref="B657:C657"/>
    <mergeCell ref="A660:G660"/>
    <mergeCell ref="B661:C661"/>
    <mergeCell ref="B662:C662"/>
    <mergeCell ref="A677:F677"/>
    <mergeCell ref="D682:F682"/>
    <mergeCell ref="A684:E684"/>
    <mergeCell ref="F684:G688"/>
    <mergeCell ref="A685:E685"/>
    <mergeCell ref="A686:E686"/>
    <mergeCell ref="A687:E687"/>
    <mergeCell ref="A688:E688"/>
    <mergeCell ref="A672:E672"/>
    <mergeCell ref="A673:E673"/>
    <mergeCell ref="A674:E674"/>
    <mergeCell ref="A675:E675"/>
    <mergeCell ref="E676:F676"/>
    <mergeCell ref="A695:G695"/>
    <mergeCell ref="B696:C696"/>
    <mergeCell ref="B697:C697"/>
    <mergeCell ref="B698:C698"/>
    <mergeCell ref="A701:G701"/>
    <mergeCell ref="A689:E689"/>
    <mergeCell ref="F689:G689"/>
    <mergeCell ref="B690:D690"/>
    <mergeCell ref="B691:D691"/>
    <mergeCell ref="A693:G693"/>
    <mergeCell ref="B718:C718"/>
    <mergeCell ref="B719:C719"/>
    <mergeCell ref="A722:G722"/>
    <mergeCell ref="B723:C723"/>
    <mergeCell ref="B724:C724"/>
    <mergeCell ref="A708:G708"/>
    <mergeCell ref="A714:G714"/>
    <mergeCell ref="B715:C715"/>
    <mergeCell ref="B716:C716"/>
    <mergeCell ref="B717:C717"/>
    <mergeCell ref="A739:F739"/>
    <mergeCell ref="D744:F744"/>
    <mergeCell ref="A734:E734"/>
    <mergeCell ref="A735:E735"/>
    <mergeCell ref="A736:E736"/>
    <mergeCell ref="A737:E737"/>
    <mergeCell ref="E738:F738"/>
    <mergeCell ref="B725:C725"/>
    <mergeCell ref="B726:C726"/>
    <mergeCell ref="A729:F729"/>
    <mergeCell ref="A731:G731"/>
    <mergeCell ref="A733:E733"/>
  </mergeCells>
  <dataValidations count="2">
    <dataValidation type="list" allowBlank="1" showInputMessage="1" showErrorMessage="1" sqref="C153 C29 C710:C711 C91 C215 C277 C400:C401 C462:C463 C524:C525 C586:C587 C648:C649 C339 C772:C773" xr:uid="{00000000-0002-0000-0C00-000000000000}">
      <formula1>"INSUMOS,TIERRA,ESCOMBROS,PLAYA,GRANULAR,ASFALTO"</formula1>
    </dataValidation>
    <dataValidation type="list" allowBlank="1" showInputMessage="1" showErrorMessage="1" sqref="C152 C28 C90 C214 C276 C338" xr:uid="{00000000-0002-0000-0C00-000001000000}">
      <formula1>"INSUMOS,TIERRA,ESCOMBROS,PLAYA,GRANULAR,ASFALTO,PLAYATRITURADO"</formula1>
    </dataValidation>
  </dataValidations>
  <pageMargins left="0.7" right="0.7" top="0.75" bottom="0.75" header="0.3" footer="0.3"/>
  <pageSetup scale="68" orientation="portrait" horizontalDpi="4294967292" r:id="rId1"/>
  <rowBreaks count="12" manualBreakCount="12">
    <brk id="62" max="16383" man="1"/>
    <brk id="125" max="16383" man="1"/>
    <brk id="187" max="16383" man="1"/>
    <brk id="249" max="16383" man="1"/>
    <brk id="311" max="16383" man="1"/>
    <brk id="373" max="16383" man="1"/>
    <brk id="435" max="16383" man="1"/>
    <brk id="497" max="16383" man="1"/>
    <brk id="559" max="16383" man="1"/>
    <brk id="621" max="16383" man="1"/>
    <brk id="683" max="16383" man="1"/>
    <brk id="745" max="16383" man="1"/>
  </row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C00-000002000000}">
          <x14:formula1>
            <xm:f>'INSUMOS SERVICIOS'!$B$8:$B$21</xm:f>
          </x14:formula1>
          <xm:sqref>B42:C43 B104:C105 B166:C167 B228:C229 B290:C291 B352:C353 B414:C415 B476:C477 B538:C539 B600:C601 B662:C663 B724:C725 B786:C787</xm:sqref>
        </x14:dataValidation>
        <x14:dataValidation type="list" allowBlank="1" showInputMessage="1" showErrorMessage="1" xr:uid="{00000000-0002-0000-0C00-000003000000}">
          <x14:formula1>
            <xm:f>'INSUMOS MANO DE OBRA'!$B$8:$B$61</xm:f>
          </x14:formula1>
          <xm:sqref>B34:C35 B96:C97 B158:C159 B220:C221 B282:C283 B344:C345 B406:C407 B468:C469 B530:C531 B592:C593 B654:C655 B716:C717 B778:C779</xm:sqref>
        </x14:dataValidation>
        <x14:dataValidation type="list" allowBlank="1" showInputMessage="1" showErrorMessage="1" xr:uid="{00000000-0002-0000-0C00-000004000000}">
          <x14:formula1>
            <xm:f>'INSUMOS EQUIPOS'!$B$8:$B$39</xm:f>
          </x14:formula1>
          <xm:sqref>B14:C14 B77:C77 B139:C139 B201:C201 B263:C263 B325:C325 B387:C387 B449:C449 B511:C511 B573:C573 B635:C635 B697:C697 B759:C759</xm:sqref>
        </x14:dataValidation>
        <x14:dataValidation type="list" allowBlank="1" showInputMessage="1" showErrorMessage="1" xr:uid="{00000000-0002-0000-0C00-000005000000}">
          <x14:formula1>
            <xm:f>'INSUMOS TRANSPORTES'!$B$8:$B$26</xm:f>
          </x14:formula1>
          <xm:sqref>B710:B711 B400:B401 B462:B463 B524:B525 B586:B587 B648:B649 B338:B339 B772:B773 B29 B90:B91 B153 B215 B277</xm:sqref>
        </x14:dataValidation>
        <x14:dataValidation type="list" allowBlank="1" showInputMessage="1" showErrorMessage="1" xr:uid="{00000000-0002-0000-0C00-000006000000}">
          <x14:formula1>
            <xm:f>'INSUMOS TRANSPORTES'!$B$8:$B$27</xm:f>
          </x14:formula1>
          <xm:sqref>B152 B28 B276 B214</xm:sqref>
        </x14:dataValidation>
        <x14:dataValidation type="list" allowBlank="1" showInputMessage="1" showErrorMessage="1" xr:uid="{00000000-0002-0000-0C00-000007000000}">
          <x14:formula1>
            <xm:f>'INSUMOS MATERIALES'!$B$9:$B$54</xm:f>
          </x14:formula1>
          <xm:sqref>B765:B767 B269:B271 B207:B209 B145:B147 B83:B85 B20:B23 B331:B333 B393:B395 B455:B457 B517:B519 B579:B581 B641:B643 B703:B705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49"/>
  <sheetViews>
    <sheetView view="pageBreakPreview" zoomScaleNormal="100" zoomScaleSheetLayoutView="100" workbookViewId="0">
      <pane ySplit="7" topLeftCell="A8" activePane="bottomLeft" state="frozen"/>
      <selection pane="bottomLeft" activeCell="B10" sqref="B10"/>
    </sheetView>
  </sheetViews>
  <sheetFormatPr baseColWidth="10" defaultRowHeight="15"/>
  <cols>
    <col min="2" max="2" width="67.5703125" customWidth="1"/>
  </cols>
  <sheetData>
    <row r="1" spans="1:4" ht="26.25">
      <c r="A1" s="570" t="s">
        <v>0</v>
      </c>
      <c r="B1" s="507"/>
      <c r="C1" s="596" t="s">
        <v>52</v>
      </c>
      <c r="D1" s="596"/>
    </row>
    <row r="2" spans="1:4" ht="21">
      <c r="A2" s="577" t="str">
        <f>'DATOS INICIALES'!B6</f>
        <v>MUNICIPIO DE DABEIBA</v>
      </c>
      <c r="B2" s="515"/>
      <c r="C2" s="596"/>
      <c r="D2" s="596"/>
    </row>
    <row r="3" spans="1:4" ht="48.6" customHeight="1">
      <c r="A3" s="615" t="str">
        <f>'DATOS INICIALES'!B3</f>
        <v xml:space="preserve">AMPLIACIÓN DEL SISTEMA DE ALCANTARILLADO EN SECTOR DEL BARRIO PABLO VI  DEL MUNICIPIO DE DABEIBA ANTIOQUIA </v>
      </c>
      <c r="B3" s="616"/>
      <c r="C3" s="596"/>
      <c r="D3" s="596"/>
    </row>
    <row r="4" spans="1:4" ht="14.45" customHeight="1">
      <c r="A4" s="69"/>
      <c r="B4" s="4"/>
      <c r="C4" s="596"/>
      <c r="D4" s="596"/>
    </row>
    <row r="5" spans="1:4" ht="15.6" customHeight="1">
      <c r="A5" s="617" t="s">
        <v>87</v>
      </c>
      <c r="B5" s="618"/>
      <c r="C5" s="596"/>
      <c r="D5" s="596"/>
    </row>
    <row r="6" spans="1:4">
      <c r="A6" s="70"/>
      <c r="B6" s="4"/>
      <c r="C6" s="4"/>
      <c r="D6" s="71"/>
    </row>
    <row r="7" spans="1:4" ht="24">
      <c r="A7" s="72" t="s">
        <v>57</v>
      </c>
      <c r="B7" s="72" t="s">
        <v>46</v>
      </c>
      <c r="C7" s="72" t="s">
        <v>47</v>
      </c>
      <c r="D7" s="73" t="s">
        <v>88</v>
      </c>
    </row>
    <row r="8" spans="1:4">
      <c r="A8" s="74" t="s">
        <v>89</v>
      </c>
      <c r="B8" s="75" t="str">
        <f>+"HERRAMIENTA MENOR "&amp;"("&amp;D8*100&amp;"% DE LA MANO DE OBRA)"</f>
        <v>HERRAMIENTA MENOR (10% DE LA MANO DE OBRA)</v>
      </c>
      <c r="C8" s="74" t="s">
        <v>90</v>
      </c>
      <c r="D8" s="76">
        <v>0.1</v>
      </c>
    </row>
    <row r="9" spans="1:4">
      <c r="A9" s="74" t="s">
        <v>91</v>
      </c>
      <c r="B9" s="77" t="s">
        <v>848</v>
      </c>
      <c r="C9" s="78" t="s">
        <v>92</v>
      </c>
      <c r="D9" s="79">
        <v>90000</v>
      </c>
    </row>
    <row r="10" spans="1:4">
      <c r="A10" s="74" t="s">
        <v>93</v>
      </c>
      <c r="B10" s="77" t="s">
        <v>61</v>
      </c>
      <c r="C10" s="78" t="s">
        <v>92</v>
      </c>
      <c r="D10" s="79">
        <v>52000</v>
      </c>
    </row>
    <row r="11" spans="1:4">
      <c r="A11" s="74" t="s">
        <v>94</v>
      </c>
      <c r="B11" s="77" t="s">
        <v>95</v>
      </c>
      <c r="C11" s="78" t="s">
        <v>92</v>
      </c>
      <c r="D11" s="79">
        <v>62000</v>
      </c>
    </row>
    <row r="12" spans="1:4" ht="48">
      <c r="A12" s="74" t="s">
        <v>96</v>
      </c>
      <c r="B12" s="77" t="s">
        <v>97</v>
      </c>
      <c r="C12" s="78" t="s">
        <v>98</v>
      </c>
      <c r="D12" s="79">
        <v>5513000</v>
      </c>
    </row>
    <row r="13" spans="1:4">
      <c r="A13" s="74" t="s">
        <v>99</v>
      </c>
      <c r="B13" s="77" t="s">
        <v>100</v>
      </c>
      <c r="C13" s="78" t="s">
        <v>98</v>
      </c>
      <c r="D13" s="79">
        <v>422000</v>
      </c>
    </row>
    <row r="14" spans="1:4" ht="36">
      <c r="A14" s="74" t="s">
        <v>101</v>
      </c>
      <c r="B14" s="77" t="s">
        <v>102</v>
      </c>
      <c r="C14" s="78" t="s">
        <v>98</v>
      </c>
      <c r="D14" s="79">
        <v>50000</v>
      </c>
    </row>
    <row r="15" spans="1:4">
      <c r="A15" s="74" t="s">
        <v>103</v>
      </c>
      <c r="B15" s="77" t="s">
        <v>104</v>
      </c>
      <c r="C15" s="78" t="s">
        <v>98</v>
      </c>
      <c r="D15" s="79">
        <v>40000</v>
      </c>
    </row>
    <row r="16" spans="1:4" ht="25.35" customHeight="1">
      <c r="A16" s="74" t="s">
        <v>105</v>
      </c>
      <c r="B16" s="77" t="s">
        <v>106</v>
      </c>
      <c r="C16" s="78" t="s">
        <v>98</v>
      </c>
      <c r="D16" s="79">
        <v>40000</v>
      </c>
    </row>
    <row r="17" spans="1:4">
      <c r="A17" s="74" t="s">
        <v>107</v>
      </c>
      <c r="B17" s="77" t="s">
        <v>108</v>
      </c>
      <c r="C17" s="78" t="s">
        <v>98</v>
      </c>
      <c r="D17" s="79">
        <v>51800</v>
      </c>
    </row>
    <row r="18" spans="1:4">
      <c r="A18" s="74" t="s">
        <v>109</v>
      </c>
      <c r="B18" s="77" t="s">
        <v>110</v>
      </c>
      <c r="C18" s="78" t="s">
        <v>98</v>
      </c>
      <c r="D18" s="79">
        <v>1200000</v>
      </c>
    </row>
    <row r="19" spans="1:4" ht="36">
      <c r="A19" s="74" t="s">
        <v>111</v>
      </c>
      <c r="B19" s="77" t="s">
        <v>112</v>
      </c>
      <c r="C19" s="78" t="s">
        <v>98</v>
      </c>
      <c r="D19" s="79">
        <v>650000</v>
      </c>
    </row>
    <row r="20" spans="1:4" ht="23.45" customHeight="1">
      <c r="A20" s="74" t="s">
        <v>113</v>
      </c>
      <c r="B20" s="77" t="s">
        <v>845</v>
      </c>
      <c r="C20" s="78" t="s">
        <v>143</v>
      </c>
      <c r="D20" s="79">
        <v>25000</v>
      </c>
    </row>
    <row r="21" spans="1:4">
      <c r="A21" s="74" t="s">
        <v>114</v>
      </c>
      <c r="B21" s="77" t="s">
        <v>115</v>
      </c>
      <c r="C21" s="78" t="s">
        <v>116</v>
      </c>
      <c r="D21" s="79">
        <v>232050</v>
      </c>
    </row>
    <row r="22" spans="1:4">
      <c r="A22" s="74" t="s">
        <v>117</v>
      </c>
      <c r="B22" s="77" t="s">
        <v>846</v>
      </c>
      <c r="C22" s="78" t="s">
        <v>143</v>
      </c>
      <c r="D22" s="79">
        <v>300</v>
      </c>
    </row>
    <row r="23" spans="1:4">
      <c r="A23" s="74" t="s">
        <v>118</v>
      </c>
      <c r="B23" s="77" t="s">
        <v>119</v>
      </c>
      <c r="C23" s="78" t="s">
        <v>116</v>
      </c>
      <c r="D23" s="79">
        <v>180000</v>
      </c>
    </row>
    <row r="24" spans="1:4">
      <c r="A24" s="74" t="s">
        <v>120</v>
      </c>
      <c r="B24" s="77" t="s">
        <v>121</v>
      </c>
      <c r="C24" s="78" t="s">
        <v>116</v>
      </c>
      <c r="D24" s="79">
        <v>250000</v>
      </c>
    </row>
    <row r="25" spans="1:4">
      <c r="A25" s="74" t="s">
        <v>122</v>
      </c>
      <c r="B25" s="77" t="s">
        <v>123</v>
      </c>
      <c r="C25" s="78" t="s">
        <v>116</v>
      </c>
      <c r="D25" s="79">
        <v>57150</v>
      </c>
    </row>
    <row r="26" spans="1:4">
      <c r="A26" s="74" t="s">
        <v>124</v>
      </c>
      <c r="B26" s="77" t="s">
        <v>841</v>
      </c>
      <c r="C26" s="78" t="s">
        <v>92</v>
      </c>
      <c r="D26" s="79">
        <v>82000</v>
      </c>
    </row>
    <row r="27" spans="1:4">
      <c r="A27" s="74" t="s">
        <v>125</v>
      </c>
      <c r="B27" s="77" t="s">
        <v>126</v>
      </c>
      <c r="C27" s="78" t="s">
        <v>116</v>
      </c>
      <c r="D27" s="79">
        <v>149800</v>
      </c>
    </row>
    <row r="28" spans="1:4">
      <c r="A28" s="74" t="s">
        <v>127</v>
      </c>
      <c r="B28" s="77" t="s">
        <v>128</v>
      </c>
      <c r="C28" s="78" t="s">
        <v>116</v>
      </c>
      <c r="D28" s="79">
        <v>122800</v>
      </c>
    </row>
    <row r="29" spans="1:4">
      <c r="A29" s="74" t="s">
        <v>129</v>
      </c>
      <c r="B29" s="77" t="s">
        <v>130</v>
      </c>
      <c r="C29" s="78" t="s">
        <v>116</v>
      </c>
      <c r="D29" s="79">
        <v>1870</v>
      </c>
    </row>
    <row r="30" spans="1:4">
      <c r="A30" s="74" t="s">
        <v>131</v>
      </c>
      <c r="B30" s="77" t="s">
        <v>844</v>
      </c>
      <c r="C30" s="78" t="s">
        <v>92</v>
      </c>
      <c r="D30" s="79">
        <v>20000</v>
      </c>
    </row>
    <row r="31" spans="1:4">
      <c r="A31" s="74" t="s">
        <v>132</v>
      </c>
      <c r="B31" s="77" t="s">
        <v>133</v>
      </c>
      <c r="C31" s="78" t="s">
        <v>92</v>
      </c>
      <c r="D31" s="79">
        <v>62000</v>
      </c>
    </row>
    <row r="32" spans="1:4">
      <c r="A32" s="74" t="s">
        <v>134</v>
      </c>
      <c r="B32" s="77" t="s">
        <v>922</v>
      </c>
      <c r="C32" s="78" t="s">
        <v>143</v>
      </c>
      <c r="D32" s="79">
        <v>40000</v>
      </c>
    </row>
    <row r="33" spans="1:4">
      <c r="A33" s="74" t="s">
        <v>135</v>
      </c>
      <c r="B33" s="77" t="s">
        <v>136</v>
      </c>
      <c r="C33" s="78" t="s">
        <v>92</v>
      </c>
      <c r="D33" s="79">
        <v>149880</v>
      </c>
    </row>
    <row r="34" spans="1:4">
      <c r="A34" s="74" t="s">
        <v>137</v>
      </c>
      <c r="B34" s="77" t="s">
        <v>138</v>
      </c>
      <c r="C34" s="78" t="s">
        <v>92</v>
      </c>
      <c r="D34" s="79">
        <v>281800</v>
      </c>
    </row>
    <row r="35" spans="1:4">
      <c r="A35" s="74" t="s">
        <v>139</v>
      </c>
      <c r="B35" s="77" t="s">
        <v>847</v>
      </c>
      <c r="C35" s="78" t="s">
        <v>143</v>
      </c>
      <c r="D35" s="79">
        <v>80000</v>
      </c>
    </row>
    <row r="36" spans="1:4">
      <c r="A36" s="74" t="s">
        <v>140</v>
      </c>
      <c r="B36" s="77" t="s">
        <v>840</v>
      </c>
      <c r="C36" s="78" t="s">
        <v>116</v>
      </c>
      <c r="D36" s="79">
        <v>92000</v>
      </c>
    </row>
    <row r="37" spans="1:4">
      <c r="A37" s="74" t="s">
        <v>141</v>
      </c>
      <c r="B37" s="77" t="s">
        <v>142</v>
      </c>
      <c r="C37" s="78" t="s">
        <v>143</v>
      </c>
      <c r="D37" s="79">
        <v>68000</v>
      </c>
    </row>
    <row r="38" spans="1:4">
      <c r="A38" s="74" t="s">
        <v>144</v>
      </c>
      <c r="B38" s="77" t="s">
        <v>145</v>
      </c>
      <c r="C38" s="78" t="s">
        <v>143</v>
      </c>
      <c r="D38" s="79">
        <v>3000</v>
      </c>
    </row>
    <row r="39" spans="1:4">
      <c r="A39" s="74" t="s">
        <v>146</v>
      </c>
      <c r="B39" s="77" t="s">
        <v>147</v>
      </c>
      <c r="C39" s="78" t="s">
        <v>116</v>
      </c>
      <c r="D39" s="79">
        <v>90000</v>
      </c>
    </row>
    <row r="40" spans="1:4" s="157" customFormat="1" ht="13.35" customHeight="1">
      <c r="A40" s="74" t="s">
        <v>593</v>
      </c>
      <c r="B40" s="77" t="s">
        <v>594</v>
      </c>
      <c r="C40" s="78" t="s">
        <v>116</v>
      </c>
      <c r="D40" s="79">
        <v>15000</v>
      </c>
    </row>
    <row r="41" spans="1:4">
      <c r="A41" s="74" t="s">
        <v>718</v>
      </c>
      <c r="B41" s="77" t="s">
        <v>716</v>
      </c>
      <c r="C41" s="87" t="s">
        <v>143</v>
      </c>
      <c r="D41" s="79">
        <v>60000</v>
      </c>
    </row>
    <row r="42" spans="1:4">
      <c r="A42" s="74" t="s">
        <v>783</v>
      </c>
      <c r="B42" s="77" t="s">
        <v>784</v>
      </c>
      <c r="C42" s="87" t="s">
        <v>785</v>
      </c>
      <c r="D42" s="79">
        <v>260000</v>
      </c>
    </row>
    <row r="43" spans="1:4">
      <c r="A43" s="74" t="s">
        <v>829</v>
      </c>
      <c r="B43" s="77" t="s">
        <v>827</v>
      </c>
      <c r="C43" s="87" t="s">
        <v>828</v>
      </c>
      <c r="D43" s="79">
        <v>60000</v>
      </c>
    </row>
    <row r="44" spans="1:4">
      <c r="A44" s="74" t="s">
        <v>831</v>
      </c>
      <c r="B44" s="77" t="s">
        <v>830</v>
      </c>
      <c r="C44" s="344" t="s">
        <v>828</v>
      </c>
      <c r="D44" s="345">
        <v>30000</v>
      </c>
    </row>
    <row r="45" spans="1:4">
      <c r="A45" s="342"/>
      <c r="B45" s="343"/>
      <c r="C45" s="344"/>
      <c r="D45" s="345"/>
    </row>
    <row r="46" spans="1:4">
      <c r="A46" s="342"/>
      <c r="B46" s="343"/>
      <c r="C46" s="344"/>
      <c r="D46" s="345"/>
    </row>
    <row r="47" spans="1:4" ht="60" customHeight="1"/>
    <row r="48" spans="1:4">
      <c r="B48" s="184" t="s">
        <v>823</v>
      </c>
    </row>
    <row r="49" spans="2:2">
      <c r="B49" s="184" t="s">
        <v>24</v>
      </c>
    </row>
  </sheetData>
  <protectedRanges>
    <protectedRange sqref="D8 B9:D39" name="Rango1_1"/>
  </protectedRanges>
  <autoFilter ref="A7:D44" xr:uid="{00000000-0009-0000-0000-00000D000000}"/>
  <mergeCells count="5">
    <mergeCell ref="A1:B1"/>
    <mergeCell ref="C1:D5"/>
    <mergeCell ref="A2:B2"/>
    <mergeCell ref="A3:B3"/>
    <mergeCell ref="A5:B5"/>
  </mergeCells>
  <phoneticPr fontId="35" type="noConversion"/>
  <pageMargins left="0.7" right="0.7" top="0.75" bottom="0.75" header="0.3" footer="0.3"/>
  <pageSetup scale="7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66"/>
  <sheetViews>
    <sheetView view="pageBreakPreview" zoomScale="70" zoomScaleNormal="60" zoomScaleSheetLayoutView="70" workbookViewId="0">
      <pane ySplit="7" topLeftCell="A8" activePane="bottomLeft" state="frozen"/>
      <selection pane="bottomLeft" activeCell="E35" sqref="E35"/>
    </sheetView>
  </sheetViews>
  <sheetFormatPr baseColWidth="10" defaultRowHeight="15"/>
  <cols>
    <col min="2" max="2" width="15.5703125" customWidth="1"/>
    <col min="3" max="3" width="39.42578125" customWidth="1"/>
    <col min="4" max="4" width="10.5703125" customWidth="1"/>
    <col min="5" max="5" width="18.42578125" style="118" customWidth="1"/>
    <col min="6" max="6" width="13.42578125" style="118" customWidth="1"/>
    <col min="9" max="9" width="17" customWidth="1"/>
    <col min="12" max="12" width="15.42578125" bestFit="1" customWidth="1"/>
  </cols>
  <sheetData>
    <row r="1" spans="1:12" ht="26.25">
      <c r="A1" s="570" t="s">
        <v>0</v>
      </c>
      <c r="B1" s="570"/>
      <c r="C1" s="570"/>
      <c r="D1" s="570"/>
      <c r="E1" s="570"/>
      <c r="F1" s="570"/>
      <c r="G1" s="509" t="s">
        <v>52</v>
      </c>
      <c r="H1" s="509"/>
      <c r="I1" s="510"/>
    </row>
    <row r="2" spans="1:12" ht="21">
      <c r="A2" s="577" t="str">
        <f>'DATOS INICIALES'!B2</f>
        <v>MUNICIPIO DE DABEIBA</v>
      </c>
      <c r="B2" s="577"/>
      <c r="C2" s="577"/>
      <c r="D2" s="577"/>
      <c r="E2" s="577"/>
      <c r="F2" s="577"/>
      <c r="G2" s="511"/>
      <c r="H2" s="511"/>
      <c r="I2" s="512"/>
    </row>
    <row r="3" spans="1:12" ht="46.35" customHeight="1">
      <c r="A3" s="578" t="str">
        <f>'DATOS INICIALES'!B3</f>
        <v xml:space="preserve">AMPLIACIÓN DEL SISTEMA DE ALCANTARILLADO EN SECTOR DEL BARRIO PABLO VI  DEL MUNICIPIO DE DABEIBA ANTIOQUIA </v>
      </c>
      <c r="B3" s="578"/>
      <c r="C3" s="578"/>
      <c r="D3" s="578"/>
      <c r="E3" s="578"/>
      <c r="F3" s="578"/>
      <c r="G3" s="511"/>
      <c r="H3" s="511"/>
      <c r="I3" s="512"/>
    </row>
    <row r="4" spans="1:12" ht="9" customHeight="1">
      <c r="A4" s="17"/>
      <c r="B4" s="4"/>
      <c r="C4" s="4"/>
      <c r="D4" s="4"/>
      <c r="E4" s="145"/>
      <c r="F4" s="145"/>
      <c r="G4" s="511"/>
      <c r="H4" s="511"/>
      <c r="I4" s="512"/>
    </row>
    <row r="5" spans="1:12">
      <c r="A5" s="628" t="s">
        <v>479</v>
      </c>
      <c r="B5" s="628"/>
      <c r="C5" s="628"/>
      <c r="D5" s="628"/>
      <c r="E5" s="628"/>
      <c r="F5" s="628"/>
      <c r="G5" s="513"/>
      <c r="H5" s="513"/>
      <c r="I5" s="514"/>
    </row>
    <row r="6" spans="1:12" ht="7.35" customHeight="1"/>
    <row r="7" spans="1:12">
      <c r="A7" s="81" t="s">
        <v>45</v>
      </c>
      <c r="B7" s="81" t="s">
        <v>57</v>
      </c>
      <c r="C7" s="81" t="s">
        <v>46</v>
      </c>
      <c r="D7" s="81" t="s">
        <v>472</v>
      </c>
      <c r="E7" s="158" t="s">
        <v>473</v>
      </c>
      <c r="F7" s="158" t="s">
        <v>474</v>
      </c>
      <c r="G7" s="81" t="s">
        <v>475</v>
      </c>
      <c r="H7" s="81" t="s">
        <v>476</v>
      </c>
      <c r="I7" s="154" t="s">
        <v>477</v>
      </c>
      <c r="J7" s="157"/>
    </row>
    <row r="8" spans="1:12">
      <c r="A8" s="23">
        <v>1</v>
      </c>
      <c r="B8" s="155" t="s">
        <v>478</v>
      </c>
      <c r="C8" s="155"/>
      <c r="D8" s="155"/>
      <c r="E8" s="159"/>
      <c r="F8" s="159"/>
      <c r="G8" s="155"/>
      <c r="H8" s="155"/>
      <c r="I8" s="156">
        <f>IF(SUM(I9:I12)=0,"",SUM(I9:I12))</f>
        <v>1747200</v>
      </c>
      <c r="J8" s="157"/>
    </row>
    <row r="9" spans="1:12">
      <c r="A9" s="127" t="s">
        <v>51</v>
      </c>
      <c r="B9" s="127" t="str">
        <f>IF(C9="","",INDEX(CODIGOSMANODEOBRA,MATCH($C9,'INSUMOS MANO DE OBRA'!$B$7:$B$61,0)))</f>
        <v>MO019</v>
      </c>
      <c r="C9" s="161" t="s">
        <v>872</v>
      </c>
      <c r="D9" s="167">
        <v>1</v>
      </c>
      <c r="E9" s="130">
        <f>IF(C9="","",IFERROR(VLOOKUP($B9,INSUMOSMANODEOBRA,4,0),""))</f>
        <v>1400000</v>
      </c>
      <c r="F9" s="163">
        <f>IF(C9="","",IFERROR(ROUND((VLOOKUP($B9,INSUMOSMANODEOBRA,5,0)-1)*E9,0),""))</f>
        <v>784000</v>
      </c>
      <c r="G9" s="166">
        <v>0.8</v>
      </c>
      <c r="H9" s="167">
        <v>1</v>
      </c>
      <c r="I9" s="130">
        <f>+IF(D9=0,"",IFERROR(D9*(E9+F9)*G9*H9,""))</f>
        <v>1747200</v>
      </c>
      <c r="J9" s="157"/>
    </row>
    <row r="10" spans="1:12" hidden="1">
      <c r="A10" s="127" t="s">
        <v>480</v>
      </c>
      <c r="B10" s="127" t="str">
        <f>IF(C10="","",INDEX(CODIGOSMANODEOBRA,MATCH($C10,'INSUMOS MANO DE OBRA'!$B$7:$B$61,0)))</f>
        <v/>
      </c>
      <c r="C10" s="161"/>
      <c r="D10" s="167"/>
      <c r="E10" s="130" t="str">
        <f>IF(C10="","",IFERROR(VLOOKUP($B10,INSUMOSMANODEOBRA,4,0),""))</f>
        <v/>
      </c>
      <c r="F10" s="163" t="str">
        <f>IF(C10="","",IFERROR(ROUND((VLOOKUP($B10,INSUMOSMANODEOBRA,5,0)-1)*E10,0),""))</f>
        <v/>
      </c>
      <c r="G10" s="166"/>
      <c r="H10" s="167"/>
      <c r="I10" s="130" t="str">
        <f>+IF(D10=0,"",IFERROR(D10*(E10+F10)*G10*H10,""))</f>
        <v/>
      </c>
      <c r="J10" s="157"/>
      <c r="L10" s="209"/>
    </row>
    <row r="11" spans="1:12" hidden="1">
      <c r="A11" s="127" t="s">
        <v>789</v>
      </c>
      <c r="B11" s="127" t="str">
        <f>IF(C11="","",INDEX(CODIGOSMANODEOBRA,MATCH($C11,'INSUMOS MANO DE OBRA'!$B$7:$B$61,0)))</f>
        <v/>
      </c>
      <c r="C11" s="161"/>
      <c r="D11" s="167"/>
      <c r="E11" s="130" t="str">
        <f>IF(C11="","",IFERROR(VLOOKUP($B11,INSUMOSMANODEOBRA,4,0),""))</f>
        <v/>
      </c>
      <c r="F11" s="163" t="str">
        <f>IF(C11="","",IFERROR(ROUND((VLOOKUP($B11,INSUMOSMANODEOBRA,5,0)-1)*E11,0),""))</f>
        <v/>
      </c>
      <c r="G11" s="166"/>
      <c r="H11" s="167"/>
      <c r="I11" s="130" t="str">
        <f>+IF(D11=0,"",IFERROR(D11*(E11+F11)*G11*H11,""))</f>
        <v/>
      </c>
      <c r="J11" s="157"/>
      <c r="L11" s="209"/>
    </row>
    <row r="12" spans="1:12" hidden="1">
      <c r="A12" s="127" t="s">
        <v>790</v>
      </c>
      <c r="B12" s="127" t="str">
        <f>IF(C12="","",INDEX(CODIGOSMANODEOBRA,MATCH($C12,'INSUMOS MANO DE OBRA'!$B$7:$B$61,0)))</f>
        <v/>
      </c>
      <c r="C12" s="161"/>
      <c r="D12" s="167"/>
      <c r="E12" s="130" t="str">
        <f>IF(C12="","",IFERROR(VLOOKUP($B12,INSUMOSMANODEOBRA,4,0),""))</f>
        <v/>
      </c>
      <c r="F12" s="163" t="str">
        <f>IF(C12="","",IFERROR(ROUND((VLOOKUP($B12,INSUMOSMANODEOBRA,5,0)-1)*E12,0),""))</f>
        <v/>
      </c>
      <c r="G12" s="166"/>
      <c r="H12" s="167"/>
      <c r="I12" s="130" t="str">
        <f>+IF(D12=0,"",IFERROR(D12*(E12+F12)*G12*H12,""))</f>
        <v/>
      </c>
      <c r="J12" s="157"/>
      <c r="L12" s="209"/>
    </row>
    <row r="13" spans="1:12" hidden="1">
      <c r="A13" s="23">
        <v>2</v>
      </c>
      <c r="B13" s="563" t="s">
        <v>481</v>
      </c>
      <c r="C13" s="563"/>
      <c r="D13" s="563"/>
      <c r="E13" s="563"/>
      <c r="F13" s="563"/>
      <c r="G13" s="563"/>
      <c r="H13" s="624"/>
      <c r="I13" s="156" t="str">
        <f>IF(SUM(I14:I15)=0,"",SUM(I14:I15))</f>
        <v/>
      </c>
      <c r="J13" s="157"/>
      <c r="L13" s="209"/>
    </row>
    <row r="14" spans="1:12" hidden="1">
      <c r="A14" s="127" t="s">
        <v>482</v>
      </c>
      <c r="B14" s="127" t="str">
        <f>IF(C14="","",INDEX(CODIGOSMANODEOBRA,MATCH($C14,'INSUMOS MANO DE OBRA'!$B$7:$B$61,0)))</f>
        <v/>
      </c>
      <c r="C14" s="161"/>
      <c r="D14" s="167">
        <v>1</v>
      </c>
      <c r="E14" s="130" t="str">
        <f>IF(C14="","",IFERROR(VLOOKUP($B14,INSUMOSMANODEOBRA,4,0),""))</f>
        <v/>
      </c>
      <c r="F14" s="130" t="str">
        <f>IF(C14="","",IFERROR(ROUND((VLOOKUP($B14,INSUMOSMANODEOBRA,5,0)-1)*E14,0),""))</f>
        <v/>
      </c>
      <c r="G14" s="166"/>
      <c r="H14" s="167"/>
      <c r="I14" s="130" t="str">
        <f>+IF(D14=0,"",IFERROR(D14*(E14+F14)*G14*H14,""))</f>
        <v/>
      </c>
      <c r="J14" s="157"/>
    </row>
    <row r="15" spans="1:12" hidden="1">
      <c r="A15" s="127" t="s">
        <v>483</v>
      </c>
      <c r="B15" s="160"/>
      <c r="C15" s="161"/>
      <c r="D15" s="168">
        <f>+IF(SUM(D9:D10)=0,"",SUM(D9:D10))</f>
        <v>1</v>
      </c>
      <c r="E15" s="164"/>
      <c r="F15" s="130"/>
      <c r="G15" s="160"/>
      <c r="H15" s="167"/>
      <c r="I15" s="130">
        <f>+IFERROR(D15*E15*H15,"")</f>
        <v>0</v>
      </c>
      <c r="J15" s="157"/>
    </row>
    <row r="16" spans="1:12">
      <c r="A16" s="23">
        <v>3</v>
      </c>
      <c r="B16" s="563" t="s">
        <v>484</v>
      </c>
      <c r="C16" s="563"/>
      <c r="D16" s="563"/>
      <c r="E16" s="563"/>
      <c r="F16" s="563"/>
      <c r="G16" s="563"/>
      <c r="H16" s="624"/>
      <c r="I16" s="156">
        <f>IF(SUM(I17:I19)=0,"",SUM(I17:I18))</f>
        <v>84796.635000000009</v>
      </c>
      <c r="J16" s="157"/>
    </row>
    <row r="17" spans="1:10">
      <c r="A17" s="127" t="s">
        <v>485</v>
      </c>
      <c r="B17" s="127" t="str">
        <f>IF(C17="","",INDEX(CODIGOSMANODEOBRA,MATCH($C17,'INSUMOS MANO DE OBRA'!$B$7:$B$61,0)))</f>
        <v>MO013</v>
      </c>
      <c r="C17" s="161" t="s">
        <v>341</v>
      </c>
      <c r="D17" s="167">
        <v>1</v>
      </c>
      <c r="E17" s="130">
        <f>IF(C17="","",IFERROR(VLOOKUP($B17,INSUMOSMANODEOBRA,4,0),""))</f>
        <v>1423500</v>
      </c>
      <c r="F17" s="130">
        <f>IF(C17="","",IFERROR(ROUND((VLOOKUP($B17,INSUMOSMANODEOBRA,5,0)-1)*E17,0),""))</f>
        <v>1096095</v>
      </c>
      <c r="G17" s="166">
        <v>0.1</v>
      </c>
      <c r="H17" s="85">
        <v>0.33</v>
      </c>
      <c r="I17" s="128">
        <f>+IF(D17=0,"",IFERROR(D17*(E17+F17)*G17*H17,""))</f>
        <v>83146.635000000009</v>
      </c>
      <c r="J17" s="157"/>
    </row>
    <row r="18" spans="1:10">
      <c r="A18" s="127" t="s">
        <v>486</v>
      </c>
      <c r="B18" s="160"/>
      <c r="C18" s="160" t="s">
        <v>488</v>
      </c>
      <c r="D18" s="165">
        <v>1</v>
      </c>
      <c r="E18" s="164">
        <v>50000</v>
      </c>
      <c r="F18" s="130"/>
      <c r="G18" s="166">
        <v>0.1</v>
      </c>
      <c r="H18" s="165">
        <v>0.33</v>
      </c>
      <c r="I18" s="128">
        <f>+IF(D18=0,"",IFERROR(D18*(E18+F18)*G18*H18,""))</f>
        <v>1650</v>
      </c>
      <c r="J18" s="157"/>
    </row>
    <row r="19" spans="1:10">
      <c r="A19" s="127" t="s">
        <v>487</v>
      </c>
      <c r="B19" s="160"/>
      <c r="C19" s="160" t="s">
        <v>489</v>
      </c>
      <c r="D19" s="165">
        <v>1</v>
      </c>
      <c r="E19" s="164">
        <v>300000</v>
      </c>
      <c r="F19" s="130"/>
      <c r="G19" s="166">
        <v>0.1</v>
      </c>
      <c r="H19" s="165">
        <v>0.33</v>
      </c>
      <c r="I19" s="128">
        <f>+IF(D19=0,"",IFERROR(D19*(E19+F19)*G19*H19,""))</f>
        <v>9900</v>
      </c>
      <c r="J19" s="157"/>
    </row>
    <row r="20" spans="1:10" hidden="1">
      <c r="A20" s="23">
        <v>4</v>
      </c>
      <c r="B20" s="563" t="s">
        <v>490</v>
      </c>
      <c r="C20" s="563"/>
      <c r="D20" s="563"/>
      <c r="E20" s="563"/>
      <c r="F20" s="563"/>
      <c r="G20" s="563"/>
      <c r="H20" s="624"/>
      <c r="I20" s="156" t="str">
        <f>IF(SUM(I21:I22)=0,"",SUM(I21:I22))</f>
        <v/>
      </c>
      <c r="J20" s="157"/>
    </row>
    <row r="21" spans="1:10" hidden="1">
      <c r="A21" s="127" t="s">
        <v>491</v>
      </c>
      <c r="B21" s="127" t="str">
        <f>IF(C21="","",INDEX(CODIGOSSERVICIOS,MATCH($C21,'INSUMOS SERVICIOS'!B7:B21,0)))</f>
        <v/>
      </c>
      <c r="C21" s="161"/>
      <c r="D21" s="167">
        <v>1</v>
      </c>
      <c r="E21" s="130" t="str">
        <f>IF(C21="","",(VLOOKUP($B21,INSUMOSSERVICIOS,4,0)))</f>
        <v/>
      </c>
      <c r="F21" s="130"/>
      <c r="G21" s="160"/>
      <c r="H21" s="165"/>
      <c r="I21" s="130" t="str">
        <f>IFERROR(D21*E21*H21,"")</f>
        <v/>
      </c>
      <c r="J21" s="157"/>
    </row>
    <row r="22" spans="1:10" hidden="1">
      <c r="A22" s="127" t="s">
        <v>492</v>
      </c>
      <c r="B22" s="127" t="str">
        <f>IF(C22="","",INDEX(CODIGOEQUIPOS,MATCH($C22,'INSUMOS EQUIPOS'!B7:B39,0)))</f>
        <v/>
      </c>
      <c r="C22" s="161"/>
      <c r="D22" s="167">
        <v>1</v>
      </c>
      <c r="E22" s="130" t="str">
        <f>IF(C22="","",(VLOOKUP($B22,INSUMOSEQUIPOS,4,0)))</f>
        <v/>
      </c>
      <c r="F22" s="130"/>
      <c r="G22" s="160"/>
      <c r="H22" s="165"/>
      <c r="I22" s="130" t="str">
        <f>IFERROR(D22*E22*H22,"")</f>
        <v/>
      </c>
      <c r="J22" s="157"/>
    </row>
    <row r="23" spans="1:10" hidden="1">
      <c r="A23" s="23">
        <v>5</v>
      </c>
      <c r="B23" s="563" t="s">
        <v>493</v>
      </c>
      <c r="C23" s="563"/>
      <c r="D23" s="563"/>
      <c r="E23" s="563"/>
      <c r="F23" s="563"/>
      <c r="G23" s="563"/>
      <c r="H23" s="624"/>
      <c r="I23" s="156" t="str">
        <f>IF(SUM(I24:I26)=0,"",SUM(I24:I26))</f>
        <v/>
      </c>
      <c r="J23" s="157"/>
    </row>
    <row r="24" spans="1:10" ht="77.45" hidden="1" customHeight="1">
      <c r="A24" s="169" t="s">
        <v>494</v>
      </c>
      <c r="B24" s="169" t="str">
        <f>IF(C24="","",INDEX(CODIGOEQUIPOS,MATCH($C24,'INSUMOS EQUIPOS'!$B$7:$B$39,0)))</f>
        <v/>
      </c>
      <c r="C24" s="170"/>
      <c r="D24" s="171">
        <v>1</v>
      </c>
      <c r="E24" s="172" t="str">
        <f>IF(C24="","",(VLOOKUP($B24,INSUMOSEQUIPOS,4,FALSE)))</f>
        <v/>
      </c>
      <c r="F24" s="130"/>
      <c r="G24" s="160"/>
      <c r="H24" s="173"/>
      <c r="I24" s="172" t="str">
        <f>IF(D24=0,"",IFERROR(D24*E24*H24,""))</f>
        <v/>
      </c>
      <c r="J24" s="157"/>
    </row>
    <row r="25" spans="1:10" hidden="1">
      <c r="A25" s="127" t="s">
        <v>495</v>
      </c>
      <c r="B25" s="169" t="str">
        <f>IF(C25="","",INDEX(CODIGOEQUIPOS,MATCH($C25,'INSUMOS EQUIPOS'!$B$7:$B$39,0)))</f>
        <v/>
      </c>
      <c r="C25" s="161"/>
      <c r="D25" s="167">
        <v>1</v>
      </c>
      <c r="E25" s="172" t="str">
        <f>IF(C25="","",(VLOOKUP($B25,INSUMOSEQUIPOS,4,FALSE)))</f>
        <v/>
      </c>
      <c r="F25" s="130"/>
      <c r="G25" s="160"/>
      <c r="H25" s="173"/>
      <c r="I25" s="172" t="str">
        <f>IF(D25=0,"",IFERROR(D25*E25*H25,""))</f>
        <v/>
      </c>
      <c r="J25" s="157"/>
    </row>
    <row r="26" spans="1:10" hidden="1">
      <c r="A26" s="127" t="s">
        <v>496</v>
      </c>
      <c r="B26" s="169" t="str">
        <f>IF(C26="","",INDEX(CODIGOEQUIPOS,MATCH($C26,'INSUMOS EQUIPOS'!$B$7:$B$39,0)))</f>
        <v/>
      </c>
      <c r="C26" s="161"/>
      <c r="D26" s="167">
        <v>2</v>
      </c>
      <c r="E26" s="172" t="str">
        <f>IF(C26="","",(VLOOKUP($B26,INSUMOSEQUIPOS,4,FALSE)))</f>
        <v/>
      </c>
      <c r="F26" s="130"/>
      <c r="G26" s="160"/>
      <c r="H26" s="173"/>
      <c r="I26" s="172" t="str">
        <f>IF(D26=0,"",IFERROR(D26*E26*H26,""))</f>
        <v/>
      </c>
      <c r="J26" s="157"/>
    </row>
    <row r="27" spans="1:10" hidden="1">
      <c r="A27" s="23">
        <v>6</v>
      </c>
      <c r="B27" s="563" t="s">
        <v>499</v>
      </c>
      <c r="C27" s="563"/>
      <c r="D27" s="563"/>
      <c r="E27" s="563"/>
      <c r="F27" s="563"/>
      <c r="G27" s="563"/>
      <c r="H27" s="624"/>
      <c r="I27" s="156" t="str">
        <f>IF(SUM(I28:I29)=0,"",SUM(I28:I29))</f>
        <v/>
      </c>
      <c r="J27" s="157"/>
    </row>
    <row r="28" spans="1:10" hidden="1">
      <c r="A28" s="169" t="s">
        <v>497</v>
      </c>
      <c r="B28" s="169" t="str">
        <f>IF(C28="","",INDEX(CODIGOSSERVICIOS,MATCH($C28,'INSUMOS SERVICIOS'!$B$7:$B$21,0)))</f>
        <v/>
      </c>
      <c r="C28" s="174"/>
      <c r="D28" s="171"/>
      <c r="E28" s="172" t="str">
        <f>IF(C28="","",(VLOOKUP($B28,INSUMOSSERVICIOS,4,0)))</f>
        <v/>
      </c>
      <c r="F28" s="172"/>
      <c r="G28" s="175"/>
      <c r="H28" s="175"/>
      <c r="I28" s="172" t="str">
        <f>IF(D28=0,"",IFERROR(D28*E28,""))</f>
        <v/>
      </c>
      <c r="J28" s="157"/>
    </row>
    <row r="29" spans="1:10" hidden="1">
      <c r="A29" s="169" t="s">
        <v>498</v>
      </c>
      <c r="B29" s="169" t="str">
        <f>IF(C29="","",INDEX(CODIGOSSERVICIOS,MATCH($C29,'INSUMOS SERVICIOS'!$B$7:$B$21,0)))</f>
        <v/>
      </c>
      <c r="C29" s="174"/>
      <c r="D29" s="171"/>
      <c r="E29" s="172" t="str">
        <f>IF(C29="","",(VLOOKUP($B29,INSUMOSSERVICIOS,4,0)))</f>
        <v/>
      </c>
      <c r="F29" s="172"/>
      <c r="G29" s="175"/>
      <c r="H29" s="175"/>
      <c r="I29" s="172" t="str">
        <f>IF(D29=0,"",IFERROR(D29*E29,""))</f>
        <v/>
      </c>
      <c r="J29" s="157"/>
    </row>
    <row r="30" spans="1:10" hidden="1">
      <c r="A30" s="169" t="s">
        <v>793</v>
      </c>
      <c r="B30" s="169" t="str">
        <f>IF(C30="","",INDEX(CODIGOSSERVICIOS,MATCH($C30,'INSUMOS SERVICIOS'!$B$7:$B$21,0)))</f>
        <v/>
      </c>
      <c r="C30" s="174"/>
      <c r="D30" s="171"/>
      <c r="E30" s="172" t="str">
        <f>IF(C30="","",(VLOOKUP($B30,INSUMOSSERVICIOS,4,0)))</f>
        <v/>
      </c>
      <c r="F30" s="172"/>
      <c r="G30" s="175"/>
      <c r="H30" s="175"/>
      <c r="I30" s="172" t="str">
        <f>IF(D30=0,"",IFERROR(D30*E30,""))</f>
        <v/>
      </c>
      <c r="J30" s="157"/>
    </row>
    <row r="31" spans="1:10" hidden="1">
      <c r="A31" s="23">
        <v>7</v>
      </c>
      <c r="B31" s="563" t="s">
        <v>500</v>
      </c>
      <c r="C31" s="563"/>
      <c r="D31" s="563"/>
      <c r="E31" s="563"/>
      <c r="F31" s="563"/>
      <c r="G31" s="563"/>
      <c r="H31" s="624"/>
      <c r="I31" s="156" t="str">
        <f>IF(SUM(I32)=0,"",SUM(I32))</f>
        <v/>
      </c>
      <c r="J31" s="157"/>
    </row>
    <row r="32" spans="1:10" hidden="1">
      <c r="A32" s="127" t="s">
        <v>501</v>
      </c>
      <c r="B32" s="127" t="str">
        <f>IF(C32="","",INDEX(CODIGOMATERIALES,MATCH($C32,'INSUMOS MATERIALES'!$B$7:$B$54,0)))</f>
        <v/>
      </c>
      <c r="C32" s="161"/>
      <c r="D32" s="167"/>
      <c r="E32" s="128" t="str">
        <f>IF(C32="","",(VLOOKUP($B32,INSUMOSMATERIALES,4,0)))</f>
        <v/>
      </c>
      <c r="F32" s="130"/>
      <c r="G32" s="160"/>
      <c r="H32" s="160"/>
      <c r="I32" s="130" t="str">
        <f>IF(D32=0,"",IFERROR(D32*E32,""))</f>
        <v/>
      </c>
      <c r="J32" s="157"/>
    </row>
    <row r="33" spans="1:10">
      <c r="A33" s="23">
        <v>8</v>
      </c>
      <c r="B33" s="563" t="s">
        <v>502</v>
      </c>
      <c r="C33" s="563"/>
      <c r="D33" s="563"/>
      <c r="E33" s="563"/>
      <c r="F33" s="563"/>
      <c r="G33" s="563"/>
      <c r="H33" s="624"/>
      <c r="I33" s="156">
        <f ca="1">IF(SUM(I34:I41)=0,"",SUM(I34:I41))</f>
        <v>3367077.9749425002</v>
      </c>
      <c r="J33" s="157"/>
    </row>
    <row r="34" spans="1:10">
      <c r="A34" s="127" t="s">
        <v>503</v>
      </c>
      <c r="B34" s="160"/>
      <c r="C34" s="160" t="s">
        <v>506</v>
      </c>
      <c r="D34" s="160"/>
      <c r="E34" s="130"/>
      <c r="F34" s="130"/>
      <c r="G34" s="160"/>
      <c r="H34" s="160"/>
      <c r="I34" s="189">
        <f ca="1">PRESUPUESTO!H20*0.85%</f>
        <v>169852.59814250001</v>
      </c>
      <c r="J34" s="157"/>
    </row>
    <row r="35" spans="1:10">
      <c r="A35" s="127" t="s">
        <v>504</v>
      </c>
      <c r="B35" s="160"/>
      <c r="C35" s="160" t="s">
        <v>507</v>
      </c>
      <c r="D35" s="179">
        <v>0.05</v>
      </c>
      <c r="E35" s="130">
        <f ca="1">+PRESUPUESTO!H20</f>
        <v>19982658.605</v>
      </c>
      <c r="F35" s="130"/>
      <c r="G35" s="160"/>
      <c r="H35" s="160"/>
      <c r="I35" s="189">
        <f ca="1">+E35*D35</f>
        <v>999132.93025000009</v>
      </c>
      <c r="J35" s="157"/>
    </row>
    <row r="36" spans="1:10">
      <c r="A36" s="127" t="s">
        <v>505</v>
      </c>
      <c r="B36" s="160"/>
      <c r="C36" s="160" t="s">
        <v>508</v>
      </c>
      <c r="D36" s="160"/>
      <c r="E36" s="130"/>
      <c r="F36" s="130"/>
      <c r="G36" s="160"/>
      <c r="H36" s="160"/>
      <c r="I36" s="189"/>
      <c r="J36" s="157"/>
    </row>
    <row r="37" spans="1:10">
      <c r="A37" s="127" t="s">
        <v>509</v>
      </c>
      <c r="B37" s="160"/>
      <c r="C37" s="392" t="s">
        <v>513</v>
      </c>
      <c r="D37" s="393">
        <v>0.01</v>
      </c>
      <c r="E37" s="130">
        <f ca="1">+PRESUPUESTO!H20</f>
        <v>19982658.605</v>
      </c>
      <c r="F37" s="130"/>
      <c r="G37" s="160"/>
      <c r="H37" s="160"/>
      <c r="I37" s="189">
        <f ca="1">+E37*D37</f>
        <v>199826.58605000001</v>
      </c>
      <c r="J37" s="157"/>
    </row>
    <row r="38" spans="1:10">
      <c r="A38" s="127" t="s">
        <v>510</v>
      </c>
      <c r="B38" s="160"/>
      <c r="C38" s="392" t="s">
        <v>514</v>
      </c>
      <c r="D38" s="393">
        <v>0.02</v>
      </c>
      <c r="E38" s="130">
        <f ca="1">+PRESUPUESTO!H20</f>
        <v>19982658.605</v>
      </c>
      <c r="F38" s="130"/>
      <c r="G38" s="160"/>
      <c r="H38" s="160"/>
      <c r="I38" s="189">
        <f ca="1">+E38*D38</f>
        <v>399653.17210000003</v>
      </c>
      <c r="J38" s="157"/>
    </row>
    <row r="39" spans="1:10">
      <c r="A39" s="127" t="s">
        <v>511</v>
      </c>
      <c r="B39" s="160"/>
      <c r="C39" s="392" t="s">
        <v>515</v>
      </c>
      <c r="D39" s="393">
        <v>0.04</v>
      </c>
      <c r="E39" s="130">
        <f ca="1">+PRESUPUESTO!H20</f>
        <v>19982658.605</v>
      </c>
      <c r="F39" s="130"/>
      <c r="G39" s="160"/>
      <c r="H39" s="160"/>
      <c r="I39" s="189">
        <f ca="1">+E39*D39</f>
        <v>799306.34420000005</v>
      </c>
      <c r="J39" s="157"/>
    </row>
    <row r="40" spans="1:10">
      <c r="A40" s="127" t="s">
        <v>512</v>
      </c>
      <c r="B40" s="160"/>
      <c r="C40" s="392" t="s">
        <v>516</v>
      </c>
      <c r="D40" s="393">
        <v>0.02</v>
      </c>
      <c r="E40" s="130">
        <f ca="1">+PRESUPUESTO!H20</f>
        <v>19982658.605</v>
      </c>
      <c r="F40" s="130"/>
      <c r="G40" s="160"/>
      <c r="H40" s="160"/>
      <c r="I40" s="189">
        <f ca="1">+E40*D40</f>
        <v>399653.17210000003</v>
      </c>
      <c r="J40" s="157"/>
    </row>
    <row r="41" spans="1:10">
      <c r="A41" s="127" t="s">
        <v>896</v>
      </c>
      <c r="B41" s="356"/>
      <c r="C41" s="394" t="s">
        <v>897</v>
      </c>
      <c r="D41" s="395">
        <v>0.02</v>
      </c>
      <c r="E41" s="130">
        <f ca="1">+PRESUPUESTO!H20</f>
        <v>19982658.605</v>
      </c>
      <c r="F41" s="357"/>
      <c r="G41" s="356"/>
      <c r="H41" s="358"/>
      <c r="I41" s="189">
        <f ca="1">+E41*D41</f>
        <v>399653.17210000003</v>
      </c>
      <c r="J41" s="157"/>
    </row>
    <row r="42" spans="1:10">
      <c r="A42" s="625" t="s">
        <v>517</v>
      </c>
      <c r="B42" s="626"/>
      <c r="C42" s="626"/>
      <c r="D42" s="626"/>
      <c r="E42" s="626"/>
      <c r="F42" s="626"/>
      <c r="G42" s="626"/>
      <c r="H42" s="627"/>
      <c r="I42" s="190">
        <f ca="1">IF(SUM(I8,I13,I16,I20,I23,I27,I31,I33)=0,"",SUM(I8,I13,I16,I20,I23,I27,I31,I33))</f>
        <v>5199074.6099425005</v>
      </c>
      <c r="J42" s="157"/>
    </row>
    <row r="43" spans="1:10">
      <c r="A43" s="623" t="s">
        <v>518</v>
      </c>
      <c r="B43" s="623"/>
      <c r="C43" s="623"/>
      <c r="D43" s="623"/>
      <c r="E43" s="623"/>
      <c r="F43" s="623"/>
      <c r="G43" s="623"/>
      <c r="H43" s="623"/>
      <c r="I43" s="190">
        <f ca="1">IFERROR(PRESUPUESTO!H16-AIU!I42,"")</f>
        <v>-1394303.3599425005</v>
      </c>
      <c r="J43" s="157"/>
    </row>
    <row r="44" spans="1:10">
      <c r="A44" s="623" t="s">
        <v>519</v>
      </c>
      <c r="B44" s="623"/>
      <c r="C44" s="623"/>
      <c r="D44" s="623"/>
      <c r="E44" s="623"/>
      <c r="F44" s="623"/>
      <c r="G44" s="623"/>
      <c r="H44" s="623"/>
      <c r="I44" s="190">
        <f ca="1">IFERROR(I42+I43,"")</f>
        <v>3804771.25</v>
      </c>
      <c r="J44" s="157"/>
    </row>
    <row r="45" spans="1:10">
      <c r="A45" s="623" t="s">
        <v>520</v>
      </c>
      <c r="B45" s="623"/>
      <c r="C45" s="623"/>
      <c r="D45" s="623"/>
      <c r="E45" s="623"/>
      <c r="F45" s="623"/>
      <c r="G45" s="623"/>
      <c r="H45" s="623"/>
      <c r="I45" s="190">
        <f ca="1">IF(PRESUPUESTO!$H$15=0,"",PRESUPUESTO!$H$15)</f>
        <v>15219085</v>
      </c>
      <c r="J45" s="157"/>
    </row>
    <row r="46" spans="1:10">
      <c r="A46" s="623" t="s">
        <v>521</v>
      </c>
      <c r="B46" s="623"/>
      <c r="C46" s="623"/>
      <c r="D46" s="623"/>
      <c r="E46" s="623"/>
      <c r="F46" s="623"/>
      <c r="G46" s="623"/>
      <c r="H46" s="623"/>
      <c r="I46" s="328">
        <f ca="1">IFERROR(ROUND(I42/I45,4),"")</f>
        <v>0.34160000000000001</v>
      </c>
      <c r="J46" s="157"/>
    </row>
    <row r="47" spans="1:10">
      <c r="A47" s="623" t="s">
        <v>522</v>
      </c>
      <c r="B47" s="623"/>
      <c r="C47" s="623"/>
      <c r="D47" s="623"/>
      <c r="E47" s="623"/>
      <c r="F47" s="623"/>
      <c r="G47" s="623"/>
      <c r="H47" s="623"/>
      <c r="I47" s="329">
        <v>0</v>
      </c>
      <c r="J47" s="157"/>
    </row>
    <row r="48" spans="1:10">
      <c r="A48" s="623" t="s">
        <v>523</v>
      </c>
      <c r="B48" s="623"/>
      <c r="C48" s="623"/>
      <c r="D48" s="623"/>
      <c r="E48" s="623"/>
      <c r="F48" s="623"/>
      <c r="G48" s="623"/>
      <c r="H48" s="623"/>
      <c r="I48" s="329">
        <v>0.05</v>
      </c>
      <c r="J48" s="157"/>
    </row>
    <row r="49" spans="1:10">
      <c r="A49" s="623" t="s">
        <v>524</v>
      </c>
      <c r="B49" s="623"/>
      <c r="C49" s="623"/>
      <c r="D49" s="623"/>
      <c r="E49" s="623"/>
      <c r="F49" s="623"/>
      <c r="G49" s="623"/>
      <c r="H49" s="623"/>
      <c r="I49" s="328">
        <f ca="1">IF(SUM(I46:I48)=0,"",SUM(I46:I48))</f>
        <v>0.3916</v>
      </c>
      <c r="J49" s="157"/>
    </row>
    <row r="50" spans="1:10">
      <c r="A50" s="157"/>
      <c r="B50" s="157"/>
      <c r="C50" s="157"/>
      <c r="D50" s="157"/>
      <c r="E50" s="162"/>
      <c r="F50" s="162"/>
      <c r="G50" s="157"/>
      <c r="H50" s="157"/>
      <c r="I50" s="157"/>
      <c r="J50" s="157"/>
    </row>
    <row r="51" spans="1:10">
      <c r="A51" s="157"/>
      <c r="B51" s="157"/>
      <c r="C51" s="157"/>
      <c r="D51" s="157"/>
      <c r="E51" s="162"/>
      <c r="F51" s="162"/>
      <c r="G51" s="157"/>
      <c r="H51" s="157"/>
      <c r="I51" s="157"/>
      <c r="J51" s="157"/>
    </row>
    <row r="52" spans="1:10">
      <c r="A52" s="157"/>
      <c r="B52" s="157"/>
      <c r="C52" s="157"/>
      <c r="D52" s="157"/>
      <c r="E52" s="162"/>
      <c r="F52" s="162"/>
      <c r="G52" s="157"/>
      <c r="H52" s="157"/>
      <c r="I52" s="157"/>
      <c r="J52" s="157"/>
    </row>
    <row r="53" spans="1:10">
      <c r="A53" s="157"/>
      <c r="B53" s="157"/>
      <c r="C53" s="157"/>
      <c r="D53" s="157"/>
      <c r="E53" s="162"/>
      <c r="F53" s="162"/>
      <c r="G53" s="157"/>
      <c r="H53" s="157"/>
      <c r="I53" s="157"/>
      <c r="J53" s="157"/>
    </row>
    <row r="54" spans="1:10">
      <c r="A54" s="157"/>
      <c r="B54" s="157"/>
      <c r="C54" s="157"/>
      <c r="D54" s="157"/>
      <c r="E54" s="162"/>
      <c r="F54" s="162"/>
      <c r="G54" s="157"/>
      <c r="H54" s="157"/>
      <c r="I54" s="157"/>
      <c r="J54" s="157"/>
    </row>
    <row r="55" spans="1:10">
      <c r="A55" s="157"/>
      <c r="B55" s="157"/>
      <c r="C55" s="157"/>
      <c r="D55" s="157"/>
      <c r="E55" s="162"/>
      <c r="F55" s="162"/>
      <c r="G55" s="157"/>
      <c r="H55" s="157"/>
      <c r="I55" s="157"/>
      <c r="J55" s="157"/>
    </row>
    <row r="56" spans="1:10">
      <c r="A56" s="157"/>
      <c r="B56" s="157"/>
      <c r="C56" s="157" t="s">
        <v>525</v>
      </c>
      <c r="D56" s="157"/>
      <c r="E56" s="162"/>
      <c r="F56" s="162"/>
      <c r="G56" s="157"/>
      <c r="H56" s="157"/>
      <c r="I56" s="157"/>
      <c r="J56" s="157"/>
    </row>
    <row r="57" spans="1:10">
      <c r="A57" s="157"/>
      <c r="B57" s="157"/>
      <c r="C57" s="180" t="s">
        <v>826</v>
      </c>
      <c r="D57" s="157"/>
      <c r="E57" s="162"/>
      <c r="F57" s="162"/>
      <c r="G57" s="157"/>
      <c r="H57" s="157"/>
      <c r="I57" s="157"/>
      <c r="J57" s="157"/>
    </row>
    <row r="58" spans="1:10">
      <c r="A58" s="157"/>
      <c r="B58" s="157"/>
      <c r="C58" s="157" t="s">
        <v>24</v>
      </c>
      <c r="D58" s="157"/>
      <c r="E58" s="162"/>
      <c r="F58" s="162"/>
      <c r="G58" s="157"/>
      <c r="H58" s="157"/>
      <c r="I58" s="157"/>
      <c r="J58" s="157"/>
    </row>
    <row r="59" spans="1:10">
      <c r="A59" s="157"/>
      <c r="B59" s="157"/>
      <c r="C59" s="157"/>
      <c r="D59" s="157"/>
      <c r="E59" s="162"/>
      <c r="F59" s="162"/>
      <c r="G59" s="157"/>
      <c r="H59" s="157"/>
      <c r="I59" s="157"/>
      <c r="J59" s="157"/>
    </row>
    <row r="60" spans="1:10">
      <c r="A60" s="157"/>
      <c r="B60" s="157"/>
      <c r="C60" s="157"/>
      <c r="D60" s="157"/>
      <c r="E60" s="162"/>
      <c r="F60" s="162"/>
      <c r="G60" s="157"/>
      <c r="H60" s="157"/>
      <c r="I60" s="157"/>
      <c r="J60" s="157"/>
    </row>
    <row r="61" spans="1:10">
      <c r="A61" s="157"/>
      <c r="B61" s="157"/>
      <c r="C61" s="157"/>
      <c r="D61" s="157"/>
      <c r="E61" s="162"/>
      <c r="F61" s="162"/>
      <c r="G61" s="157"/>
      <c r="H61" s="157"/>
      <c r="I61" s="157"/>
      <c r="J61" s="157"/>
    </row>
    <row r="62" spans="1:10">
      <c r="A62" s="157"/>
      <c r="B62" s="157"/>
      <c r="C62" s="157"/>
      <c r="D62" s="157"/>
      <c r="E62" s="162"/>
      <c r="F62" s="162"/>
      <c r="G62" s="157"/>
      <c r="H62" s="157"/>
      <c r="I62" s="157"/>
      <c r="J62" s="157"/>
    </row>
    <row r="63" spans="1:10">
      <c r="A63" s="157"/>
      <c r="B63" s="157"/>
      <c r="C63" s="157"/>
      <c r="D63" s="157"/>
      <c r="E63" s="162"/>
      <c r="F63" s="162"/>
      <c r="G63" s="157"/>
      <c r="H63" s="157"/>
      <c r="I63" s="157"/>
      <c r="J63" s="157"/>
    </row>
    <row r="64" spans="1:10">
      <c r="A64" s="157"/>
      <c r="B64" s="157"/>
      <c r="C64" s="157"/>
      <c r="D64" s="157"/>
      <c r="E64" s="162"/>
      <c r="F64" s="162"/>
      <c r="G64" s="157"/>
      <c r="H64" s="157"/>
      <c r="I64" s="157"/>
      <c r="J64" s="157"/>
    </row>
    <row r="65" spans="1:10">
      <c r="A65" s="157"/>
      <c r="B65" s="157"/>
      <c r="C65" s="157"/>
      <c r="D65" s="157"/>
      <c r="E65" s="162"/>
      <c r="F65" s="162"/>
      <c r="G65" s="157"/>
      <c r="H65" s="157"/>
      <c r="I65" s="157"/>
      <c r="J65" s="157"/>
    </row>
    <row r="66" spans="1:10">
      <c r="A66" s="157"/>
      <c r="B66" s="157"/>
      <c r="C66" s="157"/>
      <c r="D66" s="157"/>
      <c r="E66" s="162"/>
      <c r="F66" s="162"/>
      <c r="G66" s="157"/>
      <c r="H66" s="157"/>
      <c r="I66" s="157"/>
      <c r="J66" s="157"/>
    </row>
  </sheetData>
  <mergeCells count="20">
    <mergeCell ref="A1:F1"/>
    <mergeCell ref="G1:I5"/>
    <mergeCell ref="A2:F2"/>
    <mergeCell ref="A3:F3"/>
    <mergeCell ref="B31:H31"/>
    <mergeCell ref="B23:H23"/>
    <mergeCell ref="B27:H27"/>
    <mergeCell ref="B20:H20"/>
    <mergeCell ref="A5:F5"/>
    <mergeCell ref="B13:H13"/>
    <mergeCell ref="B16:H16"/>
    <mergeCell ref="A46:H46"/>
    <mergeCell ref="A47:H47"/>
    <mergeCell ref="A48:H48"/>
    <mergeCell ref="A49:H49"/>
    <mergeCell ref="B33:H33"/>
    <mergeCell ref="A42:H42"/>
    <mergeCell ref="A43:H43"/>
    <mergeCell ref="A44:H44"/>
    <mergeCell ref="A45:H45"/>
  </mergeCells>
  <phoneticPr fontId="35" type="noConversion"/>
  <pageMargins left="0.7" right="0.7" top="0.75" bottom="0.75" header="0.3" footer="0.3"/>
  <pageSetup scale="60" orientation="portrait" horizontalDpi="4294967292"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F00-000000000000}">
          <x14:formula1>
            <xm:f>'INSUMOS MANO DE OBRA'!$B$8:$B$61</xm:f>
          </x14:formula1>
          <xm:sqref>C14 C17 C9:C12</xm:sqref>
        </x14:dataValidation>
        <x14:dataValidation type="list" allowBlank="1" showInputMessage="1" showErrorMessage="1" xr:uid="{00000000-0002-0000-0F00-000001000000}">
          <x14:formula1>
            <xm:f>'INSUMOS SERVICIOS'!$B$8:$B$21</xm:f>
          </x14:formula1>
          <xm:sqref>C21</xm:sqref>
        </x14:dataValidation>
        <x14:dataValidation type="list" allowBlank="1" showInputMessage="1" showErrorMessage="1" xr:uid="{00000000-0002-0000-0F00-000002000000}">
          <x14:formula1>
            <xm:f>'INSUMOS EQUIPOS'!$B$8:$B$39</xm:f>
          </x14:formula1>
          <xm:sqref>C24:C26</xm:sqref>
        </x14:dataValidation>
        <x14:dataValidation type="list" allowBlank="1" showInputMessage="1" showErrorMessage="1" xr:uid="{00000000-0002-0000-0F00-000003000000}">
          <x14:formula1>
            <xm:f>'INSUMOS SERVICIOS'!$B$7:$B$21</xm:f>
          </x14:formula1>
          <xm:sqref>C28:C31 C33</xm:sqref>
        </x14:dataValidation>
        <x14:dataValidation type="list" allowBlank="1" showInputMessage="1" showErrorMessage="1" xr:uid="{00000000-0002-0000-0F00-000004000000}">
          <x14:formula1>
            <xm:f>'INSUMOS EQUIPOS'!$B$7:$B$39</xm:f>
          </x14:formula1>
          <xm:sqref>C22</xm:sqref>
        </x14:dataValidation>
        <x14:dataValidation type="list" allowBlank="1" showInputMessage="1" showErrorMessage="1" xr:uid="{00000000-0002-0000-0F00-000005000000}">
          <x14:formula1>
            <xm:f>'INSUMOS MATERIALES'!$B$7:$B$54</xm:f>
          </x14:formula1>
          <xm:sqref>C32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71"/>
  <sheetViews>
    <sheetView view="pageBreakPreview" topLeftCell="A16" zoomScale="130" zoomScaleNormal="100" zoomScaleSheetLayoutView="130" workbookViewId="0">
      <selection activeCell="B8" sqref="B8"/>
    </sheetView>
  </sheetViews>
  <sheetFormatPr baseColWidth="10" defaultRowHeight="15"/>
  <cols>
    <col min="2" max="2" width="35.42578125" bestFit="1" customWidth="1"/>
    <col min="4" max="4" width="17.42578125" style="118" customWidth="1"/>
    <col min="5" max="5" width="14" customWidth="1"/>
    <col min="6" max="6" width="15.5703125" style="118" customWidth="1"/>
    <col min="7" max="7" width="13.5703125" style="118" customWidth="1"/>
    <col min="8" max="8" width="15.140625" style="118" customWidth="1"/>
  </cols>
  <sheetData>
    <row r="1" spans="1:8" ht="23.25">
      <c r="A1" s="594" t="s">
        <v>0</v>
      </c>
      <c r="B1" s="594"/>
      <c r="C1" s="594"/>
      <c r="D1" s="594"/>
      <c r="E1" s="594"/>
      <c r="F1" s="594"/>
      <c r="G1" s="629"/>
      <c r="H1" s="629"/>
    </row>
    <row r="2" spans="1:8" ht="21">
      <c r="A2" s="577" t="str">
        <f>'DATOS INICIALES'!B2</f>
        <v>MUNICIPIO DE DABEIBA</v>
      </c>
      <c r="B2" s="577"/>
      <c r="C2" s="577"/>
      <c r="D2" s="577"/>
      <c r="E2" s="577"/>
      <c r="F2" s="577"/>
      <c r="G2" s="629"/>
      <c r="H2" s="629"/>
    </row>
    <row r="3" spans="1:8" ht="42" customHeight="1">
      <c r="A3" s="615" t="str">
        <f>'DATOS INICIALES'!B3</f>
        <v xml:space="preserve">AMPLIACIÓN DEL SISTEMA DE ALCANTARILLADO EN SECTOR DEL BARRIO PABLO VI  DEL MUNICIPIO DE DABEIBA ANTIOQUIA </v>
      </c>
      <c r="B3" s="615"/>
      <c r="C3" s="615"/>
      <c r="D3" s="615"/>
      <c r="E3" s="615"/>
      <c r="F3" s="615"/>
      <c r="G3" s="629"/>
      <c r="H3" s="629"/>
    </row>
    <row r="4" spans="1:8">
      <c r="A4" s="17"/>
      <c r="B4" s="69"/>
      <c r="C4" s="4"/>
      <c r="D4" s="144"/>
      <c r="E4" s="97"/>
      <c r="F4" s="144"/>
      <c r="G4" s="629"/>
      <c r="H4" s="629"/>
    </row>
    <row r="5" spans="1:8" ht="15.75">
      <c r="A5" s="617" t="s">
        <v>246</v>
      </c>
      <c r="B5" s="617"/>
      <c r="C5" s="617"/>
      <c r="D5" s="617"/>
      <c r="E5" s="617"/>
      <c r="F5" s="617"/>
      <c r="G5" s="629"/>
      <c r="H5" s="629"/>
    </row>
    <row r="6" spans="1:8">
      <c r="A6" s="70"/>
      <c r="B6" s="4"/>
      <c r="C6" s="4"/>
      <c r="D6" s="145"/>
      <c r="E6" s="98"/>
      <c r="F6" s="145"/>
      <c r="G6" s="145"/>
      <c r="H6" s="145"/>
    </row>
    <row r="7" spans="1:8" ht="25.5">
      <c r="A7" s="83" t="s">
        <v>57</v>
      </c>
      <c r="B7" s="83" t="s">
        <v>247</v>
      </c>
      <c r="C7" s="83" t="s">
        <v>248</v>
      </c>
      <c r="D7" s="146" t="s">
        <v>249</v>
      </c>
      <c r="E7" s="99" t="s">
        <v>250</v>
      </c>
      <c r="F7" s="146" t="s">
        <v>251</v>
      </c>
      <c r="G7" s="146" t="s">
        <v>252</v>
      </c>
      <c r="H7" s="146" t="s">
        <v>72</v>
      </c>
    </row>
    <row r="8" spans="1:8">
      <c r="A8" s="92" t="s">
        <v>273</v>
      </c>
      <c r="B8" s="80" t="str">
        <f t="shared" ref="B8:B39" si="0">IFERROR(IF(HLOOKUP($A8,FACTORPRESTACIONAL,2,0)="","",HLOOKUP($A8,FACTORPRESTACIONAL,2,0)),"")</f>
        <v>DIRECTOR DE OBRA</v>
      </c>
      <c r="C8" s="80" t="str">
        <f t="shared" ref="C8:C39" si="1">IFERROR(IF(HLOOKUP($A8,FACTORPRESTACIONAL,2,0)="","",HLOOKUP($A8,FACTORPRESTACIONAL,3,0)),"")</f>
        <v>ADMÓN</v>
      </c>
      <c r="D8" s="124">
        <f t="shared" ref="D8:D39" si="2">IFERROR(IF(HLOOKUP($A8,FACTORPRESTACIONAL,2,0)="","",HLOOKUP($A8,FACTORPRESTACIONAL,5,0)),"")</f>
        <v>7117500</v>
      </c>
      <c r="E8" s="122">
        <f t="shared" ref="E8:E39" si="3">IFERROR(IF(HLOOKUP($A8,FACTORPRESTACIONAL,2,0)="","",HLOOKUP($A8,FACTORPRESTACIONAL,26,0)),"")</f>
        <v>1.5</v>
      </c>
      <c r="F8" s="123">
        <f t="shared" ref="F8:F39" si="4">IFERROR(IF(HLOOKUP($A8,FACTORPRESTACIONAL,2,0)="","",HLOOKUP($A8,FACTORPRESTACIONAL,24,0)),"")</f>
        <v>234000</v>
      </c>
      <c r="G8" s="123">
        <f t="shared" ref="G8:G39" si="5">IFERROR(IF(HLOOKUP($A8,FACTORPRESTACIONAL,2,0)="","",HLOOKUP($A8,FACTORPRESTACIONAL,25,0)),"")</f>
        <v>116940</v>
      </c>
      <c r="H8" s="123">
        <f>IFERROR(F8+G8,"")</f>
        <v>350940</v>
      </c>
    </row>
    <row r="9" spans="1:8">
      <c r="A9" s="93" t="s">
        <v>274</v>
      </c>
      <c r="B9" s="80" t="str">
        <f t="shared" si="0"/>
        <v>DIRECTOR DE INTERVENTORÍA</v>
      </c>
      <c r="C9" s="80" t="str">
        <f t="shared" si="1"/>
        <v>ADMÓN</v>
      </c>
      <c r="D9" s="124">
        <f t="shared" si="2"/>
        <v>7117500</v>
      </c>
      <c r="E9" s="122">
        <f t="shared" si="3"/>
        <v>1.5</v>
      </c>
      <c r="F9" s="123">
        <f t="shared" si="4"/>
        <v>234000</v>
      </c>
      <c r="G9" s="123">
        <f t="shared" si="5"/>
        <v>116940</v>
      </c>
      <c r="H9" s="123">
        <f t="shared" ref="H9:H61" si="6">IFERROR(F9+G9,"")</f>
        <v>350940</v>
      </c>
    </row>
    <row r="10" spans="1:8">
      <c r="A10" s="93" t="s">
        <v>275</v>
      </c>
      <c r="B10" s="80" t="str">
        <f t="shared" si="0"/>
        <v>RESIDENTE DE OBRA</v>
      </c>
      <c r="C10" s="80" t="str">
        <f t="shared" si="1"/>
        <v>ADMÓN</v>
      </c>
      <c r="D10" s="124">
        <f t="shared" si="2"/>
        <v>4270500</v>
      </c>
      <c r="E10" s="122">
        <f t="shared" si="3"/>
        <v>1.51</v>
      </c>
      <c r="F10" s="123">
        <f t="shared" si="4"/>
        <v>140400</v>
      </c>
      <c r="G10" s="123">
        <f t="shared" si="5"/>
        <v>71169</v>
      </c>
      <c r="H10" s="123">
        <f t="shared" si="6"/>
        <v>211569</v>
      </c>
    </row>
    <row r="11" spans="1:8">
      <c r="A11" s="143" t="s">
        <v>276</v>
      </c>
      <c r="B11" s="80" t="str">
        <f t="shared" si="0"/>
        <v>RESIDENTE DE INTERVENTORÍA</v>
      </c>
      <c r="C11" s="80" t="str">
        <f t="shared" si="1"/>
        <v>ADMÓN</v>
      </c>
      <c r="D11" s="124">
        <f t="shared" si="2"/>
        <v>4270500</v>
      </c>
      <c r="E11" s="122">
        <f t="shared" si="3"/>
        <v>1.51</v>
      </c>
      <c r="F11" s="123">
        <f t="shared" si="4"/>
        <v>140400</v>
      </c>
      <c r="G11" s="123">
        <f t="shared" si="5"/>
        <v>71169</v>
      </c>
      <c r="H11" s="123">
        <f t="shared" si="6"/>
        <v>211569</v>
      </c>
    </row>
    <row r="12" spans="1:8">
      <c r="A12" s="143" t="s">
        <v>277</v>
      </c>
      <c r="B12" s="80" t="str">
        <f t="shared" si="0"/>
        <v>RESIDENTE AMBIENTAL</v>
      </c>
      <c r="C12" s="80" t="str">
        <f t="shared" si="1"/>
        <v>ADMÓN</v>
      </c>
      <c r="D12" s="124">
        <f t="shared" si="2"/>
        <v>3843450</v>
      </c>
      <c r="E12" s="122">
        <f t="shared" si="3"/>
        <v>1.51</v>
      </c>
      <c r="F12" s="123">
        <f t="shared" si="4"/>
        <v>126360</v>
      </c>
      <c r="G12" s="123">
        <f t="shared" si="5"/>
        <v>64304</v>
      </c>
      <c r="H12" s="123">
        <f t="shared" si="6"/>
        <v>190664</v>
      </c>
    </row>
    <row r="13" spans="1:8">
      <c r="A13" s="143" t="s">
        <v>278</v>
      </c>
      <c r="B13" s="80" t="str">
        <f t="shared" si="0"/>
        <v>RESIDENTE SOCIAL</v>
      </c>
      <c r="C13" s="80" t="str">
        <f t="shared" si="1"/>
        <v>ADMÓN</v>
      </c>
      <c r="D13" s="124">
        <f t="shared" si="2"/>
        <v>4270500</v>
      </c>
      <c r="E13" s="122">
        <f t="shared" si="3"/>
        <v>1.51</v>
      </c>
      <c r="F13" s="123">
        <f t="shared" si="4"/>
        <v>140400</v>
      </c>
      <c r="G13" s="123">
        <f t="shared" si="5"/>
        <v>71169</v>
      </c>
      <c r="H13" s="123">
        <f t="shared" si="6"/>
        <v>211569</v>
      </c>
    </row>
    <row r="14" spans="1:8">
      <c r="A14" s="143" t="s">
        <v>279</v>
      </c>
      <c r="B14" s="80" t="str">
        <f t="shared" si="0"/>
        <v>AUXILIAR DE RESIDENCIA</v>
      </c>
      <c r="C14" s="80" t="str">
        <f t="shared" si="1"/>
        <v>ADMÓN</v>
      </c>
      <c r="D14" s="124">
        <f t="shared" si="2"/>
        <v>2847000</v>
      </c>
      <c r="E14" s="122">
        <f t="shared" si="3"/>
        <v>1.63</v>
      </c>
      <c r="F14" s="123">
        <f t="shared" si="4"/>
        <v>93600</v>
      </c>
      <c r="G14" s="123">
        <f t="shared" si="5"/>
        <v>59111</v>
      </c>
      <c r="H14" s="123">
        <f t="shared" si="6"/>
        <v>152711</v>
      </c>
    </row>
    <row r="15" spans="1:8">
      <c r="A15" s="143" t="s">
        <v>280</v>
      </c>
      <c r="B15" s="80" t="str">
        <f t="shared" si="0"/>
        <v>TECNÓLOGO SST</v>
      </c>
      <c r="C15" s="80" t="str">
        <f t="shared" si="1"/>
        <v>ADMÓN</v>
      </c>
      <c r="D15" s="124">
        <f t="shared" si="2"/>
        <v>3274050</v>
      </c>
      <c r="E15" s="122">
        <f t="shared" si="3"/>
        <v>1.51</v>
      </c>
      <c r="F15" s="123">
        <f t="shared" si="4"/>
        <v>107640</v>
      </c>
      <c r="G15" s="123">
        <f t="shared" si="5"/>
        <v>55150</v>
      </c>
      <c r="H15" s="123">
        <f t="shared" si="6"/>
        <v>162790</v>
      </c>
    </row>
    <row r="16" spans="1:8">
      <c r="A16" s="143" t="s">
        <v>281</v>
      </c>
      <c r="B16" s="80" t="str">
        <f t="shared" si="0"/>
        <v>ASESOR LEGAL</v>
      </c>
      <c r="C16" s="80" t="str">
        <f t="shared" si="1"/>
        <v>ADMÓN</v>
      </c>
      <c r="D16" s="124">
        <f t="shared" si="2"/>
        <v>9537450</v>
      </c>
      <c r="E16" s="122">
        <f t="shared" si="3"/>
        <v>1.5</v>
      </c>
      <c r="F16" s="123">
        <f t="shared" si="4"/>
        <v>313560</v>
      </c>
      <c r="G16" s="123">
        <f t="shared" si="5"/>
        <v>155845</v>
      </c>
      <c r="H16" s="123">
        <f t="shared" si="6"/>
        <v>469405</v>
      </c>
    </row>
    <row r="17" spans="1:8">
      <c r="A17" s="143" t="s">
        <v>282</v>
      </c>
      <c r="B17" s="80" t="str">
        <f t="shared" si="0"/>
        <v>CONTADOR</v>
      </c>
      <c r="C17" s="80" t="str">
        <f t="shared" si="1"/>
        <v>ADMÓN</v>
      </c>
      <c r="D17" s="124">
        <f t="shared" si="2"/>
        <v>6548100</v>
      </c>
      <c r="E17" s="122">
        <f t="shared" si="3"/>
        <v>1.5</v>
      </c>
      <c r="F17" s="123">
        <f t="shared" si="4"/>
        <v>215280</v>
      </c>
      <c r="G17" s="123">
        <f t="shared" si="5"/>
        <v>107786</v>
      </c>
      <c r="H17" s="123">
        <f t="shared" si="6"/>
        <v>323066</v>
      </c>
    </row>
    <row r="18" spans="1:8">
      <c r="A18" s="143" t="s">
        <v>283</v>
      </c>
      <c r="B18" s="80" t="str">
        <f t="shared" si="0"/>
        <v>ALMACENISTA</v>
      </c>
      <c r="C18" s="80" t="str">
        <f t="shared" si="1"/>
        <v>ADMÓN</v>
      </c>
      <c r="D18" s="124">
        <f t="shared" si="2"/>
        <v>2633475</v>
      </c>
      <c r="E18" s="122">
        <f t="shared" si="3"/>
        <v>1.64</v>
      </c>
      <c r="F18" s="123">
        <f t="shared" si="4"/>
        <v>86580</v>
      </c>
      <c r="G18" s="123">
        <f t="shared" si="5"/>
        <v>55678</v>
      </c>
      <c r="H18" s="123">
        <f t="shared" si="6"/>
        <v>142258</v>
      </c>
    </row>
    <row r="19" spans="1:8">
      <c r="A19" s="143" t="s">
        <v>284</v>
      </c>
      <c r="B19" s="80" t="str">
        <f t="shared" si="0"/>
        <v>AUXILIAR DE ALMACÉN</v>
      </c>
      <c r="C19" s="80" t="str">
        <f t="shared" si="1"/>
        <v>ADMÓN</v>
      </c>
      <c r="D19" s="124">
        <f t="shared" si="2"/>
        <v>2064075</v>
      </c>
      <c r="E19" s="122">
        <f t="shared" si="3"/>
        <v>1.69</v>
      </c>
      <c r="F19" s="123">
        <f t="shared" si="4"/>
        <v>67860</v>
      </c>
      <c r="G19" s="123">
        <f t="shared" si="5"/>
        <v>46524</v>
      </c>
      <c r="H19" s="123">
        <f t="shared" si="6"/>
        <v>114384</v>
      </c>
    </row>
    <row r="20" spans="1:8">
      <c r="A20" s="143" t="s">
        <v>285</v>
      </c>
      <c r="B20" s="80" t="str">
        <f t="shared" si="0"/>
        <v>SECRETARIA</v>
      </c>
      <c r="C20" s="80" t="str">
        <f t="shared" si="1"/>
        <v>ADMÓN</v>
      </c>
      <c r="D20" s="124">
        <f t="shared" si="2"/>
        <v>1423500</v>
      </c>
      <c r="E20" s="122">
        <f t="shared" si="3"/>
        <v>1.77</v>
      </c>
      <c r="F20" s="123">
        <f t="shared" si="4"/>
        <v>46800</v>
      </c>
      <c r="G20" s="123">
        <f t="shared" si="5"/>
        <v>36225</v>
      </c>
      <c r="H20" s="123">
        <f t="shared" si="6"/>
        <v>83025</v>
      </c>
    </row>
    <row r="21" spans="1:8">
      <c r="A21" s="143" t="s">
        <v>286</v>
      </c>
      <c r="B21" s="80" t="str">
        <f t="shared" si="0"/>
        <v>MENSAJERO</v>
      </c>
      <c r="C21" s="80" t="str">
        <f t="shared" si="1"/>
        <v>ADMÓN</v>
      </c>
      <c r="D21" s="124">
        <f t="shared" si="2"/>
        <v>1423500</v>
      </c>
      <c r="E21" s="122">
        <f t="shared" si="3"/>
        <v>1.77</v>
      </c>
      <c r="F21" s="123">
        <f t="shared" si="4"/>
        <v>46800</v>
      </c>
      <c r="G21" s="123">
        <f t="shared" si="5"/>
        <v>36225</v>
      </c>
      <c r="H21" s="123">
        <f t="shared" si="6"/>
        <v>83025</v>
      </c>
    </row>
    <row r="22" spans="1:8">
      <c r="A22" s="143" t="s">
        <v>287</v>
      </c>
      <c r="B22" s="80" t="str">
        <f t="shared" si="0"/>
        <v>VIGILANTE</v>
      </c>
      <c r="C22" s="80" t="str">
        <f t="shared" si="1"/>
        <v>ADMÓN</v>
      </c>
      <c r="D22" s="124">
        <f t="shared" si="2"/>
        <v>1423500</v>
      </c>
      <c r="E22" s="122">
        <f t="shared" si="3"/>
        <v>1.77</v>
      </c>
      <c r="F22" s="123">
        <f t="shared" si="4"/>
        <v>46800</v>
      </c>
      <c r="G22" s="123">
        <f t="shared" si="5"/>
        <v>36225</v>
      </c>
      <c r="H22" s="123">
        <f t="shared" si="6"/>
        <v>83025</v>
      </c>
    </row>
    <row r="23" spans="1:8">
      <c r="A23" s="143" t="s">
        <v>288</v>
      </c>
      <c r="B23" s="80" t="str">
        <f t="shared" si="0"/>
        <v>TOPÓGRAFO</v>
      </c>
      <c r="C23" s="80" t="str">
        <f t="shared" si="1"/>
        <v>OBRA</v>
      </c>
      <c r="D23" s="124">
        <f t="shared" si="2"/>
        <v>6832800</v>
      </c>
      <c r="E23" s="122">
        <f t="shared" si="3"/>
        <v>1.5</v>
      </c>
      <c r="F23" s="123">
        <f t="shared" si="4"/>
        <v>224640</v>
      </c>
      <c r="G23" s="123">
        <f t="shared" si="5"/>
        <v>113107</v>
      </c>
      <c r="H23" s="123">
        <f t="shared" si="6"/>
        <v>337747</v>
      </c>
    </row>
    <row r="24" spans="1:8">
      <c r="A24" s="143" t="s">
        <v>289</v>
      </c>
      <c r="B24" s="80" t="str">
        <f t="shared" si="0"/>
        <v>CADENERO 1</v>
      </c>
      <c r="C24" s="80" t="str">
        <f t="shared" si="1"/>
        <v>OBRA</v>
      </c>
      <c r="D24" s="124">
        <f t="shared" si="2"/>
        <v>3345225</v>
      </c>
      <c r="E24" s="122">
        <f t="shared" si="3"/>
        <v>1.53</v>
      </c>
      <c r="F24" s="123">
        <f t="shared" si="4"/>
        <v>109980</v>
      </c>
      <c r="G24" s="123">
        <f t="shared" si="5"/>
        <v>58074</v>
      </c>
      <c r="H24" s="123">
        <f t="shared" si="6"/>
        <v>168054</v>
      </c>
    </row>
    <row r="25" spans="1:8">
      <c r="A25" s="143" t="s">
        <v>290</v>
      </c>
      <c r="B25" s="80" t="str">
        <f t="shared" si="0"/>
        <v>CADENERO 2</v>
      </c>
      <c r="C25" s="80" t="str">
        <f t="shared" si="1"/>
        <v>OBRA</v>
      </c>
      <c r="D25" s="124">
        <f t="shared" si="2"/>
        <v>1921725</v>
      </c>
      <c r="E25" s="122">
        <f t="shared" si="3"/>
        <v>1.71</v>
      </c>
      <c r="F25" s="123">
        <f t="shared" si="4"/>
        <v>63180</v>
      </c>
      <c r="G25" s="123">
        <f t="shared" si="5"/>
        <v>44980</v>
      </c>
      <c r="H25" s="123">
        <f t="shared" si="6"/>
        <v>108160</v>
      </c>
    </row>
    <row r="26" spans="1:8">
      <c r="A26" s="93" t="s">
        <v>291</v>
      </c>
      <c r="B26" s="80" t="str">
        <f t="shared" si="0"/>
        <v xml:space="preserve">ENCARGADO DE OBRA </v>
      </c>
      <c r="C26" s="80" t="str">
        <f t="shared" si="1"/>
        <v>OBRA</v>
      </c>
      <c r="D26" s="124">
        <f t="shared" si="2"/>
        <v>1400000</v>
      </c>
      <c r="E26" s="122">
        <f t="shared" si="3"/>
        <v>1.56</v>
      </c>
      <c r="F26" s="123">
        <f t="shared" si="4"/>
        <v>46027</v>
      </c>
      <c r="G26" s="123">
        <f t="shared" si="5"/>
        <v>25766</v>
      </c>
      <c r="H26" s="123">
        <f t="shared" si="6"/>
        <v>71793</v>
      </c>
    </row>
    <row r="27" spans="1:8">
      <c r="A27" s="92" t="s">
        <v>292</v>
      </c>
      <c r="B27" s="80" t="str">
        <f t="shared" si="0"/>
        <v>MAESTRO SEGUNDO</v>
      </c>
      <c r="C27" s="80" t="str">
        <f t="shared" si="1"/>
        <v>OBRA</v>
      </c>
      <c r="D27" s="124">
        <f t="shared" si="2"/>
        <v>3274050</v>
      </c>
      <c r="E27" s="122">
        <f t="shared" si="3"/>
        <v>1.52</v>
      </c>
      <c r="F27" s="123">
        <f t="shared" si="4"/>
        <v>107640</v>
      </c>
      <c r="G27" s="123">
        <f t="shared" si="5"/>
        <v>55894</v>
      </c>
      <c r="H27" s="123">
        <f t="shared" si="6"/>
        <v>163534</v>
      </c>
    </row>
    <row r="28" spans="1:8">
      <c r="A28" s="93" t="s">
        <v>293</v>
      </c>
      <c r="B28" s="80" t="str">
        <f t="shared" si="0"/>
        <v>OFICIAL ELÉCTRICO</v>
      </c>
      <c r="C28" s="80" t="str">
        <f t="shared" si="1"/>
        <v>OBRA</v>
      </c>
      <c r="D28" s="124">
        <f t="shared" si="2"/>
        <v>3914625</v>
      </c>
      <c r="E28" s="122">
        <f t="shared" si="3"/>
        <v>1.52</v>
      </c>
      <c r="F28" s="123">
        <f t="shared" si="4"/>
        <v>128700</v>
      </c>
      <c r="G28" s="123">
        <f t="shared" si="5"/>
        <v>67228</v>
      </c>
      <c r="H28" s="123">
        <f t="shared" si="6"/>
        <v>195928</v>
      </c>
    </row>
    <row r="29" spans="1:8">
      <c r="A29" s="100" t="s">
        <v>294</v>
      </c>
      <c r="B29" s="80" t="str">
        <f t="shared" si="0"/>
        <v>AYUDANTE ELÉCTRICO</v>
      </c>
      <c r="C29" s="80" t="str">
        <f t="shared" si="1"/>
        <v>OBRA</v>
      </c>
      <c r="D29" s="124">
        <f t="shared" si="2"/>
        <v>1850550</v>
      </c>
      <c r="E29" s="122">
        <f t="shared" si="3"/>
        <v>1.72</v>
      </c>
      <c r="F29" s="123">
        <f t="shared" si="4"/>
        <v>60840</v>
      </c>
      <c r="G29" s="123">
        <f t="shared" si="5"/>
        <v>43835</v>
      </c>
      <c r="H29" s="123">
        <f t="shared" si="6"/>
        <v>104675</v>
      </c>
    </row>
    <row r="30" spans="1:8">
      <c r="A30" s="100" t="s">
        <v>295</v>
      </c>
      <c r="B30" s="80" t="str">
        <f t="shared" si="0"/>
        <v>OFICIAL PLOMERO</v>
      </c>
      <c r="C30" s="80" t="str">
        <f t="shared" si="1"/>
        <v>OBRA</v>
      </c>
      <c r="D30" s="124">
        <f t="shared" si="2"/>
        <v>2847000</v>
      </c>
      <c r="E30" s="122">
        <f t="shared" si="3"/>
        <v>1.64</v>
      </c>
      <c r="F30" s="123">
        <f t="shared" si="4"/>
        <v>93600</v>
      </c>
      <c r="G30" s="123">
        <f t="shared" si="5"/>
        <v>59855</v>
      </c>
      <c r="H30" s="123">
        <f t="shared" si="6"/>
        <v>153455</v>
      </c>
    </row>
    <row r="31" spans="1:8">
      <c r="A31" s="100" t="s">
        <v>296</v>
      </c>
      <c r="B31" s="80" t="str">
        <f t="shared" si="0"/>
        <v>AYUDANTE PLOMERO</v>
      </c>
      <c r="C31" s="80" t="str">
        <f t="shared" si="1"/>
        <v>OBRA</v>
      </c>
      <c r="D31" s="124">
        <f t="shared" si="2"/>
        <v>1708200</v>
      </c>
      <c r="E31" s="122">
        <f t="shared" si="3"/>
        <v>1.74</v>
      </c>
      <c r="F31" s="123">
        <f t="shared" si="4"/>
        <v>56160</v>
      </c>
      <c r="G31" s="123">
        <f t="shared" si="5"/>
        <v>41547</v>
      </c>
      <c r="H31" s="123">
        <f t="shared" si="6"/>
        <v>97707</v>
      </c>
    </row>
    <row r="32" spans="1:8">
      <c r="A32" s="100" t="s">
        <v>297</v>
      </c>
      <c r="B32" s="80" t="str">
        <f t="shared" si="0"/>
        <v>OFICIAL CARPINTERO</v>
      </c>
      <c r="C32" s="80" t="str">
        <f t="shared" si="1"/>
        <v>OBRA</v>
      </c>
      <c r="D32" s="124">
        <f t="shared" si="2"/>
        <v>2847000</v>
      </c>
      <c r="E32" s="122">
        <f t="shared" si="3"/>
        <v>1.64</v>
      </c>
      <c r="F32" s="123">
        <f t="shared" si="4"/>
        <v>93600</v>
      </c>
      <c r="G32" s="123">
        <f t="shared" si="5"/>
        <v>59855</v>
      </c>
      <c r="H32" s="123">
        <f t="shared" si="6"/>
        <v>153455</v>
      </c>
    </row>
    <row r="33" spans="1:8">
      <c r="A33" s="100" t="s">
        <v>298</v>
      </c>
      <c r="B33" s="80" t="str">
        <f t="shared" si="0"/>
        <v>AYUDANTE CARPINTERO</v>
      </c>
      <c r="C33" s="80" t="str">
        <f t="shared" si="1"/>
        <v>OBRA</v>
      </c>
      <c r="D33" s="124">
        <f t="shared" si="2"/>
        <v>1565850</v>
      </c>
      <c r="E33" s="122">
        <f t="shared" si="3"/>
        <v>1.76</v>
      </c>
      <c r="F33" s="123">
        <f t="shared" si="4"/>
        <v>51480</v>
      </c>
      <c r="G33" s="123">
        <f t="shared" si="5"/>
        <v>39258</v>
      </c>
      <c r="H33" s="123">
        <f t="shared" si="6"/>
        <v>90738</v>
      </c>
    </row>
    <row r="34" spans="1:8">
      <c r="A34" s="100" t="s">
        <v>299</v>
      </c>
      <c r="B34" s="80" t="str">
        <f t="shared" si="0"/>
        <v>OFICIAL PINTOR</v>
      </c>
      <c r="C34" s="80" t="str">
        <f t="shared" si="1"/>
        <v>OBRA</v>
      </c>
      <c r="D34" s="124">
        <f t="shared" si="2"/>
        <v>2847000</v>
      </c>
      <c r="E34" s="122">
        <f t="shared" si="3"/>
        <v>1.64</v>
      </c>
      <c r="F34" s="123">
        <f t="shared" si="4"/>
        <v>93600</v>
      </c>
      <c r="G34" s="123">
        <f t="shared" si="5"/>
        <v>59855</v>
      </c>
      <c r="H34" s="123">
        <f t="shared" si="6"/>
        <v>153455</v>
      </c>
    </row>
    <row r="35" spans="1:8">
      <c r="A35" s="100" t="s">
        <v>300</v>
      </c>
      <c r="B35" s="80" t="str">
        <f t="shared" si="0"/>
        <v>OFICIAL DE OBRA BLANCA</v>
      </c>
      <c r="C35" s="80" t="str">
        <f t="shared" si="1"/>
        <v>OBRA</v>
      </c>
      <c r="D35" s="124">
        <f t="shared" si="2"/>
        <v>2847000</v>
      </c>
      <c r="E35" s="122">
        <f t="shared" si="3"/>
        <v>1.64</v>
      </c>
      <c r="F35" s="123">
        <f t="shared" si="4"/>
        <v>93600</v>
      </c>
      <c r="G35" s="123">
        <f t="shared" si="5"/>
        <v>59855</v>
      </c>
      <c r="H35" s="123">
        <f t="shared" si="6"/>
        <v>153455</v>
      </c>
    </row>
    <row r="36" spans="1:8">
      <c r="A36" s="100" t="s">
        <v>301</v>
      </c>
      <c r="B36" s="80" t="str">
        <f t="shared" si="0"/>
        <v>OFICIAL DE OBRA NEGRA</v>
      </c>
      <c r="C36" s="80" t="str">
        <f t="shared" si="1"/>
        <v>OBRA</v>
      </c>
      <c r="D36" s="124">
        <f t="shared" si="2"/>
        <v>2847000</v>
      </c>
      <c r="E36" s="122">
        <f t="shared" si="3"/>
        <v>1.64</v>
      </c>
      <c r="F36" s="123">
        <f t="shared" si="4"/>
        <v>93600</v>
      </c>
      <c r="G36" s="123">
        <f t="shared" si="5"/>
        <v>59855</v>
      </c>
      <c r="H36" s="123">
        <f t="shared" si="6"/>
        <v>153455</v>
      </c>
    </row>
    <row r="37" spans="1:8">
      <c r="A37" s="100" t="s">
        <v>302</v>
      </c>
      <c r="B37" s="80" t="str">
        <f t="shared" si="0"/>
        <v>OFICIAL HIERRO</v>
      </c>
      <c r="C37" s="80" t="str">
        <f t="shared" si="1"/>
        <v>OBRA</v>
      </c>
      <c r="D37" s="124">
        <f t="shared" si="2"/>
        <v>2847000</v>
      </c>
      <c r="E37" s="122">
        <f t="shared" si="3"/>
        <v>1.64</v>
      </c>
      <c r="F37" s="123">
        <f t="shared" si="4"/>
        <v>93600</v>
      </c>
      <c r="G37" s="123">
        <f t="shared" si="5"/>
        <v>59855</v>
      </c>
      <c r="H37" s="123">
        <f t="shared" si="6"/>
        <v>153455</v>
      </c>
    </row>
    <row r="38" spans="1:8">
      <c r="A38" s="100" t="s">
        <v>303</v>
      </c>
      <c r="B38" s="80" t="str">
        <f t="shared" si="0"/>
        <v>AYUDANTE ENTENDIDO</v>
      </c>
      <c r="C38" s="80" t="str">
        <f t="shared" si="1"/>
        <v>OBRA</v>
      </c>
      <c r="D38" s="124">
        <f t="shared" si="2"/>
        <v>1850550</v>
      </c>
      <c r="E38" s="122">
        <f t="shared" si="3"/>
        <v>1.72</v>
      </c>
      <c r="F38" s="123">
        <f t="shared" si="4"/>
        <v>60840</v>
      </c>
      <c r="G38" s="123">
        <f t="shared" si="5"/>
        <v>43835</v>
      </c>
      <c r="H38" s="123">
        <f t="shared" si="6"/>
        <v>104675</v>
      </c>
    </row>
    <row r="39" spans="1:8">
      <c r="A39" s="100" t="s">
        <v>304</v>
      </c>
      <c r="B39" s="80" t="str">
        <f t="shared" si="0"/>
        <v>AYUDANTE RASO</v>
      </c>
      <c r="C39" s="80" t="str">
        <f t="shared" si="1"/>
        <v>OBRA</v>
      </c>
      <c r="D39" s="124">
        <f t="shared" si="2"/>
        <v>1565850</v>
      </c>
      <c r="E39" s="122">
        <f t="shared" si="3"/>
        <v>1.76</v>
      </c>
      <c r="F39" s="123">
        <f t="shared" si="4"/>
        <v>51480</v>
      </c>
      <c r="G39" s="123">
        <f t="shared" si="5"/>
        <v>39258</v>
      </c>
      <c r="H39" s="123">
        <f t="shared" si="6"/>
        <v>90738</v>
      </c>
    </row>
    <row r="40" spans="1:8">
      <c r="A40" s="100" t="s">
        <v>305</v>
      </c>
      <c r="B40" s="80" t="str">
        <f t="shared" ref="B40:B61" si="7">IFERROR(IF(HLOOKUP($A40,FACTORPRESTACIONAL,2,0)="","",HLOOKUP($A40,FACTORPRESTACIONAL,2,0)),"")</f>
        <v>OPERADOR EQUIPO LIVIANO</v>
      </c>
      <c r="C40" s="80" t="str">
        <f t="shared" ref="C40:C61" si="8">IFERROR(IF(HLOOKUP($A40,FACTORPRESTACIONAL,2,0)="","",HLOOKUP($A40,FACTORPRESTACIONAL,3,0)),"")</f>
        <v>OBRA</v>
      </c>
      <c r="D40" s="124">
        <f t="shared" ref="D40:D61" si="9">IFERROR(IF(HLOOKUP($A40,FACTORPRESTACIONAL,2,0)="","",HLOOKUP($A40,FACTORPRESTACIONAL,5,0)),"")</f>
        <v>1850550</v>
      </c>
      <c r="E40" s="122">
        <f t="shared" ref="E40:E61" si="10">IFERROR(IF(HLOOKUP($A40,FACTORPRESTACIONAL,2,0)="","",HLOOKUP($A40,FACTORPRESTACIONAL,26,0)),"")</f>
        <v>1.72</v>
      </c>
      <c r="F40" s="123">
        <f t="shared" ref="F40:F61" si="11">IFERROR(IF(HLOOKUP($A40,FACTORPRESTACIONAL,2,0)="","",HLOOKUP($A40,FACTORPRESTACIONAL,24,0)),"")</f>
        <v>60840</v>
      </c>
      <c r="G40" s="123">
        <f t="shared" ref="G40:G61" si="12">IFERROR(IF(HLOOKUP($A40,FACTORPRESTACIONAL,2,0)="","",HLOOKUP($A40,FACTORPRESTACIONAL,25,0)),"")</f>
        <v>43835</v>
      </c>
      <c r="H40" s="123">
        <f t="shared" si="6"/>
        <v>104675</v>
      </c>
    </row>
    <row r="41" spans="1:8">
      <c r="A41" s="100" t="s">
        <v>306</v>
      </c>
      <c r="B41" s="80" t="str">
        <f t="shared" si="7"/>
        <v>OPERADOR EQUIPO MEDIANO</v>
      </c>
      <c r="C41" s="80" t="str">
        <f t="shared" si="8"/>
        <v>OBRA</v>
      </c>
      <c r="D41" s="124">
        <f t="shared" si="9"/>
        <v>3202875</v>
      </c>
      <c r="E41" s="122">
        <f t="shared" si="10"/>
        <v>1.53</v>
      </c>
      <c r="F41" s="123">
        <f t="shared" si="11"/>
        <v>105300</v>
      </c>
      <c r="G41" s="123">
        <f t="shared" si="12"/>
        <v>55786</v>
      </c>
      <c r="H41" s="123">
        <f t="shared" si="6"/>
        <v>161086</v>
      </c>
    </row>
    <row r="42" spans="1:8">
      <c r="A42" s="100" t="s">
        <v>307</v>
      </c>
      <c r="B42" s="80" t="str">
        <f t="shared" si="7"/>
        <v>OPERADOR EQUIPO PESADO</v>
      </c>
      <c r="C42" s="80" t="str">
        <f t="shared" si="8"/>
        <v>OBRA</v>
      </c>
      <c r="D42" s="124">
        <f t="shared" si="9"/>
        <v>4555200</v>
      </c>
      <c r="E42" s="122">
        <f t="shared" si="10"/>
        <v>1.52</v>
      </c>
      <c r="F42" s="123">
        <f t="shared" si="11"/>
        <v>149760</v>
      </c>
      <c r="G42" s="123">
        <f t="shared" si="12"/>
        <v>77526</v>
      </c>
      <c r="H42" s="123">
        <f t="shared" si="6"/>
        <v>227286</v>
      </c>
    </row>
    <row r="43" spans="1:8">
      <c r="A43" s="100" t="s">
        <v>308</v>
      </c>
      <c r="B43" s="80" t="str">
        <f t="shared" si="7"/>
        <v>AUXILIAR HERRAMIENTA</v>
      </c>
      <c r="C43" s="80" t="str">
        <f t="shared" si="8"/>
        <v>OBRA</v>
      </c>
      <c r="D43" s="124">
        <f t="shared" si="9"/>
        <v>1423500</v>
      </c>
      <c r="E43" s="122">
        <f t="shared" si="10"/>
        <v>1.79</v>
      </c>
      <c r="F43" s="123">
        <f t="shared" si="11"/>
        <v>46800</v>
      </c>
      <c r="G43" s="123">
        <f t="shared" si="12"/>
        <v>36970</v>
      </c>
      <c r="H43" s="123">
        <f t="shared" si="6"/>
        <v>83770</v>
      </c>
    </row>
    <row r="44" spans="1:8">
      <c r="A44" s="100" t="s">
        <v>309</v>
      </c>
      <c r="B44" s="80" t="str">
        <f t="shared" si="7"/>
        <v>PATIERO</v>
      </c>
      <c r="C44" s="80" t="str">
        <f t="shared" si="8"/>
        <v>OBRA</v>
      </c>
      <c r="D44" s="124">
        <f t="shared" si="9"/>
        <v>1423500</v>
      </c>
      <c r="E44" s="122">
        <f t="shared" si="10"/>
        <v>1.79</v>
      </c>
      <c r="F44" s="123">
        <f t="shared" si="11"/>
        <v>46800</v>
      </c>
      <c r="G44" s="123">
        <f t="shared" si="12"/>
        <v>36970</v>
      </c>
      <c r="H44" s="123">
        <f t="shared" si="6"/>
        <v>83770</v>
      </c>
    </row>
    <row r="45" spans="1:8">
      <c r="A45" s="100" t="s">
        <v>310</v>
      </c>
      <c r="B45" s="80" t="str">
        <f t="shared" si="7"/>
        <v>AUXILIAR PARE-SIGA</v>
      </c>
      <c r="C45" s="80" t="str">
        <f t="shared" si="8"/>
        <v>OBRA</v>
      </c>
      <c r="D45" s="124">
        <f t="shared" si="9"/>
        <v>1423500</v>
      </c>
      <c r="E45" s="122">
        <f t="shared" si="10"/>
        <v>1.79</v>
      </c>
      <c r="F45" s="123">
        <f t="shared" si="11"/>
        <v>46800</v>
      </c>
      <c r="G45" s="123">
        <f t="shared" si="12"/>
        <v>36970</v>
      </c>
      <c r="H45" s="123">
        <f t="shared" si="6"/>
        <v>83770</v>
      </c>
    </row>
    <row r="46" spans="1:8">
      <c r="A46" s="100" t="s">
        <v>311</v>
      </c>
      <c r="B46" s="80" t="str">
        <f t="shared" si="7"/>
        <v>INGENIERO SIG</v>
      </c>
      <c r="C46" s="80" t="str">
        <f t="shared" si="8"/>
        <v>ADMÓN</v>
      </c>
      <c r="D46" s="124">
        <f t="shared" si="9"/>
        <v>7117500</v>
      </c>
      <c r="E46" s="122">
        <f t="shared" si="10"/>
        <v>1.5</v>
      </c>
      <c r="F46" s="123">
        <f t="shared" si="11"/>
        <v>234000</v>
      </c>
      <c r="G46" s="123">
        <f t="shared" si="12"/>
        <v>116940</v>
      </c>
      <c r="H46" s="123">
        <f t="shared" si="6"/>
        <v>350940</v>
      </c>
    </row>
    <row r="47" spans="1:8">
      <c r="A47" s="100" t="s">
        <v>312</v>
      </c>
      <c r="B47" s="80" t="str">
        <f t="shared" si="7"/>
        <v>TECNÓLOGO SIG</v>
      </c>
      <c r="C47" s="80" t="str">
        <f t="shared" si="8"/>
        <v>ADMÓN</v>
      </c>
      <c r="D47" s="124">
        <f t="shared" si="9"/>
        <v>3274050</v>
      </c>
      <c r="E47" s="122">
        <f t="shared" si="10"/>
        <v>1.51</v>
      </c>
      <c r="F47" s="123">
        <f t="shared" si="11"/>
        <v>107640</v>
      </c>
      <c r="G47" s="123">
        <f t="shared" si="12"/>
        <v>55150</v>
      </c>
      <c r="H47" s="123">
        <f t="shared" si="6"/>
        <v>162790</v>
      </c>
    </row>
    <row r="48" spans="1:8">
      <c r="A48" s="100" t="s">
        <v>313</v>
      </c>
      <c r="B48" s="80" t="str">
        <f t="shared" si="7"/>
        <v>DIRECTOR DE CONSULTORÍA</v>
      </c>
      <c r="C48" s="80" t="str">
        <f t="shared" si="8"/>
        <v>ADMÓN</v>
      </c>
      <c r="D48" s="124">
        <f t="shared" si="9"/>
        <v>9537450</v>
      </c>
      <c r="E48" s="122">
        <f t="shared" si="10"/>
        <v>1.5</v>
      </c>
      <c r="F48" s="123">
        <f t="shared" si="11"/>
        <v>313560</v>
      </c>
      <c r="G48" s="123">
        <f t="shared" si="12"/>
        <v>155845</v>
      </c>
      <c r="H48" s="123">
        <f t="shared" si="6"/>
        <v>469405</v>
      </c>
    </row>
    <row r="49" spans="1:8">
      <c r="A49" s="100" t="s">
        <v>314</v>
      </c>
      <c r="B49" s="80" t="str">
        <f t="shared" si="7"/>
        <v>DIBUJANTE</v>
      </c>
      <c r="C49" s="80" t="str">
        <f t="shared" si="8"/>
        <v>ADMÓN</v>
      </c>
      <c r="D49" s="124">
        <f t="shared" si="9"/>
        <v>3274050</v>
      </c>
      <c r="E49" s="122">
        <f t="shared" si="10"/>
        <v>1.51</v>
      </c>
      <c r="F49" s="123">
        <f t="shared" si="11"/>
        <v>107640</v>
      </c>
      <c r="G49" s="123">
        <f t="shared" si="12"/>
        <v>55150</v>
      </c>
      <c r="H49" s="123">
        <f t="shared" si="6"/>
        <v>162790</v>
      </c>
    </row>
    <row r="50" spans="1:8">
      <c r="A50" s="100" t="s">
        <v>315</v>
      </c>
      <c r="B50" s="80" t="str">
        <f t="shared" si="7"/>
        <v>INGENIERO ESPECIALISTA GEOTECNIA</v>
      </c>
      <c r="C50" s="80" t="str">
        <f t="shared" si="8"/>
        <v>ADMÓN</v>
      </c>
      <c r="D50" s="124">
        <f t="shared" si="9"/>
        <v>8541000</v>
      </c>
      <c r="E50" s="122">
        <f t="shared" si="10"/>
        <v>1.5</v>
      </c>
      <c r="F50" s="123">
        <f t="shared" si="11"/>
        <v>280800</v>
      </c>
      <c r="G50" s="123">
        <f t="shared" si="12"/>
        <v>139825</v>
      </c>
      <c r="H50" s="123">
        <f t="shared" si="6"/>
        <v>420625</v>
      </c>
    </row>
    <row r="51" spans="1:8">
      <c r="A51" s="100" t="s">
        <v>316</v>
      </c>
      <c r="B51" s="80" t="str">
        <f t="shared" si="7"/>
        <v>GEÓLOGO</v>
      </c>
      <c r="C51" s="80" t="str">
        <f t="shared" si="8"/>
        <v>ADMÓN</v>
      </c>
      <c r="D51" s="124">
        <f t="shared" si="9"/>
        <v>7829250</v>
      </c>
      <c r="E51" s="122">
        <f t="shared" si="10"/>
        <v>1.5</v>
      </c>
      <c r="F51" s="123">
        <f t="shared" si="11"/>
        <v>257400</v>
      </c>
      <c r="G51" s="123">
        <f t="shared" si="12"/>
        <v>128382</v>
      </c>
      <c r="H51" s="123">
        <f t="shared" si="6"/>
        <v>385782</v>
      </c>
    </row>
    <row r="52" spans="1:8">
      <c r="A52" s="100" t="s">
        <v>317</v>
      </c>
      <c r="B52" s="80" t="str">
        <f t="shared" si="7"/>
        <v xml:space="preserve">ARQUITECTO ESPECIALISTA URBANISMO </v>
      </c>
      <c r="C52" s="80" t="str">
        <f t="shared" si="8"/>
        <v>ADMÓN</v>
      </c>
      <c r="D52" s="124">
        <f t="shared" si="9"/>
        <v>8541000</v>
      </c>
      <c r="E52" s="122">
        <f t="shared" si="10"/>
        <v>1.5</v>
      </c>
      <c r="F52" s="123">
        <f t="shared" si="11"/>
        <v>280800</v>
      </c>
      <c r="G52" s="123">
        <f t="shared" si="12"/>
        <v>139825</v>
      </c>
      <c r="H52" s="123">
        <f t="shared" si="6"/>
        <v>420625</v>
      </c>
    </row>
    <row r="53" spans="1:8">
      <c r="A53" s="100" t="s">
        <v>318</v>
      </c>
      <c r="B53" s="80" t="str">
        <f t="shared" si="7"/>
        <v>ARQUITECTO ESPECIALISTA PAISAJISMO</v>
      </c>
      <c r="C53" s="80" t="str">
        <f t="shared" si="8"/>
        <v>ADMÓN</v>
      </c>
      <c r="D53" s="124">
        <f t="shared" si="9"/>
        <v>8541000</v>
      </c>
      <c r="E53" s="122">
        <f t="shared" si="10"/>
        <v>1.5</v>
      </c>
      <c r="F53" s="123">
        <f t="shared" si="11"/>
        <v>280800</v>
      </c>
      <c r="G53" s="123">
        <f t="shared" si="12"/>
        <v>139825</v>
      </c>
      <c r="H53" s="123">
        <f t="shared" si="6"/>
        <v>420625</v>
      </c>
    </row>
    <row r="54" spans="1:8">
      <c r="A54" s="100" t="s">
        <v>319</v>
      </c>
      <c r="B54" s="80" t="str">
        <f t="shared" si="7"/>
        <v>ARQUITECTO DISEÑADOR</v>
      </c>
      <c r="C54" s="80" t="str">
        <f t="shared" si="8"/>
        <v>ADMÓN</v>
      </c>
      <c r="D54" s="124">
        <f t="shared" si="9"/>
        <v>7829250</v>
      </c>
      <c r="E54" s="122">
        <f t="shared" si="10"/>
        <v>1.5</v>
      </c>
      <c r="F54" s="123">
        <f t="shared" si="11"/>
        <v>257400</v>
      </c>
      <c r="G54" s="123">
        <f t="shared" si="12"/>
        <v>128382</v>
      </c>
      <c r="H54" s="123">
        <f t="shared" si="6"/>
        <v>385782</v>
      </c>
    </row>
    <row r="55" spans="1:8">
      <c r="A55" s="100" t="s">
        <v>320</v>
      </c>
      <c r="B55" s="80" t="str">
        <f t="shared" si="7"/>
        <v>INGENIERO ESPECIALISTA ESTRUCTURAL</v>
      </c>
      <c r="C55" s="80" t="str">
        <f t="shared" si="8"/>
        <v>ADMÓN</v>
      </c>
      <c r="D55" s="124">
        <f t="shared" si="9"/>
        <v>8541000</v>
      </c>
      <c r="E55" s="122">
        <f t="shared" si="10"/>
        <v>1.5</v>
      </c>
      <c r="F55" s="123">
        <f t="shared" si="11"/>
        <v>280800</v>
      </c>
      <c r="G55" s="123">
        <f t="shared" si="12"/>
        <v>139825</v>
      </c>
      <c r="H55" s="123">
        <f t="shared" si="6"/>
        <v>420625</v>
      </c>
    </row>
    <row r="56" spans="1:8">
      <c r="A56" s="100" t="s">
        <v>321</v>
      </c>
      <c r="B56" s="80" t="str">
        <f t="shared" si="7"/>
        <v>INGENIERO REVISOR ESTRUCTURAL</v>
      </c>
      <c r="C56" s="80" t="str">
        <f t="shared" si="8"/>
        <v>ADMÓN</v>
      </c>
      <c r="D56" s="124">
        <f t="shared" si="9"/>
        <v>8541000</v>
      </c>
      <c r="E56" s="122">
        <f t="shared" si="10"/>
        <v>1.5</v>
      </c>
      <c r="F56" s="123">
        <f t="shared" si="11"/>
        <v>280800</v>
      </c>
      <c r="G56" s="123">
        <f t="shared" si="12"/>
        <v>139825</v>
      </c>
      <c r="H56" s="123">
        <f t="shared" si="6"/>
        <v>420625</v>
      </c>
    </row>
    <row r="57" spans="1:8">
      <c r="A57" s="100" t="s">
        <v>322</v>
      </c>
      <c r="B57" s="80" t="str">
        <f t="shared" si="7"/>
        <v>INGENIERO ESPECIALISTA HIDRÁULICO</v>
      </c>
      <c r="C57" s="80" t="str">
        <f t="shared" si="8"/>
        <v>ADMÓN</v>
      </c>
      <c r="D57" s="124">
        <f t="shared" si="9"/>
        <v>8541000</v>
      </c>
      <c r="E57" s="122">
        <f t="shared" si="10"/>
        <v>1.5</v>
      </c>
      <c r="F57" s="123">
        <f t="shared" si="11"/>
        <v>280800</v>
      </c>
      <c r="G57" s="123">
        <f t="shared" si="12"/>
        <v>139825</v>
      </c>
      <c r="H57" s="123">
        <f t="shared" si="6"/>
        <v>420625</v>
      </c>
    </row>
    <row r="58" spans="1:8">
      <c r="A58" s="100" t="s">
        <v>323</v>
      </c>
      <c r="B58" s="80" t="str">
        <f t="shared" si="7"/>
        <v>INGENIERO ELECTRICISTA</v>
      </c>
      <c r="C58" s="80" t="str">
        <f t="shared" si="8"/>
        <v>ADMÓN</v>
      </c>
      <c r="D58" s="124">
        <f t="shared" si="9"/>
        <v>7829250</v>
      </c>
      <c r="E58" s="122">
        <f t="shared" si="10"/>
        <v>1.5</v>
      </c>
      <c r="F58" s="123">
        <f t="shared" si="11"/>
        <v>257400</v>
      </c>
      <c r="G58" s="123">
        <f t="shared" si="12"/>
        <v>128382</v>
      </c>
      <c r="H58" s="123">
        <f t="shared" si="6"/>
        <v>385782</v>
      </c>
    </row>
    <row r="59" spans="1:8">
      <c r="A59" s="100" t="s">
        <v>324</v>
      </c>
      <c r="B59" s="80" t="str">
        <f t="shared" si="7"/>
        <v>INGENIERO AMBIENTAL</v>
      </c>
      <c r="C59" s="80" t="str">
        <f t="shared" si="8"/>
        <v>ADMÓN</v>
      </c>
      <c r="D59" s="124">
        <f t="shared" si="9"/>
        <v>7829250</v>
      </c>
      <c r="E59" s="122">
        <f t="shared" si="10"/>
        <v>1.5</v>
      </c>
      <c r="F59" s="123">
        <f t="shared" si="11"/>
        <v>257400</v>
      </c>
      <c r="G59" s="123">
        <f t="shared" si="12"/>
        <v>128382</v>
      </c>
      <c r="H59" s="123">
        <f t="shared" si="6"/>
        <v>385782</v>
      </c>
    </row>
    <row r="60" spans="1:8">
      <c r="A60" s="100" t="s">
        <v>325</v>
      </c>
      <c r="B60" s="80" t="str">
        <f t="shared" si="7"/>
        <v>INGENIERO FORESTAL</v>
      </c>
      <c r="C60" s="80" t="str">
        <f t="shared" si="8"/>
        <v>ADMÓN</v>
      </c>
      <c r="D60" s="124">
        <f t="shared" si="9"/>
        <v>7829250</v>
      </c>
      <c r="E60" s="122">
        <f t="shared" si="10"/>
        <v>1.5</v>
      </c>
      <c r="F60" s="123">
        <f t="shared" si="11"/>
        <v>257400</v>
      </c>
      <c r="G60" s="123">
        <f t="shared" si="12"/>
        <v>128382</v>
      </c>
      <c r="H60" s="123">
        <f t="shared" si="6"/>
        <v>385782</v>
      </c>
    </row>
    <row r="61" spans="1:8">
      <c r="A61" s="100" t="s">
        <v>326</v>
      </c>
      <c r="B61" s="80" t="str">
        <f t="shared" si="7"/>
        <v>TÉCNICO AMBIENTAL</v>
      </c>
      <c r="C61" s="80" t="str">
        <f t="shared" si="8"/>
        <v>ADMÓN</v>
      </c>
      <c r="D61" s="124">
        <f t="shared" si="9"/>
        <v>2847000</v>
      </c>
      <c r="E61" s="122">
        <f t="shared" si="10"/>
        <v>1.63</v>
      </c>
      <c r="F61" s="123">
        <f t="shared" si="11"/>
        <v>93600</v>
      </c>
      <c r="G61" s="123">
        <f t="shared" si="12"/>
        <v>59111</v>
      </c>
      <c r="H61" s="123">
        <f t="shared" si="6"/>
        <v>152711</v>
      </c>
    </row>
    <row r="70" spans="2:2">
      <c r="B70" s="327" t="s">
        <v>826</v>
      </c>
    </row>
    <row r="71" spans="2:2">
      <c r="B71" t="s">
        <v>24</v>
      </c>
    </row>
  </sheetData>
  <mergeCells count="5">
    <mergeCell ref="A1:F1"/>
    <mergeCell ref="G1:H5"/>
    <mergeCell ref="A2:F2"/>
    <mergeCell ref="A3:F3"/>
    <mergeCell ref="A5:F5"/>
  </mergeCells>
  <pageMargins left="0.7" right="0.7" top="0.75" bottom="0.75" header="0.3" footer="0.3"/>
  <pageSetup scale="6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E70"/>
  <sheetViews>
    <sheetView view="pageBreakPreview" zoomScaleNormal="100" zoomScaleSheetLayoutView="100" workbookViewId="0">
      <pane xSplit="1" ySplit="9" topLeftCell="T28" activePane="bottomRight" state="frozen"/>
      <selection pane="topRight" activeCell="B1" sqref="B1"/>
      <selection pane="bottomLeft" activeCell="A10" sqref="A10"/>
      <selection pane="bottomRight" activeCell="T12" sqref="T12"/>
    </sheetView>
  </sheetViews>
  <sheetFormatPr baseColWidth="10" defaultRowHeight="15"/>
  <cols>
    <col min="1" max="1" width="29.140625" customWidth="1"/>
    <col min="2" max="2" width="23.42578125" style="118" customWidth="1"/>
    <col min="3" max="3" width="19.85546875" customWidth="1"/>
    <col min="4" max="4" width="20.85546875" customWidth="1"/>
    <col min="5" max="5" width="21.85546875" customWidth="1"/>
    <col min="6" max="8" width="20.85546875" bestFit="1" customWidth="1"/>
    <col min="9" max="9" width="20.42578125" bestFit="1" customWidth="1"/>
    <col min="10" max="10" width="21.42578125" bestFit="1" customWidth="1"/>
    <col min="11" max="11" width="20.85546875" bestFit="1" customWidth="1"/>
    <col min="12" max="16" width="20.42578125" bestFit="1" customWidth="1"/>
    <col min="17" max="17" width="20.85546875" bestFit="1" customWidth="1"/>
    <col min="18" max="18" width="20.140625" bestFit="1" customWidth="1"/>
    <col min="19" max="19" width="20.42578125" bestFit="1" customWidth="1"/>
    <col min="20" max="20" width="20.85546875" bestFit="1" customWidth="1"/>
    <col min="21" max="21" width="20.42578125" bestFit="1" customWidth="1"/>
    <col min="22" max="22" width="20.140625" bestFit="1" customWidth="1"/>
    <col min="23" max="26" width="20.42578125" bestFit="1" customWidth="1"/>
    <col min="27" max="27" width="19.85546875" bestFit="1" customWidth="1"/>
    <col min="28" max="34" width="20.42578125" bestFit="1" customWidth="1"/>
    <col min="35" max="36" width="20.85546875" bestFit="1" customWidth="1"/>
    <col min="37" max="41" width="20.42578125" bestFit="1" customWidth="1"/>
    <col min="42" max="42" width="21.42578125" bestFit="1" customWidth="1"/>
    <col min="43" max="43" width="20.42578125" bestFit="1" customWidth="1"/>
    <col min="44" max="44" width="20.140625" bestFit="1" customWidth="1"/>
    <col min="45" max="45" width="20.85546875" bestFit="1" customWidth="1"/>
    <col min="46" max="47" width="20.140625" bestFit="1" customWidth="1"/>
    <col min="48" max="48" width="20.85546875" bestFit="1" customWidth="1"/>
    <col min="49" max="51" width="20.140625" bestFit="1" customWidth="1"/>
    <col min="52" max="54" width="20.85546875" bestFit="1" customWidth="1"/>
    <col min="55" max="55" width="20.42578125" bestFit="1" customWidth="1"/>
    <col min="56" max="56" width="15.5703125" customWidth="1"/>
    <col min="57" max="57" width="16.42578125" customWidth="1"/>
  </cols>
  <sheetData>
    <row r="1" spans="1:57" ht="26.25">
      <c r="A1" s="630"/>
      <c r="B1" s="570" t="s">
        <v>0</v>
      </c>
      <c r="C1" s="570"/>
      <c r="D1" s="570"/>
      <c r="E1" s="570"/>
      <c r="F1" s="570"/>
      <c r="G1" s="570"/>
      <c r="H1" s="570"/>
      <c r="I1" s="570"/>
      <c r="J1" s="570"/>
      <c r="K1" s="570"/>
      <c r="L1" s="570"/>
      <c r="M1" s="570"/>
      <c r="N1" s="570"/>
      <c r="O1" s="570"/>
      <c r="P1" s="570" t="s">
        <v>0</v>
      </c>
      <c r="Q1" s="570"/>
      <c r="R1" s="570"/>
      <c r="S1" s="570"/>
      <c r="T1" s="570"/>
      <c r="U1" s="570"/>
      <c r="V1" s="570"/>
      <c r="W1" s="570"/>
      <c r="X1" s="570"/>
      <c r="Y1" s="570"/>
      <c r="Z1" s="570"/>
      <c r="AA1" s="570"/>
      <c r="AB1" s="570"/>
      <c r="AC1" s="570"/>
      <c r="AD1" s="570" t="s">
        <v>0</v>
      </c>
      <c r="AE1" s="570"/>
      <c r="AF1" s="570"/>
      <c r="AG1" s="570"/>
      <c r="AH1" s="570"/>
      <c r="AI1" s="570"/>
      <c r="AJ1" s="570"/>
      <c r="AK1" s="570"/>
      <c r="AL1" s="570"/>
      <c r="AM1" s="570"/>
      <c r="AN1" s="570"/>
      <c r="AO1" s="570"/>
      <c r="AP1" s="570"/>
      <c r="AQ1" s="570"/>
      <c r="AR1" s="570" t="s">
        <v>0</v>
      </c>
      <c r="AS1" s="570"/>
      <c r="AT1" s="570"/>
      <c r="AU1" s="570"/>
      <c r="AV1" s="570"/>
      <c r="AW1" s="570"/>
      <c r="AX1" s="570"/>
      <c r="AY1" s="570"/>
      <c r="AZ1" s="570"/>
      <c r="BA1" s="570"/>
      <c r="BB1" s="570"/>
      <c r="BC1" s="570"/>
      <c r="BD1" s="570"/>
      <c r="BE1" s="570"/>
    </row>
    <row r="2" spans="1:57" ht="21">
      <c r="A2" s="630"/>
      <c r="B2" s="577" t="str">
        <f>'DATOS INICIALES'!$B$2</f>
        <v>MUNICIPIO DE DABEIBA</v>
      </c>
      <c r="C2" s="577"/>
      <c r="D2" s="577"/>
      <c r="E2" s="577"/>
      <c r="F2" s="577"/>
      <c r="G2" s="577"/>
      <c r="H2" s="577"/>
      <c r="I2" s="577"/>
      <c r="J2" s="577"/>
      <c r="K2" s="577"/>
      <c r="L2" s="577"/>
      <c r="M2" s="577"/>
      <c r="N2" s="577"/>
      <c r="O2" s="577"/>
      <c r="P2" s="577" t="str">
        <f>'DATOS INICIALES'!$B$2</f>
        <v>MUNICIPIO DE DABEIBA</v>
      </c>
      <c r="Q2" s="577"/>
      <c r="R2" s="577"/>
      <c r="S2" s="577"/>
      <c r="T2" s="577"/>
      <c r="U2" s="577"/>
      <c r="V2" s="577"/>
      <c r="W2" s="577"/>
      <c r="X2" s="577"/>
      <c r="Y2" s="577"/>
      <c r="Z2" s="577"/>
      <c r="AA2" s="577"/>
      <c r="AB2" s="577"/>
      <c r="AC2" s="577"/>
      <c r="AD2" s="577" t="str">
        <f>'DATOS INICIALES'!$B$2</f>
        <v>MUNICIPIO DE DABEIBA</v>
      </c>
      <c r="AE2" s="577"/>
      <c r="AF2" s="577"/>
      <c r="AG2" s="577"/>
      <c r="AH2" s="577"/>
      <c r="AI2" s="577"/>
      <c r="AJ2" s="577"/>
      <c r="AK2" s="577"/>
      <c r="AL2" s="577"/>
      <c r="AM2" s="577"/>
      <c r="AN2" s="577"/>
      <c r="AO2" s="577"/>
      <c r="AP2" s="577"/>
      <c r="AQ2" s="577"/>
      <c r="AR2" s="577" t="str">
        <f>'DATOS INICIALES'!$B$2</f>
        <v>MUNICIPIO DE DABEIBA</v>
      </c>
      <c r="AS2" s="577"/>
      <c r="AT2" s="577"/>
      <c r="AU2" s="577"/>
      <c r="AV2" s="577"/>
      <c r="AW2" s="577"/>
      <c r="AX2" s="577"/>
      <c r="AY2" s="577"/>
      <c r="AZ2" s="577"/>
      <c r="BA2" s="577"/>
      <c r="BB2" s="577"/>
      <c r="BC2" s="577"/>
      <c r="BD2" s="577"/>
      <c r="BE2" s="577"/>
    </row>
    <row r="3" spans="1:57" ht="18" customHeight="1">
      <c r="A3" s="630"/>
      <c r="B3" s="615" t="str">
        <f>'DATOS INICIALES'!$B$3</f>
        <v xml:space="preserve">AMPLIACIÓN DEL SISTEMA DE ALCANTARILLADO EN SECTOR DEL BARRIO PABLO VI  DEL MUNICIPIO DE DABEIBA ANTIOQUIA </v>
      </c>
      <c r="C3" s="615"/>
      <c r="D3" s="615"/>
      <c r="E3" s="615"/>
      <c r="F3" s="615"/>
      <c r="G3" s="615"/>
      <c r="H3" s="615"/>
      <c r="I3" s="615"/>
      <c r="J3" s="615"/>
      <c r="K3" s="615"/>
      <c r="L3" s="615"/>
      <c r="M3" s="615"/>
      <c r="N3" s="615"/>
      <c r="O3" s="615"/>
      <c r="P3" s="615" t="str">
        <f>'DATOS INICIALES'!$B$3</f>
        <v xml:space="preserve">AMPLIACIÓN DEL SISTEMA DE ALCANTARILLADO EN SECTOR DEL BARRIO PABLO VI  DEL MUNICIPIO DE DABEIBA ANTIOQUIA </v>
      </c>
      <c r="Q3" s="615"/>
      <c r="R3" s="615"/>
      <c r="S3" s="615"/>
      <c r="T3" s="615"/>
      <c r="U3" s="615"/>
      <c r="V3" s="615"/>
      <c r="W3" s="615"/>
      <c r="X3" s="615"/>
      <c r="Y3" s="615"/>
      <c r="Z3" s="615"/>
      <c r="AA3" s="615"/>
      <c r="AB3" s="615"/>
      <c r="AC3" s="615"/>
      <c r="AD3" s="615" t="str">
        <f>'DATOS INICIALES'!$B$3</f>
        <v xml:space="preserve">AMPLIACIÓN DEL SISTEMA DE ALCANTARILLADO EN SECTOR DEL BARRIO PABLO VI  DEL MUNICIPIO DE DABEIBA ANTIOQUIA </v>
      </c>
      <c r="AE3" s="615"/>
      <c r="AF3" s="615"/>
      <c r="AG3" s="615"/>
      <c r="AH3" s="615"/>
      <c r="AI3" s="615"/>
      <c r="AJ3" s="615"/>
      <c r="AK3" s="615"/>
      <c r="AL3" s="615"/>
      <c r="AM3" s="615"/>
      <c r="AN3" s="615"/>
      <c r="AO3" s="615"/>
      <c r="AP3" s="615"/>
      <c r="AQ3" s="615"/>
      <c r="AR3" s="615" t="str">
        <f>'DATOS INICIALES'!$B$3</f>
        <v xml:space="preserve">AMPLIACIÓN DEL SISTEMA DE ALCANTARILLADO EN SECTOR DEL BARRIO PABLO VI  DEL MUNICIPIO DE DABEIBA ANTIOQUIA </v>
      </c>
      <c r="AS3" s="615"/>
      <c r="AT3" s="615"/>
      <c r="AU3" s="615"/>
      <c r="AV3" s="615"/>
      <c r="AW3" s="615"/>
      <c r="AX3" s="615"/>
      <c r="AY3" s="615"/>
      <c r="AZ3" s="615"/>
      <c r="BA3" s="615"/>
      <c r="BB3" s="615"/>
      <c r="BC3" s="615"/>
      <c r="BD3" s="615"/>
      <c r="BE3" s="615"/>
    </row>
    <row r="4" spans="1:57">
      <c r="A4" s="630"/>
      <c r="B4" s="113"/>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row>
    <row r="5" spans="1:57" ht="15.75">
      <c r="A5" s="630"/>
      <c r="B5" s="617" t="s">
        <v>253</v>
      </c>
      <c r="C5" s="617"/>
      <c r="D5" s="617"/>
      <c r="E5" s="617"/>
      <c r="F5" s="617"/>
      <c r="G5" s="617"/>
      <c r="H5" s="617"/>
      <c r="I5" s="617"/>
      <c r="J5" s="617"/>
      <c r="K5" s="617"/>
      <c r="L5" s="617"/>
      <c r="M5" s="617"/>
      <c r="N5" s="617"/>
      <c r="O5" s="617"/>
      <c r="P5" s="617" t="s">
        <v>253</v>
      </c>
      <c r="Q5" s="617"/>
      <c r="R5" s="617"/>
      <c r="S5" s="617"/>
      <c r="T5" s="617"/>
      <c r="U5" s="617"/>
      <c r="V5" s="617"/>
      <c r="W5" s="617"/>
      <c r="X5" s="617"/>
      <c r="Y5" s="617"/>
      <c r="Z5" s="617"/>
      <c r="AA5" s="617"/>
      <c r="AB5" s="617"/>
      <c r="AC5" s="617"/>
      <c r="AD5" s="617" t="s">
        <v>253</v>
      </c>
      <c r="AE5" s="617"/>
      <c r="AF5" s="617"/>
      <c r="AG5" s="617"/>
      <c r="AH5" s="617"/>
      <c r="AI5" s="617"/>
      <c r="AJ5" s="617"/>
      <c r="AK5" s="617"/>
      <c r="AL5" s="617"/>
      <c r="AM5" s="617"/>
      <c r="AN5" s="617"/>
      <c r="AO5" s="617"/>
      <c r="AP5" s="617"/>
      <c r="AQ5" s="617"/>
      <c r="AR5" s="617" t="s">
        <v>253</v>
      </c>
      <c r="AS5" s="617"/>
      <c r="AT5" s="617"/>
      <c r="AU5" s="617"/>
      <c r="AV5" s="617"/>
      <c r="AW5" s="617"/>
      <c r="AX5" s="617"/>
      <c r="AY5" s="617"/>
      <c r="AZ5" s="617"/>
      <c r="BA5" s="617"/>
      <c r="BB5" s="617"/>
      <c r="BC5" s="617"/>
      <c r="BD5" s="617"/>
      <c r="BE5" s="617"/>
    </row>
    <row r="7" spans="1:57">
      <c r="A7" s="102" t="s">
        <v>57</v>
      </c>
      <c r="B7" s="114" t="s">
        <v>273</v>
      </c>
      <c r="C7" s="110" t="s">
        <v>274</v>
      </c>
      <c r="D7" s="110" t="s">
        <v>275</v>
      </c>
      <c r="E7" s="110" t="s">
        <v>276</v>
      </c>
      <c r="F7" s="110" t="s">
        <v>277</v>
      </c>
      <c r="G7" s="110" t="s">
        <v>278</v>
      </c>
      <c r="H7" s="110" t="s">
        <v>279</v>
      </c>
      <c r="I7" s="110" t="s">
        <v>280</v>
      </c>
      <c r="J7" s="110" t="s">
        <v>281</v>
      </c>
      <c r="K7" s="110" t="s">
        <v>282</v>
      </c>
      <c r="L7" s="110" t="s">
        <v>283</v>
      </c>
      <c r="M7" s="110" t="s">
        <v>284</v>
      </c>
      <c r="N7" s="110" t="s">
        <v>285</v>
      </c>
      <c r="O7" s="110" t="s">
        <v>286</v>
      </c>
      <c r="P7" s="110" t="s">
        <v>287</v>
      </c>
      <c r="Q7" s="110" t="s">
        <v>288</v>
      </c>
      <c r="R7" s="110" t="s">
        <v>289</v>
      </c>
      <c r="S7" s="110" t="s">
        <v>290</v>
      </c>
      <c r="T7" s="110" t="s">
        <v>291</v>
      </c>
      <c r="U7" s="110" t="s">
        <v>292</v>
      </c>
      <c r="V7" s="110" t="s">
        <v>293</v>
      </c>
      <c r="W7" s="110" t="s">
        <v>294</v>
      </c>
      <c r="X7" s="110" t="s">
        <v>295</v>
      </c>
      <c r="Y7" s="110" t="s">
        <v>296</v>
      </c>
      <c r="Z7" s="110" t="s">
        <v>297</v>
      </c>
      <c r="AA7" s="110" t="s">
        <v>298</v>
      </c>
      <c r="AB7" s="110" t="s">
        <v>299</v>
      </c>
      <c r="AC7" s="110" t="s">
        <v>300</v>
      </c>
      <c r="AD7" s="110" t="s">
        <v>301</v>
      </c>
      <c r="AE7" s="110" t="s">
        <v>302</v>
      </c>
      <c r="AF7" s="110" t="s">
        <v>303</v>
      </c>
      <c r="AG7" s="110" t="s">
        <v>304</v>
      </c>
      <c r="AH7" s="110" t="s">
        <v>305</v>
      </c>
      <c r="AI7" s="110" t="s">
        <v>306</v>
      </c>
      <c r="AJ7" s="110" t="s">
        <v>307</v>
      </c>
      <c r="AK7" s="110" t="s">
        <v>308</v>
      </c>
      <c r="AL7" s="110" t="s">
        <v>309</v>
      </c>
      <c r="AM7" s="110" t="s">
        <v>310</v>
      </c>
      <c r="AN7" s="110" t="s">
        <v>311</v>
      </c>
      <c r="AO7" s="110" t="s">
        <v>312</v>
      </c>
      <c r="AP7" s="110" t="s">
        <v>313</v>
      </c>
      <c r="AQ7" s="110" t="s">
        <v>314</v>
      </c>
      <c r="AR7" s="110" t="s">
        <v>315</v>
      </c>
      <c r="AS7" s="110" t="s">
        <v>316</v>
      </c>
      <c r="AT7" s="110" t="s">
        <v>317</v>
      </c>
      <c r="AU7" s="110" t="s">
        <v>318</v>
      </c>
      <c r="AV7" s="110" t="s">
        <v>319</v>
      </c>
      <c r="AW7" s="110" t="s">
        <v>320</v>
      </c>
      <c r="AX7" s="110" t="s">
        <v>321</v>
      </c>
      <c r="AY7" s="110" t="s">
        <v>322</v>
      </c>
      <c r="AZ7" s="110" t="s">
        <v>323</v>
      </c>
      <c r="BA7" s="110" t="s">
        <v>324</v>
      </c>
      <c r="BB7" s="110" t="s">
        <v>325</v>
      </c>
      <c r="BC7" s="110" t="s">
        <v>326</v>
      </c>
      <c r="BD7" s="110" t="s">
        <v>327</v>
      </c>
      <c r="BE7" s="110" t="s">
        <v>328</v>
      </c>
    </row>
    <row r="8" spans="1:57" ht="36">
      <c r="A8" s="103" t="s">
        <v>247</v>
      </c>
      <c r="B8" s="115" t="s">
        <v>329</v>
      </c>
      <c r="C8" s="72" t="s">
        <v>330</v>
      </c>
      <c r="D8" s="72" t="s">
        <v>331</v>
      </c>
      <c r="E8" s="72" t="s">
        <v>332</v>
      </c>
      <c r="F8" s="72" t="s">
        <v>333</v>
      </c>
      <c r="G8" s="72" t="s">
        <v>334</v>
      </c>
      <c r="H8" s="72" t="s">
        <v>335</v>
      </c>
      <c r="I8" s="72" t="s">
        <v>336</v>
      </c>
      <c r="J8" s="72" t="s">
        <v>337</v>
      </c>
      <c r="K8" s="72" t="s">
        <v>338</v>
      </c>
      <c r="L8" s="72" t="s">
        <v>339</v>
      </c>
      <c r="M8" s="72" t="s">
        <v>340</v>
      </c>
      <c r="N8" s="72" t="s">
        <v>341</v>
      </c>
      <c r="O8" s="72" t="s">
        <v>342</v>
      </c>
      <c r="P8" s="72" t="s">
        <v>343</v>
      </c>
      <c r="Q8" s="72" t="s">
        <v>73</v>
      </c>
      <c r="R8" s="72" t="s">
        <v>74</v>
      </c>
      <c r="S8" s="72" t="s">
        <v>75</v>
      </c>
      <c r="T8" s="72" t="s">
        <v>872</v>
      </c>
      <c r="U8" s="72" t="s">
        <v>344</v>
      </c>
      <c r="V8" s="72" t="s">
        <v>345</v>
      </c>
      <c r="W8" s="72" t="s">
        <v>346</v>
      </c>
      <c r="X8" s="72" t="s">
        <v>347</v>
      </c>
      <c r="Y8" s="72" t="s">
        <v>348</v>
      </c>
      <c r="Z8" s="72" t="s">
        <v>349</v>
      </c>
      <c r="AA8" s="72" t="s">
        <v>350</v>
      </c>
      <c r="AB8" s="72" t="s">
        <v>351</v>
      </c>
      <c r="AC8" s="72" t="s">
        <v>352</v>
      </c>
      <c r="AD8" s="72" t="s">
        <v>353</v>
      </c>
      <c r="AE8" s="72" t="s">
        <v>354</v>
      </c>
      <c r="AF8" s="72" t="s">
        <v>355</v>
      </c>
      <c r="AG8" s="72" t="s">
        <v>356</v>
      </c>
      <c r="AH8" s="72" t="s">
        <v>357</v>
      </c>
      <c r="AI8" s="72" t="s">
        <v>358</v>
      </c>
      <c r="AJ8" s="72" t="s">
        <v>359</v>
      </c>
      <c r="AK8" s="72" t="s">
        <v>360</v>
      </c>
      <c r="AL8" s="72" t="s">
        <v>361</v>
      </c>
      <c r="AM8" s="72" t="s">
        <v>362</v>
      </c>
      <c r="AN8" s="72" t="s">
        <v>363</v>
      </c>
      <c r="AO8" s="72" t="s">
        <v>364</v>
      </c>
      <c r="AP8" s="72" t="s">
        <v>365</v>
      </c>
      <c r="AQ8" s="72" t="s">
        <v>366</v>
      </c>
      <c r="AR8" s="72" t="s">
        <v>367</v>
      </c>
      <c r="AS8" s="72" t="s">
        <v>368</v>
      </c>
      <c r="AT8" s="72" t="s">
        <v>369</v>
      </c>
      <c r="AU8" s="72" t="s">
        <v>370</v>
      </c>
      <c r="AV8" s="72" t="s">
        <v>371</v>
      </c>
      <c r="AW8" s="72" t="s">
        <v>372</v>
      </c>
      <c r="AX8" s="72" t="s">
        <v>373</v>
      </c>
      <c r="AY8" s="72" t="s">
        <v>374</v>
      </c>
      <c r="AZ8" s="72" t="s">
        <v>375</v>
      </c>
      <c r="BA8" s="72" t="s">
        <v>376</v>
      </c>
      <c r="BB8" s="72" t="s">
        <v>377</v>
      </c>
      <c r="BC8" s="72" t="s">
        <v>378</v>
      </c>
      <c r="BD8" s="111"/>
      <c r="BE8" s="111"/>
    </row>
    <row r="9" spans="1:57">
      <c r="A9" s="104" t="s">
        <v>248</v>
      </c>
      <c r="B9" s="116" t="s">
        <v>379</v>
      </c>
      <c r="C9" s="22" t="s">
        <v>379</v>
      </c>
      <c r="D9" s="22" t="s">
        <v>379</v>
      </c>
      <c r="E9" s="22" t="s">
        <v>379</v>
      </c>
      <c r="F9" s="22" t="s">
        <v>379</v>
      </c>
      <c r="G9" s="22" t="s">
        <v>379</v>
      </c>
      <c r="H9" s="22" t="s">
        <v>379</v>
      </c>
      <c r="I9" s="22" t="s">
        <v>379</v>
      </c>
      <c r="J9" s="22" t="s">
        <v>379</v>
      </c>
      <c r="K9" s="22" t="s">
        <v>379</v>
      </c>
      <c r="L9" s="22" t="s">
        <v>379</v>
      </c>
      <c r="M9" s="22" t="s">
        <v>379</v>
      </c>
      <c r="N9" s="22" t="s">
        <v>379</v>
      </c>
      <c r="O9" s="22" t="s">
        <v>379</v>
      </c>
      <c r="P9" s="22" t="s">
        <v>379</v>
      </c>
      <c r="Q9" s="22" t="s">
        <v>380</v>
      </c>
      <c r="R9" s="22" t="s">
        <v>380</v>
      </c>
      <c r="S9" s="22" t="s">
        <v>380</v>
      </c>
      <c r="T9" s="22" t="s">
        <v>380</v>
      </c>
      <c r="U9" s="22" t="s">
        <v>380</v>
      </c>
      <c r="V9" s="22" t="s">
        <v>380</v>
      </c>
      <c r="W9" s="22" t="s">
        <v>380</v>
      </c>
      <c r="X9" s="22" t="s">
        <v>380</v>
      </c>
      <c r="Y9" s="22" t="s">
        <v>380</v>
      </c>
      <c r="Z9" s="22" t="s">
        <v>380</v>
      </c>
      <c r="AA9" s="22" t="s">
        <v>380</v>
      </c>
      <c r="AB9" s="22" t="s">
        <v>380</v>
      </c>
      <c r="AC9" s="22" t="s">
        <v>380</v>
      </c>
      <c r="AD9" s="22" t="s">
        <v>380</v>
      </c>
      <c r="AE9" s="22" t="s">
        <v>380</v>
      </c>
      <c r="AF9" s="22" t="s">
        <v>380</v>
      </c>
      <c r="AG9" s="22" t="s">
        <v>380</v>
      </c>
      <c r="AH9" s="22" t="s">
        <v>380</v>
      </c>
      <c r="AI9" s="22" t="s">
        <v>380</v>
      </c>
      <c r="AJ9" s="22" t="s">
        <v>380</v>
      </c>
      <c r="AK9" s="22" t="s">
        <v>380</v>
      </c>
      <c r="AL9" s="22" t="s">
        <v>380</v>
      </c>
      <c r="AM9" s="22" t="s">
        <v>380</v>
      </c>
      <c r="AN9" s="22" t="s">
        <v>379</v>
      </c>
      <c r="AO9" s="22" t="s">
        <v>379</v>
      </c>
      <c r="AP9" s="22" t="s">
        <v>379</v>
      </c>
      <c r="AQ9" s="22" t="s">
        <v>379</v>
      </c>
      <c r="AR9" s="22" t="s">
        <v>379</v>
      </c>
      <c r="AS9" s="22" t="s">
        <v>379</v>
      </c>
      <c r="AT9" s="22" t="s">
        <v>379</v>
      </c>
      <c r="AU9" s="22" t="s">
        <v>379</v>
      </c>
      <c r="AV9" s="22" t="s">
        <v>379</v>
      </c>
      <c r="AW9" s="22" t="s">
        <v>379</v>
      </c>
      <c r="AX9" s="22" t="s">
        <v>379</v>
      </c>
      <c r="AY9" s="22" t="s">
        <v>379</v>
      </c>
      <c r="AZ9" s="22" t="s">
        <v>379</v>
      </c>
      <c r="BA9" s="22" t="s">
        <v>379</v>
      </c>
      <c r="BB9" s="22" t="s">
        <v>379</v>
      </c>
      <c r="BC9" s="22" t="s">
        <v>379</v>
      </c>
      <c r="BD9" s="111"/>
      <c r="BE9" s="111"/>
    </row>
    <row r="10" spans="1:57" ht="22.35" customHeight="1">
      <c r="A10" s="105" t="s">
        <v>254</v>
      </c>
      <c r="B10" s="117">
        <v>5</v>
      </c>
      <c r="C10" s="87">
        <v>5</v>
      </c>
      <c r="D10" s="87">
        <v>3</v>
      </c>
      <c r="E10" s="87">
        <v>3</v>
      </c>
      <c r="F10" s="87">
        <v>2.7</v>
      </c>
      <c r="G10" s="87">
        <v>3</v>
      </c>
      <c r="H10" s="87">
        <v>2</v>
      </c>
      <c r="I10" s="87">
        <v>2.2999999999999998</v>
      </c>
      <c r="J10" s="87">
        <v>6.7</v>
      </c>
      <c r="K10" s="87">
        <v>4.5999999999999996</v>
      </c>
      <c r="L10" s="87">
        <v>1.85</v>
      </c>
      <c r="M10" s="87">
        <v>1.45</v>
      </c>
      <c r="N10" s="87">
        <v>1</v>
      </c>
      <c r="O10" s="87">
        <v>1</v>
      </c>
      <c r="P10" s="112">
        <v>1</v>
      </c>
      <c r="Q10" s="87">
        <v>4.8</v>
      </c>
      <c r="R10" s="87">
        <v>2.35</v>
      </c>
      <c r="S10" s="87">
        <v>1.35</v>
      </c>
      <c r="T10" s="87">
        <v>3</v>
      </c>
      <c r="U10" s="87">
        <v>2.2999999999999998</v>
      </c>
      <c r="V10" s="87">
        <v>2.75</v>
      </c>
      <c r="W10" s="87">
        <v>1.3</v>
      </c>
      <c r="X10" s="87">
        <v>2</v>
      </c>
      <c r="Y10" s="87">
        <v>1.2</v>
      </c>
      <c r="Z10" s="87">
        <v>2</v>
      </c>
      <c r="AA10" s="87">
        <v>1.1000000000000001</v>
      </c>
      <c r="AB10" s="87">
        <v>2</v>
      </c>
      <c r="AC10" s="87">
        <v>2</v>
      </c>
      <c r="AD10" s="87">
        <v>2</v>
      </c>
      <c r="AE10" s="87">
        <v>2</v>
      </c>
      <c r="AF10" s="87">
        <v>1.3</v>
      </c>
      <c r="AG10" s="87">
        <v>1.1000000000000001</v>
      </c>
      <c r="AH10" s="87">
        <v>1.3</v>
      </c>
      <c r="AI10" s="87">
        <v>2.25</v>
      </c>
      <c r="AJ10" s="87">
        <v>3.2</v>
      </c>
      <c r="AK10" s="87">
        <v>1</v>
      </c>
      <c r="AL10" s="87">
        <v>1</v>
      </c>
      <c r="AM10" s="87">
        <v>1</v>
      </c>
      <c r="AN10" s="87">
        <v>5</v>
      </c>
      <c r="AO10" s="87">
        <v>2.2999999999999998</v>
      </c>
      <c r="AP10" s="87">
        <v>6.7</v>
      </c>
      <c r="AQ10" s="87">
        <v>2.2999999999999998</v>
      </c>
      <c r="AR10" s="87">
        <v>6</v>
      </c>
      <c r="AS10" s="87">
        <v>5.5</v>
      </c>
      <c r="AT10" s="87">
        <v>6</v>
      </c>
      <c r="AU10" s="87">
        <v>6</v>
      </c>
      <c r="AV10" s="87">
        <v>5.5</v>
      </c>
      <c r="AW10" s="87">
        <v>6</v>
      </c>
      <c r="AX10" s="87">
        <v>6</v>
      </c>
      <c r="AY10" s="87">
        <v>6</v>
      </c>
      <c r="AZ10" s="87">
        <v>5.5</v>
      </c>
      <c r="BA10" s="87">
        <v>5.5</v>
      </c>
      <c r="BB10" s="87">
        <v>5.5</v>
      </c>
      <c r="BC10" s="87">
        <v>2</v>
      </c>
      <c r="BD10" s="87"/>
      <c r="BE10" s="87"/>
    </row>
    <row r="11" spans="1:57">
      <c r="A11" s="106" t="s">
        <v>255</v>
      </c>
      <c r="B11" s="124">
        <f>ROUND(B10*'DATOS INICIALES'!$B$12,0)</f>
        <v>7117500</v>
      </c>
      <c r="C11" s="124">
        <f>ROUND(C10*'DATOS INICIALES'!$B$12,0)</f>
        <v>7117500</v>
      </c>
      <c r="D11" s="124">
        <f>ROUND(D10*'DATOS INICIALES'!$B$12,0)</f>
        <v>4270500</v>
      </c>
      <c r="E11" s="124">
        <f>ROUND(E10*'DATOS INICIALES'!$B$12,0)</f>
        <v>4270500</v>
      </c>
      <c r="F11" s="124">
        <f>ROUND(F10*'DATOS INICIALES'!$B$12,0)</f>
        <v>3843450</v>
      </c>
      <c r="G11" s="124">
        <f>ROUND(G10*'DATOS INICIALES'!$B$12,0)</f>
        <v>4270500</v>
      </c>
      <c r="H11" s="124">
        <f>ROUND(H10*'DATOS INICIALES'!$B$12,0)</f>
        <v>2847000</v>
      </c>
      <c r="I11" s="124">
        <f>ROUND(I10*'DATOS INICIALES'!$B$12,0)</f>
        <v>3274050</v>
      </c>
      <c r="J11" s="124">
        <f>ROUND(J10*'DATOS INICIALES'!$B$12,0)</f>
        <v>9537450</v>
      </c>
      <c r="K11" s="124">
        <f>ROUND(K10*'DATOS INICIALES'!$B$12,0)</f>
        <v>6548100</v>
      </c>
      <c r="L11" s="124">
        <f>ROUND(L10*'DATOS INICIALES'!$B$12,0)</f>
        <v>2633475</v>
      </c>
      <c r="M11" s="124">
        <f>ROUND(M10*'DATOS INICIALES'!$B$12,0)</f>
        <v>2064075</v>
      </c>
      <c r="N11" s="124">
        <f>ROUND(N10*'DATOS INICIALES'!$B$12,0)</f>
        <v>1423500</v>
      </c>
      <c r="O11" s="124">
        <f>ROUND(O10*'DATOS INICIALES'!$B$12,0)</f>
        <v>1423500</v>
      </c>
      <c r="P11" s="124">
        <f>ROUND(P10*'DATOS INICIALES'!$B$12,0)</f>
        <v>1423500</v>
      </c>
      <c r="Q11" s="124">
        <f>ROUND(Q10*'DATOS INICIALES'!$B$12,0)</f>
        <v>6832800</v>
      </c>
      <c r="R11" s="124">
        <f>ROUND(R10*'DATOS INICIALES'!$B$12,0)</f>
        <v>3345225</v>
      </c>
      <c r="S11" s="124">
        <f>ROUND(S10*'DATOS INICIALES'!$B$12,0)</f>
        <v>1921725</v>
      </c>
      <c r="T11" s="124">
        <v>1400000</v>
      </c>
      <c r="U11" s="124">
        <f>ROUND(U10*'DATOS INICIALES'!$B$12,0)</f>
        <v>3274050</v>
      </c>
      <c r="V11" s="124">
        <f>ROUND(V10*'DATOS INICIALES'!$B$12,0)</f>
        <v>3914625</v>
      </c>
      <c r="W11" s="124">
        <f>ROUND(W10*'DATOS INICIALES'!$B$12,0)</f>
        <v>1850550</v>
      </c>
      <c r="X11" s="124">
        <f>ROUND(X10*'DATOS INICIALES'!$B$12,0)</f>
        <v>2847000</v>
      </c>
      <c r="Y11" s="124">
        <f>ROUND(Y10*'DATOS INICIALES'!$B$12,0)</f>
        <v>1708200</v>
      </c>
      <c r="Z11" s="124">
        <f>ROUND(Z10*'DATOS INICIALES'!$B$12,0)</f>
        <v>2847000</v>
      </c>
      <c r="AA11" s="124">
        <f>ROUND(AA10*'DATOS INICIALES'!$B$12,0)</f>
        <v>1565850</v>
      </c>
      <c r="AB11" s="124">
        <f>ROUND(AB10*'DATOS INICIALES'!$B$12,0)</f>
        <v>2847000</v>
      </c>
      <c r="AC11" s="124">
        <f>ROUND(AC10*'DATOS INICIALES'!$B$12,0)</f>
        <v>2847000</v>
      </c>
      <c r="AD11" s="124">
        <f>ROUND(AD10*'DATOS INICIALES'!$B$12,0)</f>
        <v>2847000</v>
      </c>
      <c r="AE11" s="124">
        <f>ROUND(AE10*'DATOS INICIALES'!$B$12,0)</f>
        <v>2847000</v>
      </c>
      <c r="AF11" s="124">
        <f>ROUND(AF10*'DATOS INICIALES'!$B$12,0)</f>
        <v>1850550</v>
      </c>
      <c r="AG11" s="124">
        <f>ROUND(AG10*'DATOS INICIALES'!$B$12,0)</f>
        <v>1565850</v>
      </c>
      <c r="AH11" s="124">
        <f>ROUND(AH10*'DATOS INICIALES'!$B$12,0)</f>
        <v>1850550</v>
      </c>
      <c r="AI11" s="124">
        <f>ROUND(AI10*'DATOS INICIALES'!$B$12,0)</f>
        <v>3202875</v>
      </c>
      <c r="AJ11" s="124">
        <f>ROUND(AJ10*'DATOS INICIALES'!$B$12,0)</f>
        <v>4555200</v>
      </c>
      <c r="AK11" s="124">
        <f>ROUND(AK10*'DATOS INICIALES'!$B$12,0)</f>
        <v>1423500</v>
      </c>
      <c r="AL11" s="124">
        <f>ROUND(AL10*'DATOS INICIALES'!$B$12,0)</f>
        <v>1423500</v>
      </c>
      <c r="AM11" s="124">
        <f>ROUND(AM10*'DATOS INICIALES'!$B$12,0)</f>
        <v>1423500</v>
      </c>
      <c r="AN11" s="124">
        <f>ROUND(AN10*'DATOS INICIALES'!$B$12,0)</f>
        <v>7117500</v>
      </c>
      <c r="AO11" s="124">
        <f>ROUND(AO10*'DATOS INICIALES'!$B$12,0)</f>
        <v>3274050</v>
      </c>
      <c r="AP11" s="124">
        <f>ROUND(AP10*'DATOS INICIALES'!$B$12,0)</f>
        <v>9537450</v>
      </c>
      <c r="AQ11" s="124">
        <f>ROUND(AQ10*'DATOS INICIALES'!$B$12,0)</f>
        <v>3274050</v>
      </c>
      <c r="AR11" s="124">
        <f>ROUND(AR10*'DATOS INICIALES'!$B$12,0)</f>
        <v>8541000</v>
      </c>
      <c r="AS11" s="124">
        <f>ROUND(AS10*'DATOS INICIALES'!$B$12,0)</f>
        <v>7829250</v>
      </c>
      <c r="AT11" s="124">
        <f>ROUND(AT10*'DATOS INICIALES'!$B$12,0)</f>
        <v>8541000</v>
      </c>
      <c r="AU11" s="124">
        <f>ROUND(AU10*'DATOS INICIALES'!$B$12,0)</f>
        <v>8541000</v>
      </c>
      <c r="AV11" s="124">
        <f>ROUND(AV10*'DATOS INICIALES'!$B$12,0)</f>
        <v>7829250</v>
      </c>
      <c r="AW11" s="124">
        <f>ROUND(AW10*'DATOS INICIALES'!$B$12,0)</f>
        <v>8541000</v>
      </c>
      <c r="AX11" s="124">
        <f>ROUND(AX10*'DATOS INICIALES'!$B$12,0)</f>
        <v>8541000</v>
      </c>
      <c r="AY11" s="124">
        <f>ROUND(AY10*'DATOS INICIALES'!$B$12,0)</f>
        <v>8541000</v>
      </c>
      <c r="AZ11" s="124">
        <f>ROUND(AZ10*'DATOS INICIALES'!$B$12,0)</f>
        <v>7829250</v>
      </c>
      <c r="BA11" s="124">
        <f>ROUND(BA10*'DATOS INICIALES'!$B$12,0)</f>
        <v>7829250</v>
      </c>
      <c r="BB11" s="124">
        <f>ROUND(BB10*'DATOS INICIALES'!$B$12,0)</f>
        <v>7829250</v>
      </c>
      <c r="BC11" s="124">
        <f>ROUND(BC10*'DATOS INICIALES'!$B$12,0)</f>
        <v>2847000</v>
      </c>
      <c r="BD11" s="124">
        <f>ROUND(BD10*'DATOS INICIALES'!$B$12,0)</f>
        <v>0</v>
      </c>
      <c r="BE11" s="124">
        <f>ROUND(BE10*'DATOS INICIALES'!$B$12,0)</f>
        <v>0</v>
      </c>
    </row>
    <row r="12" spans="1:57">
      <c r="A12" s="106" t="s">
        <v>256</v>
      </c>
      <c r="B12" s="124">
        <f>IF(B10&lt;=2,'DATOS INICIALES'!$B$13,0)</f>
        <v>0</v>
      </c>
      <c r="C12" s="124">
        <f>IF(C10&lt;=2,'DATOS INICIALES'!$B$13,0)</f>
        <v>0</v>
      </c>
      <c r="D12" s="124">
        <f>IF(D10&lt;=2,'DATOS INICIALES'!$B$13,0)</f>
        <v>0</v>
      </c>
      <c r="E12" s="124">
        <f>IF(E10&lt;=2,'DATOS INICIALES'!$B$13,0)</f>
        <v>0</v>
      </c>
      <c r="F12" s="124">
        <f>IF(F10&lt;=2,'DATOS INICIALES'!$B$13,0)</f>
        <v>0</v>
      </c>
      <c r="G12" s="124">
        <f>IF(G10&lt;=2,'DATOS INICIALES'!$B$13,0)</f>
        <v>0</v>
      </c>
      <c r="H12" s="124">
        <f>IF(H10&lt;=2,'DATOS INICIALES'!$B$13,0)</f>
        <v>200000</v>
      </c>
      <c r="I12" s="124">
        <f>IF(I10&lt;=2,'DATOS INICIALES'!$B$13,0)</f>
        <v>0</v>
      </c>
      <c r="J12" s="124">
        <f>IF(J10&lt;=2,'DATOS INICIALES'!$B$13,0)</f>
        <v>0</v>
      </c>
      <c r="K12" s="124">
        <f>IF(K10&lt;=2,'DATOS INICIALES'!$B$13,0)</f>
        <v>0</v>
      </c>
      <c r="L12" s="124">
        <f>IF(L10&lt;=2,'DATOS INICIALES'!$B$13,0)</f>
        <v>200000</v>
      </c>
      <c r="M12" s="124">
        <f>IF(M10&lt;=2,'DATOS INICIALES'!$B$13,0)</f>
        <v>200000</v>
      </c>
      <c r="N12" s="124">
        <f>IF(N10&lt;=2,'DATOS INICIALES'!$B$13,0)</f>
        <v>200000</v>
      </c>
      <c r="O12" s="124">
        <f>IF(O10&lt;=2,'DATOS INICIALES'!$B$13,0)</f>
        <v>200000</v>
      </c>
      <c r="P12" s="124">
        <f>IF(P10&lt;=2,'DATOS INICIALES'!$B$13,0)</f>
        <v>200000</v>
      </c>
      <c r="Q12" s="124">
        <f>IF(Q10&lt;=2,'DATOS INICIALES'!$B$13,0)</f>
        <v>0</v>
      </c>
      <c r="R12" s="124">
        <f>IF(R10&lt;=2,'DATOS INICIALES'!$B$13,0)</f>
        <v>0</v>
      </c>
      <c r="S12" s="124">
        <f>IF(S10&lt;=2,'DATOS INICIALES'!$B$13,0)</f>
        <v>200000</v>
      </c>
      <c r="T12" s="124">
        <f>IF(T10&lt;=2,'DATOS INICIALES'!$B$13,0)</f>
        <v>0</v>
      </c>
      <c r="U12" s="124">
        <f>IF(U10&lt;=2,'DATOS INICIALES'!$B$13,0)</f>
        <v>0</v>
      </c>
      <c r="V12" s="124">
        <f>IF(V10&lt;=2,'DATOS INICIALES'!$B$13,0)</f>
        <v>0</v>
      </c>
      <c r="W12" s="124">
        <f>IF(W10&lt;=2,'DATOS INICIALES'!$B$13,0)</f>
        <v>200000</v>
      </c>
      <c r="X12" s="124">
        <f>IF(X10&lt;=2,'DATOS INICIALES'!$B$13,0)</f>
        <v>200000</v>
      </c>
      <c r="Y12" s="124">
        <f>IF(Y10&lt;=2,'DATOS INICIALES'!$B$13,0)</f>
        <v>200000</v>
      </c>
      <c r="Z12" s="124">
        <f>IF(Z10&lt;=2,'DATOS INICIALES'!$B$13,0)</f>
        <v>200000</v>
      </c>
      <c r="AA12" s="124">
        <f>IF(AA10&lt;=2,'DATOS INICIALES'!$B$13,0)</f>
        <v>200000</v>
      </c>
      <c r="AB12" s="124">
        <f>IF(AB10&lt;=2,'DATOS INICIALES'!$B$13,0)</f>
        <v>200000</v>
      </c>
      <c r="AC12" s="124">
        <f>IF(AC10&lt;=2,'DATOS INICIALES'!$B$13,0)</f>
        <v>200000</v>
      </c>
      <c r="AD12" s="124">
        <f>IF(AD10&lt;=2,'DATOS INICIALES'!$B$13,0)</f>
        <v>200000</v>
      </c>
      <c r="AE12" s="124">
        <f>IF(AE10&lt;=2,'DATOS INICIALES'!$B$13,0)</f>
        <v>200000</v>
      </c>
      <c r="AF12" s="124">
        <f>IF(AF10&lt;=2,'DATOS INICIALES'!$B$13,0)</f>
        <v>200000</v>
      </c>
      <c r="AG12" s="124">
        <f>IF(AG10&lt;=2,'DATOS INICIALES'!$B$13,0)</f>
        <v>200000</v>
      </c>
      <c r="AH12" s="124">
        <f>IF(AH10&lt;=2,'DATOS INICIALES'!$B$13,0)</f>
        <v>200000</v>
      </c>
      <c r="AI12" s="124">
        <f>IF(AI10&lt;=2,'DATOS INICIALES'!$B$13,0)</f>
        <v>0</v>
      </c>
      <c r="AJ12" s="124">
        <f>IF(AJ10&lt;=2,'DATOS INICIALES'!$B$13,0)</f>
        <v>0</v>
      </c>
      <c r="AK12" s="124">
        <f>IF(AK10&lt;=2,'DATOS INICIALES'!$B$13,0)</f>
        <v>200000</v>
      </c>
      <c r="AL12" s="124">
        <f>IF(AL10&lt;=2,'DATOS INICIALES'!$B$13,0)</f>
        <v>200000</v>
      </c>
      <c r="AM12" s="124">
        <f>IF(AM10&lt;=2,'DATOS INICIALES'!$B$13,0)</f>
        <v>200000</v>
      </c>
      <c r="AN12" s="124">
        <f>IF(AN10&lt;=2,'DATOS INICIALES'!$B$13,0)</f>
        <v>0</v>
      </c>
      <c r="AO12" s="124">
        <f>IF(AO10&lt;=2,'DATOS INICIALES'!$B$13,0)</f>
        <v>0</v>
      </c>
      <c r="AP12" s="124">
        <f>IF(AP10&lt;=2,'DATOS INICIALES'!$B$13,0)</f>
        <v>0</v>
      </c>
      <c r="AQ12" s="124">
        <f>IF(AQ10&lt;=2,'DATOS INICIALES'!$B$13,0)</f>
        <v>0</v>
      </c>
      <c r="AR12" s="124">
        <f>IF(AR10&lt;=2,'DATOS INICIALES'!$B$13,0)</f>
        <v>0</v>
      </c>
      <c r="AS12" s="124">
        <f>IF(AS10&lt;=2,'DATOS INICIALES'!$B$13,0)</f>
        <v>0</v>
      </c>
      <c r="AT12" s="124">
        <f>IF(AT10&lt;=2,'DATOS INICIALES'!$B$13,0)</f>
        <v>0</v>
      </c>
      <c r="AU12" s="124">
        <f>IF(AU10&lt;=2,'DATOS INICIALES'!$B$13,0)</f>
        <v>0</v>
      </c>
      <c r="AV12" s="124">
        <f>IF(AV10&lt;=2,'DATOS INICIALES'!$B$13,0)</f>
        <v>0</v>
      </c>
      <c r="AW12" s="124">
        <f>IF(AW10&lt;=2,'DATOS INICIALES'!$B$13,0)</f>
        <v>0</v>
      </c>
      <c r="AX12" s="124">
        <f>IF(AX10&lt;=2,'DATOS INICIALES'!$B$13,0)</f>
        <v>0</v>
      </c>
      <c r="AY12" s="124">
        <f>IF(AY10&lt;=2,'DATOS INICIALES'!$B$13,0)</f>
        <v>0</v>
      </c>
      <c r="AZ12" s="124">
        <f>IF(AZ10&lt;=2,'DATOS INICIALES'!$B$13,0)</f>
        <v>0</v>
      </c>
      <c r="BA12" s="124">
        <f>IF(BA10&lt;=2,'DATOS INICIALES'!$B$13,0)</f>
        <v>0</v>
      </c>
      <c r="BB12" s="124">
        <f>IF(BB10&lt;=2,'DATOS INICIALES'!$B$13,0)</f>
        <v>0</v>
      </c>
      <c r="BC12" s="124">
        <f>IF(BC10&lt;=2,'DATOS INICIALES'!$B$13,0)</f>
        <v>200000</v>
      </c>
      <c r="BD12" s="124">
        <f>IF(BD10&lt;=2,'DATOS INICIALES'!$B$13,0)</f>
        <v>200000</v>
      </c>
      <c r="BE12" s="124">
        <f>IF(BE10&lt;=2,'DATOS INICIALES'!$B$13,0)</f>
        <v>200000</v>
      </c>
    </row>
    <row r="13" spans="1:57" ht="24">
      <c r="A13" s="107" t="s">
        <v>257</v>
      </c>
      <c r="B13" s="124">
        <f>+ROUND(B11*12,0)</f>
        <v>85410000</v>
      </c>
      <c r="C13" s="124">
        <f t="shared" ref="C13:BE13" si="0">+ROUND(C11*12,0)</f>
        <v>85410000</v>
      </c>
      <c r="D13" s="124">
        <f t="shared" si="0"/>
        <v>51246000</v>
      </c>
      <c r="E13" s="124">
        <f t="shared" si="0"/>
        <v>51246000</v>
      </c>
      <c r="F13" s="124">
        <f t="shared" si="0"/>
        <v>46121400</v>
      </c>
      <c r="G13" s="124">
        <f t="shared" si="0"/>
        <v>51246000</v>
      </c>
      <c r="H13" s="124">
        <f t="shared" si="0"/>
        <v>34164000</v>
      </c>
      <c r="I13" s="124">
        <f t="shared" si="0"/>
        <v>39288600</v>
      </c>
      <c r="J13" s="124">
        <f t="shared" si="0"/>
        <v>114449400</v>
      </c>
      <c r="K13" s="124">
        <f t="shared" si="0"/>
        <v>78577200</v>
      </c>
      <c r="L13" s="124">
        <f t="shared" si="0"/>
        <v>31601700</v>
      </c>
      <c r="M13" s="124">
        <f t="shared" si="0"/>
        <v>24768900</v>
      </c>
      <c r="N13" s="124">
        <f t="shared" si="0"/>
        <v>17082000</v>
      </c>
      <c r="O13" s="124">
        <f t="shared" si="0"/>
        <v>17082000</v>
      </c>
      <c r="P13" s="124">
        <f t="shared" si="0"/>
        <v>17082000</v>
      </c>
      <c r="Q13" s="124">
        <f t="shared" si="0"/>
        <v>81993600</v>
      </c>
      <c r="R13" s="124">
        <f t="shared" si="0"/>
        <v>40142700</v>
      </c>
      <c r="S13" s="124">
        <f t="shared" si="0"/>
        <v>23060700</v>
      </c>
      <c r="T13" s="124">
        <f t="shared" si="0"/>
        <v>16800000</v>
      </c>
      <c r="U13" s="124">
        <f t="shared" si="0"/>
        <v>39288600</v>
      </c>
      <c r="V13" s="124">
        <f t="shared" si="0"/>
        <v>46975500</v>
      </c>
      <c r="W13" s="124">
        <f t="shared" si="0"/>
        <v>22206600</v>
      </c>
      <c r="X13" s="124">
        <f t="shared" si="0"/>
        <v>34164000</v>
      </c>
      <c r="Y13" s="124">
        <f t="shared" si="0"/>
        <v>20498400</v>
      </c>
      <c r="Z13" s="124">
        <f t="shared" si="0"/>
        <v>34164000</v>
      </c>
      <c r="AA13" s="124">
        <f t="shared" si="0"/>
        <v>18790200</v>
      </c>
      <c r="AB13" s="124">
        <f t="shared" si="0"/>
        <v>34164000</v>
      </c>
      <c r="AC13" s="124">
        <f t="shared" si="0"/>
        <v>34164000</v>
      </c>
      <c r="AD13" s="124">
        <f t="shared" si="0"/>
        <v>34164000</v>
      </c>
      <c r="AE13" s="124">
        <f t="shared" si="0"/>
        <v>34164000</v>
      </c>
      <c r="AF13" s="124">
        <f t="shared" si="0"/>
        <v>22206600</v>
      </c>
      <c r="AG13" s="124">
        <f t="shared" si="0"/>
        <v>18790200</v>
      </c>
      <c r="AH13" s="124">
        <f t="shared" si="0"/>
        <v>22206600</v>
      </c>
      <c r="AI13" s="124">
        <f t="shared" si="0"/>
        <v>38434500</v>
      </c>
      <c r="AJ13" s="124">
        <f t="shared" si="0"/>
        <v>54662400</v>
      </c>
      <c r="AK13" s="124">
        <f t="shared" si="0"/>
        <v>17082000</v>
      </c>
      <c r="AL13" s="124">
        <f t="shared" si="0"/>
        <v>17082000</v>
      </c>
      <c r="AM13" s="124">
        <f t="shared" si="0"/>
        <v>17082000</v>
      </c>
      <c r="AN13" s="124">
        <f t="shared" si="0"/>
        <v>85410000</v>
      </c>
      <c r="AO13" s="124">
        <f t="shared" si="0"/>
        <v>39288600</v>
      </c>
      <c r="AP13" s="124">
        <f t="shared" si="0"/>
        <v>114449400</v>
      </c>
      <c r="AQ13" s="124">
        <f t="shared" si="0"/>
        <v>39288600</v>
      </c>
      <c r="AR13" s="124">
        <f t="shared" si="0"/>
        <v>102492000</v>
      </c>
      <c r="AS13" s="124">
        <f t="shared" si="0"/>
        <v>93951000</v>
      </c>
      <c r="AT13" s="124">
        <f t="shared" si="0"/>
        <v>102492000</v>
      </c>
      <c r="AU13" s="124">
        <f t="shared" si="0"/>
        <v>102492000</v>
      </c>
      <c r="AV13" s="124">
        <f t="shared" si="0"/>
        <v>93951000</v>
      </c>
      <c r="AW13" s="124">
        <f t="shared" si="0"/>
        <v>102492000</v>
      </c>
      <c r="AX13" s="124">
        <f t="shared" si="0"/>
        <v>102492000</v>
      </c>
      <c r="AY13" s="124">
        <f t="shared" si="0"/>
        <v>102492000</v>
      </c>
      <c r="AZ13" s="124">
        <f t="shared" si="0"/>
        <v>93951000</v>
      </c>
      <c r="BA13" s="124">
        <f t="shared" si="0"/>
        <v>93951000</v>
      </c>
      <c r="BB13" s="124">
        <f t="shared" si="0"/>
        <v>93951000</v>
      </c>
      <c r="BC13" s="124">
        <f t="shared" si="0"/>
        <v>34164000</v>
      </c>
      <c r="BD13" s="124">
        <f t="shared" si="0"/>
        <v>0</v>
      </c>
      <c r="BE13" s="124">
        <f t="shared" si="0"/>
        <v>0</v>
      </c>
    </row>
    <row r="14" spans="1:57" ht="24">
      <c r="A14" s="107" t="s">
        <v>258</v>
      </c>
      <c r="B14" s="124">
        <f>+ROUND(B12*12,0)</f>
        <v>0</v>
      </c>
      <c r="C14" s="124">
        <f t="shared" ref="C14:BE14" si="1">+ROUND(C12*12,0)</f>
        <v>0</v>
      </c>
      <c r="D14" s="124">
        <f t="shared" si="1"/>
        <v>0</v>
      </c>
      <c r="E14" s="124">
        <f t="shared" si="1"/>
        <v>0</v>
      </c>
      <c r="F14" s="124">
        <f t="shared" si="1"/>
        <v>0</v>
      </c>
      <c r="G14" s="124">
        <f t="shared" si="1"/>
        <v>0</v>
      </c>
      <c r="H14" s="124">
        <f t="shared" si="1"/>
        <v>2400000</v>
      </c>
      <c r="I14" s="124">
        <f t="shared" si="1"/>
        <v>0</v>
      </c>
      <c r="J14" s="124">
        <f t="shared" si="1"/>
        <v>0</v>
      </c>
      <c r="K14" s="124">
        <f t="shared" si="1"/>
        <v>0</v>
      </c>
      <c r="L14" s="124">
        <f t="shared" si="1"/>
        <v>2400000</v>
      </c>
      <c r="M14" s="124">
        <f t="shared" si="1"/>
        <v>2400000</v>
      </c>
      <c r="N14" s="124">
        <f t="shared" si="1"/>
        <v>2400000</v>
      </c>
      <c r="O14" s="124">
        <f t="shared" si="1"/>
        <v>2400000</v>
      </c>
      <c r="P14" s="124">
        <f t="shared" si="1"/>
        <v>2400000</v>
      </c>
      <c r="Q14" s="124">
        <f t="shared" si="1"/>
        <v>0</v>
      </c>
      <c r="R14" s="124">
        <f t="shared" si="1"/>
        <v>0</v>
      </c>
      <c r="S14" s="124">
        <f t="shared" si="1"/>
        <v>2400000</v>
      </c>
      <c r="T14" s="124">
        <f t="shared" si="1"/>
        <v>0</v>
      </c>
      <c r="U14" s="124">
        <f t="shared" si="1"/>
        <v>0</v>
      </c>
      <c r="V14" s="124">
        <f t="shared" si="1"/>
        <v>0</v>
      </c>
      <c r="W14" s="124">
        <f t="shared" si="1"/>
        <v>2400000</v>
      </c>
      <c r="X14" s="124">
        <f t="shared" si="1"/>
        <v>2400000</v>
      </c>
      <c r="Y14" s="124">
        <f t="shared" si="1"/>
        <v>2400000</v>
      </c>
      <c r="Z14" s="124">
        <f t="shared" si="1"/>
        <v>2400000</v>
      </c>
      <c r="AA14" s="124">
        <f t="shared" si="1"/>
        <v>2400000</v>
      </c>
      <c r="AB14" s="124">
        <f t="shared" si="1"/>
        <v>2400000</v>
      </c>
      <c r="AC14" s="124">
        <f t="shared" si="1"/>
        <v>2400000</v>
      </c>
      <c r="AD14" s="124">
        <f t="shared" si="1"/>
        <v>2400000</v>
      </c>
      <c r="AE14" s="124">
        <f t="shared" si="1"/>
        <v>2400000</v>
      </c>
      <c r="AF14" s="124">
        <f t="shared" si="1"/>
        <v>2400000</v>
      </c>
      <c r="AG14" s="124">
        <f t="shared" si="1"/>
        <v>2400000</v>
      </c>
      <c r="AH14" s="124">
        <f t="shared" si="1"/>
        <v>2400000</v>
      </c>
      <c r="AI14" s="124">
        <f t="shared" si="1"/>
        <v>0</v>
      </c>
      <c r="AJ14" s="124">
        <f t="shared" si="1"/>
        <v>0</v>
      </c>
      <c r="AK14" s="124">
        <f t="shared" si="1"/>
        <v>2400000</v>
      </c>
      <c r="AL14" s="124">
        <f t="shared" si="1"/>
        <v>2400000</v>
      </c>
      <c r="AM14" s="124">
        <f t="shared" si="1"/>
        <v>2400000</v>
      </c>
      <c r="AN14" s="124">
        <f t="shared" si="1"/>
        <v>0</v>
      </c>
      <c r="AO14" s="124">
        <f t="shared" si="1"/>
        <v>0</v>
      </c>
      <c r="AP14" s="124">
        <f t="shared" si="1"/>
        <v>0</v>
      </c>
      <c r="AQ14" s="124">
        <f t="shared" si="1"/>
        <v>0</v>
      </c>
      <c r="AR14" s="124">
        <f t="shared" si="1"/>
        <v>0</v>
      </c>
      <c r="AS14" s="124">
        <f t="shared" si="1"/>
        <v>0</v>
      </c>
      <c r="AT14" s="124">
        <f t="shared" si="1"/>
        <v>0</v>
      </c>
      <c r="AU14" s="124">
        <f t="shared" si="1"/>
        <v>0</v>
      </c>
      <c r="AV14" s="124">
        <f t="shared" si="1"/>
        <v>0</v>
      </c>
      <c r="AW14" s="124">
        <f t="shared" si="1"/>
        <v>0</v>
      </c>
      <c r="AX14" s="124">
        <f t="shared" si="1"/>
        <v>0</v>
      </c>
      <c r="AY14" s="124">
        <f t="shared" si="1"/>
        <v>0</v>
      </c>
      <c r="AZ14" s="124">
        <f t="shared" si="1"/>
        <v>0</v>
      </c>
      <c r="BA14" s="124">
        <f t="shared" si="1"/>
        <v>0</v>
      </c>
      <c r="BB14" s="124">
        <f t="shared" si="1"/>
        <v>0</v>
      </c>
      <c r="BC14" s="124">
        <f t="shared" si="1"/>
        <v>2400000</v>
      </c>
      <c r="BD14" s="124">
        <f t="shared" si="1"/>
        <v>2400000</v>
      </c>
      <c r="BE14" s="124">
        <f t="shared" si="1"/>
        <v>2400000</v>
      </c>
    </row>
    <row r="15" spans="1:57" ht="24">
      <c r="A15" s="107" t="s">
        <v>381</v>
      </c>
      <c r="B15" s="124">
        <f>ROUND((B13+B14)*0.12,0)</f>
        <v>10249200</v>
      </c>
      <c r="C15" s="124">
        <f t="shared" ref="C15:BE15" si="2">ROUND((C13+C14)*0.12,0)</f>
        <v>10249200</v>
      </c>
      <c r="D15" s="124">
        <f t="shared" si="2"/>
        <v>6149520</v>
      </c>
      <c r="E15" s="124">
        <f t="shared" si="2"/>
        <v>6149520</v>
      </c>
      <c r="F15" s="124">
        <f t="shared" si="2"/>
        <v>5534568</v>
      </c>
      <c r="G15" s="124">
        <f t="shared" si="2"/>
        <v>6149520</v>
      </c>
      <c r="H15" s="124">
        <f t="shared" si="2"/>
        <v>4387680</v>
      </c>
      <c r="I15" s="124">
        <f t="shared" si="2"/>
        <v>4714632</v>
      </c>
      <c r="J15" s="124">
        <f t="shared" si="2"/>
        <v>13733928</v>
      </c>
      <c r="K15" s="124">
        <f t="shared" si="2"/>
        <v>9429264</v>
      </c>
      <c r="L15" s="124">
        <f t="shared" si="2"/>
        <v>4080204</v>
      </c>
      <c r="M15" s="124">
        <f t="shared" si="2"/>
        <v>3260268</v>
      </c>
      <c r="N15" s="124">
        <f t="shared" si="2"/>
        <v>2337840</v>
      </c>
      <c r="O15" s="124">
        <f t="shared" si="2"/>
        <v>2337840</v>
      </c>
      <c r="P15" s="124">
        <f t="shared" si="2"/>
        <v>2337840</v>
      </c>
      <c r="Q15" s="124">
        <f t="shared" si="2"/>
        <v>9839232</v>
      </c>
      <c r="R15" s="124">
        <f t="shared" si="2"/>
        <v>4817124</v>
      </c>
      <c r="S15" s="124">
        <f t="shared" si="2"/>
        <v>3055284</v>
      </c>
      <c r="T15" s="124">
        <f t="shared" si="2"/>
        <v>2016000</v>
      </c>
      <c r="U15" s="124">
        <f t="shared" si="2"/>
        <v>4714632</v>
      </c>
      <c r="V15" s="124">
        <f t="shared" si="2"/>
        <v>5637060</v>
      </c>
      <c r="W15" s="124">
        <f t="shared" si="2"/>
        <v>2952792</v>
      </c>
      <c r="X15" s="124">
        <f t="shared" si="2"/>
        <v>4387680</v>
      </c>
      <c r="Y15" s="124">
        <f t="shared" si="2"/>
        <v>2747808</v>
      </c>
      <c r="Z15" s="124">
        <f t="shared" si="2"/>
        <v>4387680</v>
      </c>
      <c r="AA15" s="124">
        <f t="shared" si="2"/>
        <v>2542824</v>
      </c>
      <c r="AB15" s="124">
        <f t="shared" si="2"/>
        <v>4387680</v>
      </c>
      <c r="AC15" s="124">
        <f t="shared" si="2"/>
        <v>4387680</v>
      </c>
      <c r="AD15" s="124">
        <f t="shared" si="2"/>
        <v>4387680</v>
      </c>
      <c r="AE15" s="124">
        <f t="shared" si="2"/>
        <v>4387680</v>
      </c>
      <c r="AF15" s="124">
        <f t="shared" si="2"/>
        <v>2952792</v>
      </c>
      <c r="AG15" s="124">
        <f t="shared" si="2"/>
        <v>2542824</v>
      </c>
      <c r="AH15" s="124">
        <f t="shared" si="2"/>
        <v>2952792</v>
      </c>
      <c r="AI15" s="124">
        <f t="shared" si="2"/>
        <v>4612140</v>
      </c>
      <c r="AJ15" s="124">
        <f t="shared" si="2"/>
        <v>6559488</v>
      </c>
      <c r="AK15" s="124">
        <f t="shared" si="2"/>
        <v>2337840</v>
      </c>
      <c r="AL15" s="124">
        <f t="shared" si="2"/>
        <v>2337840</v>
      </c>
      <c r="AM15" s="124">
        <f t="shared" si="2"/>
        <v>2337840</v>
      </c>
      <c r="AN15" s="124">
        <f t="shared" si="2"/>
        <v>10249200</v>
      </c>
      <c r="AO15" s="124">
        <f t="shared" si="2"/>
        <v>4714632</v>
      </c>
      <c r="AP15" s="124">
        <f t="shared" si="2"/>
        <v>13733928</v>
      </c>
      <c r="AQ15" s="124">
        <f t="shared" si="2"/>
        <v>4714632</v>
      </c>
      <c r="AR15" s="124">
        <f t="shared" si="2"/>
        <v>12299040</v>
      </c>
      <c r="AS15" s="124">
        <f t="shared" si="2"/>
        <v>11274120</v>
      </c>
      <c r="AT15" s="124">
        <f t="shared" si="2"/>
        <v>12299040</v>
      </c>
      <c r="AU15" s="124">
        <f t="shared" si="2"/>
        <v>12299040</v>
      </c>
      <c r="AV15" s="124">
        <f t="shared" si="2"/>
        <v>11274120</v>
      </c>
      <c r="AW15" s="124">
        <f t="shared" si="2"/>
        <v>12299040</v>
      </c>
      <c r="AX15" s="124">
        <f t="shared" si="2"/>
        <v>12299040</v>
      </c>
      <c r="AY15" s="124">
        <f t="shared" si="2"/>
        <v>12299040</v>
      </c>
      <c r="AZ15" s="124">
        <f t="shared" si="2"/>
        <v>11274120</v>
      </c>
      <c r="BA15" s="124">
        <f t="shared" si="2"/>
        <v>11274120</v>
      </c>
      <c r="BB15" s="124">
        <f t="shared" si="2"/>
        <v>11274120</v>
      </c>
      <c r="BC15" s="124">
        <f t="shared" si="2"/>
        <v>4387680</v>
      </c>
      <c r="BD15" s="124">
        <f t="shared" si="2"/>
        <v>288000</v>
      </c>
      <c r="BE15" s="124">
        <f t="shared" si="2"/>
        <v>288000</v>
      </c>
    </row>
    <row r="16" spans="1:57" ht="24">
      <c r="A16" s="107" t="s">
        <v>259</v>
      </c>
      <c r="B16" s="124">
        <f>ROUND(B15*0.12,0)</f>
        <v>1229904</v>
      </c>
      <c r="C16" s="124">
        <f t="shared" ref="C16:BE16" si="3">ROUND(C15*0.12,0)</f>
        <v>1229904</v>
      </c>
      <c r="D16" s="124">
        <f t="shared" si="3"/>
        <v>737942</v>
      </c>
      <c r="E16" s="124">
        <f t="shared" si="3"/>
        <v>737942</v>
      </c>
      <c r="F16" s="124">
        <f t="shared" si="3"/>
        <v>664148</v>
      </c>
      <c r="G16" s="124">
        <f t="shared" si="3"/>
        <v>737942</v>
      </c>
      <c r="H16" s="124">
        <f t="shared" si="3"/>
        <v>526522</v>
      </c>
      <c r="I16" s="124">
        <f t="shared" si="3"/>
        <v>565756</v>
      </c>
      <c r="J16" s="124">
        <f t="shared" si="3"/>
        <v>1648071</v>
      </c>
      <c r="K16" s="124">
        <f t="shared" si="3"/>
        <v>1131512</v>
      </c>
      <c r="L16" s="124">
        <f t="shared" si="3"/>
        <v>489624</v>
      </c>
      <c r="M16" s="124">
        <f t="shared" si="3"/>
        <v>391232</v>
      </c>
      <c r="N16" s="124">
        <f t="shared" si="3"/>
        <v>280541</v>
      </c>
      <c r="O16" s="124">
        <f t="shared" si="3"/>
        <v>280541</v>
      </c>
      <c r="P16" s="124">
        <f t="shared" si="3"/>
        <v>280541</v>
      </c>
      <c r="Q16" s="124">
        <f t="shared" si="3"/>
        <v>1180708</v>
      </c>
      <c r="R16" s="124">
        <f t="shared" si="3"/>
        <v>578055</v>
      </c>
      <c r="S16" s="124">
        <f t="shared" si="3"/>
        <v>366634</v>
      </c>
      <c r="T16" s="124">
        <f t="shared" si="3"/>
        <v>241920</v>
      </c>
      <c r="U16" s="124">
        <f t="shared" si="3"/>
        <v>565756</v>
      </c>
      <c r="V16" s="124">
        <f t="shared" si="3"/>
        <v>676447</v>
      </c>
      <c r="W16" s="124">
        <f t="shared" si="3"/>
        <v>354335</v>
      </c>
      <c r="X16" s="124">
        <f t="shared" si="3"/>
        <v>526522</v>
      </c>
      <c r="Y16" s="124">
        <f t="shared" si="3"/>
        <v>329737</v>
      </c>
      <c r="Z16" s="124">
        <f t="shared" si="3"/>
        <v>526522</v>
      </c>
      <c r="AA16" s="124">
        <f t="shared" si="3"/>
        <v>305139</v>
      </c>
      <c r="AB16" s="124">
        <f t="shared" si="3"/>
        <v>526522</v>
      </c>
      <c r="AC16" s="124">
        <f t="shared" si="3"/>
        <v>526522</v>
      </c>
      <c r="AD16" s="124">
        <f t="shared" si="3"/>
        <v>526522</v>
      </c>
      <c r="AE16" s="124">
        <f t="shared" si="3"/>
        <v>526522</v>
      </c>
      <c r="AF16" s="124">
        <f t="shared" si="3"/>
        <v>354335</v>
      </c>
      <c r="AG16" s="124">
        <f t="shared" si="3"/>
        <v>305139</v>
      </c>
      <c r="AH16" s="124">
        <f t="shared" si="3"/>
        <v>354335</v>
      </c>
      <c r="AI16" s="124">
        <f t="shared" si="3"/>
        <v>553457</v>
      </c>
      <c r="AJ16" s="124">
        <f t="shared" si="3"/>
        <v>787139</v>
      </c>
      <c r="AK16" s="124">
        <f t="shared" si="3"/>
        <v>280541</v>
      </c>
      <c r="AL16" s="124">
        <f t="shared" si="3"/>
        <v>280541</v>
      </c>
      <c r="AM16" s="124">
        <f t="shared" si="3"/>
        <v>280541</v>
      </c>
      <c r="AN16" s="124">
        <f t="shared" si="3"/>
        <v>1229904</v>
      </c>
      <c r="AO16" s="124">
        <f t="shared" si="3"/>
        <v>565756</v>
      </c>
      <c r="AP16" s="124">
        <f t="shared" si="3"/>
        <v>1648071</v>
      </c>
      <c r="AQ16" s="124">
        <f t="shared" si="3"/>
        <v>565756</v>
      </c>
      <c r="AR16" s="124">
        <f t="shared" si="3"/>
        <v>1475885</v>
      </c>
      <c r="AS16" s="124">
        <f t="shared" si="3"/>
        <v>1352894</v>
      </c>
      <c r="AT16" s="124">
        <f t="shared" si="3"/>
        <v>1475885</v>
      </c>
      <c r="AU16" s="124">
        <f t="shared" si="3"/>
        <v>1475885</v>
      </c>
      <c r="AV16" s="124">
        <f t="shared" si="3"/>
        <v>1352894</v>
      </c>
      <c r="AW16" s="124">
        <f t="shared" si="3"/>
        <v>1475885</v>
      </c>
      <c r="AX16" s="124">
        <f t="shared" si="3"/>
        <v>1475885</v>
      </c>
      <c r="AY16" s="124">
        <f t="shared" si="3"/>
        <v>1475885</v>
      </c>
      <c r="AZ16" s="124">
        <f t="shared" si="3"/>
        <v>1352894</v>
      </c>
      <c r="BA16" s="124">
        <f t="shared" si="3"/>
        <v>1352894</v>
      </c>
      <c r="BB16" s="124">
        <f t="shared" si="3"/>
        <v>1352894</v>
      </c>
      <c r="BC16" s="124">
        <f t="shared" si="3"/>
        <v>526522</v>
      </c>
      <c r="BD16" s="124">
        <f t="shared" si="3"/>
        <v>34560</v>
      </c>
      <c r="BE16" s="124">
        <f t="shared" si="3"/>
        <v>34560</v>
      </c>
    </row>
    <row r="17" spans="1:57" ht="24">
      <c r="A17" s="107" t="s">
        <v>260</v>
      </c>
      <c r="B17" s="124">
        <f>ROUND((B11+B12)/2,0)</f>
        <v>3558750</v>
      </c>
      <c r="C17" s="124">
        <f t="shared" ref="C17:BE17" si="4">ROUND((C11+C12)/2,0)</f>
        <v>3558750</v>
      </c>
      <c r="D17" s="124">
        <f t="shared" si="4"/>
        <v>2135250</v>
      </c>
      <c r="E17" s="124">
        <f t="shared" si="4"/>
        <v>2135250</v>
      </c>
      <c r="F17" s="124">
        <f t="shared" si="4"/>
        <v>1921725</v>
      </c>
      <c r="G17" s="124">
        <f t="shared" si="4"/>
        <v>2135250</v>
      </c>
      <c r="H17" s="124">
        <f t="shared" si="4"/>
        <v>1523500</v>
      </c>
      <c r="I17" s="124">
        <f t="shared" si="4"/>
        <v>1637025</v>
      </c>
      <c r="J17" s="124">
        <f t="shared" si="4"/>
        <v>4768725</v>
      </c>
      <c r="K17" s="124">
        <f t="shared" si="4"/>
        <v>3274050</v>
      </c>
      <c r="L17" s="124">
        <f t="shared" si="4"/>
        <v>1416738</v>
      </c>
      <c r="M17" s="124">
        <f t="shared" si="4"/>
        <v>1132038</v>
      </c>
      <c r="N17" s="124">
        <f t="shared" si="4"/>
        <v>811750</v>
      </c>
      <c r="O17" s="124">
        <f t="shared" si="4"/>
        <v>811750</v>
      </c>
      <c r="P17" s="124">
        <f t="shared" si="4"/>
        <v>811750</v>
      </c>
      <c r="Q17" s="124">
        <f t="shared" si="4"/>
        <v>3416400</v>
      </c>
      <c r="R17" s="124">
        <f t="shared" si="4"/>
        <v>1672613</v>
      </c>
      <c r="S17" s="124">
        <f t="shared" si="4"/>
        <v>1060863</v>
      </c>
      <c r="T17" s="124">
        <f t="shared" si="4"/>
        <v>700000</v>
      </c>
      <c r="U17" s="124">
        <f t="shared" si="4"/>
        <v>1637025</v>
      </c>
      <c r="V17" s="124">
        <f t="shared" si="4"/>
        <v>1957313</v>
      </c>
      <c r="W17" s="124">
        <f t="shared" si="4"/>
        <v>1025275</v>
      </c>
      <c r="X17" s="124">
        <f t="shared" si="4"/>
        <v>1523500</v>
      </c>
      <c r="Y17" s="124">
        <f t="shared" si="4"/>
        <v>954100</v>
      </c>
      <c r="Z17" s="124">
        <f t="shared" si="4"/>
        <v>1523500</v>
      </c>
      <c r="AA17" s="124">
        <f t="shared" si="4"/>
        <v>882925</v>
      </c>
      <c r="AB17" s="124">
        <f t="shared" si="4"/>
        <v>1523500</v>
      </c>
      <c r="AC17" s="124">
        <f t="shared" si="4"/>
        <v>1523500</v>
      </c>
      <c r="AD17" s="124">
        <f t="shared" si="4"/>
        <v>1523500</v>
      </c>
      <c r="AE17" s="124">
        <f t="shared" si="4"/>
        <v>1523500</v>
      </c>
      <c r="AF17" s="124">
        <f t="shared" si="4"/>
        <v>1025275</v>
      </c>
      <c r="AG17" s="124">
        <f t="shared" si="4"/>
        <v>882925</v>
      </c>
      <c r="AH17" s="124">
        <f t="shared" si="4"/>
        <v>1025275</v>
      </c>
      <c r="AI17" s="124">
        <f t="shared" si="4"/>
        <v>1601438</v>
      </c>
      <c r="AJ17" s="124">
        <f t="shared" si="4"/>
        <v>2277600</v>
      </c>
      <c r="AK17" s="124">
        <f t="shared" si="4"/>
        <v>811750</v>
      </c>
      <c r="AL17" s="124">
        <f t="shared" si="4"/>
        <v>811750</v>
      </c>
      <c r="AM17" s="124">
        <f t="shared" si="4"/>
        <v>811750</v>
      </c>
      <c r="AN17" s="124">
        <f t="shared" si="4"/>
        <v>3558750</v>
      </c>
      <c r="AO17" s="124">
        <f t="shared" si="4"/>
        <v>1637025</v>
      </c>
      <c r="AP17" s="124">
        <f t="shared" si="4"/>
        <v>4768725</v>
      </c>
      <c r="AQ17" s="124">
        <f t="shared" si="4"/>
        <v>1637025</v>
      </c>
      <c r="AR17" s="124">
        <f t="shared" si="4"/>
        <v>4270500</v>
      </c>
      <c r="AS17" s="124">
        <f t="shared" si="4"/>
        <v>3914625</v>
      </c>
      <c r="AT17" s="124">
        <f t="shared" si="4"/>
        <v>4270500</v>
      </c>
      <c r="AU17" s="124">
        <f t="shared" si="4"/>
        <v>4270500</v>
      </c>
      <c r="AV17" s="124">
        <f t="shared" si="4"/>
        <v>3914625</v>
      </c>
      <c r="AW17" s="124">
        <f t="shared" si="4"/>
        <v>4270500</v>
      </c>
      <c r="AX17" s="124">
        <f t="shared" si="4"/>
        <v>4270500</v>
      </c>
      <c r="AY17" s="124">
        <f t="shared" si="4"/>
        <v>4270500</v>
      </c>
      <c r="AZ17" s="124">
        <f t="shared" si="4"/>
        <v>3914625</v>
      </c>
      <c r="BA17" s="124">
        <f t="shared" si="4"/>
        <v>3914625</v>
      </c>
      <c r="BB17" s="124">
        <f t="shared" si="4"/>
        <v>3914625</v>
      </c>
      <c r="BC17" s="124">
        <f t="shared" si="4"/>
        <v>1523500</v>
      </c>
      <c r="BD17" s="124">
        <f t="shared" si="4"/>
        <v>100000</v>
      </c>
      <c r="BE17" s="124">
        <f t="shared" si="4"/>
        <v>100000</v>
      </c>
    </row>
    <row r="18" spans="1:57" ht="24">
      <c r="A18" s="107" t="s">
        <v>261</v>
      </c>
      <c r="B18" s="124">
        <f>B11+B12</f>
        <v>7117500</v>
      </c>
      <c r="C18" s="124">
        <f t="shared" ref="C18:BE18" si="5">C11+C12</f>
        <v>7117500</v>
      </c>
      <c r="D18" s="124">
        <f t="shared" si="5"/>
        <v>4270500</v>
      </c>
      <c r="E18" s="124">
        <f t="shared" si="5"/>
        <v>4270500</v>
      </c>
      <c r="F18" s="124">
        <f t="shared" si="5"/>
        <v>3843450</v>
      </c>
      <c r="G18" s="124">
        <f t="shared" si="5"/>
        <v>4270500</v>
      </c>
      <c r="H18" s="124">
        <f t="shared" si="5"/>
        <v>3047000</v>
      </c>
      <c r="I18" s="124">
        <f t="shared" si="5"/>
        <v>3274050</v>
      </c>
      <c r="J18" s="124">
        <f t="shared" si="5"/>
        <v>9537450</v>
      </c>
      <c r="K18" s="124">
        <f t="shared" si="5"/>
        <v>6548100</v>
      </c>
      <c r="L18" s="124">
        <f t="shared" si="5"/>
        <v>2833475</v>
      </c>
      <c r="M18" s="124">
        <f t="shared" si="5"/>
        <v>2264075</v>
      </c>
      <c r="N18" s="124">
        <f t="shared" si="5"/>
        <v>1623500</v>
      </c>
      <c r="O18" s="124">
        <f t="shared" si="5"/>
        <v>1623500</v>
      </c>
      <c r="P18" s="124">
        <f t="shared" si="5"/>
        <v>1623500</v>
      </c>
      <c r="Q18" s="124">
        <f t="shared" si="5"/>
        <v>6832800</v>
      </c>
      <c r="R18" s="124">
        <f t="shared" si="5"/>
        <v>3345225</v>
      </c>
      <c r="S18" s="124">
        <f t="shared" si="5"/>
        <v>2121725</v>
      </c>
      <c r="T18" s="124">
        <f t="shared" si="5"/>
        <v>1400000</v>
      </c>
      <c r="U18" s="124">
        <f t="shared" si="5"/>
        <v>3274050</v>
      </c>
      <c r="V18" s="124">
        <f t="shared" si="5"/>
        <v>3914625</v>
      </c>
      <c r="W18" s="124">
        <f t="shared" si="5"/>
        <v>2050550</v>
      </c>
      <c r="X18" s="124">
        <f t="shared" si="5"/>
        <v>3047000</v>
      </c>
      <c r="Y18" s="124">
        <f t="shared" si="5"/>
        <v>1908200</v>
      </c>
      <c r="Z18" s="124">
        <f t="shared" si="5"/>
        <v>3047000</v>
      </c>
      <c r="AA18" s="124">
        <f t="shared" si="5"/>
        <v>1765850</v>
      </c>
      <c r="AB18" s="124">
        <f t="shared" si="5"/>
        <v>3047000</v>
      </c>
      <c r="AC18" s="124">
        <f t="shared" si="5"/>
        <v>3047000</v>
      </c>
      <c r="AD18" s="124">
        <f t="shared" si="5"/>
        <v>3047000</v>
      </c>
      <c r="AE18" s="124">
        <f t="shared" si="5"/>
        <v>3047000</v>
      </c>
      <c r="AF18" s="124">
        <f t="shared" si="5"/>
        <v>2050550</v>
      </c>
      <c r="AG18" s="124">
        <f t="shared" si="5"/>
        <v>1765850</v>
      </c>
      <c r="AH18" s="124">
        <f t="shared" si="5"/>
        <v>2050550</v>
      </c>
      <c r="AI18" s="124">
        <f t="shared" si="5"/>
        <v>3202875</v>
      </c>
      <c r="AJ18" s="124">
        <f t="shared" si="5"/>
        <v>4555200</v>
      </c>
      <c r="AK18" s="124">
        <f t="shared" si="5"/>
        <v>1623500</v>
      </c>
      <c r="AL18" s="124">
        <f t="shared" si="5"/>
        <v>1623500</v>
      </c>
      <c r="AM18" s="124">
        <f t="shared" si="5"/>
        <v>1623500</v>
      </c>
      <c r="AN18" s="124">
        <f t="shared" si="5"/>
        <v>7117500</v>
      </c>
      <c r="AO18" s="124">
        <f t="shared" si="5"/>
        <v>3274050</v>
      </c>
      <c r="AP18" s="124">
        <f t="shared" si="5"/>
        <v>9537450</v>
      </c>
      <c r="AQ18" s="124">
        <f t="shared" si="5"/>
        <v>3274050</v>
      </c>
      <c r="AR18" s="124">
        <f t="shared" si="5"/>
        <v>8541000</v>
      </c>
      <c r="AS18" s="124">
        <f t="shared" si="5"/>
        <v>7829250</v>
      </c>
      <c r="AT18" s="124">
        <f t="shared" si="5"/>
        <v>8541000</v>
      </c>
      <c r="AU18" s="124">
        <f t="shared" si="5"/>
        <v>8541000</v>
      </c>
      <c r="AV18" s="124">
        <f t="shared" si="5"/>
        <v>7829250</v>
      </c>
      <c r="AW18" s="124">
        <f t="shared" si="5"/>
        <v>8541000</v>
      </c>
      <c r="AX18" s="124">
        <f t="shared" si="5"/>
        <v>8541000</v>
      </c>
      <c r="AY18" s="124">
        <f t="shared" si="5"/>
        <v>8541000</v>
      </c>
      <c r="AZ18" s="124">
        <f t="shared" si="5"/>
        <v>7829250</v>
      </c>
      <c r="BA18" s="124">
        <f t="shared" si="5"/>
        <v>7829250</v>
      </c>
      <c r="BB18" s="124">
        <f t="shared" si="5"/>
        <v>7829250</v>
      </c>
      <c r="BC18" s="124">
        <f t="shared" si="5"/>
        <v>3047000</v>
      </c>
      <c r="BD18" s="124">
        <f t="shared" si="5"/>
        <v>200000</v>
      </c>
      <c r="BE18" s="124">
        <f t="shared" si="5"/>
        <v>200000</v>
      </c>
    </row>
    <row r="19" spans="1:57" ht="36">
      <c r="A19" s="107" t="s">
        <v>262</v>
      </c>
      <c r="B19" s="124">
        <f>ROUND(('DATOS INICIALES'!$B$12*12)/40,0)</f>
        <v>427050</v>
      </c>
      <c r="C19" s="124">
        <f>ROUND(('DATOS INICIALES'!$B$12*12)/40,0)</f>
        <v>427050</v>
      </c>
      <c r="D19" s="124">
        <f>ROUND(('DATOS INICIALES'!$B$12*12)/40,0)</f>
        <v>427050</v>
      </c>
      <c r="E19" s="124">
        <f>ROUND(('DATOS INICIALES'!$B$12*12)/40,0)</f>
        <v>427050</v>
      </c>
      <c r="F19" s="124">
        <f>ROUND(('DATOS INICIALES'!$B$12*12)/40,0)</f>
        <v>427050</v>
      </c>
      <c r="G19" s="124">
        <f>ROUND(('DATOS INICIALES'!$B$12*12)/40,0)</f>
        <v>427050</v>
      </c>
      <c r="H19" s="124">
        <f>ROUND(('DATOS INICIALES'!$B$12*12)/40,0)</f>
        <v>427050</v>
      </c>
      <c r="I19" s="124">
        <f>ROUND(('DATOS INICIALES'!$B$12*12)/40,0)</f>
        <v>427050</v>
      </c>
      <c r="J19" s="124">
        <f>ROUND(('DATOS INICIALES'!$B$12*12)/40,0)</f>
        <v>427050</v>
      </c>
      <c r="K19" s="124">
        <f>ROUND(('DATOS INICIALES'!$B$12*12)/40,0)</f>
        <v>427050</v>
      </c>
      <c r="L19" s="124">
        <f>ROUND(('DATOS INICIALES'!$B$12*12)/40,0)</f>
        <v>427050</v>
      </c>
      <c r="M19" s="124">
        <f>ROUND(('DATOS INICIALES'!$B$12*12)/40,0)</f>
        <v>427050</v>
      </c>
      <c r="N19" s="124">
        <f>ROUND(('DATOS INICIALES'!$B$12*12)/40,0)</f>
        <v>427050</v>
      </c>
      <c r="O19" s="124">
        <f>ROUND(('DATOS INICIALES'!$B$12*12)/40,0)</f>
        <v>427050</v>
      </c>
      <c r="P19" s="124">
        <f>ROUND(('DATOS INICIALES'!$B$12*12)/40,0)</f>
        <v>427050</v>
      </c>
      <c r="Q19" s="124">
        <f>ROUND(('DATOS INICIALES'!$B$12*12)/40,0)</f>
        <v>427050</v>
      </c>
      <c r="R19" s="124">
        <f>ROUND(('DATOS INICIALES'!$B$12*12)/40,0)</f>
        <v>427050</v>
      </c>
      <c r="S19" s="124">
        <f>ROUND(('DATOS INICIALES'!$B$12*12)/40,0)</f>
        <v>427050</v>
      </c>
      <c r="T19" s="124">
        <f>ROUND(('DATOS INICIALES'!$B$12*12)/40,0)</f>
        <v>427050</v>
      </c>
      <c r="U19" s="124">
        <f>ROUND(('DATOS INICIALES'!$B$12*12)/40,0)</f>
        <v>427050</v>
      </c>
      <c r="V19" s="124">
        <f>ROUND(('DATOS INICIALES'!$B$12*12)/40,0)</f>
        <v>427050</v>
      </c>
      <c r="W19" s="124">
        <f>ROUND(('DATOS INICIALES'!$B$12*12)/40,0)</f>
        <v>427050</v>
      </c>
      <c r="X19" s="124">
        <f>ROUND(('DATOS INICIALES'!$B$12*12)/40,0)</f>
        <v>427050</v>
      </c>
      <c r="Y19" s="124">
        <f>ROUND(('DATOS INICIALES'!$B$12*12)/40,0)</f>
        <v>427050</v>
      </c>
      <c r="Z19" s="124">
        <f>ROUND(('DATOS INICIALES'!$B$12*12)/40,0)</f>
        <v>427050</v>
      </c>
      <c r="AA19" s="124">
        <f>ROUND(('DATOS INICIALES'!$B$12*12)/40,0)</f>
        <v>427050</v>
      </c>
      <c r="AB19" s="124">
        <f>ROUND(('DATOS INICIALES'!$B$12*12)/40,0)</f>
        <v>427050</v>
      </c>
      <c r="AC19" s="124">
        <f>ROUND(('DATOS INICIALES'!$B$12*12)/40,0)</f>
        <v>427050</v>
      </c>
      <c r="AD19" s="124">
        <f>ROUND(('DATOS INICIALES'!$B$12*12)/40,0)</f>
        <v>427050</v>
      </c>
      <c r="AE19" s="124">
        <f>ROUND(('DATOS INICIALES'!$B$12*12)/40,0)</f>
        <v>427050</v>
      </c>
      <c r="AF19" s="124">
        <f>ROUND(('DATOS INICIALES'!$B$12*12)/40,0)</f>
        <v>427050</v>
      </c>
      <c r="AG19" s="124">
        <f>ROUND(('DATOS INICIALES'!$B$12*12)/40,0)</f>
        <v>427050</v>
      </c>
      <c r="AH19" s="124">
        <f>ROUND(('DATOS INICIALES'!$B$12*12)/40,0)</f>
        <v>427050</v>
      </c>
      <c r="AI19" s="124">
        <f>ROUND(('DATOS INICIALES'!$B$12*12)/40,0)</f>
        <v>427050</v>
      </c>
      <c r="AJ19" s="124">
        <f>ROUND(('DATOS INICIALES'!$B$12*12)/40,0)</f>
        <v>427050</v>
      </c>
      <c r="AK19" s="124">
        <f>ROUND(('DATOS INICIALES'!$B$12*12)/40,0)</f>
        <v>427050</v>
      </c>
      <c r="AL19" s="124">
        <f>ROUND(('DATOS INICIALES'!$B$12*12)/40,0)</f>
        <v>427050</v>
      </c>
      <c r="AM19" s="124">
        <f>ROUND(('DATOS INICIALES'!$B$12*12)/40,0)</f>
        <v>427050</v>
      </c>
      <c r="AN19" s="124">
        <f>ROUND(('DATOS INICIALES'!$B$12*12)/40,0)</f>
        <v>427050</v>
      </c>
      <c r="AO19" s="124">
        <f>ROUND(('DATOS INICIALES'!$B$12*12)/40,0)</f>
        <v>427050</v>
      </c>
      <c r="AP19" s="124">
        <f>ROUND(('DATOS INICIALES'!$B$12*12)/40,0)</f>
        <v>427050</v>
      </c>
      <c r="AQ19" s="124">
        <f>ROUND(('DATOS INICIALES'!$B$12*12)/40,0)</f>
        <v>427050</v>
      </c>
      <c r="AR19" s="124">
        <f>ROUND(('DATOS INICIALES'!$B$12*12)/40,0)</f>
        <v>427050</v>
      </c>
      <c r="AS19" s="124">
        <f>ROUND(('DATOS INICIALES'!$B$12*12)/40,0)</f>
        <v>427050</v>
      </c>
      <c r="AT19" s="124">
        <f>ROUND(('DATOS INICIALES'!$B$12*12)/40,0)</f>
        <v>427050</v>
      </c>
      <c r="AU19" s="124">
        <f>ROUND(('DATOS INICIALES'!$B$12*12)/40,0)</f>
        <v>427050</v>
      </c>
      <c r="AV19" s="124">
        <f>ROUND(('DATOS INICIALES'!$B$12*12)/40,0)</f>
        <v>427050</v>
      </c>
      <c r="AW19" s="124">
        <f>ROUND(('DATOS INICIALES'!$B$12*12)/40,0)</f>
        <v>427050</v>
      </c>
      <c r="AX19" s="124">
        <f>ROUND(('DATOS INICIALES'!$B$12*12)/40,0)</f>
        <v>427050</v>
      </c>
      <c r="AY19" s="124">
        <f>ROUND(('DATOS INICIALES'!$B$12*12)/40,0)</f>
        <v>427050</v>
      </c>
      <c r="AZ19" s="124">
        <f>ROUND(('DATOS INICIALES'!$B$12*12)/40,0)</f>
        <v>427050</v>
      </c>
      <c r="BA19" s="124">
        <f>ROUND(('DATOS INICIALES'!$B$12*12)/40,0)</f>
        <v>427050</v>
      </c>
      <c r="BB19" s="124">
        <f>ROUND(('DATOS INICIALES'!$B$12*12)/40,0)</f>
        <v>427050</v>
      </c>
      <c r="BC19" s="124">
        <f>ROUND(('DATOS INICIALES'!$B$12*12)/40,0)</f>
        <v>427050</v>
      </c>
      <c r="BD19" s="124">
        <f>ROUND(('DATOS INICIALES'!$B$12*12)/40,0)</f>
        <v>427050</v>
      </c>
      <c r="BE19" s="124">
        <f>ROUND(('DATOS INICIALES'!$B$12*12)/40,0)</f>
        <v>427050</v>
      </c>
    </row>
    <row r="20" spans="1:57" ht="24">
      <c r="A20" s="107" t="s">
        <v>263</v>
      </c>
      <c r="B20" s="124">
        <f>IF('DATOS INICIALES'!B14="NO",('FACTOR PRESTACIONAL'!B13+'FACTOR PRESTACIONAL'!B14)*0.085,0)</f>
        <v>0</v>
      </c>
      <c r="C20" s="124">
        <f>IF('DATOS INICIALES'!C14="NO",('FACTOR PRESTACIONAL'!C13+'FACTOR PRESTACIONAL'!C14)*0.085,0)</f>
        <v>0</v>
      </c>
      <c r="D20" s="124">
        <f>IF('DATOS INICIALES'!D14="NO",('FACTOR PRESTACIONAL'!D13+'FACTOR PRESTACIONAL'!D14)*0.085,0)</f>
        <v>0</v>
      </c>
      <c r="E20" s="124">
        <f>IF('DATOS INICIALES'!E14="NO",('FACTOR PRESTACIONAL'!E13+'FACTOR PRESTACIONAL'!E14)*0.085,0)</f>
        <v>0</v>
      </c>
      <c r="F20" s="124">
        <f>IF('DATOS INICIALES'!F14="NO",('FACTOR PRESTACIONAL'!F13+'FACTOR PRESTACIONAL'!F14)*0.085,0)</f>
        <v>0</v>
      </c>
      <c r="G20" s="124">
        <f>IF('DATOS INICIALES'!G14="NO",('FACTOR PRESTACIONAL'!G13+'FACTOR PRESTACIONAL'!G14)*0.085,0)</f>
        <v>0</v>
      </c>
      <c r="H20" s="124">
        <f>IF('DATOS INICIALES'!H14="NO",('FACTOR PRESTACIONAL'!H13+'FACTOR PRESTACIONAL'!H14)*0.085,0)</f>
        <v>0</v>
      </c>
      <c r="I20" s="124">
        <f>IF('DATOS INICIALES'!I14="NO",('FACTOR PRESTACIONAL'!I13+'FACTOR PRESTACIONAL'!I14)*0.085,0)</f>
        <v>0</v>
      </c>
      <c r="J20" s="124">
        <f>IF('DATOS INICIALES'!J14="NO",('FACTOR PRESTACIONAL'!J13+'FACTOR PRESTACIONAL'!J14)*0.085,0)</f>
        <v>0</v>
      </c>
      <c r="K20" s="124">
        <f>IF('DATOS INICIALES'!K14="NO",('FACTOR PRESTACIONAL'!K13+'FACTOR PRESTACIONAL'!K14)*0.085,0)</f>
        <v>0</v>
      </c>
      <c r="L20" s="124">
        <f>IF('DATOS INICIALES'!L14="NO",('FACTOR PRESTACIONAL'!L13+'FACTOR PRESTACIONAL'!L14)*0.085,0)</f>
        <v>0</v>
      </c>
      <c r="M20" s="124">
        <f>IF('DATOS INICIALES'!M14="NO",('FACTOR PRESTACIONAL'!M13+'FACTOR PRESTACIONAL'!M14)*0.085,0)</f>
        <v>0</v>
      </c>
      <c r="N20" s="124">
        <f>IF('DATOS INICIALES'!N14="NO",('FACTOR PRESTACIONAL'!N13+'FACTOR PRESTACIONAL'!N14)*0.085,0)</f>
        <v>0</v>
      </c>
      <c r="O20" s="124">
        <f>IF('DATOS INICIALES'!O14="NO",('FACTOR PRESTACIONAL'!O13+'FACTOR PRESTACIONAL'!O14)*0.085,0)</f>
        <v>0</v>
      </c>
      <c r="P20" s="124">
        <f>IF('DATOS INICIALES'!P14="NO",('FACTOR PRESTACIONAL'!P13+'FACTOR PRESTACIONAL'!P14)*0.085,0)</f>
        <v>0</v>
      </c>
      <c r="Q20" s="124">
        <f>IF('DATOS INICIALES'!Q14="NO",('FACTOR PRESTACIONAL'!Q13+'FACTOR PRESTACIONAL'!Q14)*0.085,0)</f>
        <v>0</v>
      </c>
      <c r="R20" s="124">
        <f>IF('DATOS INICIALES'!R14="NO",('FACTOR PRESTACIONAL'!R13+'FACTOR PRESTACIONAL'!R14)*0.085,0)</f>
        <v>0</v>
      </c>
      <c r="S20" s="124">
        <f>IF('DATOS INICIALES'!S14="NO",('FACTOR PRESTACIONAL'!S13+'FACTOR PRESTACIONAL'!S14)*0.085,0)</f>
        <v>0</v>
      </c>
      <c r="T20" s="124">
        <f>IF('DATOS INICIALES'!T14="NO",('FACTOR PRESTACIONAL'!T13+'FACTOR PRESTACIONAL'!T14)*0.085,0)</f>
        <v>0</v>
      </c>
      <c r="U20" s="124">
        <f>IF('DATOS INICIALES'!U14="NO",('FACTOR PRESTACIONAL'!U13+'FACTOR PRESTACIONAL'!U14)*0.085,0)</f>
        <v>0</v>
      </c>
      <c r="V20" s="124">
        <f>IF('DATOS INICIALES'!V14="NO",('FACTOR PRESTACIONAL'!V13+'FACTOR PRESTACIONAL'!V14)*0.085,0)</f>
        <v>0</v>
      </c>
      <c r="W20" s="124">
        <f>IF('DATOS INICIALES'!W14="NO",('FACTOR PRESTACIONAL'!W13+'FACTOR PRESTACIONAL'!W14)*0.085,0)</f>
        <v>0</v>
      </c>
      <c r="X20" s="124">
        <f>IF('DATOS INICIALES'!X14="NO",('FACTOR PRESTACIONAL'!X13+'FACTOR PRESTACIONAL'!X14)*0.085,0)</f>
        <v>0</v>
      </c>
      <c r="Y20" s="124">
        <f>IF('DATOS INICIALES'!Y14="NO",('FACTOR PRESTACIONAL'!Y13+'FACTOR PRESTACIONAL'!Y14)*0.085,0)</f>
        <v>0</v>
      </c>
      <c r="Z20" s="124">
        <f>IF('DATOS INICIALES'!Z14="NO",('FACTOR PRESTACIONAL'!Z13+'FACTOR PRESTACIONAL'!Z14)*0.085,0)</f>
        <v>0</v>
      </c>
      <c r="AA20" s="124">
        <f>IF('DATOS INICIALES'!AA14="NO",('FACTOR PRESTACIONAL'!AA13+'FACTOR PRESTACIONAL'!AA14)*0.085,0)</f>
        <v>0</v>
      </c>
      <c r="AB20" s="124">
        <f>IF('DATOS INICIALES'!AB14="NO",('FACTOR PRESTACIONAL'!AB13+'FACTOR PRESTACIONAL'!AB14)*0.085,0)</f>
        <v>0</v>
      </c>
      <c r="AC20" s="124">
        <f>IF('DATOS INICIALES'!AC14="NO",('FACTOR PRESTACIONAL'!AC13+'FACTOR PRESTACIONAL'!AC14)*0.085,0)</f>
        <v>0</v>
      </c>
      <c r="AD20" s="124">
        <f>IF('DATOS INICIALES'!AD14="NO",('FACTOR PRESTACIONAL'!AD13+'FACTOR PRESTACIONAL'!AD14)*0.085,0)</f>
        <v>0</v>
      </c>
      <c r="AE20" s="124">
        <f>IF('DATOS INICIALES'!AE14="NO",('FACTOR PRESTACIONAL'!AE13+'FACTOR PRESTACIONAL'!AE14)*0.085,0)</f>
        <v>0</v>
      </c>
      <c r="AF20" s="124">
        <f>IF('DATOS INICIALES'!AF14="NO",('FACTOR PRESTACIONAL'!AF13+'FACTOR PRESTACIONAL'!AF14)*0.085,0)</f>
        <v>0</v>
      </c>
      <c r="AG20" s="124">
        <f>IF('DATOS INICIALES'!AG14="NO",('FACTOR PRESTACIONAL'!AG13+'FACTOR PRESTACIONAL'!AG14)*0.085,0)</f>
        <v>0</v>
      </c>
      <c r="AH20" s="124">
        <f>IF('DATOS INICIALES'!AH14="NO",('FACTOR PRESTACIONAL'!AH13+'FACTOR PRESTACIONAL'!AH14)*0.085,0)</f>
        <v>0</v>
      </c>
      <c r="AI20" s="124">
        <f>IF('DATOS INICIALES'!AI14="NO",('FACTOR PRESTACIONAL'!AI13+'FACTOR PRESTACIONAL'!AI14)*0.085,0)</f>
        <v>0</v>
      </c>
      <c r="AJ20" s="124">
        <f>IF('DATOS INICIALES'!AJ14="NO",('FACTOR PRESTACIONAL'!AJ13+'FACTOR PRESTACIONAL'!AJ14)*0.085,0)</f>
        <v>0</v>
      </c>
      <c r="AK20" s="124">
        <f>IF('DATOS INICIALES'!AK14="NO",('FACTOR PRESTACIONAL'!AK13+'FACTOR PRESTACIONAL'!AK14)*0.085,0)</f>
        <v>0</v>
      </c>
      <c r="AL20" s="124">
        <f>IF('DATOS INICIALES'!AL14="NO",('FACTOR PRESTACIONAL'!AL13+'FACTOR PRESTACIONAL'!AL14)*0.085,0)</f>
        <v>0</v>
      </c>
      <c r="AM20" s="124">
        <f>IF('DATOS INICIALES'!AM14="NO",('FACTOR PRESTACIONAL'!AM13+'FACTOR PRESTACIONAL'!AM14)*0.085,0)</f>
        <v>0</v>
      </c>
      <c r="AN20" s="124">
        <f>IF('DATOS INICIALES'!AN14="NO",('FACTOR PRESTACIONAL'!AN13+'FACTOR PRESTACIONAL'!AN14)*0.085,0)</f>
        <v>0</v>
      </c>
      <c r="AO20" s="124">
        <f>IF('DATOS INICIALES'!AO14="NO",('FACTOR PRESTACIONAL'!AO13+'FACTOR PRESTACIONAL'!AO14)*0.085,0)</f>
        <v>0</v>
      </c>
      <c r="AP20" s="124">
        <f>IF('DATOS INICIALES'!AP14="NO",('FACTOR PRESTACIONAL'!AP13+'FACTOR PRESTACIONAL'!AP14)*0.085,0)</f>
        <v>0</v>
      </c>
      <c r="AQ20" s="124">
        <f>IF('DATOS INICIALES'!AQ14="NO",('FACTOR PRESTACIONAL'!AQ13+'FACTOR PRESTACIONAL'!AQ14)*0.085,0)</f>
        <v>0</v>
      </c>
      <c r="AR20" s="124">
        <f>IF('DATOS INICIALES'!AR14="NO",('FACTOR PRESTACIONAL'!AR13+'FACTOR PRESTACIONAL'!AR14)*0.085,0)</f>
        <v>0</v>
      </c>
      <c r="AS20" s="124">
        <f>IF('DATOS INICIALES'!AS14="NO",('FACTOR PRESTACIONAL'!AS13+'FACTOR PRESTACIONAL'!AS14)*0.085,0)</f>
        <v>0</v>
      </c>
      <c r="AT20" s="124">
        <f>IF('DATOS INICIALES'!AT14="NO",('FACTOR PRESTACIONAL'!AT13+'FACTOR PRESTACIONAL'!AT14)*0.085,0)</f>
        <v>0</v>
      </c>
      <c r="AU20" s="124">
        <f>IF('DATOS INICIALES'!AU14="NO",('FACTOR PRESTACIONAL'!AU13+'FACTOR PRESTACIONAL'!AU14)*0.085,0)</f>
        <v>0</v>
      </c>
      <c r="AV20" s="124">
        <f>IF('DATOS INICIALES'!AV14="NO",('FACTOR PRESTACIONAL'!AV13+'FACTOR PRESTACIONAL'!AV14)*0.085,0)</f>
        <v>0</v>
      </c>
      <c r="AW20" s="124">
        <f>IF('DATOS INICIALES'!AW14="NO",('FACTOR PRESTACIONAL'!AW13+'FACTOR PRESTACIONAL'!AW14)*0.085,0)</f>
        <v>0</v>
      </c>
      <c r="AX20" s="124">
        <f>IF('DATOS INICIALES'!AX14="NO",('FACTOR PRESTACIONAL'!AX13+'FACTOR PRESTACIONAL'!AX14)*0.085,0)</f>
        <v>0</v>
      </c>
      <c r="AY20" s="124">
        <f>IF('DATOS INICIALES'!AY14="NO",('FACTOR PRESTACIONAL'!AY13+'FACTOR PRESTACIONAL'!AY14)*0.085,0)</f>
        <v>0</v>
      </c>
      <c r="AZ20" s="124">
        <f>IF('DATOS INICIALES'!AZ14="NO",('FACTOR PRESTACIONAL'!AZ13+'FACTOR PRESTACIONAL'!AZ14)*0.085,0)</f>
        <v>0</v>
      </c>
      <c r="BA20" s="124">
        <f>IF('DATOS INICIALES'!BA14="NO",('FACTOR PRESTACIONAL'!BA13+'FACTOR PRESTACIONAL'!BA14)*0.085,0)</f>
        <v>0</v>
      </c>
      <c r="BB20" s="124">
        <f>IF('DATOS INICIALES'!BB14="NO",('FACTOR PRESTACIONAL'!BB13+'FACTOR PRESTACIONAL'!BB14)*0.085,0)</f>
        <v>0</v>
      </c>
      <c r="BC20" s="124">
        <f>IF('DATOS INICIALES'!BC14="NO",('FACTOR PRESTACIONAL'!BC13+'FACTOR PRESTACIONAL'!BC14)*0.085,0)</f>
        <v>0</v>
      </c>
      <c r="BD20" s="124">
        <f>IF('DATOS INICIALES'!BD14="NO",('FACTOR PRESTACIONAL'!BD13+'FACTOR PRESTACIONAL'!BD14)*0.085,0)</f>
        <v>0</v>
      </c>
      <c r="BE20" s="124">
        <f>IF('DATOS INICIALES'!BE14="NO",('FACTOR PRESTACIONAL'!BE13+'FACTOR PRESTACIONAL'!BE14)*0.085,0)</f>
        <v>0</v>
      </c>
    </row>
    <row r="21" spans="1:57" ht="24">
      <c r="A21" s="107" t="s">
        <v>264</v>
      </c>
      <c r="B21" s="124">
        <f>ROUND((B13+B14)*0.12,0)</f>
        <v>10249200</v>
      </c>
      <c r="C21" s="124">
        <f t="shared" ref="C21:BE21" si="6">ROUND((C13+C14)*0.12,0)</f>
        <v>10249200</v>
      </c>
      <c r="D21" s="124">
        <f t="shared" si="6"/>
        <v>6149520</v>
      </c>
      <c r="E21" s="124">
        <f t="shared" si="6"/>
        <v>6149520</v>
      </c>
      <c r="F21" s="124">
        <f t="shared" si="6"/>
        <v>5534568</v>
      </c>
      <c r="G21" s="124">
        <f t="shared" si="6"/>
        <v>6149520</v>
      </c>
      <c r="H21" s="124">
        <f t="shared" si="6"/>
        <v>4387680</v>
      </c>
      <c r="I21" s="124">
        <f t="shared" si="6"/>
        <v>4714632</v>
      </c>
      <c r="J21" s="124">
        <f t="shared" si="6"/>
        <v>13733928</v>
      </c>
      <c r="K21" s="124">
        <f t="shared" si="6"/>
        <v>9429264</v>
      </c>
      <c r="L21" s="124">
        <f t="shared" si="6"/>
        <v>4080204</v>
      </c>
      <c r="M21" s="124">
        <f t="shared" si="6"/>
        <v>3260268</v>
      </c>
      <c r="N21" s="124">
        <f t="shared" si="6"/>
        <v>2337840</v>
      </c>
      <c r="O21" s="124">
        <f t="shared" si="6"/>
        <v>2337840</v>
      </c>
      <c r="P21" s="124">
        <f t="shared" si="6"/>
        <v>2337840</v>
      </c>
      <c r="Q21" s="124">
        <f t="shared" si="6"/>
        <v>9839232</v>
      </c>
      <c r="R21" s="124">
        <f t="shared" si="6"/>
        <v>4817124</v>
      </c>
      <c r="S21" s="124">
        <f t="shared" si="6"/>
        <v>3055284</v>
      </c>
      <c r="T21" s="124">
        <f t="shared" si="6"/>
        <v>2016000</v>
      </c>
      <c r="U21" s="124">
        <f t="shared" si="6"/>
        <v>4714632</v>
      </c>
      <c r="V21" s="124">
        <f t="shared" si="6"/>
        <v>5637060</v>
      </c>
      <c r="W21" s="124">
        <f t="shared" si="6"/>
        <v>2952792</v>
      </c>
      <c r="X21" s="124">
        <f t="shared" si="6"/>
        <v>4387680</v>
      </c>
      <c r="Y21" s="124">
        <f t="shared" si="6"/>
        <v>2747808</v>
      </c>
      <c r="Z21" s="124">
        <f t="shared" si="6"/>
        <v>4387680</v>
      </c>
      <c r="AA21" s="124">
        <f t="shared" si="6"/>
        <v>2542824</v>
      </c>
      <c r="AB21" s="124">
        <f t="shared" si="6"/>
        <v>4387680</v>
      </c>
      <c r="AC21" s="124">
        <f t="shared" si="6"/>
        <v>4387680</v>
      </c>
      <c r="AD21" s="124">
        <f t="shared" si="6"/>
        <v>4387680</v>
      </c>
      <c r="AE21" s="124">
        <f t="shared" si="6"/>
        <v>4387680</v>
      </c>
      <c r="AF21" s="124">
        <f t="shared" si="6"/>
        <v>2952792</v>
      </c>
      <c r="AG21" s="124">
        <f t="shared" si="6"/>
        <v>2542824</v>
      </c>
      <c r="AH21" s="124">
        <f t="shared" si="6"/>
        <v>2952792</v>
      </c>
      <c r="AI21" s="124">
        <f t="shared" si="6"/>
        <v>4612140</v>
      </c>
      <c r="AJ21" s="124">
        <f t="shared" si="6"/>
        <v>6559488</v>
      </c>
      <c r="AK21" s="124">
        <f t="shared" si="6"/>
        <v>2337840</v>
      </c>
      <c r="AL21" s="124">
        <f t="shared" si="6"/>
        <v>2337840</v>
      </c>
      <c r="AM21" s="124">
        <f t="shared" si="6"/>
        <v>2337840</v>
      </c>
      <c r="AN21" s="124">
        <f t="shared" si="6"/>
        <v>10249200</v>
      </c>
      <c r="AO21" s="124">
        <f t="shared" si="6"/>
        <v>4714632</v>
      </c>
      <c r="AP21" s="124">
        <f t="shared" si="6"/>
        <v>13733928</v>
      </c>
      <c r="AQ21" s="124">
        <f t="shared" si="6"/>
        <v>4714632</v>
      </c>
      <c r="AR21" s="124">
        <f t="shared" si="6"/>
        <v>12299040</v>
      </c>
      <c r="AS21" s="124">
        <f t="shared" si="6"/>
        <v>11274120</v>
      </c>
      <c r="AT21" s="124">
        <f t="shared" si="6"/>
        <v>12299040</v>
      </c>
      <c r="AU21" s="124">
        <f t="shared" si="6"/>
        <v>12299040</v>
      </c>
      <c r="AV21" s="124">
        <f t="shared" si="6"/>
        <v>11274120</v>
      </c>
      <c r="AW21" s="124">
        <f t="shared" si="6"/>
        <v>12299040</v>
      </c>
      <c r="AX21" s="124">
        <f t="shared" si="6"/>
        <v>12299040</v>
      </c>
      <c r="AY21" s="124">
        <f t="shared" si="6"/>
        <v>12299040</v>
      </c>
      <c r="AZ21" s="124">
        <f t="shared" si="6"/>
        <v>11274120</v>
      </c>
      <c r="BA21" s="124">
        <f t="shared" si="6"/>
        <v>11274120</v>
      </c>
      <c r="BB21" s="124">
        <f t="shared" si="6"/>
        <v>11274120</v>
      </c>
      <c r="BC21" s="124">
        <f t="shared" si="6"/>
        <v>4387680</v>
      </c>
      <c r="BD21" s="124">
        <f t="shared" si="6"/>
        <v>288000</v>
      </c>
      <c r="BE21" s="124">
        <f t="shared" si="6"/>
        <v>288000</v>
      </c>
    </row>
    <row r="22" spans="1:57" ht="24">
      <c r="A22" s="107" t="s">
        <v>265</v>
      </c>
      <c r="B22" s="124">
        <f>ROUND((B13+B14)*'DATOS INICIALES'!$B$17,0)</f>
        <v>5944536</v>
      </c>
      <c r="C22" s="124">
        <f>ROUND((C13+C14)*'DATOS INICIALES'!$B$17,0)</f>
        <v>5944536</v>
      </c>
      <c r="D22" s="124">
        <f>ROUND((D13+D14)*'DATOS INICIALES'!$B$17,0)</f>
        <v>3566722</v>
      </c>
      <c r="E22" s="124">
        <f>ROUND((E13+E14)*'DATOS INICIALES'!$B$17,0)</f>
        <v>3566722</v>
      </c>
      <c r="F22" s="124">
        <f>ROUND((F13+F14)*'DATOS INICIALES'!$B$17,0)</f>
        <v>3210049</v>
      </c>
      <c r="G22" s="124">
        <f>ROUND((G13+G14)*'DATOS INICIALES'!$B$17,0)</f>
        <v>3566722</v>
      </c>
      <c r="H22" s="124">
        <f>ROUND((H13+H14)*'DATOS INICIALES'!$B$17,0)</f>
        <v>2544854</v>
      </c>
      <c r="I22" s="124">
        <f>ROUND((I13+I14)*'DATOS INICIALES'!$B$17,0)</f>
        <v>2734487</v>
      </c>
      <c r="J22" s="124">
        <f>ROUND((J13+J14)*'DATOS INICIALES'!$B$17,0)</f>
        <v>7965678</v>
      </c>
      <c r="K22" s="124">
        <f>ROUND((K13+K14)*'DATOS INICIALES'!$B$17,0)</f>
        <v>5468973</v>
      </c>
      <c r="L22" s="124">
        <f>ROUND((L13+L14)*'DATOS INICIALES'!$B$17,0)</f>
        <v>2366518</v>
      </c>
      <c r="M22" s="124">
        <f>ROUND((M13+M14)*'DATOS INICIALES'!$B$17,0)</f>
        <v>1890955</v>
      </c>
      <c r="N22" s="124">
        <f>ROUND((N13+N14)*'DATOS INICIALES'!$B$17,0)</f>
        <v>1355947</v>
      </c>
      <c r="O22" s="124">
        <f>ROUND((O13+O14)*'DATOS INICIALES'!$B$17,0)</f>
        <v>1355947</v>
      </c>
      <c r="P22" s="124">
        <f>ROUND((P13+P14)*'DATOS INICIALES'!$B$17,0)</f>
        <v>1355947</v>
      </c>
      <c r="Q22" s="124">
        <f>ROUND((Q13+Q14)*'DATOS INICIALES'!$B$17,0)</f>
        <v>5706755</v>
      </c>
      <c r="R22" s="124">
        <f>ROUND((R13+R14)*'DATOS INICIALES'!$B$17,0)</f>
        <v>2793932</v>
      </c>
      <c r="S22" s="124">
        <f>ROUND((S13+S14)*'DATOS INICIALES'!$B$17,0)</f>
        <v>1772065</v>
      </c>
      <c r="T22" s="124">
        <f>ROUND((T13+T14)*'DATOS INICIALES'!$B$17,0)</f>
        <v>1169280</v>
      </c>
      <c r="U22" s="124">
        <f>ROUND((U13+U14)*'DATOS INICIALES'!$B$17,0)</f>
        <v>2734487</v>
      </c>
      <c r="V22" s="124">
        <f>ROUND((V13+V14)*'DATOS INICIALES'!$B$17,0)</f>
        <v>3269495</v>
      </c>
      <c r="W22" s="124">
        <f>ROUND((W13+W14)*'DATOS INICIALES'!$B$17,0)</f>
        <v>1712619</v>
      </c>
      <c r="X22" s="124">
        <f>ROUND((X13+X14)*'DATOS INICIALES'!$B$17,0)</f>
        <v>2544854</v>
      </c>
      <c r="Y22" s="124">
        <f>ROUND((Y13+Y14)*'DATOS INICIALES'!$B$17,0)</f>
        <v>1593729</v>
      </c>
      <c r="Z22" s="124">
        <f>ROUND((Z13+Z14)*'DATOS INICIALES'!$B$17,0)</f>
        <v>2544854</v>
      </c>
      <c r="AA22" s="124">
        <f>ROUND((AA13+AA14)*'DATOS INICIALES'!$B$17,0)</f>
        <v>1474838</v>
      </c>
      <c r="AB22" s="124">
        <f>ROUND((AB13+AB14)*'DATOS INICIALES'!$B$17,0)</f>
        <v>2544854</v>
      </c>
      <c r="AC22" s="124">
        <f>ROUND((AC13+AC14)*'DATOS INICIALES'!$B$17,0)</f>
        <v>2544854</v>
      </c>
      <c r="AD22" s="124">
        <f>ROUND((AD13+AD14)*'DATOS INICIALES'!$B$17,0)</f>
        <v>2544854</v>
      </c>
      <c r="AE22" s="124">
        <f>ROUND((AE13+AE14)*'DATOS INICIALES'!$B$17,0)</f>
        <v>2544854</v>
      </c>
      <c r="AF22" s="124">
        <f>ROUND((AF13+AF14)*'DATOS INICIALES'!$B$17,0)</f>
        <v>1712619</v>
      </c>
      <c r="AG22" s="124">
        <f>ROUND((AG13+AG14)*'DATOS INICIALES'!$B$17,0)</f>
        <v>1474838</v>
      </c>
      <c r="AH22" s="124">
        <f>ROUND((AH13+AH14)*'DATOS INICIALES'!$B$17,0)</f>
        <v>1712619</v>
      </c>
      <c r="AI22" s="124">
        <f>ROUND((AI13+AI14)*'DATOS INICIALES'!$B$17,0)</f>
        <v>2675041</v>
      </c>
      <c r="AJ22" s="124">
        <f>ROUND((AJ13+AJ14)*'DATOS INICIALES'!$B$17,0)</f>
        <v>3804503</v>
      </c>
      <c r="AK22" s="124">
        <f>ROUND((AK13+AK14)*'DATOS INICIALES'!$B$17,0)</f>
        <v>1355947</v>
      </c>
      <c r="AL22" s="124">
        <f>ROUND((AL13+AL14)*'DATOS INICIALES'!$B$17,0)</f>
        <v>1355947</v>
      </c>
      <c r="AM22" s="124">
        <f>ROUND((AM13+AM14)*'DATOS INICIALES'!$B$17,0)</f>
        <v>1355947</v>
      </c>
      <c r="AN22" s="124">
        <f>ROUND((AN13+AN14)*'DATOS INICIALES'!$B$17,0)</f>
        <v>5944536</v>
      </c>
      <c r="AO22" s="124">
        <f>ROUND((AO13+AO14)*'DATOS INICIALES'!$B$17,0)</f>
        <v>2734487</v>
      </c>
      <c r="AP22" s="124">
        <f>ROUND((AP13+AP14)*'DATOS INICIALES'!$B$17,0)</f>
        <v>7965678</v>
      </c>
      <c r="AQ22" s="124">
        <f>ROUND((AQ13+AQ14)*'DATOS INICIALES'!$B$17,0)</f>
        <v>2734487</v>
      </c>
      <c r="AR22" s="124">
        <f>ROUND((AR13+AR14)*'DATOS INICIALES'!$B$17,0)</f>
        <v>7133443</v>
      </c>
      <c r="AS22" s="124">
        <f>ROUND((AS13+AS14)*'DATOS INICIALES'!$B$17,0)</f>
        <v>6538990</v>
      </c>
      <c r="AT22" s="124">
        <f>ROUND((AT13+AT14)*'DATOS INICIALES'!$B$17,0)</f>
        <v>7133443</v>
      </c>
      <c r="AU22" s="124">
        <f>ROUND((AU13+AU14)*'DATOS INICIALES'!$B$17,0)</f>
        <v>7133443</v>
      </c>
      <c r="AV22" s="124">
        <f>ROUND((AV13+AV14)*'DATOS INICIALES'!$B$17,0)</f>
        <v>6538990</v>
      </c>
      <c r="AW22" s="124">
        <f>ROUND((AW13+AW14)*'DATOS INICIALES'!$B$17,0)</f>
        <v>7133443</v>
      </c>
      <c r="AX22" s="124">
        <f>ROUND((AX13+AX14)*'DATOS INICIALES'!$B$17,0)</f>
        <v>7133443</v>
      </c>
      <c r="AY22" s="124">
        <f>ROUND((AY13+AY14)*'DATOS INICIALES'!$B$17,0)</f>
        <v>7133443</v>
      </c>
      <c r="AZ22" s="124">
        <f>ROUND((AZ13+AZ14)*'DATOS INICIALES'!$B$17,0)</f>
        <v>6538990</v>
      </c>
      <c r="BA22" s="124">
        <f>ROUND((BA13+BA14)*'DATOS INICIALES'!$B$17,0)</f>
        <v>6538990</v>
      </c>
      <c r="BB22" s="124">
        <f>ROUND((BB13+BB14)*'DATOS INICIALES'!$B$17,0)</f>
        <v>6538990</v>
      </c>
      <c r="BC22" s="124">
        <f>ROUND((BC13+BC14)*'DATOS INICIALES'!$B$17,0)</f>
        <v>2544854</v>
      </c>
      <c r="BD22" s="124">
        <f>ROUND((BD13+BD14)*'DATOS INICIALES'!$B$17,0)</f>
        <v>167040</v>
      </c>
      <c r="BE22" s="124">
        <f>ROUND((BE13+BE14)*'DATOS INICIALES'!$B$17,0)</f>
        <v>167040</v>
      </c>
    </row>
    <row r="23" spans="1:57" ht="24">
      <c r="A23" s="107" t="s">
        <v>266</v>
      </c>
      <c r="B23" s="124">
        <f>ROUND((B13+B14)*0.04,0)</f>
        <v>3416400</v>
      </c>
      <c r="C23" s="124">
        <f t="shared" ref="C23:BE23" si="7">ROUND((C13+C14)*0.04,0)</f>
        <v>3416400</v>
      </c>
      <c r="D23" s="124">
        <f t="shared" si="7"/>
        <v>2049840</v>
      </c>
      <c r="E23" s="124">
        <f t="shared" si="7"/>
        <v>2049840</v>
      </c>
      <c r="F23" s="124">
        <f t="shared" si="7"/>
        <v>1844856</v>
      </c>
      <c r="G23" s="124">
        <f t="shared" si="7"/>
        <v>2049840</v>
      </c>
      <c r="H23" s="124">
        <f t="shared" si="7"/>
        <v>1462560</v>
      </c>
      <c r="I23" s="124">
        <f t="shared" si="7"/>
        <v>1571544</v>
      </c>
      <c r="J23" s="124">
        <f t="shared" si="7"/>
        <v>4577976</v>
      </c>
      <c r="K23" s="124">
        <f t="shared" si="7"/>
        <v>3143088</v>
      </c>
      <c r="L23" s="124">
        <f t="shared" si="7"/>
        <v>1360068</v>
      </c>
      <c r="M23" s="124">
        <f t="shared" si="7"/>
        <v>1086756</v>
      </c>
      <c r="N23" s="124">
        <f t="shared" si="7"/>
        <v>779280</v>
      </c>
      <c r="O23" s="124">
        <f t="shared" si="7"/>
        <v>779280</v>
      </c>
      <c r="P23" s="124">
        <f t="shared" si="7"/>
        <v>779280</v>
      </c>
      <c r="Q23" s="124">
        <f t="shared" si="7"/>
        <v>3279744</v>
      </c>
      <c r="R23" s="124">
        <f t="shared" si="7"/>
        <v>1605708</v>
      </c>
      <c r="S23" s="124">
        <f t="shared" si="7"/>
        <v>1018428</v>
      </c>
      <c r="T23" s="124">
        <f t="shared" si="7"/>
        <v>672000</v>
      </c>
      <c r="U23" s="124">
        <f t="shared" si="7"/>
        <v>1571544</v>
      </c>
      <c r="V23" s="124">
        <f t="shared" si="7"/>
        <v>1879020</v>
      </c>
      <c r="W23" s="124">
        <f t="shared" si="7"/>
        <v>984264</v>
      </c>
      <c r="X23" s="124">
        <f t="shared" si="7"/>
        <v>1462560</v>
      </c>
      <c r="Y23" s="124">
        <f t="shared" si="7"/>
        <v>915936</v>
      </c>
      <c r="Z23" s="124">
        <f t="shared" si="7"/>
        <v>1462560</v>
      </c>
      <c r="AA23" s="124">
        <f t="shared" si="7"/>
        <v>847608</v>
      </c>
      <c r="AB23" s="124">
        <f t="shared" si="7"/>
        <v>1462560</v>
      </c>
      <c r="AC23" s="124">
        <f t="shared" si="7"/>
        <v>1462560</v>
      </c>
      <c r="AD23" s="124">
        <f t="shared" si="7"/>
        <v>1462560</v>
      </c>
      <c r="AE23" s="124">
        <f t="shared" si="7"/>
        <v>1462560</v>
      </c>
      <c r="AF23" s="124">
        <f t="shared" si="7"/>
        <v>984264</v>
      </c>
      <c r="AG23" s="124">
        <f t="shared" si="7"/>
        <v>847608</v>
      </c>
      <c r="AH23" s="124">
        <f t="shared" si="7"/>
        <v>984264</v>
      </c>
      <c r="AI23" s="124">
        <f t="shared" si="7"/>
        <v>1537380</v>
      </c>
      <c r="AJ23" s="124">
        <f t="shared" si="7"/>
        <v>2186496</v>
      </c>
      <c r="AK23" s="124">
        <f t="shared" si="7"/>
        <v>779280</v>
      </c>
      <c r="AL23" s="124">
        <f t="shared" si="7"/>
        <v>779280</v>
      </c>
      <c r="AM23" s="124">
        <f t="shared" si="7"/>
        <v>779280</v>
      </c>
      <c r="AN23" s="124">
        <f t="shared" si="7"/>
        <v>3416400</v>
      </c>
      <c r="AO23" s="124">
        <f t="shared" si="7"/>
        <v>1571544</v>
      </c>
      <c r="AP23" s="124">
        <f t="shared" si="7"/>
        <v>4577976</v>
      </c>
      <c r="AQ23" s="124">
        <f t="shared" si="7"/>
        <v>1571544</v>
      </c>
      <c r="AR23" s="124">
        <f t="shared" si="7"/>
        <v>4099680</v>
      </c>
      <c r="AS23" s="124">
        <f t="shared" si="7"/>
        <v>3758040</v>
      </c>
      <c r="AT23" s="124">
        <f t="shared" si="7"/>
        <v>4099680</v>
      </c>
      <c r="AU23" s="124">
        <f t="shared" si="7"/>
        <v>4099680</v>
      </c>
      <c r="AV23" s="124">
        <f t="shared" si="7"/>
        <v>3758040</v>
      </c>
      <c r="AW23" s="124">
        <f t="shared" si="7"/>
        <v>4099680</v>
      </c>
      <c r="AX23" s="124">
        <f t="shared" si="7"/>
        <v>4099680</v>
      </c>
      <c r="AY23" s="124">
        <f t="shared" si="7"/>
        <v>4099680</v>
      </c>
      <c r="AZ23" s="124">
        <f t="shared" si="7"/>
        <v>3758040</v>
      </c>
      <c r="BA23" s="124">
        <f t="shared" si="7"/>
        <v>3758040</v>
      </c>
      <c r="BB23" s="124">
        <f t="shared" si="7"/>
        <v>3758040</v>
      </c>
      <c r="BC23" s="124">
        <f t="shared" si="7"/>
        <v>1462560</v>
      </c>
      <c r="BD23" s="124">
        <f t="shared" si="7"/>
        <v>96000</v>
      </c>
      <c r="BE23" s="124">
        <f t="shared" si="7"/>
        <v>96000</v>
      </c>
    </row>
    <row r="24" spans="1:57" ht="24">
      <c r="A24" s="107" t="s">
        <v>267</v>
      </c>
      <c r="B24" s="124">
        <f>IF('DATOS INICIALES'!B14="NO",('FACTOR PRESTACIONAL'!B13+'FACTOR PRESTACIONAL'!B14)*0.02,0)</f>
        <v>0</v>
      </c>
      <c r="C24" s="124">
        <f>IF('DATOS INICIALES'!C14="NO",('FACTOR PRESTACIONAL'!C13+'FACTOR PRESTACIONAL'!C14)*0.02,0)</f>
        <v>0</v>
      </c>
      <c r="D24" s="124">
        <f>IF('DATOS INICIALES'!D14="NO",('FACTOR PRESTACIONAL'!D13+'FACTOR PRESTACIONAL'!D14)*0.02,0)</f>
        <v>0</v>
      </c>
      <c r="E24" s="124">
        <f>IF('DATOS INICIALES'!E14="NO",('FACTOR PRESTACIONAL'!E13+'FACTOR PRESTACIONAL'!E14)*0.02,0)</f>
        <v>0</v>
      </c>
      <c r="F24" s="124">
        <f>IF('DATOS INICIALES'!F14="NO",('FACTOR PRESTACIONAL'!F13+'FACTOR PRESTACIONAL'!F14)*0.02,0)</f>
        <v>0</v>
      </c>
      <c r="G24" s="124">
        <f>IF('DATOS INICIALES'!G14="NO",('FACTOR PRESTACIONAL'!G13+'FACTOR PRESTACIONAL'!G14)*0.02,0)</f>
        <v>0</v>
      </c>
      <c r="H24" s="124">
        <f>IF('DATOS INICIALES'!H14="NO",('FACTOR PRESTACIONAL'!H13+'FACTOR PRESTACIONAL'!H14)*0.02,0)</f>
        <v>0</v>
      </c>
      <c r="I24" s="124">
        <f>IF('DATOS INICIALES'!I14="NO",('FACTOR PRESTACIONAL'!I13+'FACTOR PRESTACIONAL'!I14)*0.02,0)</f>
        <v>0</v>
      </c>
      <c r="J24" s="124">
        <f>IF('DATOS INICIALES'!J14="NO",('FACTOR PRESTACIONAL'!J13+'FACTOR PRESTACIONAL'!J14)*0.02,0)</f>
        <v>0</v>
      </c>
      <c r="K24" s="124">
        <f>IF('DATOS INICIALES'!K14="NO",('FACTOR PRESTACIONAL'!K13+'FACTOR PRESTACIONAL'!K14)*0.02,0)</f>
        <v>0</v>
      </c>
      <c r="L24" s="124">
        <f>IF('DATOS INICIALES'!L14="NO",('FACTOR PRESTACIONAL'!L13+'FACTOR PRESTACIONAL'!L14)*0.02,0)</f>
        <v>0</v>
      </c>
      <c r="M24" s="124">
        <f>IF('DATOS INICIALES'!M14="NO",('FACTOR PRESTACIONAL'!M13+'FACTOR PRESTACIONAL'!M14)*0.02,0)</f>
        <v>0</v>
      </c>
      <c r="N24" s="124">
        <f>IF('DATOS INICIALES'!N14="NO",('FACTOR PRESTACIONAL'!N13+'FACTOR PRESTACIONAL'!N14)*0.02,0)</f>
        <v>0</v>
      </c>
      <c r="O24" s="124">
        <f>IF('DATOS INICIALES'!O14="NO",('FACTOR PRESTACIONAL'!O13+'FACTOR PRESTACIONAL'!O14)*0.02,0)</f>
        <v>0</v>
      </c>
      <c r="P24" s="124">
        <f>IF('DATOS INICIALES'!P14="NO",('FACTOR PRESTACIONAL'!P13+'FACTOR PRESTACIONAL'!P14)*0.02,0)</f>
        <v>0</v>
      </c>
      <c r="Q24" s="124">
        <f>IF('DATOS INICIALES'!Q14="NO",('FACTOR PRESTACIONAL'!Q13+'FACTOR PRESTACIONAL'!Q14)*0.02,0)</f>
        <v>0</v>
      </c>
      <c r="R24" s="124">
        <f>IF('DATOS INICIALES'!R14="NO",('FACTOR PRESTACIONAL'!R13+'FACTOR PRESTACIONAL'!R14)*0.02,0)</f>
        <v>0</v>
      </c>
      <c r="S24" s="124">
        <f>IF('DATOS INICIALES'!S14="NO",('FACTOR PRESTACIONAL'!S13+'FACTOR PRESTACIONAL'!S14)*0.02,0)</f>
        <v>0</v>
      </c>
      <c r="T24" s="124">
        <f>IF('DATOS INICIALES'!T14="NO",('FACTOR PRESTACIONAL'!T13+'FACTOR PRESTACIONAL'!T14)*0.02,0)</f>
        <v>0</v>
      </c>
      <c r="U24" s="124">
        <f>IF('DATOS INICIALES'!U14="NO",('FACTOR PRESTACIONAL'!U13+'FACTOR PRESTACIONAL'!U14)*0.02,0)</f>
        <v>0</v>
      </c>
      <c r="V24" s="124">
        <f>IF('DATOS INICIALES'!V14="NO",('FACTOR PRESTACIONAL'!V13+'FACTOR PRESTACIONAL'!V14)*0.02,0)</f>
        <v>0</v>
      </c>
      <c r="W24" s="124">
        <f>IF('DATOS INICIALES'!W14="NO",('FACTOR PRESTACIONAL'!W13+'FACTOR PRESTACIONAL'!W14)*0.02,0)</f>
        <v>0</v>
      </c>
      <c r="X24" s="124">
        <f>IF('DATOS INICIALES'!X14="NO",('FACTOR PRESTACIONAL'!X13+'FACTOR PRESTACIONAL'!X14)*0.02,0)</f>
        <v>0</v>
      </c>
      <c r="Y24" s="124">
        <f>IF('DATOS INICIALES'!Y14="NO",('FACTOR PRESTACIONAL'!Y13+'FACTOR PRESTACIONAL'!Y14)*0.02,0)</f>
        <v>0</v>
      </c>
      <c r="Z24" s="124">
        <f>IF('DATOS INICIALES'!Z14="NO",('FACTOR PRESTACIONAL'!Z13+'FACTOR PRESTACIONAL'!Z14)*0.02,0)</f>
        <v>0</v>
      </c>
      <c r="AA24" s="124">
        <f>IF('DATOS INICIALES'!AA14="NO",('FACTOR PRESTACIONAL'!AA13+'FACTOR PRESTACIONAL'!AA14)*0.02,0)</f>
        <v>0</v>
      </c>
      <c r="AB24" s="124">
        <f>IF('DATOS INICIALES'!AB14="NO",('FACTOR PRESTACIONAL'!AB13+'FACTOR PRESTACIONAL'!AB14)*0.02,0)</f>
        <v>0</v>
      </c>
      <c r="AC24" s="124">
        <f>IF('DATOS INICIALES'!AC14="NO",('FACTOR PRESTACIONAL'!AC13+'FACTOR PRESTACIONAL'!AC14)*0.02,0)</f>
        <v>0</v>
      </c>
      <c r="AD24" s="124">
        <f>IF('DATOS INICIALES'!AD14="NO",('FACTOR PRESTACIONAL'!AD13+'FACTOR PRESTACIONAL'!AD14)*0.02,0)</f>
        <v>0</v>
      </c>
      <c r="AE24" s="124">
        <f>IF('DATOS INICIALES'!AE14="NO",('FACTOR PRESTACIONAL'!AE13+'FACTOR PRESTACIONAL'!AE14)*0.02,0)</f>
        <v>0</v>
      </c>
      <c r="AF24" s="124">
        <f>IF('DATOS INICIALES'!AF14="NO",('FACTOR PRESTACIONAL'!AF13+'FACTOR PRESTACIONAL'!AF14)*0.02,0)</f>
        <v>0</v>
      </c>
      <c r="AG24" s="124">
        <f>IF('DATOS INICIALES'!AG14="NO",('FACTOR PRESTACIONAL'!AG13+'FACTOR PRESTACIONAL'!AG14)*0.02,0)</f>
        <v>0</v>
      </c>
      <c r="AH24" s="124">
        <f>IF('DATOS INICIALES'!AH14="NO",('FACTOR PRESTACIONAL'!AH13+'FACTOR PRESTACIONAL'!AH14)*0.02,0)</f>
        <v>0</v>
      </c>
      <c r="AI24" s="124">
        <f>IF('DATOS INICIALES'!AI14="NO",('FACTOR PRESTACIONAL'!AI13+'FACTOR PRESTACIONAL'!AI14)*0.02,0)</f>
        <v>0</v>
      </c>
      <c r="AJ24" s="124">
        <f>IF('DATOS INICIALES'!AJ14="NO",('FACTOR PRESTACIONAL'!AJ13+'FACTOR PRESTACIONAL'!AJ14)*0.02,0)</f>
        <v>0</v>
      </c>
      <c r="AK24" s="124">
        <f>IF('DATOS INICIALES'!AK14="NO",('FACTOR PRESTACIONAL'!AK13+'FACTOR PRESTACIONAL'!AK14)*0.02,0)</f>
        <v>0</v>
      </c>
      <c r="AL24" s="124">
        <f>IF('DATOS INICIALES'!AL14="NO",('FACTOR PRESTACIONAL'!AL13+'FACTOR PRESTACIONAL'!AL14)*0.02,0)</f>
        <v>0</v>
      </c>
      <c r="AM24" s="124">
        <f>IF('DATOS INICIALES'!AM14="NO",('FACTOR PRESTACIONAL'!AM13+'FACTOR PRESTACIONAL'!AM14)*0.02,0)</f>
        <v>0</v>
      </c>
      <c r="AN24" s="124">
        <f>IF('DATOS INICIALES'!AN14="NO",('FACTOR PRESTACIONAL'!AN13+'FACTOR PRESTACIONAL'!AN14)*0.02,0)</f>
        <v>0</v>
      </c>
      <c r="AO24" s="124">
        <f>IF('DATOS INICIALES'!AO14="NO",('FACTOR PRESTACIONAL'!AO13+'FACTOR PRESTACIONAL'!AO14)*0.02,0)</f>
        <v>0</v>
      </c>
      <c r="AP24" s="124">
        <f>IF('DATOS INICIALES'!AP14="NO",('FACTOR PRESTACIONAL'!AP13+'FACTOR PRESTACIONAL'!AP14)*0.02,0)</f>
        <v>0</v>
      </c>
      <c r="AQ24" s="124">
        <f>IF('DATOS INICIALES'!AQ14="NO",('FACTOR PRESTACIONAL'!AQ13+'FACTOR PRESTACIONAL'!AQ14)*0.02,0)</f>
        <v>0</v>
      </c>
      <c r="AR24" s="124">
        <f>IF('DATOS INICIALES'!AR14="NO",('FACTOR PRESTACIONAL'!AR13+'FACTOR PRESTACIONAL'!AR14)*0.02,0)</f>
        <v>0</v>
      </c>
      <c r="AS24" s="124">
        <f>IF('DATOS INICIALES'!AS14="NO",('FACTOR PRESTACIONAL'!AS13+'FACTOR PRESTACIONAL'!AS14)*0.02,0)</f>
        <v>0</v>
      </c>
      <c r="AT24" s="124">
        <f>IF('DATOS INICIALES'!AT14="NO",('FACTOR PRESTACIONAL'!AT13+'FACTOR PRESTACIONAL'!AT14)*0.02,0)</f>
        <v>0</v>
      </c>
      <c r="AU24" s="124">
        <f>IF('DATOS INICIALES'!AU14="NO",('FACTOR PRESTACIONAL'!AU13+'FACTOR PRESTACIONAL'!AU14)*0.02,0)</f>
        <v>0</v>
      </c>
      <c r="AV24" s="124">
        <f>IF('DATOS INICIALES'!AV14="NO",('FACTOR PRESTACIONAL'!AV13+'FACTOR PRESTACIONAL'!AV14)*0.02,0)</f>
        <v>0</v>
      </c>
      <c r="AW24" s="124">
        <f>IF('DATOS INICIALES'!AW14="NO",('FACTOR PRESTACIONAL'!AW13+'FACTOR PRESTACIONAL'!AW14)*0.02,0)</f>
        <v>0</v>
      </c>
      <c r="AX24" s="124">
        <f>IF('DATOS INICIALES'!AX14="NO",('FACTOR PRESTACIONAL'!AX13+'FACTOR PRESTACIONAL'!AX14)*0.02,0)</f>
        <v>0</v>
      </c>
      <c r="AY24" s="124">
        <f>IF('DATOS INICIALES'!AY14="NO",('FACTOR PRESTACIONAL'!AY13+'FACTOR PRESTACIONAL'!AY14)*0.02,0)</f>
        <v>0</v>
      </c>
      <c r="AZ24" s="124">
        <f>IF('DATOS INICIALES'!AZ14="NO",('FACTOR PRESTACIONAL'!AZ13+'FACTOR PRESTACIONAL'!AZ14)*0.02,0)</f>
        <v>0</v>
      </c>
      <c r="BA24" s="124">
        <f>IF('DATOS INICIALES'!BA14="NO",('FACTOR PRESTACIONAL'!BA13+'FACTOR PRESTACIONAL'!BA14)*0.02,0)</f>
        <v>0</v>
      </c>
      <c r="BB24" s="124">
        <f>IF('DATOS INICIALES'!BB14="NO",('FACTOR PRESTACIONAL'!BB13+'FACTOR PRESTACIONAL'!BB14)*0.02,0)</f>
        <v>0</v>
      </c>
      <c r="BC24" s="124">
        <f>IF('DATOS INICIALES'!BC14="NO",('FACTOR PRESTACIONAL'!BC13+'FACTOR PRESTACIONAL'!BC14)*0.02,0)</f>
        <v>0</v>
      </c>
      <c r="BD24" s="124">
        <f>IF('DATOS INICIALES'!BD14="NO",('FACTOR PRESTACIONAL'!BD13+'FACTOR PRESTACIONAL'!BD14)*0.02,0)</f>
        <v>0</v>
      </c>
      <c r="BE24" s="124">
        <f>IF('DATOS INICIALES'!BE14="NO",('FACTOR PRESTACIONAL'!BE13+'FACTOR PRESTACIONAL'!BE14)*0.02,0)</f>
        <v>0</v>
      </c>
    </row>
    <row r="25" spans="1:57" ht="24">
      <c r="A25" s="107" t="s">
        <v>268</v>
      </c>
      <c r="B25" s="124">
        <f>IF('DATOS INICIALES'!B14="NO",('FACTOR PRESTACIONAL'!B13+'FACTOR PRESTACIONAL'!B14)*0.03,0)</f>
        <v>0</v>
      </c>
      <c r="C25" s="124">
        <f>IF('DATOS INICIALES'!C14="NO",('FACTOR PRESTACIONAL'!C13+'FACTOR PRESTACIONAL'!C14)*0.03,0)</f>
        <v>0</v>
      </c>
      <c r="D25" s="124">
        <f>IF('DATOS INICIALES'!D14="NO",('FACTOR PRESTACIONAL'!D13+'FACTOR PRESTACIONAL'!D14)*0.03,0)</f>
        <v>0</v>
      </c>
      <c r="E25" s="124">
        <f>IF('DATOS INICIALES'!E14="NO",('FACTOR PRESTACIONAL'!E13+'FACTOR PRESTACIONAL'!E14)*0.03,0)</f>
        <v>0</v>
      </c>
      <c r="F25" s="124">
        <f>IF('DATOS INICIALES'!F14="NO",('FACTOR PRESTACIONAL'!F13+'FACTOR PRESTACIONAL'!F14)*0.03,0)</f>
        <v>0</v>
      </c>
      <c r="G25" s="124">
        <f>IF('DATOS INICIALES'!G14="NO",('FACTOR PRESTACIONAL'!G13+'FACTOR PRESTACIONAL'!G14)*0.03,0)</f>
        <v>0</v>
      </c>
      <c r="H25" s="124">
        <f>IF('DATOS INICIALES'!H14="NO",('FACTOR PRESTACIONAL'!H13+'FACTOR PRESTACIONAL'!H14)*0.03,0)</f>
        <v>0</v>
      </c>
      <c r="I25" s="124">
        <f>IF('DATOS INICIALES'!I14="NO",('FACTOR PRESTACIONAL'!I13+'FACTOR PRESTACIONAL'!I14)*0.03,0)</f>
        <v>0</v>
      </c>
      <c r="J25" s="124">
        <f>IF('DATOS INICIALES'!J14="NO",('FACTOR PRESTACIONAL'!J13+'FACTOR PRESTACIONAL'!J14)*0.03,0)</f>
        <v>0</v>
      </c>
      <c r="K25" s="124">
        <f>IF('DATOS INICIALES'!K14="NO",('FACTOR PRESTACIONAL'!K13+'FACTOR PRESTACIONAL'!K14)*0.03,0)</f>
        <v>0</v>
      </c>
      <c r="L25" s="124">
        <f>IF('DATOS INICIALES'!L14="NO",('FACTOR PRESTACIONAL'!L13+'FACTOR PRESTACIONAL'!L14)*0.03,0)</f>
        <v>0</v>
      </c>
      <c r="M25" s="124">
        <f>IF('DATOS INICIALES'!M14="NO",('FACTOR PRESTACIONAL'!M13+'FACTOR PRESTACIONAL'!M14)*0.03,0)</f>
        <v>0</v>
      </c>
      <c r="N25" s="124">
        <f>IF('DATOS INICIALES'!N14="NO",('FACTOR PRESTACIONAL'!N13+'FACTOR PRESTACIONAL'!N14)*0.03,0)</f>
        <v>0</v>
      </c>
      <c r="O25" s="124">
        <f>IF('DATOS INICIALES'!O14="NO",('FACTOR PRESTACIONAL'!O13+'FACTOR PRESTACIONAL'!O14)*0.03,0)</f>
        <v>0</v>
      </c>
      <c r="P25" s="124">
        <f>IF('DATOS INICIALES'!P14="NO",('FACTOR PRESTACIONAL'!P13+'FACTOR PRESTACIONAL'!P14)*0.03,0)</f>
        <v>0</v>
      </c>
      <c r="Q25" s="124">
        <f>IF('DATOS INICIALES'!Q14="NO",('FACTOR PRESTACIONAL'!Q13+'FACTOR PRESTACIONAL'!Q14)*0.03,0)</f>
        <v>0</v>
      </c>
      <c r="R25" s="124">
        <f>IF('DATOS INICIALES'!R14="NO",('FACTOR PRESTACIONAL'!R13+'FACTOR PRESTACIONAL'!R14)*0.03,0)</f>
        <v>0</v>
      </c>
      <c r="S25" s="124">
        <f>IF('DATOS INICIALES'!S14="NO",('FACTOR PRESTACIONAL'!S13+'FACTOR PRESTACIONAL'!S14)*0.03,0)</f>
        <v>0</v>
      </c>
      <c r="T25" s="124">
        <f>IF('DATOS INICIALES'!T14="NO",('FACTOR PRESTACIONAL'!T13+'FACTOR PRESTACIONAL'!T14)*0.03,0)</f>
        <v>0</v>
      </c>
      <c r="U25" s="124">
        <f>IF('DATOS INICIALES'!U14="NO",('FACTOR PRESTACIONAL'!U13+'FACTOR PRESTACIONAL'!U14)*0.03,0)</f>
        <v>0</v>
      </c>
      <c r="V25" s="124">
        <f>IF('DATOS INICIALES'!V14="NO",('FACTOR PRESTACIONAL'!V13+'FACTOR PRESTACIONAL'!V14)*0.03,0)</f>
        <v>0</v>
      </c>
      <c r="W25" s="124">
        <f>IF('DATOS INICIALES'!W14="NO",('FACTOR PRESTACIONAL'!W13+'FACTOR PRESTACIONAL'!W14)*0.03,0)</f>
        <v>0</v>
      </c>
      <c r="X25" s="124">
        <f>IF('DATOS INICIALES'!X14="NO",('FACTOR PRESTACIONAL'!X13+'FACTOR PRESTACIONAL'!X14)*0.03,0)</f>
        <v>0</v>
      </c>
      <c r="Y25" s="124">
        <f>IF('DATOS INICIALES'!Y14="NO",('FACTOR PRESTACIONAL'!Y13+'FACTOR PRESTACIONAL'!Y14)*0.03,0)</f>
        <v>0</v>
      </c>
      <c r="Z25" s="124">
        <f>IF('DATOS INICIALES'!Z14="NO",('FACTOR PRESTACIONAL'!Z13+'FACTOR PRESTACIONAL'!Z14)*0.03,0)</f>
        <v>0</v>
      </c>
      <c r="AA25" s="124">
        <f>IF('DATOS INICIALES'!AA14="NO",('FACTOR PRESTACIONAL'!AA13+'FACTOR PRESTACIONAL'!AA14)*0.03,0)</f>
        <v>0</v>
      </c>
      <c r="AB25" s="124">
        <f>IF('DATOS INICIALES'!AB14="NO",('FACTOR PRESTACIONAL'!AB13+'FACTOR PRESTACIONAL'!AB14)*0.03,0)</f>
        <v>0</v>
      </c>
      <c r="AC25" s="124">
        <f>IF('DATOS INICIALES'!AC14="NO",('FACTOR PRESTACIONAL'!AC13+'FACTOR PRESTACIONAL'!AC14)*0.03,0)</f>
        <v>0</v>
      </c>
      <c r="AD25" s="124">
        <f>IF('DATOS INICIALES'!AD14="NO",('FACTOR PRESTACIONAL'!AD13+'FACTOR PRESTACIONAL'!AD14)*0.03,0)</f>
        <v>0</v>
      </c>
      <c r="AE25" s="124">
        <f>IF('DATOS INICIALES'!AE14="NO",('FACTOR PRESTACIONAL'!AE13+'FACTOR PRESTACIONAL'!AE14)*0.03,0)</f>
        <v>0</v>
      </c>
      <c r="AF25" s="124">
        <f>IF('DATOS INICIALES'!AF14="NO",('FACTOR PRESTACIONAL'!AF13+'FACTOR PRESTACIONAL'!AF14)*0.03,0)</f>
        <v>0</v>
      </c>
      <c r="AG25" s="124">
        <f>IF('DATOS INICIALES'!AG14="NO",('FACTOR PRESTACIONAL'!AG13+'FACTOR PRESTACIONAL'!AG14)*0.03,0)</f>
        <v>0</v>
      </c>
      <c r="AH25" s="124">
        <f>IF('DATOS INICIALES'!AH14="NO",('FACTOR PRESTACIONAL'!AH13+'FACTOR PRESTACIONAL'!AH14)*0.03,0)</f>
        <v>0</v>
      </c>
      <c r="AI25" s="124">
        <f>IF('DATOS INICIALES'!AI14="NO",('FACTOR PRESTACIONAL'!AI13+'FACTOR PRESTACIONAL'!AI14)*0.03,0)</f>
        <v>0</v>
      </c>
      <c r="AJ25" s="124">
        <f>IF('DATOS INICIALES'!AJ14="NO",('FACTOR PRESTACIONAL'!AJ13+'FACTOR PRESTACIONAL'!AJ14)*0.03,0)</f>
        <v>0</v>
      </c>
      <c r="AK25" s="124">
        <f>IF('DATOS INICIALES'!AK14="NO",('FACTOR PRESTACIONAL'!AK13+'FACTOR PRESTACIONAL'!AK14)*0.03,0)</f>
        <v>0</v>
      </c>
      <c r="AL25" s="124">
        <f>IF('DATOS INICIALES'!AL14="NO",('FACTOR PRESTACIONAL'!AL13+'FACTOR PRESTACIONAL'!AL14)*0.03,0)</f>
        <v>0</v>
      </c>
      <c r="AM25" s="124">
        <f>IF('DATOS INICIALES'!AM14="NO",('FACTOR PRESTACIONAL'!AM13+'FACTOR PRESTACIONAL'!AM14)*0.03,0)</f>
        <v>0</v>
      </c>
      <c r="AN25" s="124">
        <f>IF('DATOS INICIALES'!AN14="NO",('FACTOR PRESTACIONAL'!AN13+'FACTOR PRESTACIONAL'!AN14)*0.03,0)</f>
        <v>0</v>
      </c>
      <c r="AO25" s="124">
        <f>IF('DATOS INICIALES'!AO14="NO",('FACTOR PRESTACIONAL'!AO13+'FACTOR PRESTACIONAL'!AO14)*0.03,0)</f>
        <v>0</v>
      </c>
      <c r="AP25" s="124">
        <f>IF('DATOS INICIALES'!AP14="NO",('FACTOR PRESTACIONAL'!AP13+'FACTOR PRESTACIONAL'!AP14)*0.03,0)</f>
        <v>0</v>
      </c>
      <c r="AQ25" s="124">
        <f>IF('DATOS INICIALES'!AQ14="NO",('FACTOR PRESTACIONAL'!AQ13+'FACTOR PRESTACIONAL'!AQ14)*0.03,0)</f>
        <v>0</v>
      </c>
      <c r="AR25" s="124">
        <f>IF('DATOS INICIALES'!AR14="NO",('FACTOR PRESTACIONAL'!AR13+'FACTOR PRESTACIONAL'!AR14)*0.03,0)</f>
        <v>0</v>
      </c>
      <c r="AS25" s="124">
        <f>IF('DATOS INICIALES'!AS14="NO",('FACTOR PRESTACIONAL'!AS13+'FACTOR PRESTACIONAL'!AS14)*0.03,0)</f>
        <v>0</v>
      </c>
      <c r="AT25" s="124">
        <f>IF('DATOS INICIALES'!AT14="NO",('FACTOR PRESTACIONAL'!AT13+'FACTOR PRESTACIONAL'!AT14)*0.03,0)</f>
        <v>0</v>
      </c>
      <c r="AU25" s="124">
        <f>IF('DATOS INICIALES'!AU14="NO",('FACTOR PRESTACIONAL'!AU13+'FACTOR PRESTACIONAL'!AU14)*0.03,0)</f>
        <v>0</v>
      </c>
      <c r="AV25" s="124">
        <f>IF('DATOS INICIALES'!AV14="NO",('FACTOR PRESTACIONAL'!AV13+'FACTOR PRESTACIONAL'!AV14)*0.03,0)</f>
        <v>0</v>
      </c>
      <c r="AW25" s="124">
        <f>IF('DATOS INICIALES'!AW14="NO",('FACTOR PRESTACIONAL'!AW13+'FACTOR PRESTACIONAL'!AW14)*0.03,0)</f>
        <v>0</v>
      </c>
      <c r="AX25" s="124">
        <f>IF('DATOS INICIALES'!AX14="NO",('FACTOR PRESTACIONAL'!AX13+'FACTOR PRESTACIONAL'!AX14)*0.03,0)</f>
        <v>0</v>
      </c>
      <c r="AY25" s="124">
        <f>IF('DATOS INICIALES'!AY14="NO",('FACTOR PRESTACIONAL'!AY13+'FACTOR PRESTACIONAL'!AY14)*0.03,0)</f>
        <v>0</v>
      </c>
      <c r="AZ25" s="124">
        <f>IF('DATOS INICIALES'!AZ14="NO",('FACTOR PRESTACIONAL'!AZ13+'FACTOR PRESTACIONAL'!AZ14)*0.03,0)</f>
        <v>0</v>
      </c>
      <c r="BA25" s="124">
        <f>IF('DATOS INICIALES'!BA14="NO",('FACTOR PRESTACIONAL'!BA13+'FACTOR PRESTACIONAL'!BA14)*0.03,0)</f>
        <v>0</v>
      </c>
      <c r="BB25" s="124">
        <f>IF('DATOS INICIALES'!BB14="NO",('FACTOR PRESTACIONAL'!BB13+'FACTOR PRESTACIONAL'!BB14)*0.03,0)</f>
        <v>0</v>
      </c>
      <c r="BC25" s="124">
        <f>IF('DATOS INICIALES'!BC14="NO",('FACTOR PRESTACIONAL'!BC13+'FACTOR PRESTACIONAL'!BC14)*0.03,0)</f>
        <v>0</v>
      </c>
      <c r="BD25" s="124">
        <f>IF('DATOS INICIALES'!BD14="NO",('FACTOR PRESTACIONAL'!BD13+'FACTOR PRESTACIONAL'!BD14)*0.03,0)</f>
        <v>0</v>
      </c>
      <c r="BE25" s="124">
        <f>IF('DATOS INICIALES'!BE14="NO",('FACTOR PRESTACIONAL'!BE13+'FACTOR PRESTACIONAL'!BE14)*0.03,0)</f>
        <v>0</v>
      </c>
    </row>
    <row r="26" spans="1:57" ht="21.6" customHeight="1">
      <c r="A26" s="107" t="s">
        <v>269</v>
      </c>
      <c r="B26" s="124">
        <v>100000</v>
      </c>
      <c r="C26" s="124">
        <v>100000</v>
      </c>
      <c r="D26" s="124">
        <v>100000</v>
      </c>
      <c r="E26" s="124">
        <v>100000</v>
      </c>
      <c r="F26" s="124">
        <v>100000</v>
      </c>
      <c r="G26" s="124">
        <v>100000</v>
      </c>
      <c r="H26" s="124">
        <v>100000</v>
      </c>
      <c r="I26" s="124">
        <v>100000</v>
      </c>
      <c r="J26" s="124">
        <v>100000</v>
      </c>
      <c r="K26" s="124">
        <v>100000</v>
      </c>
      <c r="L26" s="124">
        <v>100000</v>
      </c>
      <c r="M26" s="124">
        <v>100000</v>
      </c>
      <c r="N26" s="124">
        <v>100000</v>
      </c>
      <c r="O26" s="124">
        <v>100000</v>
      </c>
      <c r="P26" s="124">
        <v>100000</v>
      </c>
      <c r="Q26" s="124">
        <v>100000</v>
      </c>
      <c r="R26" s="124">
        <v>100000</v>
      </c>
      <c r="S26" s="124">
        <v>100000</v>
      </c>
      <c r="T26" s="124">
        <v>100000</v>
      </c>
      <c r="U26" s="124">
        <v>100000</v>
      </c>
      <c r="V26" s="124">
        <v>100000</v>
      </c>
      <c r="W26" s="124">
        <v>100000</v>
      </c>
      <c r="X26" s="124">
        <v>100000</v>
      </c>
      <c r="Y26" s="124">
        <v>100000</v>
      </c>
      <c r="Z26" s="124">
        <v>100000</v>
      </c>
      <c r="AA26" s="124">
        <v>100000</v>
      </c>
      <c r="AB26" s="124">
        <v>100000</v>
      </c>
      <c r="AC26" s="124">
        <v>100000</v>
      </c>
      <c r="AD26" s="124">
        <v>100000</v>
      </c>
      <c r="AE26" s="124">
        <v>100000</v>
      </c>
      <c r="AF26" s="124">
        <v>100000</v>
      </c>
      <c r="AG26" s="124">
        <v>100000</v>
      </c>
      <c r="AH26" s="124">
        <v>100000</v>
      </c>
      <c r="AI26" s="124">
        <v>100000</v>
      </c>
      <c r="AJ26" s="124">
        <v>100000</v>
      </c>
      <c r="AK26" s="124">
        <v>100000</v>
      </c>
      <c r="AL26" s="124">
        <v>100000</v>
      </c>
      <c r="AM26" s="124">
        <v>100000</v>
      </c>
      <c r="AN26" s="124">
        <v>100000</v>
      </c>
      <c r="AO26" s="124">
        <v>100000</v>
      </c>
      <c r="AP26" s="124">
        <v>100000</v>
      </c>
      <c r="AQ26" s="124">
        <v>100000</v>
      </c>
      <c r="AR26" s="124">
        <v>100000</v>
      </c>
      <c r="AS26" s="124">
        <v>100000</v>
      </c>
      <c r="AT26" s="124">
        <v>100000</v>
      </c>
      <c r="AU26" s="124">
        <v>100000</v>
      </c>
      <c r="AV26" s="124">
        <v>100000</v>
      </c>
      <c r="AW26" s="124">
        <v>100000</v>
      </c>
      <c r="AX26" s="124">
        <v>100000</v>
      </c>
      <c r="AY26" s="124">
        <v>100000</v>
      </c>
      <c r="AZ26" s="124">
        <v>100000</v>
      </c>
      <c r="BA26" s="124">
        <v>100000</v>
      </c>
      <c r="BB26" s="124">
        <v>100000</v>
      </c>
      <c r="BC26" s="124">
        <v>100000</v>
      </c>
      <c r="BD26" s="124">
        <v>100000</v>
      </c>
      <c r="BE26" s="124">
        <v>100000</v>
      </c>
    </row>
    <row r="27" spans="1:57">
      <c r="A27" s="107" t="s">
        <v>270</v>
      </c>
      <c r="B27" s="124">
        <f>IF(B10&lt;=2,$C$43,0)</f>
        <v>0</v>
      </c>
      <c r="C27" s="124">
        <f t="shared" ref="C27:BE27" si="8">IF(C10&lt;=2,$C$43,0)</f>
        <v>0</v>
      </c>
      <c r="D27" s="124">
        <f t="shared" si="8"/>
        <v>0</v>
      </c>
      <c r="E27" s="124">
        <f t="shared" si="8"/>
        <v>0</v>
      </c>
      <c r="F27" s="124">
        <f t="shared" si="8"/>
        <v>0</v>
      </c>
      <c r="G27" s="124">
        <f t="shared" si="8"/>
        <v>0</v>
      </c>
      <c r="H27" s="124">
        <f t="shared" si="8"/>
        <v>378000</v>
      </c>
      <c r="I27" s="124">
        <f t="shared" si="8"/>
        <v>0</v>
      </c>
      <c r="J27" s="124">
        <f t="shared" si="8"/>
        <v>0</v>
      </c>
      <c r="K27" s="124">
        <f t="shared" si="8"/>
        <v>0</v>
      </c>
      <c r="L27" s="124">
        <f t="shared" si="8"/>
        <v>378000</v>
      </c>
      <c r="M27" s="124">
        <f t="shared" si="8"/>
        <v>378000</v>
      </c>
      <c r="N27" s="124">
        <f t="shared" si="8"/>
        <v>378000</v>
      </c>
      <c r="O27" s="124">
        <f t="shared" si="8"/>
        <v>378000</v>
      </c>
      <c r="P27" s="124">
        <f t="shared" si="8"/>
        <v>378000</v>
      </c>
      <c r="Q27" s="124">
        <f t="shared" si="8"/>
        <v>0</v>
      </c>
      <c r="R27" s="124">
        <f>IF(R10&lt;=2.35,$C$43,0)</f>
        <v>378000</v>
      </c>
      <c r="S27" s="124">
        <f t="shared" si="8"/>
        <v>378000</v>
      </c>
      <c r="T27" s="124">
        <f t="shared" si="8"/>
        <v>0</v>
      </c>
      <c r="U27" s="124">
        <f t="shared" si="8"/>
        <v>0</v>
      </c>
      <c r="V27" s="124">
        <f>IF(V10&lt;=2.75,$C$43,0)</f>
        <v>378000</v>
      </c>
      <c r="W27" s="124">
        <f t="shared" si="8"/>
        <v>378000</v>
      </c>
      <c r="X27" s="124">
        <f t="shared" si="8"/>
        <v>378000</v>
      </c>
      <c r="Y27" s="124">
        <f t="shared" si="8"/>
        <v>378000</v>
      </c>
      <c r="Z27" s="124">
        <f t="shared" si="8"/>
        <v>378000</v>
      </c>
      <c r="AA27" s="124">
        <f t="shared" si="8"/>
        <v>378000</v>
      </c>
      <c r="AB27" s="124">
        <f t="shared" si="8"/>
        <v>378000</v>
      </c>
      <c r="AC27" s="124">
        <f t="shared" si="8"/>
        <v>378000</v>
      </c>
      <c r="AD27" s="124">
        <f t="shared" si="8"/>
        <v>378000</v>
      </c>
      <c r="AE27" s="124">
        <f t="shared" si="8"/>
        <v>378000</v>
      </c>
      <c r="AF27" s="124">
        <f t="shared" si="8"/>
        <v>378000</v>
      </c>
      <c r="AG27" s="124">
        <f t="shared" si="8"/>
        <v>378000</v>
      </c>
      <c r="AH27" s="124">
        <f t="shared" si="8"/>
        <v>378000</v>
      </c>
      <c r="AI27" s="124">
        <f>IF(AI10&lt;=2.25,$C$43,0)</f>
        <v>378000</v>
      </c>
      <c r="AJ27" s="124">
        <f>IF(AJ10&lt;=3.2,$C$43,0)</f>
        <v>378000</v>
      </c>
      <c r="AK27" s="124">
        <f t="shared" si="8"/>
        <v>378000</v>
      </c>
      <c r="AL27" s="124">
        <f t="shared" si="8"/>
        <v>378000</v>
      </c>
      <c r="AM27" s="124">
        <f t="shared" si="8"/>
        <v>378000</v>
      </c>
      <c r="AN27" s="124">
        <f t="shared" si="8"/>
        <v>0</v>
      </c>
      <c r="AO27" s="124">
        <f t="shared" si="8"/>
        <v>0</v>
      </c>
      <c r="AP27" s="124">
        <f t="shared" si="8"/>
        <v>0</v>
      </c>
      <c r="AQ27" s="124">
        <f t="shared" si="8"/>
        <v>0</v>
      </c>
      <c r="AR27" s="124">
        <f t="shared" si="8"/>
        <v>0</v>
      </c>
      <c r="AS27" s="124">
        <f t="shared" si="8"/>
        <v>0</v>
      </c>
      <c r="AT27" s="124">
        <f t="shared" si="8"/>
        <v>0</v>
      </c>
      <c r="AU27" s="124">
        <f t="shared" si="8"/>
        <v>0</v>
      </c>
      <c r="AV27" s="124">
        <f t="shared" si="8"/>
        <v>0</v>
      </c>
      <c r="AW27" s="124">
        <f t="shared" si="8"/>
        <v>0</v>
      </c>
      <c r="AX27" s="124">
        <f t="shared" si="8"/>
        <v>0</v>
      </c>
      <c r="AY27" s="124">
        <f t="shared" si="8"/>
        <v>0</v>
      </c>
      <c r="AZ27" s="124">
        <f t="shared" si="8"/>
        <v>0</v>
      </c>
      <c r="BA27" s="124">
        <f t="shared" si="8"/>
        <v>0</v>
      </c>
      <c r="BB27" s="124">
        <f t="shared" si="8"/>
        <v>0</v>
      </c>
      <c r="BC27" s="124">
        <f t="shared" si="8"/>
        <v>378000</v>
      </c>
      <c r="BD27" s="124">
        <f t="shared" si="8"/>
        <v>378000</v>
      </c>
      <c r="BE27" s="124">
        <f t="shared" si="8"/>
        <v>378000</v>
      </c>
    </row>
    <row r="28" spans="1:57" ht="24">
      <c r="A28" s="107" t="s">
        <v>271</v>
      </c>
      <c r="B28" s="124">
        <f>IF(B9="ADMÓN",$F$70,$F$59)</f>
        <v>390500</v>
      </c>
      <c r="C28" s="124">
        <f t="shared" ref="C28:BE28" si="9">IF(C9="ADMÓN",$F$70,$F$59)</f>
        <v>390500</v>
      </c>
      <c r="D28" s="124">
        <f t="shared" si="9"/>
        <v>390500</v>
      </c>
      <c r="E28" s="124">
        <f t="shared" si="9"/>
        <v>390500</v>
      </c>
      <c r="F28" s="124">
        <f t="shared" si="9"/>
        <v>390500</v>
      </c>
      <c r="G28" s="124">
        <f t="shared" si="9"/>
        <v>390500</v>
      </c>
      <c r="H28" s="124">
        <f t="shared" si="9"/>
        <v>390500</v>
      </c>
      <c r="I28" s="124">
        <f t="shared" si="9"/>
        <v>390500</v>
      </c>
      <c r="J28" s="124">
        <f t="shared" si="9"/>
        <v>390500</v>
      </c>
      <c r="K28" s="124">
        <f t="shared" si="9"/>
        <v>390500</v>
      </c>
      <c r="L28" s="124">
        <f t="shared" si="9"/>
        <v>390500</v>
      </c>
      <c r="M28" s="124">
        <f t="shared" si="9"/>
        <v>390500</v>
      </c>
      <c r="N28" s="124">
        <f t="shared" si="9"/>
        <v>390500</v>
      </c>
      <c r="O28" s="124">
        <f t="shared" si="9"/>
        <v>390500</v>
      </c>
      <c r="P28" s="124">
        <f t="shared" si="9"/>
        <v>390500</v>
      </c>
      <c r="Q28" s="124">
        <f t="shared" si="9"/>
        <v>662200</v>
      </c>
      <c r="R28" s="124">
        <f t="shared" si="9"/>
        <v>662200</v>
      </c>
      <c r="S28" s="124">
        <f t="shared" si="9"/>
        <v>662200</v>
      </c>
      <c r="T28" s="124">
        <f t="shared" si="9"/>
        <v>662200</v>
      </c>
      <c r="U28" s="124">
        <f t="shared" si="9"/>
        <v>662200</v>
      </c>
      <c r="V28" s="124">
        <f t="shared" si="9"/>
        <v>662200</v>
      </c>
      <c r="W28" s="124">
        <f t="shared" si="9"/>
        <v>662200</v>
      </c>
      <c r="X28" s="124">
        <f t="shared" si="9"/>
        <v>662200</v>
      </c>
      <c r="Y28" s="124">
        <f t="shared" si="9"/>
        <v>662200</v>
      </c>
      <c r="Z28" s="124">
        <f t="shared" si="9"/>
        <v>662200</v>
      </c>
      <c r="AA28" s="124">
        <f t="shared" si="9"/>
        <v>662200</v>
      </c>
      <c r="AB28" s="124">
        <f t="shared" si="9"/>
        <v>662200</v>
      </c>
      <c r="AC28" s="124">
        <f t="shared" si="9"/>
        <v>662200</v>
      </c>
      <c r="AD28" s="124">
        <f t="shared" si="9"/>
        <v>662200</v>
      </c>
      <c r="AE28" s="124">
        <f t="shared" si="9"/>
        <v>662200</v>
      </c>
      <c r="AF28" s="124">
        <f t="shared" si="9"/>
        <v>662200</v>
      </c>
      <c r="AG28" s="124">
        <f t="shared" si="9"/>
        <v>662200</v>
      </c>
      <c r="AH28" s="124">
        <f t="shared" si="9"/>
        <v>662200</v>
      </c>
      <c r="AI28" s="124">
        <f t="shared" si="9"/>
        <v>662200</v>
      </c>
      <c r="AJ28" s="124">
        <f t="shared" si="9"/>
        <v>662200</v>
      </c>
      <c r="AK28" s="124">
        <f t="shared" si="9"/>
        <v>662200</v>
      </c>
      <c r="AL28" s="124">
        <f t="shared" si="9"/>
        <v>662200</v>
      </c>
      <c r="AM28" s="124">
        <f t="shared" si="9"/>
        <v>662200</v>
      </c>
      <c r="AN28" s="124">
        <f t="shared" si="9"/>
        <v>390500</v>
      </c>
      <c r="AO28" s="124">
        <f t="shared" si="9"/>
        <v>390500</v>
      </c>
      <c r="AP28" s="124">
        <f t="shared" si="9"/>
        <v>390500</v>
      </c>
      <c r="AQ28" s="124">
        <f t="shared" si="9"/>
        <v>390500</v>
      </c>
      <c r="AR28" s="124">
        <f t="shared" si="9"/>
        <v>390500</v>
      </c>
      <c r="AS28" s="124">
        <f t="shared" si="9"/>
        <v>390500</v>
      </c>
      <c r="AT28" s="124">
        <f t="shared" si="9"/>
        <v>390500</v>
      </c>
      <c r="AU28" s="124">
        <f t="shared" si="9"/>
        <v>390500</v>
      </c>
      <c r="AV28" s="124">
        <f t="shared" si="9"/>
        <v>390500</v>
      </c>
      <c r="AW28" s="124">
        <f t="shared" si="9"/>
        <v>390500</v>
      </c>
      <c r="AX28" s="124">
        <f t="shared" si="9"/>
        <v>390500</v>
      </c>
      <c r="AY28" s="124">
        <f t="shared" si="9"/>
        <v>390500</v>
      </c>
      <c r="AZ28" s="124">
        <f t="shared" si="9"/>
        <v>390500</v>
      </c>
      <c r="BA28" s="124">
        <f t="shared" si="9"/>
        <v>390500</v>
      </c>
      <c r="BB28" s="124">
        <f t="shared" si="9"/>
        <v>390500</v>
      </c>
      <c r="BC28" s="124">
        <f t="shared" si="9"/>
        <v>390500</v>
      </c>
      <c r="BD28" s="124">
        <f t="shared" si="9"/>
        <v>662200</v>
      </c>
      <c r="BE28" s="124">
        <f t="shared" si="9"/>
        <v>662200</v>
      </c>
    </row>
    <row r="29" spans="1:57">
      <c r="A29" s="108" t="s">
        <v>272</v>
      </c>
      <c r="B29" s="141">
        <f>SUM(B13:B28)</f>
        <v>128093040</v>
      </c>
      <c r="C29" s="141">
        <f t="shared" ref="C29:BE29" si="10">SUM(C13:C28)</f>
        <v>128093040</v>
      </c>
      <c r="D29" s="141">
        <f t="shared" si="10"/>
        <v>77222844</v>
      </c>
      <c r="E29" s="141">
        <f t="shared" si="10"/>
        <v>77222844</v>
      </c>
      <c r="F29" s="141">
        <f t="shared" si="10"/>
        <v>69592314</v>
      </c>
      <c r="G29" s="141">
        <f t="shared" si="10"/>
        <v>77222844</v>
      </c>
      <c r="H29" s="141">
        <f t="shared" si="10"/>
        <v>55739346</v>
      </c>
      <c r="I29" s="141">
        <f t="shared" si="10"/>
        <v>59418276</v>
      </c>
      <c r="J29" s="141">
        <f t="shared" si="10"/>
        <v>171332706</v>
      </c>
      <c r="K29" s="141">
        <f t="shared" si="10"/>
        <v>117919001</v>
      </c>
      <c r="L29" s="141">
        <f t="shared" si="10"/>
        <v>51924081</v>
      </c>
      <c r="M29" s="141">
        <f t="shared" si="10"/>
        <v>41750042</v>
      </c>
      <c r="N29" s="141">
        <f t="shared" si="10"/>
        <v>30304248</v>
      </c>
      <c r="O29" s="141">
        <f t="shared" si="10"/>
        <v>30304248</v>
      </c>
      <c r="P29" s="141">
        <f t="shared" si="10"/>
        <v>30304248</v>
      </c>
      <c r="Q29" s="141">
        <f t="shared" si="10"/>
        <v>123277721</v>
      </c>
      <c r="R29" s="141">
        <f t="shared" si="10"/>
        <v>61339731</v>
      </c>
      <c r="S29" s="141">
        <f t="shared" si="10"/>
        <v>39478233</v>
      </c>
      <c r="T29" s="141">
        <f t="shared" si="10"/>
        <v>26204450</v>
      </c>
      <c r="U29" s="141">
        <f t="shared" si="10"/>
        <v>59689976</v>
      </c>
      <c r="V29" s="141">
        <f t="shared" si="10"/>
        <v>71513770</v>
      </c>
      <c r="W29" s="141">
        <f t="shared" si="10"/>
        <v>38206477</v>
      </c>
      <c r="X29" s="141">
        <f t="shared" si="10"/>
        <v>56011046</v>
      </c>
      <c r="Y29" s="141">
        <f t="shared" si="10"/>
        <v>35662968</v>
      </c>
      <c r="Z29" s="141">
        <f t="shared" si="10"/>
        <v>56011046</v>
      </c>
      <c r="AA29" s="141">
        <f t="shared" si="10"/>
        <v>33119458</v>
      </c>
      <c r="AB29" s="141">
        <f t="shared" si="10"/>
        <v>56011046</v>
      </c>
      <c r="AC29" s="141">
        <f t="shared" si="10"/>
        <v>56011046</v>
      </c>
      <c r="AD29" s="141">
        <f t="shared" si="10"/>
        <v>56011046</v>
      </c>
      <c r="AE29" s="141">
        <f t="shared" si="10"/>
        <v>56011046</v>
      </c>
      <c r="AF29" s="141">
        <f t="shared" si="10"/>
        <v>38206477</v>
      </c>
      <c r="AG29" s="141">
        <f t="shared" si="10"/>
        <v>33119458</v>
      </c>
      <c r="AH29" s="141">
        <f t="shared" si="10"/>
        <v>38206477</v>
      </c>
      <c r="AI29" s="141">
        <f t="shared" si="10"/>
        <v>58796221</v>
      </c>
      <c r="AJ29" s="141">
        <f t="shared" si="10"/>
        <v>82959564</v>
      </c>
      <c r="AK29" s="141">
        <f t="shared" si="10"/>
        <v>30575948</v>
      </c>
      <c r="AL29" s="141">
        <f t="shared" si="10"/>
        <v>30575948</v>
      </c>
      <c r="AM29" s="141">
        <f t="shared" si="10"/>
        <v>30575948</v>
      </c>
      <c r="AN29" s="141">
        <f t="shared" si="10"/>
        <v>128093040</v>
      </c>
      <c r="AO29" s="141">
        <f t="shared" si="10"/>
        <v>59418276</v>
      </c>
      <c r="AP29" s="141">
        <f t="shared" si="10"/>
        <v>171332706</v>
      </c>
      <c r="AQ29" s="141">
        <f t="shared" si="10"/>
        <v>59418276</v>
      </c>
      <c r="AR29" s="141">
        <f t="shared" si="10"/>
        <v>153528138</v>
      </c>
      <c r="AS29" s="141">
        <f t="shared" si="10"/>
        <v>140810589</v>
      </c>
      <c r="AT29" s="141">
        <f t="shared" si="10"/>
        <v>153528138</v>
      </c>
      <c r="AU29" s="141">
        <f t="shared" si="10"/>
        <v>153528138</v>
      </c>
      <c r="AV29" s="141">
        <f t="shared" si="10"/>
        <v>140810589</v>
      </c>
      <c r="AW29" s="141">
        <f t="shared" si="10"/>
        <v>153528138</v>
      </c>
      <c r="AX29" s="141">
        <f t="shared" si="10"/>
        <v>153528138</v>
      </c>
      <c r="AY29" s="141">
        <f t="shared" si="10"/>
        <v>153528138</v>
      </c>
      <c r="AZ29" s="141">
        <f t="shared" si="10"/>
        <v>140810589</v>
      </c>
      <c r="BA29" s="141">
        <f t="shared" si="10"/>
        <v>140810589</v>
      </c>
      <c r="BB29" s="141">
        <f t="shared" si="10"/>
        <v>140810589</v>
      </c>
      <c r="BC29" s="141">
        <f t="shared" si="10"/>
        <v>55739346</v>
      </c>
      <c r="BD29" s="141">
        <f t="shared" si="10"/>
        <v>5140850</v>
      </c>
      <c r="BE29" s="141">
        <f t="shared" si="10"/>
        <v>5140850</v>
      </c>
    </row>
    <row r="30" spans="1:57">
      <c r="A30" s="108" t="s">
        <v>251</v>
      </c>
      <c r="B30" s="141">
        <f>ROUND(B13/365,0)</f>
        <v>234000</v>
      </c>
      <c r="C30" s="141">
        <f t="shared" ref="C30:BE30" si="11">ROUND(C13/365,0)</f>
        <v>234000</v>
      </c>
      <c r="D30" s="141">
        <f t="shared" si="11"/>
        <v>140400</v>
      </c>
      <c r="E30" s="141">
        <f t="shared" si="11"/>
        <v>140400</v>
      </c>
      <c r="F30" s="141">
        <f t="shared" si="11"/>
        <v>126360</v>
      </c>
      <c r="G30" s="141">
        <f t="shared" si="11"/>
        <v>140400</v>
      </c>
      <c r="H30" s="141">
        <f t="shared" si="11"/>
        <v>93600</v>
      </c>
      <c r="I30" s="141">
        <f t="shared" si="11"/>
        <v>107640</v>
      </c>
      <c r="J30" s="141">
        <f t="shared" si="11"/>
        <v>313560</v>
      </c>
      <c r="K30" s="141">
        <f t="shared" si="11"/>
        <v>215280</v>
      </c>
      <c r="L30" s="141">
        <f t="shared" si="11"/>
        <v>86580</v>
      </c>
      <c r="M30" s="141">
        <f t="shared" si="11"/>
        <v>67860</v>
      </c>
      <c r="N30" s="141">
        <f t="shared" si="11"/>
        <v>46800</v>
      </c>
      <c r="O30" s="141">
        <f t="shared" si="11"/>
        <v>46800</v>
      </c>
      <c r="P30" s="141">
        <f t="shared" si="11"/>
        <v>46800</v>
      </c>
      <c r="Q30" s="141">
        <f t="shared" si="11"/>
        <v>224640</v>
      </c>
      <c r="R30" s="141">
        <f t="shared" si="11"/>
        <v>109980</v>
      </c>
      <c r="S30" s="141">
        <f t="shared" si="11"/>
        <v>63180</v>
      </c>
      <c r="T30" s="141">
        <f t="shared" si="11"/>
        <v>46027</v>
      </c>
      <c r="U30" s="141">
        <f t="shared" si="11"/>
        <v>107640</v>
      </c>
      <c r="V30" s="141">
        <f t="shared" si="11"/>
        <v>128700</v>
      </c>
      <c r="W30" s="141">
        <f t="shared" si="11"/>
        <v>60840</v>
      </c>
      <c r="X30" s="141">
        <f t="shared" si="11"/>
        <v>93600</v>
      </c>
      <c r="Y30" s="141">
        <f t="shared" si="11"/>
        <v>56160</v>
      </c>
      <c r="Z30" s="141">
        <f t="shared" si="11"/>
        <v>93600</v>
      </c>
      <c r="AA30" s="141">
        <f t="shared" si="11"/>
        <v>51480</v>
      </c>
      <c r="AB30" s="141">
        <f t="shared" si="11"/>
        <v>93600</v>
      </c>
      <c r="AC30" s="141">
        <f t="shared" si="11"/>
        <v>93600</v>
      </c>
      <c r="AD30" s="141">
        <f t="shared" si="11"/>
        <v>93600</v>
      </c>
      <c r="AE30" s="141">
        <f t="shared" si="11"/>
        <v>93600</v>
      </c>
      <c r="AF30" s="141">
        <f t="shared" si="11"/>
        <v>60840</v>
      </c>
      <c r="AG30" s="141">
        <f t="shared" si="11"/>
        <v>51480</v>
      </c>
      <c r="AH30" s="141">
        <f t="shared" si="11"/>
        <v>60840</v>
      </c>
      <c r="AI30" s="141">
        <f t="shared" si="11"/>
        <v>105300</v>
      </c>
      <c r="AJ30" s="141">
        <f t="shared" si="11"/>
        <v>149760</v>
      </c>
      <c r="AK30" s="141">
        <f t="shared" si="11"/>
        <v>46800</v>
      </c>
      <c r="AL30" s="141">
        <f t="shared" si="11"/>
        <v>46800</v>
      </c>
      <c r="AM30" s="141">
        <f t="shared" si="11"/>
        <v>46800</v>
      </c>
      <c r="AN30" s="141">
        <f t="shared" si="11"/>
        <v>234000</v>
      </c>
      <c r="AO30" s="141">
        <f t="shared" si="11"/>
        <v>107640</v>
      </c>
      <c r="AP30" s="141">
        <f t="shared" si="11"/>
        <v>313560</v>
      </c>
      <c r="AQ30" s="141">
        <f t="shared" si="11"/>
        <v>107640</v>
      </c>
      <c r="AR30" s="141">
        <f t="shared" si="11"/>
        <v>280800</v>
      </c>
      <c r="AS30" s="141">
        <f t="shared" si="11"/>
        <v>257400</v>
      </c>
      <c r="AT30" s="141">
        <f t="shared" si="11"/>
        <v>280800</v>
      </c>
      <c r="AU30" s="141">
        <f t="shared" si="11"/>
        <v>280800</v>
      </c>
      <c r="AV30" s="141">
        <f t="shared" si="11"/>
        <v>257400</v>
      </c>
      <c r="AW30" s="141">
        <f t="shared" si="11"/>
        <v>280800</v>
      </c>
      <c r="AX30" s="141">
        <f t="shared" si="11"/>
        <v>280800</v>
      </c>
      <c r="AY30" s="141">
        <f t="shared" si="11"/>
        <v>280800</v>
      </c>
      <c r="AZ30" s="141">
        <f t="shared" si="11"/>
        <v>257400</v>
      </c>
      <c r="BA30" s="141">
        <f t="shared" si="11"/>
        <v>257400</v>
      </c>
      <c r="BB30" s="141">
        <f t="shared" si="11"/>
        <v>257400</v>
      </c>
      <c r="BC30" s="141">
        <f t="shared" si="11"/>
        <v>93600</v>
      </c>
      <c r="BD30" s="141">
        <f t="shared" si="11"/>
        <v>0</v>
      </c>
      <c r="BE30" s="141">
        <f t="shared" si="11"/>
        <v>0</v>
      </c>
    </row>
    <row r="31" spans="1:57">
      <c r="A31" s="108" t="s">
        <v>252</v>
      </c>
      <c r="B31" s="141">
        <f>ROUND((B29/365-B30),0)</f>
        <v>116940</v>
      </c>
      <c r="C31" s="141">
        <f t="shared" ref="C31:BE31" si="12">ROUND((C29/365-C30),0)</f>
        <v>116940</v>
      </c>
      <c r="D31" s="141">
        <f t="shared" si="12"/>
        <v>71169</v>
      </c>
      <c r="E31" s="141">
        <f t="shared" si="12"/>
        <v>71169</v>
      </c>
      <c r="F31" s="141">
        <f t="shared" si="12"/>
        <v>64304</v>
      </c>
      <c r="G31" s="141">
        <f t="shared" si="12"/>
        <v>71169</v>
      </c>
      <c r="H31" s="141">
        <f t="shared" si="12"/>
        <v>59111</v>
      </c>
      <c r="I31" s="141">
        <f t="shared" si="12"/>
        <v>55150</v>
      </c>
      <c r="J31" s="141">
        <f t="shared" si="12"/>
        <v>155845</v>
      </c>
      <c r="K31" s="141">
        <f t="shared" si="12"/>
        <v>107786</v>
      </c>
      <c r="L31" s="141">
        <f t="shared" si="12"/>
        <v>55678</v>
      </c>
      <c r="M31" s="141">
        <f t="shared" si="12"/>
        <v>46524</v>
      </c>
      <c r="N31" s="141">
        <f t="shared" si="12"/>
        <v>36225</v>
      </c>
      <c r="O31" s="141">
        <f t="shared" si="12"/>
        <v>36225</v>
      </c>
      <c r="P31" s="141">
        <f t="shared" si="12"/>
        <v>36225</v>
      </c>
      <c r="Q31" s="141">
        <f t="shared" si="12"/>
        <v>113107</v>
      </c>
      <c r="R31" s="141">
        <f t="shared" si="12"/>
        <v>58074</v>
      </c>
      <c r="S31" s="141">
        <f t="shared" si="12"/>
        <v>44980</v>
      </c>
      <c r="T31" s="141">
        <f t="shared" si="12"/>
        <v>25766</v>
      </c>
      <c r="U31" s="141">
        <f t="shared" si="12"/>
        <v>55894</v>
      </c>
      <c r="V31" s="141">
        <f t="shared" si="12"/>
        <v>67228</v>
      </c>
      <c r="W31" s="141">
        <f t="shared" si="12"/>
        <v>43835</v>
      </c>
      <c r="X31" s="141">
        <f t="shared" si="12"/>
        <v>59855</v>
      </c>
      <c r="Y31" s="141">
        <f t="shared" si="12"/>
        <v>41547</v>
      </c>
      <c r="Z31" s="141">
        <f t="shared" si="12"/>
        <v>59855</v>
      </c>
      <c r="AA31" s="141">
        <f t="shared" si="12"/>
        <v>39258</v>
      </c>
      <c r="AB31" s="141">
        <f t="shared" si="12"/>
        <v>59855</v>
      </c>
      <c r="AC31" s="141">
        <f t="shared" si="12"/>
        <v>59855</v>
      </c>
      <c r="AD31" s="141">
        <f t="shared" si="12"/>
        <v>59855</v>
      </c>
      <c r="AE31" s="141">
        <f t="shared" si="12"/>
        <v>59855</v>
      </c>
      <c r="AF31" s="141">
        <f t="shared" si="12"/>
        <v>43835</v>
      </c>
      <c r="AG31" s="141">
        <f t="shared" si="12"/>
        <v>39258</v>
      </c>
      <c r="AH31" s="141">
        <f t="shared" si="12"/>
        <v>43835</v>
      </c>
      <c r="AI31" s="141">
        <f t="shared" si="12"/>
        <v>55786</v>
      </c>
      <c r="AJ31" s="141">
        <f t="shared" si="12"/>
        <v>77526</v>
      </c>
      <c r="AK31" s="141">
        <f t="shared" si="12"/>
        <v>36970</v>
      </c>
      <c r="AL31" s="141">
        <f t="shared" si="12"/>
        <v>36970</v>
      </c>
      <c r="AM31" s="141">
        <f t="shared" si="12"/>
        <v>36970</v>
      </c>
      <c r="AN31" s="141">
        <f t="shared" si="12"/>
        <v>116940</v>
      </c>
      <c r="AO31" s="141">
        <f t="shared" si="12"/>
        <v>55150</v>
      </c>
      <c r="AP31" s="141">
        <f t="shared" si="12"/>
        <v>155845</v>
      </c>
      <c r="AQ31" s="141">
        <f t="shared" si="12"/>
        <v>55150</v>
      </c>
      <c r="AR31" s="141">
        <f t="shared" si="12"/>
        <v>139825</v>
      </c>
      <c r="AS31" s="141">
        <f t="shared" si="12"/>
        <v>128382</v>
      </c>
      <c r="AT31" s="141">
        <f t="shared" si="12"/>
        <v>139825</v>
      </c>
      <c r="AU31" s="141">
        <f t="shared" si="12"/>
        <v>139825</v>
      </c>
      <c r="AV31" s="141">
        <f t="shared" si="12"/>
        <v>128382</v>
      </c>
      <c r="AW31" s="141">
        <f t="shared" si="12"/>
        <v>139825</v>
      </c>
      <c r="AX31" s="141">
        <f t="shared" si="12"/>
        <v>139825</v>
      </c>
      <c r="AY31" s="141">
        <f t="shared" si="12"/>
        <v>139825</v>
      </c>
      <c r="AZ31" s="141">
        <f t="shared" si="12"/>
        <v>128382</v>
      </c>
      <c r="BA31" s="141">
        <f t="shared" si="12"/>
        <v>128382</v>
      </c>
      <c r="BB31" s="141">
        <f t="shared" si="12"/>
        <v>128382</v>
      </c>
      <c r="BC31" s="141">
        <f t="shared" si="12"/>
        <v>59111</v>
      </c>
      <c r="BD31" s="141">
        <f t="shared" si="12"/>
        <v>14085</v>
      </c>
      <c r="BE31" s="141">
        <f t="shared" si="12"/>
        <v>14085</v>
      </c>
    </row>
    <row r="32" spans="1:57" ht="27.6" customHeight="1">
      <c r="A32" s="109" t="s">
        <v>250</v>
      </c>
      <c r="B32" s="142">
        <f>IFERROR(ROUND((B29/B13),2),0)</f>
        <v>1.5</v>
      </c>
      <c r="C32" s="142">
        <f t="shared" ref="C32:BE32" si="13">IFERROR(ROUND((C29/C13),2),0)</f>
        <v>1.5</v>
      </c>
      <c r="D32" s="142">
        <f t="shared" si="13"/>
        <v>1.51</v>
      </c>
      <c r="E32" s="142">
        <f t="shared" si="13"/>
        <v>1.51</v>
      </c>
      <c r="F32" s="142">
        <f t="shared" si="13"/>
        <v>1.51</v>
      </c>
      <c r="G32" s="142">
        <f t="shared" si="13"/>
        <v>1.51</v>
      </c>
      <c r="H32" s="142">
        <f t="shared" si="13"/>
        <v>1.63</v>
      </c>
      <c r="I32" s="142">
        <f t="shared" si="13"/>
        <v>1.51</v>
      </c>
      <c r="J32" s="142">
        <f t="shared" si="13"/>
        <v>1.5</v>
      </c>
      <c r="K32" s="142">
        <f t="shared" si="13"/>
        <v>1.5</v>
      </c>
      <c r="L32" s="142">
        <f t="shared" si="13"/>
        <v>1.64</v>
      </c>
      <c r="M32" s="142">
        <f t="shared" si="13"/>
        <v>1.69</v>
      </c>
      <c r="N32" s="142">
        <f t="shared" si="13"/>
        <v>1.77</v>
      </c>
      <c r="O32" s="142">
        <f t="shared" si="13"/>
        <v>1.77</v>
      </c>
      <c r="P32" s="142">
        <f t="shared" si="13"/>
        <v>1.77</v>
      </c>
      <c r="Q32" s="142">
        <f t="shared" si="13"/>
        <v>1.5</v>
      </c>
      <c r="R32" s="142">
        <f t="shared" si="13"/>
        <v>1.53</v>
      </c>
      <c r="S32" s="142">
        <f t="shared" si="13"/>
        <v>1.71</v>
      </c>
      <c r="T32" s="142">
        <f t="shared" si="13"/>
        <v>1.56</v>
      </c>
      <c r="U32" s="142">
        <f t="shared" si="13"/>
        <v>1.52</v>
      </c>
      <c r="V32" s="142">
        <f t="shared" si="13"/>
        <v>1.52</v>
      </c>
      <c r="W32" s="142">
        <f t="shared" si="13"/>
        <v>1.72</v>
      </c>
      <c r="X32" s="142">
        <f t="shared" si="13"/>
        <v>1.64</v>
      </c>
      <c r="Y32" s="142">
        <f t="shared" si="13"/>
        <v>1.74</v>
      </c>
      <c r="Z32" s="142">
        <f t="shared" si="13"/>
        <v>1.64</v>
      </c>
      <c r="AA32" s="142">
        <f t="shared" si="13"/>
        <v>1.76</v>
      </c>
      <c r="AB32" s="142">
        <f t="shared" si="13"/>
        <v>1.64</v>
      </c>
      <c r="AC32" s="142">
        <f t="shared" si="13"/>
        <v>1.64</v>
      </c>
      <c r="AD32" s="142">
        <f t="shared" si="13"/>
        <v>1.64</v>
      </c>
      <c r="AE32" s="142">
        <f t="shared" si="13"/>
        <v>1.64</v>
      </c>
      <c r="AF32" s="142">
        <f t="shared" si="13"/>
        <v>1.72</v>
      </c>
      <c r="AG32" s="142">
        <f t="shared" si="13"/>
        <v>1.76</v>
      </c>
      <c r="AH32" s="142">
        <f t="shared" si="13"/>
        <v>1.72</v>
      </c>
      <c r="AI32" s="142">
        <f t="shared" si="13"/>
        <v>1.53</v>
      </c>
      <c r="AJ32" s="142">
        <f t="shared" si="13"/>
        <v>1.52</v>
      </c>
      <c r="AK32" s="142">
        <f t="shared" si="13"/>
        <v>1.79</v>
      </c>
      <c r="AL32" s="142">
        <f t="shared" si="13"/>
        <v>1.79</v>
      </c>
      <c r="AM32" s="142">
        <f t="shared" si="13"/>
        <v>1.79</v>
      </c>
      <c r="AN32" s="142">
        <f t="shared" si="13"/>
        <v>1.5</v>
      </c>
      <c r="AO32" s="142">
        <f t="shared" si="13"/>
        <v>1.51</v>
      </c>
      <c r="AP32" s="142">
        <f t="shared" si="13"/>
        <v>1.5</v>
      </c>
      <c r="AQ32" s="142">
        <f t="shared" si="13"/>
        <v>1.51</v>
      </c>
      <c r="AR32" s="142">
        <f t="shared" si="13"/>
        <v>1.5</v>
      </c>
      <c r="AS32" s="142">
        <f t="shared" si="13"/>
        <v>1.5</v>
      </c>
      <c r="AT32" s="142">
        <f t="shared" si="13"/>
        <v>1.5</v>
      </c>
      <c r="AU32" s="142">
        <f t="shared" si="13"/>
        <v>1.5</v>
      </c>
      <c r="AV32" s="142">
        <f t="shared" si="13"/>
        <v>1.5</v>
      </c>
      <c r="AW32" s="142">
        <f t="shared" si="13"/>
        <v>1.5</v>
      </c>
      <c r="AX32" s="142">
        <f t="shared" si="13"/>
        <v>1.5</v>
      </c>
      <c r="AY32" s="142">
        <f t="shared" si="13"/>
        <v>1.5</v>
      </c>
      <c r="AZ32" s="142">
        <f t="shared" si="13"/>
        <v>1.5</v>
      </c>
      <c r="BA32" s="142">
        <f t="shared" si="13"/>
        <v>1.5</v>
      </c>
      <c r="BB32" s="142">
        <f t="shared" si="13"/>
        <v>1.5</v>
      </c>
      <c r="BC32" s="142">
        <f t="shared" si="13"/>
        <v>1.63</v>
      </c>
      <c r="BD32" s="142">
        <f t="shared" si="13"/>
        <v>0</v>
      </c>
      <c r="BE32" s="142">
        <f t="shared" si="13"/>
        <v>0</v>
      </c>
    </row>
    <row r="33" spans="1:10">
      <c r="H33" s="140"/>
      <c r="J33" s="140"/>
    </row>
    <row r="37" spans="1:10" s="18" customFormat="1">
      <c r="A37" s="125" t="s">
        <v>46</v>
      </c>
      <c r="B37" s="126" t="s">
        <v>47</v>
      </c>
      <c r="C37" s="125" t="s">
        <v>382</v>
      </c>
      <c r="D37" s="632" t="s">
        <v>383</v>
      </c>
      <c r="E37" s="632"/>
    </row>
    <row r="38" spans="1:10" ht="26.45" customHeight="1">
      <c r="A38" s="127" t="s">
        <v>384</v>
      </c>
      <c r="B38" s="128" t="s">
        <v>387</v>
      </c>
      <c r="C38" s="128">
        <v>56000</v>
      </c>
      <c r="D38" s="633" t="s">
        <v>392</v>
      </c>
      <c r="E38" s="634"/>
    </row>
    <row r="39" spans="1:10" ht="25.35" customHeight="1">
      <c r="A39" s="127" t="s">
        <v>385</v>
      </c>
      <c r="B39" s="128" t="s">
        <v>388</v>
      </c>
      <c r="C39" s="128">
        <v>35000</v>
      </c>
      <c r="D39" s="633" t="s">
        <v>393</v>
      </c>
      <c r="E39" s="634"/>
    </row>
    <row r="40" spans="1:10" ht="28.35" customHeight="1">
      <c r="A40" s="127" t="s">
        <v>386</v>
      </c>
      <c r="B40" s="128" t="s">
        <v>388</v>
      </c>
      <c r="C40" s="128">
        <v>35000</v>
      </c>
      <c r="D40" s="633" t="s">
        <v>394</v>
      </c>
      <c r="E40" s="634"/>
    </row>
    <row r="41" spans="1:10">
      <c r="A41" s="631" t="s">
        <v>389</v>
      </c>
      <c r="B41" s="631"/>
      <c r="C41" s="129">
        <f>SUM(C38:C40)</f>
        <v>126000</v>
      </c>
    </row>
    <row r="42" spans="1:10">
      <c r="A42" s="631" t="s">
        <v>390</v>
      </c>
      <c r="B42" s="631"/>
      <c r="C42" s="128">
        <v>3</v>
      </c>
    </row>
    <row r="43" spans="1:10">
      <c r="A43" s="631" t="s">
        <v>391</v>
      </c>
      <c r="B43" s="631"/>
      <c r="C43" s="130">
        <f>C41*C42</f>
        <v>378000</v>
      </c>
    </row>
    <row r="46" spans="1:10">
      <c r="A46" s="635" t="s">
        <v>395</v>
      </c>
      <c r="B46" s="635"/>
      <c r="C46" s="635"/>
      <c r="D46" s="635"/>
      <c r="E46" s="635"/>
      <c r="F46" s="635"/>
      <c r="G46" s="635"/>
      <c r="H46" s="635"/>
      <c r="I46" s="635"/>
      <c r="J46" s="635"/>
    </row>
    <row r="47" spans="1:10">
      <c r="A47" s="636" t="s">
        <v>46</v>
      </c>
      <c r="B47" s="636"/>
      <c r="C47" s="131" t="s">
        <v>47</v>
      </c>
      <c r="D47" s="131" t="s">
        <v>48</v>
      </c>
      <c r="E47" s="131" t="s">
        <v>396</v>
      </c>
      <c r="F47" s="132" t="s">
        <v>397</v>
      </c>
      <c r="G47" s="637" t="s">
        <v>383</v>
      </c>
      <c r="H47" s="637"/>
      <c r="I47" s="637"/>
      <c r="J47" s="637"/>
    </row>
    <row r="48" spans="1:10" ht="21" customHeight="1">
      <c r="A48" s="638" t="s">
        <v>398</v>
      </c>
      <c r="B48" s="639"/>
      <c r="C48" s="74" t="s">
        <v>205</v>
      </c>
      <c r="D48" s="74">
        <v>1</v>
      </c>
      <c r="E48" s="133">
        <v>13000</v>
      </c>
      <c r="F48" s="134">
        <f t="shared" ref="F48:F58" si="14">+D48*E48</f>
        <v>13000</v>
      </c>
      <c r="G48" s="640" t="s">
        <v>399</v>
      </c>
      <c r="H48" s="633"/>
      <c r="I48" s="633"/>
      <c r="J48" s="634"/>
    </row>
    <row r="49" spans="1:10" ht="23.45" customHeight="1">
      <c r="A49" s="638" t="s">
        <v>400</v>
      </c>
      <c r="B49" s="639"/>
      <c r="C49" s="74" t="s">
        <v>205</v>
      </c>
      <c r="D49" s="74">
        <v>2</v>
      </c>
      <c r="E49" s="133">
        <v>9000</v>
      </c>
      <c r="F49" s="134">
        <f t="shared" si="14"/>
        <v>18000</v>
      </c>
      <c r="G49" s="640" t="s">
        <v>401</v>
      </c>
      <c r="H49" s="633"/>
      <c r="I49" s="633"/>
      <c r="J49" s="634"/>
    </row>
    <row r="50" spans="1:10" ht="27" customHeight="1">
      <c r="A50" s="641" t="s">
        <v>402</v>
      </c>
      <c r="B50" s="642"/>
      <c r="C50" s="82" t="s">
        <v>403</v>
      </c>
      <c r="D50" s="74">
        <v>5.2</v>
      </c>
      <c r="E50" s="133">
        <v>14000</v>
      </c>
      <c r="F50" s="134">
        <f t="shared" si="14"/>
        <v>72800</v>
      </c>
      <c r="G50" s="640" t="s">
        <v>404</v>
      </c>
      <c r="H50" s="633"/>
      <c r="I50" s="633"/>
      <c r="J50" s="634"/>
    </row>
    <row r="51" spans="1:10" ht="22.35" customHeight="1">
      <c r="A51" s="641" t="s">
        <v>405</v>
      </c>
      <c r="B51" s="642"/>
      <c r="C51" s="82" t="s">
        <v>403</v>
      </c>
      <c r="D51" s="74">
        <v>26</v>
      </c>
      <c r="E51" s="133">
        <v>5000</v>
      </c>
      <c r="F51" s="134">
        <f t="shared" si="14"/>
        <v>130000</v>
      </c>
      <c r="G51" s="640" t="s">
        <v>406</v>
      </c>
      <c r="H51" s="633"/>
      <c r="I51" s="633"/>
      <c r="J51" s="634"/>
    </row>
    <row r="52" spans="1:10" ht="26.1" customHeight="1">
      <c r="A52" s="641" t="s">
        <v>407</v>
      </c>
      <c r="B52" s="642"/>
      <c r="C52" s="82" t="s">
        <v>403</v>
      </c>
      <c r="D52" s="74">
        <v>1.3</v>
      </c>
      <c r="E52" s="133">
        <v>41000</v>
      </c>
      <c r="F52" s="134">
        <f t="shared" si="14"/>
        <v>53300</v>
      </c>
      <c r="G52" s="640" t="s">
        <v>408</v>
      </c>
      <c r="H52" s="633"/>
      <c r="I52" s="633"/>
      <c r="J52" s="634"/>
    </row>
    <row r="53" spans="1:10" ht="24.6" customHeight="1">
      <c r="A53" s="641" t="s">
        <v>409</v>
      </c>
      <c r="B53" s="642"/>
      <c r="C53" s="82" t="s">
        <v>205</v>
      </c>
      <c r="D53" s="74">
        <v>4</v>
      </c>
      <c r="E53" s="133">
        <v>23000</v>
      </c>
      <c r="F53" s="134">
        <f t="shared" si="14"/>
        <v>92000</v>
      </c>
      <c r="G53" s="640" t="s">
        <v>410</v>
      </c>
      <c r="H53" s="633"/>
      <c r="I53" s="633"/>
      <c r="J53" s="634"/>
    </row>
    <row r="54" spans="1:10" ht="35.450000000000003" customHeight="1">
      <c r="A54" s="641" t="s">
        <v>411</v>
      </c>
      <c r="B54" s="642"/>
      <c r="C54" s="82" t="s">
        <v>205</v>
      </c>
      <c r="D54" s="74">
        <v>0.60000000000000009</v>
      </c>
      <c r="E54" s="133">
        <v>25000</v>
      </c>
      <c r="F54" s="134">
        <f t="shared" si="14"/>
        <v>15000.000000000002</v>
      </c>
      <c r="G54" s="640" t="s">
        <v>412</v>
      </c>
      <c r="H54" s="633"/>
      <c r="I54" s="633"/>
      <c r="J54" s="634"/>
    </row>
    <row r="55" spans="1:10" ht="27.6" customHeight="1">
      <c r="A55" s="641" t="s">
        <v>413</v>
      </c>
      <c r="B55" s="642"/>
      <c r="C55" s="82" t="s">
        <v>205</v>
      </c>
      <c r="D55" s="74">
        <v>10.4</v>
      </c>
      <c r="E55" s="133">
        <v>5000</v>
      </c>
      <c r="F55" s="134">
        <f t="shared" si="14"/>
        <v>52000</v>
      </c>
      <c r="G55" s="640" t="s">
        <v>414</v>
      </c>
      <c r="H55" s="633"/>
      <c r="I55" s="633"/>
      <c r="J55" s="634"/>
    </row>
    <row r="56" spans="1:10" ht="37.35" customHeight="1">
      <c r="A56" s="641" t="s">
        <v>415</v>
      </c>
      <c r="B56" s="642"/>
      <c r="C56" s="82" t="s">
        <v>205</v>
      </c>
      <c r="D56" s="74">
        <v>52</v>
      </c>
      <c r="E56" s="133">
        <v>2400</v>
      </c>
      <c r="F56" s="134">
        <f t="shared" si="14"/>
        <v>124800</v>
      </c>
      <c r="G56" s="640" t="s">
        <v>416</v>
      </c>
      <c r="H56" s="633"/>
      <c r="I56" s="633"/>
      <c r="J56" s="634"/>
    </row>
    <row r="57" spans="1:10" ht="30" customHeight="1">
      <c r="A57" s="641" t="s">
        <v>417</v>
      </c>
      <c r="B57" s="642"/>
      <c r="C57" s="82" t="s">
        <v>205</v>
      </c>
      <c r="D57" s="74">
        <v>1.2</v>
      </c>
      <c r="E57" s="133">
        <v>24000</v>
      </c>
      <c r="F57" s="134">
        <f t="shared" si="14"/>
        <v>28800</v>
      </c>
      <c r="G57" s="640" t="s">
        <v>418</v>
      </c>
      <c r="H57" s="633"/>
      <c r="I57" s="633"/>
      <c r="J57" s="634"/>
    </row>
    <row r="58" spans="1:10" ht="34.35" customHeight="1">
      <c r="A58" s="641" t="s">
        <v>419</v>
      </c>
      <c r="B58" s="642"/>
      <c r="C58" s="82" t="s">
        <v>205</v>
      </c>
      <c r="D58" s="74">
        <v>0.25</v>
      </c>
      <c r="E58" s="133">
        <v>250000</v>
      </c>
      <c r="F58" s="134">
        <f t="shared" si="14"/>
        <v>62500</v>
      </c>
      <c r="G58" s="640" t="s">
        <v>420</v>
      </c>
      <c r="H58" s="633"/>
      <c r="I58" s="633"/>
      <c r="J58" s="634"/>
    </row>
    <row r="59" spans="1:10">
      <c r="A59" s="588" t="s">
        <v>421</v>
      </c>
      <c r="B59" s="588"/>
      <c r="C59" s="135"/>
      <c r="D59" s="136"/>
      <c r="E59" s="137"/>
      <c r="F59" s="138">
        <f>SUM(F48:F58)</f>
        <v>662200</v>
      </c>
      <c r="G59" s="139"/>
      <c r="H59" s="139"/>
      <c r="I59" s="139"/>
      <c r="J59" s="139"/>
    </row>
    <row r="61" spans="1:10">
      <c r="A61" s="635" t="s">
        <v>422</v>
      </c>
      <c r="B61" s="635"/>
      <c r="C61" s="635"/>
      <c r="D61" s="635"/>
      <c r="E61" s="635"/>
      <c r="F61" s="635"/>
      <c r="G61" s="635"/>
      <c r="H61" s="635"/>
      <c r="I61" s="635"/>
      <c r="J61" s="635"/>
    </row>
    <row r="62" spans="1:10">
      <c r="A62" s="636" t="s">
        <v>46</v>
      </c>
      <c r="B62" s="636"/>
      <c r="C62" s="131" t="s">
        <v>47</v>
      </c>
      <c r="D62" s="131" t="s">
        <v>48</v>
      </c>
      <c r="E62" s="131" t="s">
        <v>396</v>
      </c>
      <c r="F62" s="132" t="s">
        <v>397</v>
      </c>
      <c r="G62" s="637" t="s">
        <v>383</v>
      </c>
      <c r="H62" s="637"/>
      <c r="I62" s="637"/>
      <c r="J62" s="637"/>
    </row>
    <row r="63" spans="1:10" ht="28.35" customHeight="1">
      <c r="A63" s="638" t="s">
        <v>398</v>
      </c>
      <c r="B63" s="639"/>
      <c r="C63" s="74" t="s">
        <v>205</v>
      </c>
      <c r="D63" s="74">
        <v>1</v>
      </c>
      <c r="E63" s="133">
        <v>23000</v>
      </c>
      <c r="F63" s="134">
        <f t="shared" ref="F63:F69" si="15">+D63*E63</f>
        <v>23000</v>
      </c>
      <c r="G63" s="640" t="s">
        <v>423</v>
      </c>
      <c r="H63" s="633"/>
      <c r="I63" s="633"/>
      <c r="J63" s="634"/>
    </row>
    <row r="64" spans="1:10" ht="28.35" customHeight="1">
      <c r="A64" s="638" t="s">
        <v>400</v>
      </c>
      <c r="B64" s="639"/>
      <c r="C64" s="74" t="s">
        <v>205</v>
      </c>
      <c r="D64" s="74">
        <v>2</v>
      </c>
      <c r="E64" s="133">
        <v>9000</v>
      </c>
      <c r="F64" s="134">
        <f t="shared" si="15"/>
        <v>18000</v>
      </c>
      <c r="G64" s="640" t="s">
        <v>401</v>
      </c>
      <c r="H64" s="633"/>
      <c r="I64" s="633"/>
      <c r="J64" s="634"/>
    </row>
    <row r="65" spans="1:10" ht="30" customHeight="1">
      <c r="A65" s="641" t="s">
        <v>413</v>
      </c>
      <c r="B65" s="642"/>
      <c r="C65" s="82" t="s">
        <v>205</v>
      </c>
      <c r="D65" s="74">
        <v>2</v>
      </c>
      <c r="E65" s="133">
        <v>17900</v>
      </c>
      <c r="F65" s="134">
        <f t="shared" si="15"/>
        <v>35800</v>
      </c>
      <c r="G65" s="640" t="s">
        <v>424</v>
      </c>
      <c r="H65" s="633"/>
      <c r="I65" s="633"/>
      <c r="J65" s="634"/>
    </row>
    <row r="66" spans="1:10" ht="29.1" customHeight="1">
      <c r="A66" s="641" t="s">
        <v>425</v>
      </c>
      <c r="B66" s="642"/>
      <c r="C66" s="82" t="s">
        <v>205</v>
      </c>
      <c r="D66" s="74">
        <v>2</v>
      </c>
      <c r="E66" s="133">
        <v>14000</v>
      </c>
      <c r="F66" s="134">
        <f t="shared" si="15"/>
        <v>28000</v>
      </c>
      <c r="G66" s="640" t="s">
        <v>426</v>
      </c>
      <c r="H66" s="633"/>
      <c r="I66" s="633"/>
      <c r="J66" s="634"/>
    </row>
    <row r="67" spans="1:10" ht="27" customHeight="1">
      <c r="A67" s="641" t="s">
        <v>415</v>
      </c>
      <c r="B67" s="642"/>
      <c r="C67" s="82" t="s">
        <v>205</v>
      </c>
      <c r="D67" s="74">
        <v>12</v>
      </c>
      <c r="E67" s="133">
        <v>3600</v>
      </c>
      <c r="F67" s="134">
        <f t="shared" si="15"/>
        <v>43200</v>
      </c>
      <c r="G67" s="640" t="s">
        <v>427</v>
      </c>
      <c r="H67" s="633"/>
      <c r="I67" s="633"/>
      <c r="J67" s="634"/>
    </row>
    <row r="68" spans="1:10" ht="32.450000000000003" customHeight="1">
      <c r="A68" s="641" t="s">
        <v>409</v>
      </c>
      <c r="B68" s="642"/>
      <c r="C68" s="82" t="s">
        <v>205</v>
      </c>
      <c r="D68" s="74">
        <v>2</v>
      </c>
      <c r="E68" s="133">
        <v>90000</v>
      </c>
      <c r="F68" s="134">
        <f t="shared" si="15"/>
        <v>180000</v>
      </c>
      <c r="G68" s="640" t="s">
        <v>428</v>
      </c>
      <c r="H68" s="633"/>
      <c r="I68" s="633"/>
      <c r="J68" s="634"/>
    </row>
    <row r="69" spans="1:10" ht="29.1" customHeight="1">
      <c r="A69" s="641" t="s">
        <v>419</v>
      </c>
      <c r="B69" s="642"/>
      <c r="C69" s="82" t="s">
        <v>205</v>
      </c>
      <c r="D69" s="74">
        <v>0.25</v>
      </c>
      <c r="E69" s="133">
        <v>250000</v>
      </c>
      <c r="F69" s="134">
        <f t="shared" si="15"/>
        <v>62500</v>
      </c>
      <c r="G69" s="640" t="s">
        <v>420</v>
      </c>
      <c r="H69" s="633"/>
      <c r="I69" s="633"/>
      <c r="J69" s="634"/>
    </row>
    <row r="70" spans="1:10">
      <c r="A70" s="588" t="s">
        <v>421</v>
      </c>
      <c r="B70" s="588"/>
      <c r="C70" s="135"/>
      <c r="D70" s="136"/>
      <c r="E70" s="137"/>
      <c r="F70" s="138">
        <f>SUM(F63:F69)</f>
        <v>390500</v>
      </c>
      <c r="G70" s="139"/>
      <c r="H70" s="139"/>
      <c r="I70" s="139"/>
      <c r="J70" s="139"/>
    </row>
  </sheetData>
  <protectedRanges>
    <protectedRange sqref="B10:BC10 BD8:BE10" name="Rango1"/>
  </protectedRanges>
  <mergeCells count="68">
    <mergeCell ref="A69:B69"/>
    <mergeCell ref="G69:J69"/>
    <mergeCell ref="A70:B70"/>
    <mergeCell ref="A66:B66"/>
    <mergeCell ref="G66:J66"/>
    <mergeCell ref="A67:B67"/>
    <mergeCell ref="G67:J67"/>
    <mergeCell ref="A68:B68"/>
    <mergeCell ref="G68:J68"/>
    <mergeCell ref="A63:B63"/>
    <mergeCell ref="G63:J63"/>
    <mergeCell ref="A64:B64"/>
    <mergeCell ref="G64:J64"/>
    <mergeCell ref="A65:B65"/>
    <mergeCell ref="G65:J65"/>
    <mergeCell ref="A58:B58"/>
    <mergeCell ref="G58:J58"/>
    <mergeCell ref="A59:B59"/>
    <mergeCell ref="A61:J61"/>
    <mergeCell ref="A62:B62"/>
    <mergeCell ref="G62:J62"/>
    <mergeCell ref="A55:B55"/>
    <mergeCell ref="G55:J55"/>
    <mergeCell ref="A56:B56"/>
    <mergeCell ref="G56:J56"/>
    <mergeCell ref="A57:B57"/>
    <mergeCell ref="G57:J57"/>
    <mergeCell ref="A52:B52"/>
    <mergeCell ref="G52:J52"/>
    <mergeCell ref="A53:B53"/>
    <mergeCell ref="G53:J53"/>
    <mergeCell ref="A54:B54"/>
    <mergeCell ref="G54:J54"/>
    <mergeCell ref="A49:B49"/>
    <mergeCell ref="G49:J49"/>
    <mergeCell ref="A50:B50"/>
    <mergeCell ref="G50:J50"/>
    <mergeCell ref="A51:B51"/>
    <mergeCell ref="G51:J51"/>
    <mergeCell ref="A46:J46"/>
    <mergeCell ref="A47:B47"/>
    <mergeCell ref="G47:J47"/>
    <mergeCell ref="A48:B48"/>
    <mergeCell ref="G48:J48"/>
    <mergeCell ref="AD5:AQ5"/>
    <mergeCell ref="A41:B41"/>
    <mergeCell ref="A42:B42"/>
    <mergeCell ref="A43:B43"/>
    <mergeCell ref="D37:E37"/>
    <mergeCell ref="D38:E38"/>
    <mergeCell ref="D39:E39"/>
    <mergeCell ref="D40:E40"/>
    <mergeCell ref="AR5:BE5"/>
    <mergeCell ref="A1:A5"/>
    <mergeCell ref="B1:O1"/>
    <mergeCell ref="P1:AC1"/>
    <mergeCell ref="AD1:AQ1"/>
    <mergeCell ref="AR1:BE1"/>
    <mergeCell ref="B2:O2"/>
    <mergeCell ref="P2:AC2"/>
    <mergeCell ref="AD2:AQ2"/>
    <mergeCell ref="AR2:BE2"/>
    <mergeCell ref="B3:O3"/>
    <mergeCell ref="P3:AC3"/>
    <mergeCell ref="AD3:AQ3"/>
    <mergeCell ref="AR3:BE3"/>
    <mergeCell ref="B5:O5"/>
    <mergeCell ref="P5:AC5"/>
  </mergeCells>
  <conditionalFormatting sqref="AK8:AO10">
    <cfRule type="cellIs" dxfId="0" priority="1" operator="equal">
      <formula>0</formula>
    </cfRule>
  </conditionalFormatting>
  <dataValidations count="2">
    <dataValidation type="decimal" allowBlank="1" showInputMessage="1" showErrorMessage="1" sqref="AM10:AO10" xr:uid="{00000000-0002-0000-1100-000000000000}">
      <formula1>1</formula1>
      <formula2>9.99</formula2>
    </dataValidation>
    <dataValidation type="list" allowBlank="1" showInputMessage="1" showErrorMessage="1" sqref="B9:BE9" xr:uid="{00000000-0002-0000-1100-000001000000}">
      <formula1>"ADMÓN,OBRA"</formula1>
    </dataValidation>
  </dataValidations>
  <pageMargins left="0.7" right="0.7" top="0.75" bottom="0.75" header="0.3" footer="0.3"/>
  <pageSetup scale="99" orientation="portrait" horizontalDpi="4294967292" r:id="rId1"/>
  <rowBreaks count="1" manualBreakCount="1">
    <brk id="32" max="54" man="1"/>
  </rowBreaks>
  <colBreaks count="1" manualBreakCount="1">
    <brk id="5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35"/>
  <sheetViews>
    <sheetView view="pageBreakPreview" zoomScaleNormal="100" zoomScaleSheetLayoutView="100" workbookViewId="0">
      <pane ySplit="7" topLeftCell="A23" activePane="bottomLeft" state="frozen"/>
      <selection pane="bottomLeft" activeCell="J28" sqref="J28"/>
    </sheetView>
  </sheetViews>
  <sheetFormatPr baseColWidth="10" defaultRowHeight="15"/>
  <cols>
    <col min="2" max="2" width="78.140625" customWidth="1"/>
    <col min="3" max="3" width="24.42578125" customWidth="1"/>
  </cols>
  <sheetData>
    <row r="1" spans="1:4" ht="26.25">
      <c r="A1" s="570" t="s">
        <v>0</v>
      </c>
      <c r="B1" s="507"/>
      <c r="C1" s="596" t="s">
        <v>52</v>
      </c>
      <c r="D1" s="596"/>
    </row>
    <row r="2" spans="1:4" ht="21">
      <c r="A2" s="577" t="str">
        <f>'DATOS INICIALES'!B6</f>
        <v>MUNICIPIO DE DABEIBA</v>
      </c>
      <c r="B2" s="515"/>
      <c r="C2" s="596"/>
      <c r="D2" s="596"/>
    </row>
    <row r="3" spans="1:4" ht="56.1" customHeight="1">
      <c r="A3" s="615" t="str">
        <f>'DATOS INICIALES'!B3</f>
        <v xml:space="preserve">AMPLIACIÓN DEL SISTEMA DE ALCANTARILLADO EN SECTOR DEL BARRIO PABLO VI  DEL MUNICIPIO DE DABEIBA ANTIOQUIA </v>
      </c>
      <c r="B3" s="616"/>
      <c r="C3" s="596"/>
      <c r="D3" s="596"/>
    </row>
    <row r="4" spans="1:4">
      <c r="A4" s="69"/>
      <c r="B4" s="4"/>
      <c r="C4" s="596"/>
      <c r="D4" s="596"/>
    </row>
    <row r="5" spans="1:4" ht="15.75">
      <c r="A5" s="617" t="s">
        <v>219</v>
      </c>
      <c r="B5" s="618"/>
      <c r="C5" s="596"/>
      <c r="D5" s="596"/>
    </row>
    <row r="7" spans="1:4" ht="25.5">
      <c r="A7" s="83" t="s">
        <v>57</v>
      </c>
      <c r="B7" s="83" t="s">
        <v>46</v>
      </c>
      <c r="C7" s="83" t="s">
        <v>47</v>
      </c>
      <c r="D7" s="84" t="s">
        <v>88</v>
      </c>
    </row>
    <row r="8" spans="1:4" s="212" customFormat="1">
      <c r="A8" s="330" t="s">
        <v>220</v>
      </c>
      <c r="B8" s="331" t="s">
        <v>608</v>
      </c>
      <c r="C8" s="332" t="s">
        <v>221</v>
      </c>
      <c r="D8" s="333">
        <v>4250</v>
      </c>
    </row>
    <row r="9" spans="1:4" s="212" customFormat="1" ht="27.6" customHeight="1">
      <c r="A9" s="330" t="s">
        <v>222</v>
      </c>
      <c r="B9" s="334" t="s">
        <v>842</v>
      </c>
      <c r="C9" s="332" t="s">
        <v>223</v>
      </c>
      <c r="D9" s="333">
        <v>3000</v>
      </c>
    </row>
    <row r="10" spans="1:4">
      <c r="A10" s="330" t="s">
        <v>224</v>
      </c>
      <c r="B10" s="331" t="s">
        <v>225</v>
      </c>
      <c r="C10" s="332" t="s">
        <v>223</v>
      </c>
      <c r="D10" s="333">
        <v>3000</v>
      </c>
    </row>
    <row r="11" spans="1:4">
      <c r="A11" s="330" t="s">
        <v>226</v>
      </c>
      <c r="B11" s="331" t="s">
        <v>227</v>
      </c>
      <c r="C11" s="332" t="s">
        <v>223</v>
      </c>
      <c r="D11" s="333">
        <v>3000</v>
      </c>
    </row>
    <row r="12" spans="1:4">
      <c r="A12" s="330" t="s">
        <v>228</v>
      </c>
      <c r="B12" s="331" t="s">
        <v>229</v>
      </c>
      <c r="C12" s="332" t="s">
        <v>223</v>
      </c>
      <c r="D12" s="333">
        <v>3000</v>
      </c>
    </row>
    <row r="13" spans="1:4">
      <c r="A13" s="330" t="s">
        <v>230</v>
      </c>
      <c r="B13" s="331" t="s">
        <v>231</v>
      </c>
      <c r="C13" s="332" t="s">
        <v>221</v>
      </c>
      <c r="D13" s="333">
        <v>3000</v>
      </c>
    </row>
    <row r="14" spans="1:4">
      <c r="A14" s="330" t="s">
        <v>232</v>
      </c>
      <c r="B14" s="331" t="s">
        <v>459</v>
      </c>
      <c r="C14" s="332" t="s">
        <v>221</v>
      </c>
      <c r="D14" s="335">
        <v>4250</v>
      </c>
    </row>
    <row r="15" spans="1:4">
      <c r="A15" s="330" t="s">
        <v>233</v>
      </c>
      <c r="B15" s="331" t="s">
        <v>460</v>
      </c>
      <c r="C15" s="332" t="s">
        <v>221</v>
      </c>
      <c r="D15" s="335">
        <v>2480</v>
      </c>
    </row>
    <row r="16" spans="1:4">
      <c r="A16" s="330" t="s">
        <v>234</v>
      </c>
      <c r="B16" s="331" t="s">
        <v>461</v>
      </c>
      <c r="C16" s="332" t="s">
        <v>221</v>
      </c>
      <c r="D16" s="335">
        <v>1300</v>
      </c>
    </row>
    <row r="17" spans="1:4">
      <c r="A17" s="330" t="s">
        <v>235</v>
      </c>
      <c r="B17" s="331" t="s">
        <v>462</v>
      </c>
      <c r="C17" s="332" t="s">
        <v>221</v>
      </c>
      <c r="D17" s="335">
        <v>860</v>
      </c>
    </row>
    <row r="18" spans="1:4">
      <c r="A18" s="330" t="s">
        <v>236</v>
      </c>
      <c r="B18" s="331" t="s">
        <v>463</v>
      </c>
      <c r="C18" s="332" t="s">
        <v>221</v>
      </c>
      <c r="D18" s="335">
        <v>750</v>
      </c>
    </row>
    <row r="19" spans="1:4">
      <c r="A19" s="330" t="s">
        <v>237</v>
      </c>
      <c r="B19" s="331" t="s">
        <v>464</v>
      </c>
      <c r="C19" s="332" t="s">
        <v>221</v>
      </c>
      <c r="D19" s="335">
        <v>280</v>
      </c>
    </row>
    <row r="20" spans="1:4">
      <c r="A20" s="330" t="s">
        <v>238</v>
      </c>
      <c r="B20" s="331" t="s">
        <v>465</v>
      </c>
      <c r="C20" s="332" t="s">
        <v>223</v>
      </c>
      <c r="D20" s="335">
        <v>3500</v>
      </c>
    </row>
    <row r="21" spans="1:4">
      <c r="A21" s="330" t="s">
        <v>239</v>
      </c>
      <c r="B21" s="331" t="s">
        <v>466</v>
      </c>
      <c r="C21" s="332" t="s">
        <v>223</v>
      </c>
      <c r="D21" s="335">
        <v>4220</v>
      </c>
    </row>
    <row r="22" spans="1:4">
      <c r="A22" s="330" t="s">
        <v>240</v>
      </c>
      <c r="B22" s="331" t="s">
        <v>467</v>
      </c>
      <c r="C22" s="332" t="s">
        <v>223</v>
      </c>
      <c r="D22" s="335">
        <v>2210</v>
      </c>
    </row>
    <row r="23" spans="1:4">
      <c r="A23" s="330" t="s">
        <v>241</v>
      </c>
      <c r="B23" s="331" t="s">
        <v>468</v>
      </c>
      <c r="C23" s="332" t="s">
        <v>223</v>
      </c>
      <c r="D23" s="335">
        <v>1460</v>
      </c>
    </row>
    <row r="24" spans="1:4">
      <c r="A24" s="330" t="s">
        <v>242</v>
      </c>
      <c r="B24" s="331" t="s">
        <v>469</v>
      </c>
      <c r="C24" s="332" t="s">
        <v>223</v>
      </c>
      <c r="D24" s="335">
        <v>950</v>
      </c>
    </row>
    <row r="25" spans="1:4">
      <c r="A25" s="330" t="s">
        <v>243</v>
      </c>
      <c r="B25" s="331" t="s">
        <v>470</v>
      </c>
      <c r="C25" s="332" t="s">
        <v>223</v>
      </c>
      <c r="D25" s="335">
        <v>480</v>
      </c>
    </row>
    <row r="26" spans="1:4">
      <c r="A26" s="330" t="s">
        <v>244</v>
      </c>
      <c r="B26" s="331" t="s">
        <v>471</v>
      </c>
      <c r="C26" s="332" t="s">
        <v>152</v>
      </c>
      <c r="D26" s="335">
        <v>6500</v>
      </c>
    </row>
    <row r="27" spans="1:4" s="212" customFormat="1">
      <c r="A27" s="330" t="s">
        <v>245</v>
      </c>
      <c r="B27" s="336" t="s">
        <v>787</v>
      </c>
      <c r="C27" s="332" t="s">
        <v>223</v>
      </c>
      <c r="D27" s="335">
        <v>950</v>
      </c>
    </row>
    <row r="28" spans="1:4">
      <c r="A28" s="330" t="s">
        <v>824</v>
      </c>
      <c r="B28" s="331" t="s">
        <v>471</v>
      </c>
      <c r="C28" s="332" t="s">
        <v>152</v>
      </c>
      <c r="D28" s="335">
        <v>9000</v>
      </c>
    </row>
    <row r="29" spans="1:4">
      <c r="A29" s="330" t="s">
        <v>837</v>
      </c>
      <c r="B29" s="331" t="s">
        <v>836</v>
      </c>
      <c r="C29" s="332" t="s">
        <v>223</v>
      </c>
      <c r="D29" s="347">
        <v>4000</v>
      </c>
    </row>
    <row r="34" spans="2:2">
      <c r="B34" s="327" t="s">
        <v>823</v>
      </c>
    </row>
    <row r="35" spans="2:2">
      <c r="B35" t="s">
        <v>24</v>
      </c>
    </row>
  </sheetData>
  <protectedRanges>
    <protectedRange sqref="D8:D13 B14:D27 C29" name="Rango1"/>
  </protectedRanges>
  <autoFilter ref="A7:D7" xr:uid="{00000000-0009-0000-0000-000012000000}"/>
  <mergeCells count="5">
    <mergeCell ref="A1:B1"/>
    <mergeCell ref="C1:D5"/>
    <mergeCell ref="A2:B2"/>
    <mergeCell ref="A3:B3"/>
    <mergeCell ref="A5:B5"/>
  </mergeCells>
  <phoneticPr fontId="35" type="noConversion"/>
  <pageMargins left="0.7" right="0.7" top="0.75" bottom="0.75" header="0.3" footer="0.3"/>
  <pageSetup scale="7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30"/>
  <sheetViews>
    <sheetView view="pageBreakPreview" zoomScale="60" zoomScaleNormal="100" workbookViewId="0">
      <selection activeCell="H17" sqref="H17"/>
    </sheetView>
  </sheetViews>
  <sheetFormatPr baseColWidth="10" defaultRowHeight="15"/>
  <cols>
    <col min="2" max="2" width="73.140625" customWidth="1"/>
    <col min="3" max="3" width="15.42578125" customWidth="1"/>
    <col min="4" max="4" width="17.42578125" customWidth="1"/>
  </cols>
  <sheetData>
    <row r="1" spans="1:4" ht="26.25">
      <c r="A1" s="570" t="s">
        <v>0</v>
      </c>
      <c r="B1" s="570"/>
      <c r="C1" s="596" t="s">
        <v>52</v>
      </c>
      <c r="D1" s="596"/>
    </row>
    <row r="2" spans="1:4" ht="21">
      <c r="A2" s="577" t="str">
        <f>'DATOS INICIALES'!B6</f>
        <v>MUNICIPIO DE DABEIBA</v>
      </c>
      <c r="B2" s="577"/>
      <c r="C2" s="596"/>
      <c r="D2" s="596"/>
    </row>
    <row r="3" spans="1:4" ht="56.45" customHeight="1">
      <c r="A3" s="615" t="str">
        <f>'DATOS INICIALES'!B3</f>
        <v xml:space="preserve">AMPLIACIÓN DEL SISTEMA DE ALCANTARILLADO EN SECTOR DEL BARRIO PABLO VI  DEL MUNICIPIO DE DABEIBA ANTIOQUIA </v>
      </c>
      <c r="B3" s="615"/>
      <c r="C3" s="596"/>
      <c r="D3" s="596"/>
    </row>
    <row r="4" spans="1:4" ht="8.1" customHeight="1">
      <c r="A4" s="151"/>
      <c r="B4" s="152"/>
      <c r="C4" s="596"/>
      <c r="D4" s="596"/>
    </row>
    <row r="5" spans="1:4" ht="15.75">
      <c r="A5" s="617" t="s">
        <v>782</v>
      </c>
      <c r="B5" s="617"/>
      <c r="C5" s="596"/>
      <c r="D5" s="596"/>
    </row>
    <row r="6" spans="1:4" ht="9.6" customHeight="1">
      <c r="A6" s="643"/>
      <c r="B6" s="643"/>
      <c r="C6" s="643"/>
      <c r="D6" s="643"/>
    </row>
    <row r="7" spans="1:4">
      <c r="A7" s="83" t="s">
        <v>57</v>
      </c>
      <c r="B7" s="83" t="s">
        <v>46</v>
      </c>
      <c r="C7" s="83" t="s">
        <v>47</v>
      </c>
      <c r="D7" s="84" t="s">
        <v>88</v>
      </c>
    </row>
    <row r="8" spans="1:4" ht="25.5">
      <c r="A8" s="92" t="s">
        <v>429</v>
      </c>
      <c r="B8" s="95" t="s">
        <v>430</v>
      </c>
      <c r="C8" s="96" t="s">
        <v>205</v>
      </c>
      <c r="D8" s="94">
        <v>100000</v>
      </c>
    </row>
    <row r="9" spans="1:4">
      <c r="A9" s="147" t="s">
        <v>431</v>
      </c>
      <c r="B9" s="95" t="s">
        <v>432</v>
      </c>
      <c r="C9" s="96" t="s">
        <v>98</v>
      </c>
      <c r="D9" s="94">
        <v>400000</v>
      </c>
    </row>
    <row r="10" spans="1:4">
      <c r="A10" s="92" t="s">
        <v>433</v>
      </c>
      <c r="B10" s="148" t="s">
        <v>434</v>
      </c>
      <c r="C10" s="149" t="s">
        <v>92</v>
      </c>
      <c r="D10" s="150">
        <v>516617.33808219177</v>
      </c>
    </row>
    <row r="11" spans="1:4">
      <c r="A11" s="147" t="s">
        <v>435</v>
      </c>
      <c r="B11" s="148" t="s">
        <v>436</v>
      </c>
      <c r="C11" s="149" t="s">
        <v>92</v>
      </c>
      <c r="D11" s="150">
        <v>447639.43886027398</v>
      </c>
    </row>
    <row r="12" spans="1:4">
      <c r="A12" s="92" t="s">
        <v>437</v>
      </c>
      <c r="B12" s="95" t="s">
        <v>438</v>
      </c>
      <c r="C12" s="149" t="s">
        <v>205</v>
      </c>
      <c r="D12" s="94">
        <v>72000</v>
      </c>
    </row>
    <row r="13" spans="1:4">
      <c r="A13" s="92" t="s">
        <v>439</v>
      </c>
      <c r="B13" s="95" t="s">
        <v>440</v>
      </c>
      <c r="C13" s="96" t="s">
        <v>152</v>
      </c>
      <c r="D13" s="94">
        <v>5000</v>
      </c>
    </row>
    <row r="14" spans="1:4">
      <c r="A14" s="147" t="s">
        <v>441</v>
      </c>
      <c r="B14" s="148" t="s">
        <v>442</v>
      </c>
      <c r="C14" s="149" t="s">
        <v>205</v>
      </c>
      <c r="D14" s="94">
        <v>79000</v>
      </c>
    </row>
    <row r="15" spans="1:4" ht="25.5">
      <c r="A15" s="92" t="s">
        <v>443</v>
      </c>
      <c r="B15" s="95" t="s">
        <v>444</v>
      </c>
      <c r="C15" s="149" t="s">
        <v>205</v>
      </c>
      <c r="D15" s="94">
        <v>737000</v>
      </c>
    </row>
    <row r="16" spans="1:4">
      <c r="A16" s="147" t="s">
        <v>445</v>
      </c>
      <c r="B16" s="95" t="s">
        <v>786</v>
      </c>
      <c r="C16" s="149" t="s">
        <v>205</v>
      </c>
      <c r="D16" s="94">
        <v>45000</v>
      </c>
    </row>
    <row r="17" spans="1:4">
      <c r="A17" s="92" t="s">
        <v>446</v>
      </c>
      <c r="B17" s="148" t="s">
        <v>447</v>
      </c>
      <c r="C17" s="149" t="s">
        <v>205</v>
      </c>
      <c r="D17" s="94">
        <v>107000</v>
      </c>
    </row>
    <row r="18" spans="1:4" ht="25.5">
      <c r="A18" s="147" t="s">
        <v>448</v>
      </c>
      <c r="B18" s="95" t="s">
        <v>449</v>
      </c>
      <c r="C18" s="149" t="s">
        <v>205</v>
      </c>
      <c r="D18" s="94">
        <v>368000</v>
      </c>
    </row>
    <row r="19" spans="1:4" ht="38.25">
      <c r="A19" s="92" t="s">
        <v>450</v>
      </c>
      <c r="B19" s="95" t="s">
        <v>451</v>
      </c>
      <c r="C19" s="149" t="s">
        <v>205</v>
      </c>
      <c r="D19" s="94">
        <v>147000</v>
      </c>
    </row>
    <row r="20" spans="1:4">
      <c r="A20" s="147" t="s">
        <v>452</v>
      </c>
      <c r="B20" s="95" t="s">
        <v>453</v>
      </c>
      <c r="C20" s="149" t="s">
        <v>205</v>
      </c>
      <c r="D20" s="94">
        <v>15000</v>
      </c>
    </row>
    <row r="21" spans="1:4">
      <c r="A21" s="92" t="s">
        <v>454</v>
      </c>
      <c r="B21" s="148" t="s">
        <v>455</v>
      </c>
      <c r="C21" s="149" t="s">
        <v>205</v>
      </c>
      <c r="D21" s="94">
        <v>145000</v>
      </c>
    </row>
    <row r="29" spans="1:4">
      <c r="B29" s="327" t="s">
        <v>826</v>
      </c>
    </row>
    <row r="30" spans="1:4">
      <c r="B30" t="s">
        <v>24</v>
      </c>
    </row>
  </sheetData>
  <protectedRanges>
    <protectedRange sqref="B8:C9 B10:D21" name="Rango1_1"/>
  </protectedRanges>
  <mergeCells count="6">
    <mergeCell ref="A6:D6"/>
    <mergeCell ref="A1:B1"/>
    <mergeCell ref="C1:D5"/>
    <mergeCell ref="A2:B2"/>
    <mergeCell ref="A3:B3"/>
    <mergeCell ref="A5:B5"/>
  </mergeCells>
  <pageMargins left="0.7" right="0.7" top="0.75" bottom="0.75" header="0.3" footer="0.3"/>
  <pageSetup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25</vt:i4>
      </vt:variant>
    </vt:vector>
  </HeadingPairs>
  <TitlesOfParts>
    <vt:vector size="45" baseType="lpstr">
      <vt:lpstr>DATOS INICIALES</vt:lpstr>
      <vt:lpstr>FICHA TECNICA</vt:lpstr>
      <vt:lpstr>PRESUPUESTO</vt:lpstr>
      <vt:lpstr>APU</vt:lpstr>
      <vt:lpstr>PAGA</vt:lpstr>
      <vt:lpstr>PMT</vt:lpstr>
      <vt:lpstr>PAPSO </vt:lpstr>
      <vt:lpstr>INTERVENTORIA</vt:lpstr>
      <vt:lpstr>FM INTERVENTORIA</vt:lpstr>
      <vt:lpstr>POLIZAS INTERVENTORIA</vt:lpstr>
      <vt:lpstr>PAPSO INTERVENTORIA</vt:lpstr>
      <vt:lpstr>MEMORIAS</vt:lpstr>
      <vt:lpstr>INSUMOS MATERIALES</vt:lpstr>
      <vt:lpstr>APU AUXILIARES</vt:lpstr>
      <vt:lpstr>INSUMOS EQUIPOS</vt:lpstr>
      <vt:lpstr>AIU</vt:lpstr>
      <vt:lpstr>INSUMOS MANO DE OBRA</vt:lpstr>
      <vt:lpstr>FACTOR PRESTACIONAL</vt:lpstr>
      <vt:lpstr>INSUMOS TRANSPORTES</vt:lpstr>
      <vt:lpstr>INSUMOS SERVICIOS</vt:lpstr>
      <vt:lpstr>APUAUXILIARES</vt:lpstr>
      <vt:lpstr>APU!Área_de_impresión</vt:lpstr>
      <vt:lpstr>'DATOS INICIALES'!Área_de_impresión</vt:lpstr>
      <vt:lpstr>'FACTOR PRESTACIONAL'!Área_de_impresión</vt:lpstr>
      <vt:lpstr>'FICHA TECNICA'!Área_de_impresión</vt:lpstr>
      <vt:lpstr>'FM INTERVENTORIA'!Área_de_impresión</vt:lpstr>
      <vt:lpstr>'INSUMOS MANO DE OBRA'!Área_de_impresión</vt:lpstr>
      <vt:lpstr>PAGA!Área_de_impresión</vt:lpstr>
      <vt:lpstr>'PAPSO '!Área_de_impresión</vt:lpstr>
      <vt:lpstr>'PAPSO INTERVENTORIA'!Área_de_impresión</vt:lpstr>
      <vt:lpstr>'POLIZAS INTERVENTORIA'!Área_de_impresión</vt:lpstr>
      <vt:lpstr>PRESUPUESTO!Área_de_impresión</vt:lpstr>
      <vt:lpstr>CODIGOEQUIPOS</vt:lpstr>
      <vt:lpstr>CODIGOMATERIALES</vt:lpstr>
      <vt:lpstr>CODIGOSMANODEOBRA</vt:lpstr>
      <vt:lpstr>CODIGOSSERVICIOS</vt:lpstr>
      <vt:lpstr>CODIGOTRANSPORTES</vt:lpstr>
      <vt:lpstr>FACTORPRESTACIONAL</vt:lpstr>
      <vt:lpstr>INSUMOSEQUIPOS</vt:lpstr>
      <vt:lpstr>INSUMOSMANODEOBRA</vt:lpstr>
      <vt:lpstr>INSUMOSMATERIALES</vt:lpstr>
      <vt:lpstr>INSUMOSSERVICIOS</vt:lpstr>
      <vt:lpstr>INSUMOSTRANSPORTES</vt:lpstr>
      <vt:lpstr>'FICHA TECNICA'!PRESUPUESTO</vt: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dc:creator>
  <cp:lastModifiedBy>asus</cp:lastModifiedBy>
  <cp:lastPrinted>2025-06-26T20:09:31Z</cp:lastPrinted>
  <dcterms:created xsi:type="dcterms:W3CDTF">2021-02-18T21:50:49Z</dcterms:created>
  <dcterms:modified xsi:type="dcterms:W3CDTF">2025-12-02T17:49:27Z</dcterms:modified>
</cp:coreProperties>
</file>