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Users\Eda.Ramirez\OneDrive - Instituto Colombiano de Bienestar Familiar\EXTINTORES\CORREGIDO\"/>
    </mc:Choice>
  </mc:AlternateContent>
  <xr:revisionPtr revIDLastSave="0" documentId="8_{EFD18613-9D4C-49EA-AA3C-6B8CD972D8C0}" xr6:coauthVersionLast="47" xr6:coauthVersionMax="47" xr10:uidLastSave="{00000000-0000-0000-0000-000000000000}"/>
  <bookViews>
    <workbookView xWindow="-120" yWindow="-120" windowWidth="29040" windowHeight="15720" tabRatio="925" xr2:uid="{00000000-000D-0000-FFFF-FFFF00000000}"/>
  </bookViews>
  <sheets>
    <sheet name="PROMEDIO MANT VEHICULOS" sheetId="28" r:id="rId1"/>
    <sheet name="Borrador" sheetId="11" state="hidden" r:id="rId2"/>
  </sheets>
  <externalReferences>
    <externalReference r:id="rId3"/>
    <externalReference r:id="rId4"/>
  </externalReferences>
  <definedNames>
    <definedName name="_xlnm._FilterDatabase" localSheetId="0" hidden="1">'PROMEDIO MANT VEHICULOS'!$A$5:$H$15</definedName>
    <definedName name="_xlnm.Print_Area" localSheetId="0">'PROMEDIO MANT VEHICULOS'!$A$1:$H$15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" i="28" l="1"/>
  <c r="Q8" i="28"/>
  <c r="Q9" i="28"/>
  <c r="Q10" i="28"/>
  <c r="Q11" i="28"/>
  <c r="Q12" i="28"/>
  <c r="Q13" i="28"/>
  <c r="Q14" i="28"/>
  <c r="Q6" i="28"/>
  <c r="R7" i="28"/>
  <c r="S7" i="28"/>
  <c r="R8" i="28"/>
  <c r="S8" i="28"/>
  <c r="R9" i="28"/>
  <c r="S9" i="28"/>
  <c r="R10" i="28"/>
  <c r="S10" i="28"/>
  <c r="R11" i="28"/>
  <c r="S11" i="28"/>
  <c r="R12" i="28"/>
  <c r="S12" i="28"/>
  <c r="R13" i="28"/>
  <c r="S13" i="28"/>
  <c r="R14" i="28"/>
  <c r="S14" i="28"/>
  <c r="S6" i="28"/>
  <c r="R6" i="28"/>
  <c r="P14" i="28"/>
  <c r="P13" i="28"/>
  <c r="P12" i="28"/>
  <c r="P11" i="28"/>
  <c r="P10" i="28"/>
  <c r="P9" i="28"/>
  <c r="P8" i="28"/>
  <c r="P7" i="28"/>
  <c r="P6" i="28"/>
  <c r="Q15" i="28" l="1"/>
  <c r="N15" i="28"/>
  <c r="K6" i="28"/>
  <c r="T6" i="28" s="1"/>
  <c r="K7" i="28"/>
  <c r="T7" i="28" s="1"/>
  <c r="K8" i="28"/>
  <c r="T8" i="28" s="1"/>
  <c r="K9" i="28"/>
  <c r="T9" i="28" s="1"/>
  <c r="K10" i="28"/>
  <c r="T10" i="28" s="1"/>
  <c r="K11" i="28"/>
  <c r="T11" i="28" s="1"/>
  <c r="K12" i="28"/>
  <c r="T12" i="28" s="1"/>
  <c r="K13" i="28"/>
  <c r="T13" i="28" s="1"/>
  <c r="K14" i="28"/>
  <c r="T14" i="28" s="1"/>
  <c r="G14" i="28" l="1"/>
  <c r="H14" i="28" s="1"/>
  <c r="G13" i="28"/>
  <c r="H13" i="28" s="1"/>
  <c r="G12" i="28"/>
  <c r="H12" i="28" s="1"/>
  <c r="G11" i="28"/>
  <c r="H11" i="28" s="1"/>
  <c r="G10" i="28"/>
  <c r="H10" i="28" s="1"/>
  <c r="G9" i="28"/>
  <c r="H9" i="28" s="1"/>
  <c r="G8" i="28"/>
  <c r="H8" i="28" s="1"/>
  <c r="G7" i="28"/>
  <c r="H7" i="28" s="1"/>
  <c r="G6" i="28"/>
  <c r="H6" i="28" s="1"/>
  <c r="C11" i="28"/>
  <c r="C9" i="28"/>
  <c r="K15" i="28" l="1"/>
  <c r="T15" i="28"/>
  <c r="H15" i="28"/>
  <c r="F21" i="11"/>
  <c r="F22" i="11"/>
  <c r="F23" i="11"/>
  <c r="F24" i="11"/>
  <c r="F25" i="11"/>
  <c r="F26" i="11"/>
  <c r="F27" i="11"/>
  <c r="F28" i="11"/>
  <c r="F20" i="11"/>
  <c r="D29" i="11"/>
  <c r="Q15" i="11"/>
  <c r="N15" i="11"/>
  <c r="D15" i="11"/>
  <c r="AE14" i="11"/>
  <c r="AA14" i="11"/>
  <c r="AB14" i="11" s="1"/>
  <c r="AC14" i="11" s="1"/>
  <c r="W14" i="11"/>
  <c r="X14" i="11" s="1"/>
  <c r="Y14" i="11" s="1"/>
  <c r="S14" i="11"/>
  <c r="K14" i="11"/>
  <c r="AE13" i="11"/>
  <c r="AA13" i="11"/>
  <c r="AB13" i="11" s="1"/>
  <c r="AC13" i="11" s="1"/>
  <c r="W13" i="11"/>
  <c r="X13" i="11" s="1"/>
  <c r="Y13" i="11" s="1"/>
  <c r="S13" i="11"/>
  <c r="K13" i="11"/>
  <c r="AE12" i="11"/>
  <c r="AA12" i="11"/>
  <c r="AB12" i="11" s="1"/>
  <c r="AC12" i="11" s="1"/>
  <c r="W12" i="11"/>
  <c r="X12" i="11" s="1"/>
  <c r="Y12" i="11" s="1"/>
  <c r="S12" i="11"/>
  <c r="K12" i="11"/>
  <c r="AE11" i="11"/>
  <c r="AA11" i="11"/>
  <c r="AB11" i="11" s="1"/>
  <c r="AC11" i="11" s="1"/>
  <c r="W11" i="11"/>
  <c r="X11" i="11" s="1"/>
  <c r="Y11" i="11" s="1"/>
  <c r="S11" i="11"/>
  <c r="T11" i="11" s="1"/>
  <c r="U11" i="11" s="1"/>
  <c r="K11" i="11"/>
  <c r="AE10" i="11"/>
  <c r="AA10" i="11"/>
  <c r="AB10" i="11" s="1"/>
  <c r="AC10" i="11" s="1"/>
  <c r="W10" i="11"/>
  <c r="X10" i="11" s="1"/>
  <c r="Y10" i="11" s="1"/>
  <c r="S10" i="11"/>
  <c r="K10" i="11"/>
  <c r="AE9" i="11"/>
  <c r="AA9" i="11"/>
  <c r="AB9" i="11" s="1"/>
  <c r="AC9" i="11" s="1"/>
  <c r="W9" i="11"/>
  <c r="X9" i="11" s="1"/>
  <c r="Y9" i="11" s="1"/>
  <c r="S9" i="11"/>
  <c r="K9" i="11"/>
  <c r="AE8" i="11"/>
  <c r="AA8" i="11"/>
  <c r="AB8" i="11" s="1"/>
  <c r="AC8" i="11" s="1"/>
  <c r="W8" i="11"/>
  <c r="X8" i="11" s="1"/>
  <c r="Y8" i="11" s="1"/>
  <c r="S8" i="11"/>
  <c r="K8" i="11"/>
  <c r="AE7" i="11"/>
  <c r="AA7" i="11"/>
  <c r="AB7" i="11" s="1"/>
  <c r="AC7" i="11" s="1"/>
  <c r="W7" i="11"/>
  <c r="X7" i="11" s="1"/>
  <c r="Y7" i="11" s="1"/>
  <c r="S7" i="11"/>
  <c r="T7" i="11" s="1"/>
  <c r="U7" i="11" s="1"/>
  <c r="K7" i="11"/>
  <c r="AE6" i="11"/>
  <c r="AA6" i="11"/>
  <c r="AB6" i="11" s="1"/>
  <c r="W6" i="11"/>
  <c r="S6" i="11"/>
  <c r="K6" i="11"/>
  <c r="K15" i="11" l="1"/>
  <c r="AG10" i="11"/>
  <c r="AF13" i="11"/>
  <c r="AG6" i="11"/>
  <c r="AG7" i="11"/>
  <c r="AF9" i="11"/>
  <c r="AG11" i="11"/>
  <c r="AG12" i="11"/>
  <c r="W15" i="11"/>
  <c r="AG8" i="11"/>
  <c r="AG14" i="11"/>
  <c r="F29" i="11"/>
  <c r="X6" i="11"/>
  <c r="Y6" i="11" s="1"/>
  <c r="Y15" i="11" s="1"/>
  <c r="AE15" i="11"/>
  <c r="AF7" i="11"/>
  <c r="T9" i="11"/>
  <c r="U9" i="11" s="1"/>
  <c r="AG9" i="11"/>
  <c r="AF11" i="11"/>
  <c r="T13" i="11"/>
  <c r="U13" i="11" s="1"/>
  <c r="AB15" i="11"/>
  <c r="AC6" i="11"/>
  <c r="AC15" i="11" s="1"/>
  <c r="AF6" i="11"/>
  <c r="AF8" i="11"/>
  <c r="AF10" i="11"/>
  <c r="AF12" i="11"/>
  <c r="AG13" i="11"/>
  <c r="AF14" i="11"/>
  <c r="S15" i="11"/>
  <c r="AA15" i="11"/>
  <c r="T6" i="11"/>
  <c r="T8" i="11"/>
  <c r="U8" i="11" s="1"/>
  <c r="T10" i="11"/>
  <c r="U10" i="11" s="1"/>
  <c r="T12" i="11"/>
  <c r="U12" i="11" s="1"/>
  <c r="T14" i="11"/>
  <c r="U14" i="11" s="1"/>
  <c r="AG15" i="11" l="1"/>
  <c r="X15" i="11"/>
  <c r="AF15" i="11"/>
  <c r="T15" i="11"/>
  <c r="U6" i="11"/>
  <c r="U15" i="11" s="1"/>
</calcChain>
</file>

<file path=xl/sharedStrings.xml><?xml version="1.0" encoding="utf-8"?>
<sst xmlns="http://schemas.openxmlformats.org/spreadsheetml/2006/main" count="98" uniqueCount="56">
  <si>
    <t>DESCRIPCIÓN DEL SERVICIO Y/O BIEN</t>
  </si>
  <si>
    <t>Precio total IVA inlcuido</t>
  </si>
  <si>
    <t>IVA</t>
  </si>
  <si>
    <t>Tipo de examén</t>
  </si>
  <si>
    <t>Cantidades aproximadas</t>
  </si>
  <si>
    <t>PRECIO UNITARIO IVA INCLUIDO</t>
  </si>
  <si>
    <t>PRECIO TOTAL IVA INCLUIDO</t>
  </si>
  <si>
    <t>SOCIEDAD ENTORNO &amp; COMPAÑÍA LTDA</t>
  </si>
  <si>
    <t>CAJA DE COMPENSACION FAMILIAR CAFAM</t>
  </si>
  <si>
    <t>UNIDAD MEDICA TOLCOROMA</t>
  </si>
  <si>
    <t>PROMEDIO MEDICION</t>
  </si>
  <si>
    <t>MEDIA GEOMETRICA</t>
  </si>
  <si>
    <t>PROMEDIO DE LAS 3 MAS BAJAS</t>
  </si>
  <si>
    <t>DESVIACIÓN</t>
  </si>
  <si>
    <t>Precio unitario sin IVA</t>
  </si>
  <si>
    <r>
      <t xml:space="preserve">Precio unitario </t>
    </r>
    <r>
      <rPr>
        <b/>
        <u/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IVA incluido</t>
    </r>
  </si>
  <si>
    <t>PRECIO UNITARIO SIN IVA</t>
  </si>
  <si>
    <t>MIN</t>
  </si>
  <si>
    <t>MAX</t>
  </si>
  <si>
    <t>Exámenes médico ocupacionales ingreso con énfasis osteomuscular y/o psicosocial</t>
  </si>
  <si>
    <t>Exámenes médico ocupacionales periódico con énfasis osteomuscular y/o psicosocial</t>
  </si>
  <si>
    <t>Exámenes médico ocupacionales de egreso</t>
  </si>
  <si>
    <t>Exámenes post incapacidad</t>
  </si>
  <si>
    <t>Exámenes psicosensométricos</t>
  </si>
  <si>
    <t>Optometría</t>
  </si>
  <si>
    <t xml:space="preserve">Espirometría </t>
  </si>
  <si>
    <t>Prueba de alcoholemia</t>
  </si>
  <si>
    <t>Prueba de laboratorio de perfil lipídico</t>
  </si>
  <si>
    <t>TOTAL</t>
  </si>
  <si>
    <t>Total promedio Precio unitario IVA incluido</t>
  </si>
  <si>
    <t>Total promedio Precio total IVA incluido</t>
  </si>
  <si>
    <t>República de Colombia
Instituto Colombiano de Bienestar Familiar
Cecilia de la Fuente de Lleras 
Grupo Administrativo Regional Meta</t>
  </si>
  <si>
    <t>Ítem</t>
  </si>
  <si>
    <t>Precio Unitario antes de IVA</t>
  </si>
  <si>
    <t>Precio Unitario IVA incluido</t>
  </si>
  <si>
    <t>Precio Total IVA incluido</t>
  </si>
  <si>
    <t>OBJETO:</t>
  </si>
  <si>
    <t>PROMEDIO</t>
  </si>
  <si>
    <t xml:space="preserve">Total promedio Precio unitario antes de IVA
</t>
  </si>
  <si>
    <t>Canti-dad</t>
  </si>
  <si>
    <t xml:space="preserve">DESCRICP-CIÓN MACRO DEL SERVICIO </t>
  </si>
  <si>
    <t>COMPRA DE EXTINTORES Y SERVICIO DE RECARGA Y MANTENIMIENTO PREVENTIVO Y CORRECTIVO DE LOS EXTINTORES UBICADOS EN LOS INMUEBLES EN DONDE FUNCIONAN LAS SEDES DE LA REGIONAL META Y LOS CENTROS ZONALES ( Servicios de mantenimiento, recarga, prueba hidrostática, señalización e instalación de extintores (41 existentes, 1 satelital y 59 nuevos), conforme a la normatividad vigente y requerimientos del ICBF Regional Meta. Incluye entrega en sitio de los extintores nuevos e instalación en puntos estratégicos definidos por el área responsable.)</t>
  </si>
  <si>
    <t xml:space="preserve">SEDE REGIONAL-CZ VILLAVICENCIO 2. Municipio: Villavicencio Barrio Doña Luz </t>
  </si>
  <si>
    <t xml:space="preserve">SEDE REGIONAL-ARCHIVO CENTRAL. Municipio: Villavicencio Barrio Doña Luz 
</t>
  </si>
  <si>
    <t xml:space="preserve">Extintor Portatil PQS Multipropósito ABC 10 LIBRAS </t>
  </si>
  <si>
    <t>Extintor CO2 10 Libras</t>
  </si>
  <si>
    <t>Extintor satélite agua a presión 
18 galones</t>
  </si>
  <si>
    <t xml:space="preserve">Extintor Portatil PQS Multipropósito ABC 20 LIBRAS </t>
  </si>
  <si>
    <t>Extintor Portatil Agua a Presión 2,5 galones</t>
  </si>
  <si>
    <t>COMPRA E INSTALACIÓN DE EXTINTORES</t>
  </si>
  <si>
    <t>LUIS CARLOS VARGAS TAMAYO - SERVIMAC SMC SAS</t>
  </si>
  <si>
    <t>FUMIEXPRESS DEL LLANO-DIANA IBED ROJAS BARRERTO</t>
  </si>
  <si>
    <t>FUMIGACIONES ALTA POTENCIA-JHON  FAIBER CORTES RODRIGUEZ</t>
  </si>
  <si>
    <t>NITROFUMIGACIONES Y EXTINTORES-MAYRA ALEJANDRA CARRILLO HERNANDEZ</t>
  </si>
  <si>
    <t xml:space="preserve">DESCRIPCION DEL SERVICIO </t>
  </si>
  <si>
    <t xml:space="preserve">VALOR TOTAL PROPUESTA ECONOMICA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</si>
</sst>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&quot;$&quot;\ #,##0"/>
    <numFmt numFmtId="167" formatCode="&quot;$&quot;#,##0"/>
    <numFmt numFmtId="168" formatCode="_ * #,##0.00_ ;_ * \-#,##0.00_ ;_ * &quot;-&quot;??_ ;_ @_ "/>
    <numFmt numFmtId="169" formatCode="_ &quot;$&quot;\ * #,##0.00_ ;_ &quot;$&quot;\ * \-#,##0.00_ ;_ &quot;$&quot;\ * &quot;-&quot;??_ ;_ @_ 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11"/>
      <color theme="10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9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Zurich BT"/>
      <family val="2"/>
    </font>
    <font>
      <sz val="10"/>
      <name val="Zurich BT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3"/>
      <color theme="1"/>
      <name val="Arial"/>
      <family val="2"/>
    </font>
    <font>
      <b/>
      <sz val="11"/>
      <color indexed="8"/>
      <name val="Arial"/>
      <family val="2"/>
    </font>
    <font>
      <b/>
      <sz val="13"/>
      <name val="Arial"/>
      <family val="2"/>
    </font>
    <font>
      <sz val="13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1">
    <xf numFmtId="0" fontId="0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16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/>
    <xf numFmtId="0" fontId="17" fillId="0" borderId="0"/>
    <xf numFmtId="9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3" fillId="0" borderId="0"/>
    <xf numFmtId="0" fontId="2" fillId="0" borderId="0"/>
    <xf numFmtId="0" fontId="17" fillId="0" borderId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6">
    <xf numFmtId="0" fontId="0" fillId="0" borderId="0" xfId="0"/>
    <xf numFmtId="166" fontId="8" fillId="3" borderId="3" xfId="1" applyNumberFormat="1" applyFont="1" applyFill="1" applyBorder="1" applyAlignment="1" applyProtection="1">
      <alignment vertical="center"/>
      <protection locked="0" hidden="1"/>
    </xf>
    <xf numFmtId="166" fontId="8" fillId="0" borderId="1" xfId="1" applyNumberFormat="1" applyFont="1" applyBorder="1" applyAlignment="1">
      <alignment vertical="center"/>
    </xf>
    <xf numFmtId="166" fontId="9" fillId="5" borderId="1" xfId="1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166" fontId="8" fillId="3" borderId="3" xfId="1" applyNumberFormat="1" applyFont="1" applyFill="1" applyBorder="1" applyAlignment="1" applyProtection="1">
      <alignment horizontal="center" vertical="center"/>
      <protection locked="0" hidden="1"/>
    </xf>
    <xf numFmtId="166" fontId="8" fillId="0" borderId="1" xfId="1" applyNumberFormat="1" applyFont="1" applyBorder="1" applyAlignment="1">
      <alignment horizontal="center" vertical="center"/>
    </xf>
    <xf numFmtId="166" fontId="9" fillId="5" borderId="1" xfId="1" applyNumberFormat="1" applyFont="1" applyFill="1" applyBorder="1" applyAlignment="1">
      <alignment horizontal="center" vertical="center"/>
    </xf>
    <xf numFmtId="0" fontId="4" fillId="0" borderId="0" xfId="0" applyFont="1"/>
    <xf numFmtId="0" fontId="8" fillId="5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7" fontId="11" fillId="0" borderId="1" xfId="0" applyNumberFormat="1" applyFont="1" applyBorder="1" applyAlignment="1">
      <alignment horizontal="right" vertical="center" wrapText="1"/>
    </xf>
    <xf numFmtId="0" fontId="12" fillId="0" borderId="0" xfId="0" applyFont="1"/>
    <xf numFmtId="167" fontId="13" fillId="0" borderId="1" xfId="0" applyNumberFormat="1" applyFont="1" applyBorder="1" applyAlignment="1">
      <alignment horizontal="right" vertical="center" wrapText="1"/>
    </xf>
    <xf numFmtId="0" fontId="1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6" fontId="9" fillId="2" borderId="4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66" fontId="8" fillId="5" borderId="3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18" fillId="7" borderId="1" xfId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2" fillId="2" borderId="24" xfId="0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center" vertical="center" wrapText="1"/>
    </xf>
    <xf numFmtId="0" fontId="18" fillId="7" borderId="24" xfId="1" applyFont="1" applyFill="1" applyBorder="1" applyAlignment="1">
      <alignment horizontal="center" vertical="center" wrapText="1"/>
    </xf>
    <xf numFmtId="0" fontId="18" fillId="7" borderId="25" xfId="1" applyFont="1" applyFill="1" applyBorder="1" applyAlignment="1">
      <alignment horizontal="center" vertical="center" wrapText="1"/>
    </xf>
    <xf numFmtId="3" fontId="2" fillId="7" borderId="24" xfId="20" applyNumberFormat="1" applyFont="1" applyFill="1" applyBorder="1" applyAlignment="1">
      <alignment horizontal="center" vertical="center" wrapText="1"/>
    </xf>
    <xf numFmtId="3" fontId="2" fillId="7" borderId="1" xfId="20" applyNumberFormat="1" applyFont="1" applyFill="1" applyBorder="1" applyAlignment="1">
      <alignment horizontal="center" vertical="center" wrapText="1"/>
    </xf>
    <xf numFmtId="3" fontId="2" fillId="7" borderId="25" xfId="20" applyNumberFormat="1" applyFont="1" applyFill="1" applyBorder="1" applyAlignment="1">
      <alignment horizontal="center" vertical="center" wrapText="1"/>
    </xf>
    <xf numFmtId="3" fontId="21" fillId="2" borderId="28" xfId="0" applyNumberFormat="1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left" vertical="center"/>
    </xf>
    <xf numFmtId="0" fontId="24" fillId="2" borderId="27" xfId="0" applyFont="1" applyFill="1" applyBorder="1" applyAlignment="1">
      <alignment horizontal="left" vertical="center"/>
    </xf>
    <xf numFmtId="3" fontId="24" fillId="7" borderId="26" xfId="0" applyNumberFormat="1" applyFont="1" applyFill="1" applyBorder="1" applyAlignment="1">
      <alignment horizontal="center" vertical="center"/>
    </xf>
    <xf numFmtId="3" fontId="24" fillId="7" borderId="27" xfId="0" applyNumberFormat="1" applyFont="1" applyFill="1" applyBorder="1" applyAlignment="1">
      <alignment horizontal="center" vertical="center"/>
    </xf>
    <xf numFmtId="3" fontId="21" fillId="7" borderId="28" xfId="0" applyNumberFormat="1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vertical="center"/>
    </xf>
    <xf numFmtId="0" fontId="2" fillId="0" borderId="24" xfId="0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33" xfId="0" applyFont="1" applyBorder="1" applyAlignment="1">
      <alignment horizontal="center" wrapText="1"/>
    </xf>
    <xf numFmtId="0" fontId="2" fillId="0" borderId="34" xfId="0" applyFont="1" applyBorder="1" applyAlignment="1">
      <alignment horizontal="center" wrapText="1"/>
    </xf>
    <xf numFmtId="0" fontId="2" fillId="0" borderId="3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wrapText="1"/>
    </xf>
    <xf numFmtId="0" fontId="2" fillId="0" borderId="32" xfId="0" applyFont="1" applyBorder="1" applyAlignment="1">
      <alignment horizontal="center" vertical="center" wrapText="1"/>
    </xf>
    <xf numFmtId="0" fontId="2" fillId="8" borderId="34" xfId="0" applyFont="1" applyFill="1" applyBorder="1" applyAlignment="1">
      <alignment horizontal="center" wrapText="1"/>
    </xf>
    <xf numFmtId="0" fontId="2" fillId="9" borderId="34" xfId="0" applyFont="1" applyFill="1" applyBorder="1" applyAlignment="1">
      <alignment horizontal="center" wrapText="1"/>
    </xf>
    <xf numFmtId="0" fontId="2" fillId="10" borderId="34" xfId="0" applyFont="1" applyFill="1" applyBorder="1" applyAlignment="1">
      <alignment horizontal="center" wrapText="1"/>
    </xf>
    <xf numFmtId="167" fontId="2" fillId="11" borderId="1" xfId="1" applyNumberFormat="1" applyFill="1" applyBorder="1" applyAlignment="1" applyProtection="1">
      <alignment horizontal="right" vertical="center"/>
      <protection locked="0" hidden="1"/>
    </xf>
    <xf numFmtId="167" fontId="2" fillId="11" borderId="1" xfId="0" applyNumberFormat="1" applyFont="1" applyFill="1" applyBorder="1" applyAlignment="1">
      <alignment horizontal="right" vertical="center"/>
    </xf>
    <xf numFmtId="167" fontId="2" fillId="11" borderId="34" xfId="1" applyNumberFormat="1" applyFill="1" applyBorder="1" applyAlignment="1" applyProtection="1">
      <alignment horizontal="right" vertical="center"/>
      <protection locked="0" hidden="1"/>
    </xf>
    <xf numFmtId="167" fontId="2" fillId="11" borderId="34" xfId="0" applyNumberFormat="1" applyFont="1" applyFill="1" applyBorder="1" applyAlignment="1">
      <alignment horizontal="right" vertical="center"/>
    </xf>
    <xf numFmtId="167" fontId="26" fillId="11" borderId="1" xfId="1" applyNumberFormat="1" applyFont="1" applyFill="1" applyBorder="1" applyAlignment="1" applyProtection="1">
      <alignment horizontal="right" vertical="center"/>
      <protection locked="0" hidden="1"/>
    </xf>
    <xf numFmtId="167" fontId="26" fillId="11" borderId="34" xfId="1" applyNumberFormat="1" applyFont="1" applyFill="1" applyBorder="1" applyAlignment="1" applyProtection="1">
      <alignment horizontal="right" vertical="center"/>
      <protection locked="0" hidden="1"/>
    </xf>
    <xf numFmtId="167" fontId="26" fillId="11" borderId="1" xfId="0" applyNumberFormat="1" applyFont="1" applyFill="1" applyBorder="1" applyAlignment="1">
      <alignment horizontal="right" vertical="center"/>
    </xf>
    <xf numFmtId="44" fontId="2" fillId="11" borderId="25" xfId="0" applyNumberFormat="1" applyFont="1" applyFill="1" applyBorder="1" applyAlignment="1">
      <alignment horizontal="center" vertical="center"/>
    </xf>
    <xf numFmtId="44" fontId="2" fillId="11" borderId="25" xfId="20" applyFont="1" applyFill="1" applyBorder="1" applyAlignment="1">
      <alignment horizontal="center" vertical="center"/>
    </xf>
    <xf numFmtId="0" fontId="22" fillId="2" borderId="35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24" fillId="2" borderId="36" xfId="0" applyFont="1" applyFill="1" applyBorder="1" applyAlignment="1">
      <alignment horizontal="left" vertical="center"/>
    </xf>
    <xf numFmtId="0" fontId="24" fillId="2" borderId="37" xfId="0" applyFont="1" applyFill="1" applyBorder="1" applyAlignment="1">
      <alignment horizontal="left" vertical="center"/>
    </xf>
    <xf numFmtId="3" fontId="21" fillId="2" borderId="38" xfId="0" applyNumberFormat="1" applyFont="1" applyFill="1" applyBorder="1" applyAlignment="1">
      <alignment horizontal="center" vertical="center"/>
    </xf>
    <xf numFmtId="167" fontId="2" fillId="11" borderId="21" xfId="1" applyNumberFormat="1" applyFill="1" applyBorder="1" applyAlignment="1" applyProtection="1">
      <alignment horizontal="right" vertical="center"/>
      <protection locked="0" hidden="1"/>
    </xf>
    <xf numFmtId="167" fontId="2" fillId="11" borderId="22" xfId="0" applyNumberFormat="1" applyFont="1" applyFill="1" applyBorder="1" applyAlignment="1">
      <alignment horizontal="right" vertical="center"/>
    </xf>
    <xf numFmtId="167" fontId="2" fillId="11" borderId="23" xfId="0" applyNumberFormat="1" applyFont="1" applyFill="1" applyBorder="1" applyAlignment="1">
      <alignment horizontal="right" vertical="center"/>
    </xf>
    <xf numFmtId="167" fontId="2" fillId="11" borderId="24" xfId="1" applyNumberFormat="1" applyFill="1" applyBorder="1" applyAlignment="1" applyProtection="1">
      <alignment horizontal="right" vertical="center"/>
      <protection locked="0" hidden="1"/>
    </xf>
    <xf numFmtId="167" fontId="2" fillId="11" borderId="25" xfId="0" applyNumberFormat="1" applyFont="1" applyFill="1" applyBorder="1" applyAlignment="1">
      <alignment horizontal="right" vertical="center"/>
    </xf>
    <xf numFmtId="167" fontId="2" fillId="11" borderId="39" xfId="1" applyNumberFormat="1" applyFill="1" applyBorder="1" applyAlignment="1" applyProtection="1">
      <alignment horizontal="right" vertical="center"/>
      <protection locked="0" hidden="1"/>
    </xf>
    <xf numFmtId="167" fontId="2" fillId="11" borderId="40" xfId="0" applyNumberFormat="1" applyFont="1" applyFill="1" applyBorder="1" applyAlignment="1">
      <alignment horizontal="right" vertical="center"/>
    </xf>
    <xf numFmtId="167" fontId="2" fillId="11" borderId="41" xfId="1" applyNumberFormat="1" applyFill="1" applyBorder="1" applyAlignment="1" applyProtection="1">
      <alignment horizontal="right" vertical="center"/>
      <protection locked="0" hidden="1"/>
    </xf>
    <xf numFmtId="167" fontId="2" fillId="11" borderId="42" xfId="0" applyNumberFormat="1" applyFont="1" applyFill="1" applyBorder="1" applyAlignment="1">
      <alignment horizontal="right" vertical="center"/>
    </xf>
    <xf numFmtId="167" fontId="2" fillId="11" borderId="43" xfId="0" applyNumberFormat="1" applyFont="1" applyFill="1" applyBorder="1" applyAlignment="1">
      <alignment horizontal="right" vertical="center"/>
    </xf>
    <xf numFmtId="167" fontId="2" fillId="11" borderId="22" xfId="1" applyNumberFormat="1" applyFill="1" applyBorder="1" applyAlignment="1" applyProtection="1">
      <alignment horizontal="right" vertical="center"/>
      <protection locked="0" hidden="1"/>
    </xf>
    <xf numFmtId="44" fontId="2" fillId="11" borderId="23" xfId="0" applyNumberFormat="1" applyFont="1" applyFill="1" applyBorder="1" applyAlignment="1">
      <alignment horizontal="center" vertical="center"/>
    </xf>
    <xf numFmtId="167" fontId="2" fillId="11" borderId="42" xfId="1" applyNumberFormat="1" applyFill="1" applyBorder="1" applyAlignment="1" applyProtection="1">
      <alignment horizontal="right" vertical="center"/>
      <protection locked="0" hidden="1"/>
    </xf>
    <xf numFmtId="44" fontId="2" fillId="11" borderId="28" xfId="20" applyFont="1" applyFill="1" applyBorder="1" applyAlignment="1">
      <alignment horizontal="center"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7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3" fillId="2" borderId="44" xfId="0" applyFont="1" applyFill="1" applyBorder="1" applyAlignment="1">
      <alignment horizontal="center" vertical="center"/>
    </xf>
    <xf numFmtId="0" fontId="23" fillId="2" borderId="45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0" fillId="2" borderId="21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20" fillId="2" borderId="23" xfId="0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left" vertical="center" wrapText="1"/>
    </xf>
    <xf numFmtId="0" fontId="19" fillId="2" borderId="10" xfId="1" applyFont="1" applyFill="1" applyBorder="1" applyAlignment="1">
      <alignment horizontal="left" vertical="center" wrapText="1"/>
    </xf>
    <xf numFmtId="0" fontId="19" fillId="2" borderId="11" xfId="1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7" borderId="21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6" fontId="9" fillId="2" borderId="4" xfId="0" applyNumberFormat="1" applyFont="1" applyFill="1" applyBorder="1" applyAlignment="1">
      <alignment horizontal="center" vertical="center" wrapText="1"/>
    </xf>
    <xf numFmtId="166" fontId="9" fillId="2" borderId="3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horizontal="left" vertical="center"/>
    </xf>
    <xf numFmtId="4" fontId="2" fillId="7" borderId="25" xfId="20" applyNumberFormat="1" applyFont="1" applyFill="1" applyBorder="1" applyAlignment="1">
      <alignment horizontal="center" vertical="center" wrapText="1"/>
    </xf>
  </cellXfs>
  <cellStyles count="21">
    <cellStyle name="Hipervínculo 2" xfId="2" xr:uid="{00000000-0005-0000-0000-000001000000}"/>
    <cellStyle name="Millares [0] 2" xfId="18" xr:uid="{00000000-0005-0000-0000-000002000000}"/>
    <cellStyle name="Millares 2" xfId="10" xr:uid="{00000000-0005-0000-0000-000003000000}"/>
    <cellStyle name="Millares 5" xfId="11" xr:uid="{00000000-0005-0000-0000-000004000000}"/>
    <cellStyle name="Moneda" xfId="20" builtinId="4"/>
    <cellStyle name="Moneda [0] 2" xfId="19" xr:uid="{00000000-0005-0000-0000-000007000000}"/>
    <cellStyle name="Moneda 2" xfId="5" xr:uid="{00000000-0005-0000-0000-000008000000}"/>
    <cellStyle name="Moneda 3" xfId="3" xr:uid="{00000000-0005-0000-0000-000009000000}"/>
    <cellStyle name="Moneda 4" xfId="12" xr:uid="{00000000-0005-0000-0000-00000A000000}"/>
    <cellStyle name="Moneda 5" xfId="13" xr:uid="{00000000-0005-0000-0000-00000B000000}"/>
    <cellStyle name="Normal" xfId="0" builtinId="0"/>
    <cellStyle name="Normal 2" xfId="7" xr:uid="{00000000-0005-0000-0000-00000D000000}"/>
    <cellStyle name="Normal 2 2" xfId="4" xr:uid="{00000000-0005-0000-0000-00000E000000}"/>
    <cellStyle name="Normal 2 2 2" xfId="14" xr:uid="{00000000-0005-0000-0000-00000F000000}"/>
    <cellStyle name="Normal 2 3" xfId="15" xr:uid="{00000000-0005-0000-0000-000010000000}"/>
    <cellStyle name="Normal 28" xfId="1" xr:uid="{00000000-0005-0000-0000-000011000000}"/>
    <cellStyle name="Normal 3" xfId="6" xr:uid="{00000000-0005-0000-0000-000012000000}"/>
    <cellStyle name="Normal 3 2" xfId="16" xr:uid="{00000000-0005-0000-0000-000013000000}"/>
    <cellStyle name="Normal 4" xfId="8" xr:uid="{00000000-0005-0000-0000-000014000000}"/>
    <cellStyle name="Porcentual 2" xfId="17" xr:uid="{00000000-0005-0000-0000-000016000000}"/>
    <cellStyle name="Porcentual 5" xfId="9" xr:uid="{00000000-0005-0000-0000-000017000000}"/>
  </cellStyles>
  <dxfs count="0"/>
  <tableStyles count="0" defaultTableStyle="TableStyleMedium2" defaultPivotStyle="PivotStyleLight16"/>
  <colors>
    <mruColors>
      <color rgb="FFFFFFCC"/>
      <color rgb="FFCCFFCC"/>
      <color rgb="FFCCFFFF"/>
      <color rgb="FFCCECFF"/>
      <color rgb="FFED97A9"/>
      <color rgb="FFFFB3B3"/>
      <color rgb="FFEF5357"/>
      <color rgb="FFFAA9A0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102508</xdr:colOff>
      <xdr:row>1</xdr:row>
      <xdr:rowOff>35719</xdr:rowOff>
    </xdr:from>
    <xdr:ext cx="357868" cy="409746"/>
    <xdr:pic>
      <xdr:nvPicPr>
        <xdr:cNvPr id="3" name="45 Imagen" descr="LOGO-ICBF">
          <a:extLst>
            <a:ext uri="{FF2B5EF4-FFF2-40B4-BE49-F238E27FC236}">
              <a16:creationId xmlns:a16="http://schemas.microsoft.com/office/drawing/2014/main" id="{7C6F824D-396B-4BE0-BEF7-A739340B5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7758" y="107157"/>
          <a:ext cx="357868" cy="4097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da.Ramirez\AppData\Local\Microsoft\Windows\INetCache\Content.Outlook\2CXI125K\ICBF%20META%20EXTINTORES%20COTIZACION%202025.xlsx" TargetMode="External"/><Relationship Id="rId1" Type="http://schemas.openxmlformats.org/officeDocument/2006/relationships/externalLinkPath" Target="file:///C:\Users\Eda.Ramirez\AppData\Local\Microsoft\Windows\INetCache\Content.Outlook\2CXI125K\ICBF%20META%20EXTINTORES%20COTIZACION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da.Ramirez\AppData\Local\Microsoft\Windows\INetCache\Content.Outlook\2CXI125K\Copia%20de%20SDC%20Formato%20Cotizaci&#243;n%20contrato%20Extintores%202025%20(002).xlsx" TargetMode="External"/><Relationship Id="rId1" Type="http://schemas.openxmlformats.org/officeDocument/2006/relationships/externalLinkPath" Target="file:///C:\Users\Eda.Ramirez\AppData\Local\Microsoft\Windows\INetCache\Content.Outlook\2CXI125K\Copia%20de%20SDC%20Formato%20Cotizaci&#243;n%20contrato%20Extintores%202025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DC"/>
      <sheetName val="Borrador"/>
    </sheetNames>
    <sheetDataSet>
      <sheetData sheetId="0">
        <row r="21">
          <cell r="G21">
            <v>960000</v>
          </cell>
        </row>
        <row r="22">
          <cell r="G22">
            <v>1260000</v>
          </cell>
        </row>
        <row r="23">
          <cell r="G23">
            <v>215000</v>
          </cell>
        </row>
        <row r="24">
          <cell r="G24">
            <v>800000</v>
          </cell>
        </row>
        <row r="25">
          <cell r="G25">
            <v>48000</v>
          </cell>
        </row>
        <row r="26">
          <cell r="G26">
            <v>144000</v>
          </cell>
        </row>
        <row r="27">
          <cell r="G27">
            <v>4860000</v>
          </cell>
        </row>
        <row r="28">
          <cell r="G28">
            <v>4680000</v>
          </cell>
        </row>
        <row r="29">
          <cell r="G29">
            <v>6300000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DC"/>
      <sheetName val="Borrador"/>
    </sheetNames>
    <sheetDataSet>
      <sheetData sheetId="0">
        <row r="24">
          <cell r="B24" t="str">
            <v xml:space="preserve">CASA ATRAPASUEÑOS Municipio : Villavicencio </v>
          </cell>
        </row>
        <row r="26">
          <cell r="B26" t="str">
            <v>CASA ATRAPASUEÑOS Municipio : Puerto Lopez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DE631-E94A-43AE-8342-B3413BDF1A9E}">
  <sheetPr>
    <pageSetUpPr fitToPage="1"/>
  </sheetPr>
  <dimension ref="A1:CI72"/>
  <sheetViews>
    <sheetView showGridLines="0" tabSelected="1" topLeftCell="A5" zoomScale="80" zoomScaleNormal="80" zoomScaleSheetLayoutView="80" workbookViewId="0">
      <selection activeCell="V12" sqref="V12"/>
    </sheetView>
  </sheetViews>
  <sheetFormatPr baseColWidth="10" defaultColWidth="11.42578125" defaultRowHeight="0" customHeight="1" zeroHeight="1"/>
  <cols>
    <col min="1" max="1" width="1.42578125" style="27" customWidth="1"/>
    <col min="2" max="2" width="9.28515625" style="27" customWidth="1"/>
    <col min="3" max="3" width="18.42578125" style="27" customWidth="1"/>
    <col min="4" max="4" width="33" style="27" customWidth="1"/>
    <col min="5" max="5" width="9.85546875" style="27" customWidth="1"/>
    <col min="6" max="6" width="15.140625" style="27" customWidth="1"/>
    <col min="7" max="7" width="13.140625" style="27" customWidth="1"/>
    <col min="8" max="8" width="16" style="27" customWidth="1"/>
    <col min="9" max="9" width="15.28515625" style="27" customWidth="1"/>
    <col min="10" max="10" width="13.140625" style="27" customWidth="1"/>
    <col min="11" max="11" width="18.28515625" style="27" customWidth="1"/>
    <col min="12" max="12" width="15.28515625" style="27" customWidth="1"/>
    <col min="13" max="13" width="13.140625" style="27" customWidth="1"/>
    <col min="14" max="14" width="18.28515625" style="27" customWidth="1"/>
    <col min="15" max="15" width="15.28515625" style="27" customWidth="1"/>
    <col min="16" max="16" width="13.140625" style="27" customWidth="1"/>
    <col min="17" max="17" width="18.28515625" style="27" customWidth="1"/>
    <col min="18" max="18" width="17" style="27" customWidth="1"/>
    <col min="19" max="19" width="19" style="27" customWidth="1"/>
    <col min="20" max="20" width="16.7109375" style="27" customWidth="1"/>
    <col min="21" max="24" width="11.42578125" style="27"/>
    <col min="25" max="25" width="19.140625" style="27" customWidth="1"/>
    <col min="26" max="26" width="14.7109375" style="27" customWidth="1"/>
    <col min="27" max="16384" width="11.42578125" style="27"/>
  </cols>
  <sheetData>
    <row r="1" spans="1:87" ht="5.25" customHeight="1" thickBot="1"/>
    <row r="2" spans="1:87" ht="21.75" customHeight="1">
      <c r="B2" s="103" t="s">
        <v>31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5"/>
    </row>
    <row r="3" spans="1:87" ht="39" customHeight="1" thickBot="1">
      <c r="B3" s="49" t="s">
        <v>36</v>
      </c>
      <c r="C3" s="106" t="s">
        <v>41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8"/>
    </row>
    <row r="4" spans="1:87" s="29" customFormat="1" ht="33.75" customHeight="1">
      <c r="B4" s="115" t="s">
        <v>54</v>
      </c>
      <c r="C4" s="116"/>
      <c r="D4" s="116"/>
      <c r="E4" s="117"/>
      <c r="F4" s="109" t="s">
        <v>50</v>
      </c>
      <c r="G4" s="110"/>
      <c r="H4" s="111"/>
      <c r="I4" s="109" t="s">
        <v>51</v>
      </c>
      <c r="J4" s="110"/>
      <c r="K4" s="111"/>
      <c r="L4" s="109" t="s">
        <v>52</v>
      </c>
      <c r="M4" s="110"/>
      <c r="N4" s="111"/>
      <c r="O4" s="109" t="s">
        <v>53</v>
      </c>
      <c r="P4" s="110"/>
      <c r="Q4" s="111"/>
      <c r="R4" s="112" t="s">
        <v>37</v>
      </c>
      <c r="S4" s="113"/>
      <c r="T4" s="114"/>
    </row>
    <row r="5" spans="1:87" s="30" customFormat="1" ht="87.75" customHeight="1" thickBot="1">
      <c r="B5" s="36" t="s">
        <v>32</v>
      </c>
      <c r="C5" s="33" t="s">
        <v>40</v>
      </c>
      <c r="D5" s="33" t="s">
        <v>0</v>
      </c>
      <c r="E5" s="34" t="s">
        <v>39</v>
      </c>
      <c r="F5" s="72" t="s">
        <v>33</v>
      </c>
      <c r="G5" s="73" t="s">
        <v>34</v>
      </c>
      <c r="H5" s="74" t="s">
        <v>35</v>
      </c>
      <c r="I5" s="72" t="s">
        <v>33</v>
      </c>
      <c r="J5" s="73" t="s">
        <v>34</v>
      </c>
      <c r="K5" s="74" t="s">
        <v>35</v>
      </c>
      <c r="L5" s="72" t="s">
        <v>33</v>
      </c>
      <c r="M5" s="73" t="s">
        <v>34</v>
      </c>
      <c r="N5" s="74" t="s">
        <v>35</v>
      </c>
      <c r="O5" s="36" t="s">
        <v>33</v>
      </c>
      <c r="P5" s="33" t="s">
        <v>34</v>
      </c>
      <c r="Q5" s="37" t="s">
        <v>35</v>
      </c>
      <c r="R5" s="38" t="s">
        <v>38</v>
      </c>
      <c r="S5" s="32" t="s">
        <v>29</v>
      </c>
      <c r="T5" s="39" t="s">
        <v>30</v>
      </c>
    </row>
    <row r="6" spans="1:87" s="30" customFormat="1" ht="34.5" customHeight="1">
      <c r="B6" s="50">
        <v>1</v>
      </c>
      <c r="C6" s="94" t="s">
        <v>42</v>
      </c>
      <c r="D6" s="52" t="s">
        <v>44</v>
      </c>
      <c r="E6" s="35">
        <v>20</v>
      </c>
      <c r="F6" s="78">
        <v>40000</v>
      </c>
      <c r="G6" s="79">
        <f>+F6*1.19</f>
        <v>47600</v>
      </c>
      <c r="H6" s="80">
        <f>+G6*E6</f>
        <v>952000</v>
      </c>
      <c r="I6" s="78">
        <v>48000</v>
      </c>
      <c r="J6" s="88">
        <v>48000</v>
      </c>
      <c r="K6" s="89">
        <f>[1]SDC!G21</f>
        <v>960000</v>
      </c>
      <c r="L6" s="78">
        <v>40000</v>
      </c>
      <c r="M6" s="79">
        <v>47600</v>
      </c>
      <c r="N6" s="80">
        <v>952000</v>
      </c>
      <c r="O6" s="67">
        <v>40000</v>
      </c>
      <c r="P6" s="69">
        <f>O6</f>
        <v>40000</v>
      </c>
      <c r="Q6" s="70">
        <f>+P6*E6</f>
        <v>800000</v>
      </c>
      <c r="R6" s="40">
        <f>SUM(F6,I6,L6,O6)/4</f>
        <v>42000</v>
      </c>
      <c r="S6" s="41">
        <f>SUM(G6,J6,M6,P6)/4</f>
        <v>45800</v>
      </c>
      <c r="T6" s="42">
        <f>SUM(H6,K6,N6,Q6)/4</f>
        <v>916000</v>
      </c>
    </row>
    <row r="7" spans="1:87" s="30" customFormat="1" ht="46.5" customHeight="1">
      <c r="B7" s="50">
        <v>2</v>
      </c>
      <c r="C7" s="94"/>
      <c r="D7" s="53" t="s">
        <v>45</v>
      </c>
      <c r="E7" s="35">
        <v>7</v>
      </c>
      <c r="F7" s="81">
        <v>160000</v>
      </c>
      <c r="G7" s="64">
        <f t="shared" ref="G7:G11" si="0">+F7*1.19</f>
        <v>190400</v>
      </c>
      <c r="H7" s="82">
        <f t="shared" ref="H7:H11" si="1">+G7*E7</f>
        <v>1332800</v>
      </c>
      <c r="I7" s="81">
        <v>180000</v>
      </c>
      <c r="J7" s="63">
        <v>180000</v>
      </c>
      <c r="K7" s="70">
        <f>[1]SDC!G22</f>
        <v>1260000</v>
      </c>
      <c r="L7" s="81">
        <v>160000</v>
      </c>
      <c r="M7" s="64">
        <v>190400</v>
      </c>
      <c r="N7" s="82">
        <v>1332800</v>
      </c>
      <c r="O7" s="67">
        <v>210000</v>
      </c>
      <c r="P7" s="69">
        <f t="shared" ref="P7:P14" si="2">O7</f>
        <v>210000</v>
      </c>
      <c r="Q7" s="70">
        <f t="shared" ref="Q7:Q14" si="3">+P7*E7</f>
        <v>1470000</v>
      </c>
      <c r="R7" s="40">
        <f t="shared" ref="R7:R14" si="4">SUM(F7,I7,L7,O7)/4</f>
        <v>177500</v>
      </c>
      <c r="S7" s="41">
        <f t="shared" ref="S7:S14" si="5">SUM(G7,J7,M7,P7)/4</f>
        <v>192700</v>
      </c>
      <c r="T7" s="42">
        <f t="shared" ref="T7:T14" si="6">SUM(H7,K7,N7,Q7)/4</f>
        <v>1348900</v>
      </c>
    </row>
    <row r="8" spans="1:87" s="31" customFormat="1" ht="111" customHeight="1">
      <c r="A8" s="30"/>
      <c r="B8" s="50">
        <v>3</v>
      </c>
      <c r="C8" s="56" t="s">
        <v>43</v>
      </c>
      <c r="D8" s="57" t="s">
        <v>46</v>
      </c>
      <c r="E8" s="35">
        <v>1</v>
      </c>
      <c r="F8" s="81">
        <v>250000</v>
      </c>
      <c r="G8" s="64">
        <f t="shared" si="0"/>
        <v>297500</v>
      </c>
      <c r="H8" s="82">
        <f t="shared" si="1"/>
        <v>297500</v>
      </c>
      <c r="I8" s="81">
        <v>215000</v>
      </c>
      <c r="J8" s="63">
        <v>215000</v>
      </c>
      <c r="K8" s="71">
        <f>[1]SDC!G23</f>
        <v>215000</v>
      </c>
      <c r="L8" s="81">
        <v>220000</v>
      </c>
      <c r="M8" s="64">
        <v>261800</v>
      </c>
      <c r="N8" s="82">
        <v>261800</v>
      </c>
      <c r="O8" s="67">
        <v>320000</v>
      </c>
      <c r="P8" s="69">
        <f t="shared" si="2"/>
        <v>320000</v>
      </c>
      <c r="Q8" s="70">
        <f t="shared" si="3"/>
        <v>320000</v>
      </c>
      <c r="R8" s="40">
        <f t="shared" si="4"/>
        <v>251250</v>
      </c>
      <c r="S8" s="41">
        <f t="shared" si="5"/>
        <v>273575</v>
      </c>
      <c r="T8" s="42">
        <f t="shared" si="6"/>
        <v>273575</v>
      </c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</row>
    <row r="9" spans="1:87" s="30" customFormat="1" ht="39.75" customHeight="1">
      <c r="B9" s="50">
        <v>4</v>
      </c>
      <c r="C9" s="95" t="str">
        <f>[2]SDC!$B$24</f>
        <v xml:space="preserve">CASA ATRAPASUEÑOS Municipio : Villavicencio </v>
      </c>
      <c r="D9" s="53" t="s">
        <v>47</v>
      </c>
      <c r="E9" s="35">
        <v>10</v>
      </c>
      <c r="F9" s="81">
        <v>83000</v>
      </c>
      <c r="G9" s="64">
        <f t="shared" si="0"/>
        <v>98770</v>
      </c>
      <c r="H9" s="82">
        <f t="shared" si="1"/>
        <v>987700</v>
      </c>
      <c r="I9" s="81">
        <v>80000</v>
      </c>
      <c r="J9" s="63">
        <v>80000</v>
      </c>
      <c r="K9" s="71">
        <f>[1]SDC!G24</f>
        <v>800000</v>
      </c>
      <c r="L9" s="81">
        <v>75000</v>
      </c>
      <c r="M9" s="64">
        <v>89250</v>
      </c>
      <c r="N9" s="82">
        <v>892500</v>
      </c>
      <c r="O9" s="67">
        <v>60000</v>
      </c>
      <c r="P9" s="69">
        <f t="shared" si="2"/>
        <v>60000</v>
      </c>
      <c r="Q9" s="70">
        <f t="shared" si="3"/>
        <v>600000</v>
      </c>
      <c r="R9" s="40">
        <f t="shared" si="4"/>
        <v>74500</v>
      </c>
      <c r="S9" s="41">
        <f t="shared" si="5"/>
        <v>82005</v>
      </c>
      <c r="T9" s="42">
        <f t="shared" si="6"/>
        <v>820050</v>
      </c>
    </row>
    <row r="10" spans="1:87" s="30" customFormat="1" ht="45" customHeight="1">
      <c r="B10" s="50">
        <v>5</v>
      </c>
      <c r="C10" s="95"/>
      <c r="D10" s="58" t="s">
        <v>44</v>
      </c>
      <c r="E10" s="35">
        <v>1</v>
      </c>
      <c r="F10" s="81">
        <v>40000</v>
      </c>
      <c r="G10" s="64">
        <f t="shared" si="0"/>
        <v>47600</v>
      </c>
      <c r="H10" s="82">
        <f t="shared" si="1"/>
        <v>47600</v>
      </c>
      <c r="I10" s="81">
        <v>48000</v>
      </c>
      <c r="J10" s="63">
        <v>48000</v>
      </c>
      <c r="K10" s="71">
        <f>[1]SDC!G25</f>
        <v>48000</v>
      </c>
      <c r="L10" s="81">
        <v>40000</v>
      </c>
      <c r="M10" s="64">
        <v>47600</v>
      </c>
      <c r="N10" s="82">
        <v>47600</v>
      </c>
      <c r="O10" s="67">
        <v>40000</v>
      </c>
      <c r="P10" s="69">
        <f t="shared" si="2"/>
        <v>40000</v>
      </c>
      <c r="Q10" s="70">
        <f t="shared" si="3"/>
        <v>40000</v>
      </c>
      <c r="R10" s="40">
        <f t="shared" si="4"/>
        <v>42000</v>
      </c>
      <c r="S10" s="41">
        <f t="shared" si="5"/>
        <v>45800</v>
      </c>
      <c r="T10" s="42">
        <f t="shared" si="6"/>
        <v>45800</v>
      </c>
      <c r="Y10" s="144"/>
    </row>
    <row r="11" spans="1:87" s="30" customFormat="1" ht="94.5" customHeight="1">
      <c r="B11" s="54">
        <v>6</v>
      </c>
      <c r="C11" s="56" t="str">
        <f>[2]SDC!$B$26</f>
        <v>CASA ATRAPASUEÑOS Municipio : Puerto Lopez</v>
      </c>
      <c r="D11" s="59" t="s">
        <v>44</v>
      </c>
      <c r="E11" s="55">
        <v>3</v>
      </c>
      <c r="F11" s="81">
        <v>40000</v>
      </c>
      <c r="G11" s="64">
        <f t="shared" si="0"/>
        <v>47600</v>
      </c>
      <c r="H11" s="82">
        <f t="shared" si="1"/>
        <v>142800</v>
      </c>
      <c r="I11" s="81">
        <v>48000</v>
      </c>
      <c r="J11" s="63">
        <v>48000</v>
      </c>
      <c r="K11" s="71">
        <f>[1]SDC!G26</f>
        <v>144000</v>
      </c>
      <c r="L11" s="81">
        <v>40000</v>
      </c>
      <c r="M11" s="64">
        <v>47600</v>
      </c>
      <c r="N11" s="82">
        <v>142800</v>
      </c>
      <c r="O11" s="67">
        <v>50000</v>
      </c>
      <c r="P11" s="69">
        <f t="shared" si="2"/>
        <v>50000</v>
      </c>
      <c r="Q11" s="70">
        <f t="shared" si="3"/>
        <v>150000</v>
      </c>
      <c r="R11" s="40">
        <f t="shared" si="4"/>
        <v>44500</v>
      </c>
      <c r="S11" s="41">
        <f t="shared" si="5"/>
        <v>48300</v>
      </c>
      <c r="T11" s="42">
        <f t="shared" si="6"/>
        <v>144900</v>
      </c>
      <c r="Y11" s="144"/>
    </row>
    <row r="12" spans="1:87" s="30" customFormat="1" ht="39.75" customHeight="1">
      <c r="B12" s="28">
        <v>7</v>
      </c>
      <c r="C12" s="96" t="s">
        <v>49</v>
      </c>
      <c r="D12" s="60" t="s">
        <v>47</v>
      </c>
      <c r="E12" s="35">
        <v>27</v>
      </c>
      <c r="F12" s="83">
        <v>140504</v>
      </c>
      <c r="G12" s="66">
        <f>+F12*1.19</f>
        <v>167199.75999999998</v>
      </c>
      <c r="H12" s="84">
        <f>+G12*E12</f>
        <v>4514393.5199999996</v>
      </c>
      <c r="I12" s="83">
        <v>180000</v>
      </c>
      <c r="J12" s="65">
        <v>180000</v>
      </c>
      <c r="K12" s="71">
        <f>[1]SDC!G27</f>
        <v>4860000</v>
      </c>
      <c r="L12" s="83">
        <v>140000</v>
      </c>
      <c r="M12" s="66">
        <v>166600</v>
      </c>
      <c r="N12" s="84">
        <v>4498200</v>
      </c>
      <c r="O12" s="68">
        <v>190000</v>
      </c>
      <c r="P12" s="69">
        <f t="shared" si="2"/>
        <v>190000</v>
      </c>
      <c r="Q12" s="70">
        <f t="shared" si="3"/>
        <v>5130000</v>
      </c>
      <c r="R12" s="40">
        <f t="shared" si="4"/>
        <v>162626</v>
      </c>
      <c r="S12" s="41">
        <f t="shared" si="5"/>
        <v>175949.94</v>
      </c>
      <c r="T12" s="145">
        <f t="shared" si="6"/>
        <v>4750648.38</v>
      </c>
    </row>
    <row r="13" spans="1:87" s="30" customFormat="1" ht="48.75" customHeight="1">
      <c r="B13" s="28">
        <v>8</v>
      </c>
      <c r="C13" s="97"/>
      <c r="D13" s="61" t="s">
        <v>48</v>
      </c>
      <c r="E13" s="35">
        <v>18</v>
      </c>
      <c r="F13" s="83">
        <v>143697</v>
      </c>
      <c r="G13" s="66">
        <f t="shared" ref="G13:G14" si="7">+F13*1.19</f>
        <v>170999.43</v>
      </c>
      <c r="H13" s="84">
        <f t="shared" ref="H13:H14" si="8">+G13*E13</f>
        <v>3077989.7399999998</v>
      </c>
      <c r="I13" s="83">
        <v>260000</v>
      </c>
      <c r="J13" s="65">
        <v>260000</v>
      </c>
      <c r="K13" s="71">
        <f>[1]SDC!G28</f>
        <v>4680000</v>
      </c>
      <c r="L13" s="83">
        <v>220000</v>
      </c>
      <c r="M13" s="66">
        <v>261800</v>
      </c>
      <c r="N13" s="84">
        <v>4712400</v>
      </c>
      <c r="O13" s="68">
        <v>190000</v>
      </c>
      <c r="P13" s="69">
        <f t="shared" si="2"/>
        <v>190000</v>
      </c>
      <c r="Q13" s="70">
        <f t="shared" si="3"/>
        <v>3420000</v>
      </c>
      <c r="R13" s="40">
        <f t="shared" si="4"/>
        <v>203424.25</v>
      </c>
      <c r="S13" s="41">
        <f t="shared" si="5"/>
        <v>220699.85749999998</v>
      </c>
      <c r="T13" s="145">
        <f t="shared" si="6"/>
        <v>3972597.4350000001</v>
      </c>
    </row>
    <row r="14" spans="1:87" s="30" customFormat="1" ht="63" customHeight="1" thickBot="1">
      <c r="B14" s="28">
        <v>9</v>
      </c>
      <c r="C14" s="98"/>
      <c r="D14" s="62" t="s">
        <v>45</v>
      </c>
      <c r="E14" s="35">
        <v>14</v>
      </c>
      <c r="F14" s="85">
        <v>517500</v>
      </c>
      <c r="G14" s="86">
        <f t="shared" si="7"/>
        <v>615825</v>
      </c>
      <c r="H14" s="87">
        <f t="shared" si="8"/>
        <v>8621550</v>
      </c>
      <c r="I14" s="85">
        <v>450000</v>
      </c>
      <c r="J14" s="90">
        <v>450000</v>
      </c>
      <c r="K14" s="91">
        <f>[1]SDC!G29</f>
        <v>6300000</v>
      </c>
      <c r="L14" s="85">
        <v>380000</v>
      </c>
      <c r="M14" s="86">
        <v>452200</v>
      </c>
      <c r="N14" s="87">
        <v>6330800</v>
      </c>
      <c r="O14" s="68">
        <v>550000</v>
      </c>
      <c r="P14" s="69">
        <f t="shared" si="2"/>
        <v>550000</v>
      </c>
      <c r="Q14" s="70">
        <f t="shared" si="3"/>
        <v>7700000</v>
      </c>
      <c r="R14" s="40">
        <f t="shared" si="4"/>
        <v>474375</v>
      </c>
      <c r="S14" s="41">
        <f t="shared" si="5"/>
        <v>517006.25</v>
      </c>
      <c r="T14" s="145">
        <f t="shared" si="6"/>
        <v>7238087.5</v>
      </c>
      <c r="AC14" s="102"/>
      <c r="AD14" s="102"/>
      <c r="AE14" s="102"/>
      <c r="AF14" s="102"/>
      <c r="AG14" s="51"/>
    </row>
    <row r="15" spans="1:87" s="30" customFormat="1" ht="54" customHeight="1" thickBot="1">
      <c r="B15" s="99" t="s">
        <v>55</v>
      </c>
      <c r="C15" s="100"/>
      <c r="D15" s="100"/>
      <c r="E15" s="101"/>
      <c r="F15" s="92"/>
      <c r="G15" s="93"/>
      <c r="H15" s="77">
        <f>SUM(H6:H14)</f>
        <v>19974333.259999998</v>
      </c>
      <c r="I15" s="75"/>
      <c r="J15" s="76"/>
      <c r="K15" s="77">
        <f>SUM(K6:K14)</f>
        <v>19267000</v>
      </c>
      <c r="L15" s="75"/>
      <c r="M15" s="76"/>
      <c r="N15" s="77">
        <f>SUM(N6:N14)</f>
        <v>19170900</v>
      </c>
      <c r="O15" s="44"/>
      <c r="P15" s="45"/>
      <c r="Q15" s="43">
        <f>SUM(Q6:Q14)</f>
        <v>19630000</v>
      </c>
      <c r="R15" s="46"/>
      <c r="S15" s="47"/>
      <c r="T15" s="48">
        <f>SUM(T6:T14)</f>
        <v>19510558.314999998</v>
      </c>
    </row>
    <row r="16" spans="1:87" ht="14.25" customHeight="1"/>
    <row r="17" ht="14.25" customHeight="1"/>
    <row r="18" ht="14.25" hidden="1"/>
    <row r="19" ht="14.25" hidden="1"/>
    <row r="20" ht="14.25" hidden="1"/>
    <row r="21" ht="14.25" hidden="1"/>
    <row r="22" ht="14.25" hidden="1"/>
    <row r="23" ht="14.25" hidden="1"/>
    <row r="24" ht="14.25" hidden="1"/>
    <row r="25" ht="14.25" hidden="1"/>
    <row r="26" ht="14.25" hidden="1"/>
    <row r="27" ht="14.25" hidden="1"/>
    <row r="28" ht="14.25" hidden="1"/>
    <row r="29" ht="14.25" hidden="1"/>
    <row r="30" ht="14.25" hidden="1"/>
    <row r="31" ht="14.25" hidden="1"/>
    <row r="32" ht="14.25" hidden="1"/>
    <row r="33" ht="14.25" hidden="1"/>
    <row r="34" ht="14.25" hidden="1"/>
    <row r="35" ht="14.25" hidden="1"/>
    <row r="36" ht="14.25" hidden="1"/>
    <row r="37" ht="14.25" hidden="1"/>
    <row r="38" ht="14.25" hidden="1"/>
    <row r="39" ht="14.25" hidden="1"/>
    <row r="40" ht="14.25" hidden="1"/>
    <row r="41" ht="14.25" hidden="1"/>
    <row r="42" ht="14.25" hidden="1"/>
    <row r="43" ht="14.25" hidden="1"/>
    <row r="44" ht="14.25" hidden="1"/>
    <row r="45" ht="14.25" hidden="1"/>
    <row r="46" ht="14.25" hidden="1"/>
    <row r="47" ht="14.25" hidden="1"/>
    <row r="48" ht="14.25" hidden="1"/>
    <row r="49" ht="14.25" hidden="1"/>
    <row r="50" ht="14.25" hidden="1"/>
    <row r="51" ht="14.25" hidden="1"/>
    <row r="52" ht="14.25" hidden="1"/>
    <row r="53" ht="14.25" hidden="1"/>
    <row r="54" ht="14.25" hidden="1"/>
    <row r="55" ht="14.25" hidden="1"/>
    <row r="56" ht="14.25" hidden="1"/>
    <row r="57" ht="14.25" hidden="1"/>
    <row r="58" ht="14.25" hidden="1"/>
    <row r="59" ht="14.25" hidden="1"/>
    <row r="60" ht="14.25" hidden="1"/>
    <row r="61" ht="14.25" hidden="1"/>
    <row r="62" ht="14.25" hidden="1"/>
    <row r="63" ht="14.25" hidden="1"/>
    <row r="64" ht="14.25" hidden="1"/>
    <row r="65" ht="14.25" hidden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</sheetData>
  <mergeCells count="13">
    <mergeCell ref="B2:T2"/>
    <mergeCell ref="C3:T3"/>
    <mergeCell ref="I4:K4"/>
    <mergeCell ref="R4:T4"/>
    <mergeCell ref="B4:E4"/>
    <mergeCell ref="F4:H4"/>
    <mergeCell ref="L4:N4"/>
    <mergeCell ref="O4:Q4"/>
    <mergeCell ref="C6:C7"/>
    <mergeCell ref="C9:C10"/>
    <mergeCell ref="C12:C14"/>
    <mergeCell ref="B15:E15"/>
    <mergeCell ref="AC14:AF14"/>
  </mergeCells>
  <pageMargins left="0.70866141732283472" right="0.70866141732283472" top="1.1417322834645669" bottom="1.1417322834645669" header="0.31496062992125984" footer="0.31496062992125984"/>
  <pageSetup scale="7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G29"/>
  <sheetViews>
    <sheetView showGridLines="0" workbookViewId="0">
      <selection activeCell="L24" sqref="L24"/>
    </sheetView>
  </sheetViews>
  <sheetFormatPr baseColWidth="10" defaultColWidth="11.42578125" defaultRowHeight="15"/>
  <cols>
    <col min="3" max="3" width="18.85546875" customWidth="1"/>
    <col min="4" max="8" width="13.85546875" customWidth="1"/>
    <col min="11" max="11" width="12.42578125" customWidth="1"/>
    <col min="12" max="12" width="14" customWidth="1"/>
    <col min="13" max="14" width="15.85546875" customWidth="1"/>
    <col min="15" max="15" width="13.42578125" customWidth="1"/>
    <col min="16" max="16" width="12.42578125" customWidth="1"/>
    <col min="17" max="18" width="13.42578125" customWidth="1"/>
    <col min="19" max="19" width="16.42578125" customWidth="1"/>
    <col min="20" max="20" width="16" customWidth="1"/>
    <col min="21" max="21" width="15.140625" customWidth="1"/>
    <col min="22" max="22" width="2.85546875" customWidth="1"/>
    <col min="23" max="23" width="17.42578125" customWidth="1"/>
    <col min="24" max="24" width="15.140625" customWidth="1"/>
    <col min="25" max="25" width="14.42578125" customWidth="1"/>
    <col min="26" max="26" width="3" customWidth="1"/>
    <col min="27" max="27" width="17.140625" customWidth="1"/>
    <col min="28" max="28" width="17.28515625" customWidth="1"/>
    <col min="29" max="29" width="17" customWidth="1"/>
    <col min="30" max="30" width="2.42578125" customWidth="1"/>
    <col min="31" max="31" width="17" customWidth="1"/>
    <col min="32" max="32" width="15.140625" customWidth="1"/>
    <col min="33" max="33" width="14.42578125" customWidth="1"/>
  </cols>
  <sheetData>
    <row r="1" spans="1:33">
      <c r="D1" s="12" t="s">
        <v>2</v>
      </c>
      <c r="E1" s="21"/>
      <c r="F1" s="21"/>
      <c r="G1" s="21"/>
      <c r="H1" s="21"/>
    </row>
    <row r="2" spans="1:33">
      <c r="D2" s="13">
        <v>0</v>
      </c>
      <c r="E2" s="22"/>
      <c r="F2" s="22"/>
      <c r="G2" s="22"/>
      <c r="H2" s="22"/>
    </row>
    <row r="3" spans="1:33" s="11" customFormat="1" ht="41.25" customHeight="1">
      <c r="A3" s="131" t="s">
        <v>3</v>
      </c>
      <c r="B3" s="131"/>
      <c r="C3" s="132"/>
      <c r="D3" s="137" t="s">
        <v>4</v>
      </c>
      <c r="E3" s="130" t="s">
        <v>5</v>
      </c>
      <c r="F3" s="130" t="s">
        <v>6</v>
      </c>
      <c r="G3" s="23"/>
      <c r="H3" s="23"/>
      <c r="I3" s="124" t="s">
        <v>7</v>
      </c>
      <c r="J3" s="125"/>
      <c r="K3" s="126"/>
      <c r="L3" s="124" t="s">
        <v>8</v>
      </c>
      <c r="M3" s="125"/>
      <c r="N3" s="126"/>
      <c r="O3" s="124" t="s">
        <v>9</v>
      </c>
      <c r="P3" s="125"/>
      <c r="Q3" s="126"/>
      <c r="S3" s="118" t="s">
        <v>10</v>
      </c>
      <c r="T3" s="118"/>
      <c r="U3" s="118"/>
      <c r="V3" s="18"/>
      <c r="W3" s="118" t="s">
        <v>11</v>
      </c>
      <c r="X3" s="118"/>
      <c r="Y3" s="118"/>
      <c r="Z3" s="18"/>
      <c r="AA3" s="118" t="s">
        <v>12</v>
      </c>
      <c r="AB3" s="118"/>
      <c r="AC3" s="118"/>
      <c r="AD3" s="18"/>
      <c r="AE3" s="119" t="s">
        <v>13</v>
      </c>
      <c r="AF3" s="119"/>
      <c r="AG3" s="119"/>
    </row>
    <row r="4" spans="1:33" ht="15" customHeight="1">
      <c r="A4" s="133"/>
      <c r="B4" s="133"/>
      <c r="C4" s="134"/>
      <c r="D4" s="137"/>
      <c r="E4" s="130"/>
      <c r="F4" s="130"/>
      <c r="G4" s="23"/>
      <c r="H4" s="23"/>
      <c r="I4" s="120" t="s">
        <v>14</v>
      </c>
      <c r="J4" s="122" t="s">
        <v>15</v>
      </c>
      <c r="K4" s="122" t="s">
        <v>1</v>
      </c>
      <c r="L4" s="122" t="s">
        <v>14</v>
      </c>
      <c r="M4" s="122" t="s">
        <v>15</v>
      </c>
      <c r="N4" s="122" t="s">
        <v>1</v>
      </c>
      <c r="O4" s="122" t="s">
        <v>14</v>
      </c>
      <c r="P4" s="122" t="s">
        <v>15</v>
      </c>
      <c r="Q4" s="122" t="s">
        <v>1</v>
      </c>
      <c r="S4" s="118" t="s">
        <v>16</v>
      </c>
      <c r="T4" s="118" t="s">
        <v>5</v>
      </c>
      <c r="U4" s="118" t="s">
        <v>6</v>
      </c>
      <c r="V4" s="19"/>
      <c r="W4" s="118" t="s">
        <v>16</v>
      </c>
      <c r="X4" s="118" t="s">
        <v>5</v>
      </c>
      <c r="Y4" s="118" t="s">
        <v>6</v>
      </c>
      <c r="Z4" s="19"/>
      <c r="AA4" s="118" t="s">
        <v>16</v>
      </c>
      <c r="AB4" s="118" t="s">
        <v>5</v>
      </c>
      <c r="AC4" s="118" t="s">
        <v>6</v>
      </c>
      <c r="AD4" s="19"/>
      <c r="AE4" s="118" t="s">
        <v>16</v>
      </c>
      <c r="AF4" s="119" t="s">
        <v>17</v>
      </c>
      <c r="AG4" s="119" t="s">
        <v>18</v>
      </c>
    </row>
    <row r="5" spans="1:33" ht="15" customHeight="1">
      <c r="A5" s="135"/>
      <c r="B5" s="135"/>
      <c r="C5" s="136"/>
      <c r="D5" s="138"/>
      <c r="E5" s="130"/>
      <c r="F5" s="130"/>
      <c r="G5" s="24"/>
      <c r="H5" s="24"/>
      <c r="I5" s="121"/>
      <c r="J5" s="123"/>
      <c r="K5" s="123"/>
      <c r="L5" s="123"/>
      <c r="M5" s="123"/>
      <c r="N5" s="123"/>
      <c r="O5" s="123"/>
      <c r="P5" s="123"/>
      <c r="Q5" s="123"/>
      <c r="S5" s="118"/>
      <c r="T5" s="118"/>
      <c r="U5" s="118"/>
      <c r="V5" s="19"/>
      <c r="W5" s="118"/>
      <c r="X5" s="118"/>
      <c r="Y5" s="118"/>
      <c r="Z5" s="19"/>
      <c r="AA5" s="118"/>
      <c r="AB5" s="118"/>
      <c r="AC5" s="118"/>
      <c r="AD5" s="19"/>
      <c r="AE5" s="118"/>
      <c r="AF5" s="119"/>
      <c r="AG5" s="119"/>
    </row>
    <row r="6" spans="1:33" ht="21.75" customHeight="1">
      <c r="A6" s="127" t="s">
        <v>19</v>
      </c>
      <c r="B6" s="128"/>
      <c r="C6" s="129"/>
      <c r="D6" s="4">
        <v>50</v>
      </c>
      <c r="E6" s="26">
        <v>67097</v>
      </c>
      <c r="F6" s="26">
        <v>3354850</v>
      </c>
      <c r="G6" s="9"/>
      <c r="H6" s="9"/>
      <c r="I6" s="5">
        <v>72700</v>
      </c>
      <c r="J6" s="6">
        <v>72700</v>
      </c>
      <c r="K6" s="6">
        <f>+J6*D6</f>
        <v>3635000</v>
      </c>
      <c r="L6" s="1">
        <v>83100</v>
      </c>
      <c r="M6" s="2">
        <v>83100</v>
      </c>
      <c r="N6" s="2">
        <v>4155000</v>
      </c>
      <c r="O6" s="1">
        <v>50000</v>
      </c>
      <c r="P6" s="2">
        <v>50000</v>
      </c>
      <c r="Q6" s="2">
        <v>2500000</v>
      </c>
      <c r="S6" s="14">
        <f t="shared" ref="S6:S14" si="0">+ROUND(AVERAGE(I6,L6,O6),0)</f>
        <v>68600</v>
      </c>
      <c r="T6" s="14">
        <f>+ROUND(S6*(1+$D$2),0)</f>
        <v>68600</v>
      </c>
      <c r="U6" s="14">
        <f t="shared" ref="U6:U14" si="1">+ROUND(T6*D6,0)</f>
        <v>3430000</v>
      </c>
      <c r="V6" s="15"/>
      <c r="W6" s="14">
        <f t="shared" ref="W6:W14" si="2">+ROUND(GEOMEAN(I6,L6,O6),0)</f>
        <v>67097</v>
      </c>
      <c r="X6" s="14">
        <f>+ROUND(W6*(1+$D$2),0)</f>
        <v>67097</v>
      </c>
      <c r="Y6" s="14">
        <f>+ROUND(X6*$D6,0)</f>
        <v>3354850</v>
      </c>
      <c r="Z6" s="15"/>
      <c r="AA6" s="14">
        <f>+ROUND(AVERAGE(SMALL((J6,L6,O6),{1;2;3})),0)</f>
        <v>68600</v>
      </c>
      <c r="AB6" s="14">
        <f>+ROUND(AA6*(1+$D$2),0)</f>
        <v>68600</v>
      </c>
      <c r="AC6" s="14">
        <f>+ROUND(AB6*$D6,0)</f>
        <v>3430000</v>
      </c>
      <c r="AD6" s="15"/>
      <c r="AE6" s="14">
        <f t="shared" ref="AE6:AE14" si="3">+ROUND(STDEV(I6,L6,O6),0)</f>
        <v>16927</v>
      </c>
      <c r="AF6" s="14">
        <f>+ROUND(S6-AE6,0)</f>
        <v>51673</v>
      </c>
      <c r="AG6" s="14">
        <f>+ROUND(S6+AE6,0)</f>
        <v>85527</v>
      </c>
    </row>
    <row r="7" spans="1:33" ht="20.25" customHeight="1">
      <c r="A7" s="127" t="s">
        <v>20</v>
      </c>
      <c r="B7" s="128"/>
      <c r="C7" s="129"/>
      <c r="D7" s="4">
        <v>350</v>
      </c>
      <c r="E7" s="26">
        <v>67097</v>
      </c>
      <c r="F7" s="26">
        <v>23483950</v>
      </c>
      <c r="G7" s="9"/>
      <c r="H7" s="9"/>
      <c r="I7" s="5">
        <v>72700</v>
      </c>
      <c r="J7" s="6">
        <v>72700</v>
      </c>
      <c r="K7" s="6">
        <f t="shared" ref="K7:K14" si="4">+J7*D7</f>
        <v>25445000</v>
      </c>
      <c r="L7" s="1">
        <v>83100</v>
      </c>
      <c r="M7" s="2">
        <v>83100</v>
      </c>
      <c r="N7" s="2">
        <v>29085000</v>
      </c>
      <c r="O7" s="1">
        <v>50000</v>
      </c>
      <c r="P7" s="2">
        <v>50000</v>
      </c>
      <c r="Q7" s="2">
        <v>17500000</v>
      </c>
      <c r="S7" s="14">
        <f t="shared" si="0"/>
        <v>68600</v>
      </c>
      <c r="T7" s="14">
        <f t="shared" ref="T7:T14" si="5">+ROUND(S7*(1+$D$2),0)</f>
        <v>68600</v>
      </c>
      <c r="U7" s="14">
        <f t="shared" si="1"/>
        <v>24010000</v>
      </c>
      <c r="V7" s="15"/>
      <c r="W7" s="14">
        <f t="shared" si="2"/>
        <v>67097</v>
      </c>
      <c r="X7" s="14">
        <f t="shared" ref="X7:X14" si="6">+ROUND(W7*(1+$D$2),0)</f>
        <v>67097</v>
      </c>
      <c r="Y7" s="14">
        <f t="shared" ref="Y7:Y14" si="7">+ROUND(X7*$D7,0)</f>
        <v>23483950</v>
      </c>
      <c r="Z7" s="15"/>
      <c r="AA7" s="14">
        <f>+ROUND(AVERAGE(SMALL((J7,L7,O7),{1;2;3})),0)</f>
        <v>68600</v>
      </c>
      <c r="AB7" s="14">
        <f t="shared" ref="AB7:AB14" si="8">+ROUND(AA7*(1+$D$2),0)</f>
        <v>68600</v>
      </c>
      <c r="AC7" s="14">
        <f t="shared" ref="AC7:AC14" si="9">+ROUND(AB7*$D7,0)</f>
        <v>24010000</v>
      </c>
      <c r="AD7" s="15"/>
      <c r="AE7" s="14">
        <f t="shared" si="3"/>
        <v>16927</v>
      </c>
      <c r="AF7" s="14">
        <f t="shared" ref="AF7:AF14" si="10">+ROUND(S7-AE7,0)</f>
        <v>51673</v>
      </c>
      <c r="AG7" s="14">
        <f t="shared" ref="AG7:AG14" si="11">+ROUND(S7+AE7,0)</f>
        <v>85527</v>
      </c>
    </row>
    <row r="8" spans="1:33" ht="15" customHeight="1">
      <c r="A8" s="127" t="s">
        <v>21</v>
      </c>
      <c r="B8" s="128"/>
      <c r="C8" s="129"/>
      <c r="D8" s="4">
        <v>50</v>
      </c>
      <c r="E8" s="26">
        <v>36005</v>
      </c>
      <c r="F8" s="26">
        <v>1800250</v>
      </c>
      <c r="G8" s="9"/>
      <c r="H8" s="9"/>
      <c r="I8" s="5">
        <v>33700</v>
      </c>
      <c r="J8" s="6">
        <v>33700</v>
      </c>
      <c r="K8" s="6">
        <f t="shared" si="4"/>
        <v>1685000</v>
      </c>
      <c r="L8" s="1">
        <v>27700</v>
      </c>
      <c r="M8" s="2">
        <v>27700</v>
      </c>
      <c r="N8" s="2">
        <v>1385000</v>
      </c>
      <c r="O8" s="1">
        <v>50000</v>
      </c>
      <c r="P8" s="2">
        <v>50000</v>
      </c>
      <c r="Q8" s="2">
        <v>2500000</v>
      </c>
      <c r="S8" s="14">
        <f t="shared" si="0"/>
        <v>37133</v>
      </c>
      <c r="T8" s="14">
        <f t="shared" si="5"/>
        <v>37133</v>
      </c>
      <c r="U8" s="14">
        <f t="shared" si="1"/>
        <v>1856650</v>
      </c>
      <c r="V8" s="15"/>
      <c r="W8" s="14">
        <f t="shared" si="2"/>
        <v>36005</v>
      </c>
      <c r="X8" s="14">
        <f t="shared" si="6"/>
        <v>36005</v>
      </c>
      <c r="Y8" s="14">
        <f t="shared" si="7"/>
        <v>1800250</v>
      </c>
      <c r="Z8" s="15"/>
      <c r="AA8" s="14">
        <f>+ROUND(AVERAGE(SMALL((J8,L8,O8),{1;2;3})),0)</f>
        <v>37133</v>
      </c>
      <c r="AB8" s="14">
        <f t="shared" si="8"/>
        <v>37133</v>
      </c>
      <c r="AC8" s="14">
        <f t="shared" si="9"/>
        <v>1856650</v>
      </c>
      <c r="AD8" s="15"/>
      <c r="AE8" s="14">
        <f t="shared" si="3"/>
        <v>11540</v>
      </c>
      <c r="AF8" s="14">
        <f t="shared" si="10"/>
        <v>25593</v>
      </c>
      <c r="AG8" s="14">
        <f t="shared" si="11"/>
        <v>48673</v>
      </c>
    </row>
    <row r="9" spans="1:33" ht="15" customHeight="1">
      <c r="A9" s="127" t="s">
        <v>22</v>
      </c>
      <c r="B9" s="128"/>
      <c r="C9" s="129"/>
      <c r="D9" s="4">
        <v>10</v>
      </c>
      <c r="E9" s="26">
        <v>75270</v>
      </c>
      <c r="F9" s="26">
        <v>752700</v>
      </c>
      <c r="G9" s="9"/>
      <c r="H9" s="9"/>
      <c r="I9" s="5">
        <v>110300</v>
      </c>
      <c r="J9" s="6">
        <v>110300</v>
      </c>
      <c r="K9" s="6">
        <f t="shared" si="4"/>
        <v>1103000</v>
      </c>
      <c r="L9" s="1">
        <v>51550</v>
      </c>
      <c r="M9" s="2">
        <v>51550</v>
      </c>
      <c r="N9" s="2">
        <v>515500</v>
      </c>
      <c r="O9" s="1">
        <v>75000</v>
      </c>
      <c r="P9" s="2">
        <v>75000</v>
      </c>
      <c r="Q9" s="2">
        <v>750000</v>
      </c>
      <c r="S9" s="14">
        <f t="shared" si="0"/>
        <v>78950</v>
      </c>
      <c r="T9" s="14">
        <f t="shared" si="5"/>
        <v>78950</v>
      </c>
      <c r="U9" s="14">
        <f t="shared" si="1"/>
        <v>789500</v>
      </c>
      <c r="V9" s="15"/>
      <c r="W9" s="14">
        <f t="shared" si="2"/>
        <v>75270</v>
      </c>
      <c r="X9" s="14">
        <f t="shared" si="6"/>
        <v>75270</v>
      </c>
      <c r="Y9" s="14">
        <f t="shared" si="7"/>
        <v>752700</v>
      </c>
      <c r="Z9" s="15"/>
      <c r="AA9" s="14">
        <f>+ROUND(AVERAGE(SMALL((J9,L9,O9),{1;2;3})),0)</f>
        <v>78950</v>
      </c>
      <c r="AB9" s="14">
        <f t="shared" si="8"/>
        <v>78950</v>
      </c>
      <c r="AC9" s="14">
        <f t="shared" si="9"/>
        <v>789500</v>
      </c>
      <c r="AD9" s="15"/>
      <c r="AE9" s="14">
        <f t="shared" si="3"/>
        <v>29574</v>
      </c>
      <c r="AF9" s="14">
        <f t="shared" si="10"/>
        <v>49376</v>
      </c>
      <c r="AG9" s="14">
        <f t="shared" si="11"/>
        <v>108524</v>
      </c>
    </row>
    <row r="10" spans="1:33">
      <c r="A10" s="127" t="s">
        <v>23</v>
      </c>
      <c r="B10" s="128"/>
      <c r="C10" s="129"/>
      <c r="D10" s="4">
        <v>7</v>
      </c>
      <c r="E10" s="26">
        <v>119085</v>
      </c>
      <c r="F10" s="26">
        <v>833595</v>
      </c>
      <c r="G10" s="9"/>
      <c r="H10" s="9"/>
      <c r="I10" s="5">
        <v>156500</v>
      </c>
      <c r="J10" s="6">
        <v>156500</v>
      </c>
      <c r="K10" s="6">
        <f t="shared" si="4"/>
        <v>1095500</v>
      </c>
      <c r="L10" s="1">
        <v>119900</v>
      </c>
      <c r="M10" s="2">
        <v>119900</v>
      </c>
      <c r="N10" s="2">
        <v>839300</v>
      </c>
      <c r="O10" s="1">
        <v>90000</v>
      </c>
      <c r="P10" s="2">
        <v>90000</v>
      </c>
      <c r="Q10" s="2">
        <v>630000</v>
      </c>
      <c r="S10" s="14">
        <f t="shared" si="0"/>
        <v>122133</v>
      </c>
      <c r="T10" s="14">
        <f t="shared" si="5"/>
        <v>122133</v>
      </c>
      <c r="U10" s="14">
        <f t="shared" si="1"/>
        <v>854931</v>
      </c>
      <c r="V10" s="15"/>
      <c r="W10" s="14">
        <f t="shared" si="2"/>
        <v>119085</v>
      </c>
      <c r="X10" s="14">
        <f t="shared" si="6"/>
        <v>119085</v>
      </c>
      <c r="Y10" s="14">
        <f t="shared" si="7"/>
        <v>833595</v>
      </c>
      <c r="Z10" s="15"/>
      <c r="AA10" s="14">
        <f>+ROUND(AVERAGE(SMALL((J10,L10,O10),{1;2;3})),0)</f>
        <v>122133</v>
      </c>
      <c r="AB10" s="14">
        <f t="shared" si="8"/>
        <v>122133</v>
      </c>
      <c r="AC10" s="14">
        <f t="shared" si="9"/>
        <v>854931</v>
      </c>
      <c r="AD10" s="15"/>
      <c r="AE10" s="14">
        <f t="shared" si="3"/>
        <v>33306</v>
      </c>
      <c r="AF10" s="14">
        <f t="shared" si="10"/>
        <v>88827</v>
      </c>
      <c r="AG10" s="14">
        <f t="shared" si="11"/>
        <v>155439</v>
      </c>
    </row>
    <row r="11" spans="1:33">
      <c r="A11" s="127" t="s">
        <v>24</v>
      </c>
      <c r="B11" s="128"/>
      <c r="C11" s="129"/>
      <c r="D11" s="4">
        <v>400</v>
      </c>
      <c r="E11" s="26">
        <v>23072</v>
      </c>
      <c r="F11" s="26">
        <v>9228800</v>
      </c>
      <c r="G11" s="9"/>
      <c r="H11" s="9"/>
      <c r="I11" s="5">
        <v>23000</v>
      </c>
      <c r="J11" s="6">
        <v>23000</v>
      </c>
      <c r="K11" s="6">
        <f t="shared" si="4"/>
        <v>9200000</v>
      </c>
      <c r="L11" s="1">
        <v>17800</v>
      </c>
      <c r="M11" s="2">
        <v>17800</v>
      </c>
      <c r="N11" s="2">
        <v>7120000</v>
      </c>
      <c r="O11" s="1">
        <v>30000</v>
      </c>
      <c r="P11" s="2">
        <v>30000</v>
      </c>
      <c r="Q11" s="2">
        <v>12000000</v>
      </c>
      <c r="S11" s="14">
        <f t="shared" si="0"/>
        <v>23600</v>
      </c>
      <c r="T11" s="14">
        <f t="shared" si="5"/>
        <v>23600</v>
      </c>
      <c r="U11" s="14">
        <f t="shared" si="1"/>
        <v>9440000</v>
      </c>
      <c r="V11" s="15"/>
      <c r="W11" s="14">
        <f t="shared" si="2"/>
        <v>23072</v>
      </c>
      <c r="X11" s="14">
        <f t="shared" si="6"/>
        <v>23072</v>
      </c>
      <c r="Y11" s="14">
        <f t="shared" si="7"/>
        <v>9228800</v>
      </c>
      <c r="Z11" s="15"/>
      <c r="AA11" s="14">
        <f>+ROUND(AVERAGE(SMALL((J11,L11,O11),{1;2;3})),0)</f>
        <v>23600</v>
      </c>
      <c r="AB11" s="14">
        <f t="shared" si="8"/>
        <v>23600</v>
      </c>
      <c r="AC11" s="14">
        <f t="shared" si="9"/>
        <v>9440000</v>
      </c>
      <c r="AD11" s="15"/>
      <c r="AE11" s="14">
        <f t="shared" si="3"/>
        <v>6122</v>
      </c>
      <c r="AF11" s="14">
        <f t="shared" si="10"/>
        <v>17478</v>
      </c>
      <c r="AG11" s="14">
        <f t="shared" si="11"/>
        <v>29722</v>
      </c>
    </row>
    <row r="12" spans="1:33" ht="15" customHeight="1">
      <c r="A12" s="127" t="s">
        <v>25</v>
      </c>
      <c r="B12" s="128"/>
      <c r="C12" s="129"/>
      <c r="D12" s="4">
        <v>50</v>
      </c>
      <c r="E12" s="26">
        <v>27460</v>
      </c>
      <c r="F12" s="26">
        <v>1373000</v>
      </c>
      <c r="G12" s="9"/>
      <c r="H12" s="9"/>
      <c r="I12" s="5">
        <v>29000</v>
      </c>
      <c r="J12" s="6">
        <v>29000</v>
      </c>
      <c r="K12" s="6">
        <f t="shared" si="4"/>
        <v>1450000</v>
      </c>
      <c r="L12" s="1">
        <v>20400</v>
      </c>
      <c r="M12" s="2">
        <v>20400</v>
      </c>
      <c r="N12" s="2">
        <v>1020000</v>
      </c>
      <c r="O12" s="1">
        <v>35000</v>
      </c>
      <c r="P12" s="2">
        <v>35000</v>
      </c>
      <c r="Q12" s="2">
        <v>1750000</v>
      </c>
      <c r="S12" s="14">
        <f t="shared" si="0"/>
        <v>28133</v>
      </c>
      <c r="T12" s="14">
        <f t="shared" si="5"/>
        <v>28133</v>
      </c>
      <c r="U12" s="14">
        <f t="shared" si="1"/>
        <v>1406650</v>
      </c>
      <c r="V12" s="15"/>
      <c r="W12" s="14">
        <f t="shared" si="2"/>
        <v>27460</v>
      </c>
      <c r="X12" s="14">
        <f t="shared" si="6"/>
        <v>27460</v>
      </c>
      <c r="Y12" s="14">
        <f t="shared" si="7"/>
        <v>1373000</v>
      </c>
      <c r="Z12" s="15"/>
      <c r="AA12" s="14">
        <f>+ROUND(AVERAGE(SMALL((J12,L12,O12),{1;2;3})),0)</f>
        <v>28133</v>
      </c>
      <c r="AB12" s="14">
        <f t="shared" si="8"/>
        <v>28133</v>
      </c>
      <c r="AC12" s="14">
        <f t="shared" si="9"/>
        <v>1406650</v>
      </c>
      <c r="AD12" s="15"/>
      <c r="AE12" s="14">
        <f t="shared" si="3"/>
        <v>7338</v>
      </c>
      <c r="AF12" s="14">
        <f t="shared" si="10"/>
        <v>20795</v>
      </c>
      <c r="AG12" s="14">
        <f t="shared" si="11"/>
        <v>35471</v>
      </c>
    </row>
    <row r="13" spans="1:33" ht="15" customHeight="1">
      <c r="A13" s="127" t="s">
        <v>26</v>
      </c>
      <c r="B13" s="128"/>
      <c r="C13" s="129"/>
      <c r="D13" s="4">
        <v>10</v>
      </c>
      <c r="E13" s="26">
        <v>50623</v>
      </c>
      <c r="F13" s="26">
        <v>506230</v>
      </c>
      <c r="G13" s="9"/>
      <c r="H13" s="9"/>
      <c r="I13" s="5">
        <v>81900</v>
      </c>
      <c r="J13" s="6">
        <v>81900</v>
      </c>
      <c r="K13" s="6">
        <f t="shared" si="4"/>
        <v>819000</v>
      </c>
      <c r="L13" s="1">
        <v>35200</v>
      </c>
      <c r="M13" s="2">
        <v>35200</v>
      </c>
      <c r="N13" s="2">
        <v>352000</v>
      </c>
      <c r="O13" s="1">
        <v>45000</v>
      </c>
      <c r="P13" s="2">
        <v>45000</v>
      </c>
      <c r="Q13" s="2">
        <v>450000</v>
      </c>
      <c r="S13" s="14">
        <f t="shared" si="0"/>
        <v>54033</v>
      </c>
      <c r="T13" s="14">
        <f t="shared" si="5"/>
        <v>54033</v>
      </c>
      <c r="U13" s="14">
        <f t="shared" si="1"/>
        <v>540330</v>
      </c>
      <c r="V13" s="15"/>
      <c r="W13" s="14">
        <f t="shared" si="2"/>
        <v>50623</v>
      </c>
      <c r="X13" s="14">
        <f t="shared" si="6"/>
        <v>50623</v>
      </c>
      <c r="Y13" s="14">
        <f t="shared" si="7"/>
        <v>506230</v>
      </c>
      <c r="Z13" s="15"/>
      <c r="AA13" s="14">
        <f>+ROUND(AVERAGE(SMALL((J13,L13,O13),{1;2;3})),0)</f>
        <v>54033</v>
      </c>
      <c r="AB13" s="14">
        <f t="shared" si="8"/>
        <v>54033</v>
      </c>
      <c r="AC13" s="14">
        <f t="shared" si="9"/>
        <v>540330</v>
      </c>
      <c r="AD13" s="15"/>
      <c r="AE13" s="14">
        <f t="shared" si="3"/>
        <v>24626</v>
      </c>
      <c r="AF13" s="14">
        <f t="shared" si="10"/>
        <v>29407</v>
      </c>
      <c r="AG13" s="14">
        <f t="shared" si="11"/>
        <v>78659</v>
      </c>
    </row>
    <row r="14" spans="1:33">
      <c r="A14" s="127" t="s">
        <v>27</v>
      </c>
      <c r="B14" s="128"/>
      <c r="C14" s="129"/>
      <c r="D14" s="4">
        <v>300</v>
      </c>
      <c r="E14" s="26">
        <v>42488</v>
      </c>
      <c r="F14" s="26">
        <v>12746400</v>
      </c>
      <c r="G14" s="9"/>
      <c r="H14" s="9"/>
      <c r="I14" s="5">
        <v>37000</v>
      </c>
      <c r="J14" s="6">
        <v>37000</v>
      </c>
      <c r="K14" s="6">
        <f t="shared" si="4"/>
        <v>11100000</v>
      </c>
      <c r="L14" s="1">
        <v>34550</v>
      </c>
      <c r="M14" s="2">
        <v>34550</v>
      </c>
      <c r="N14" s="2">
        <v>10365000</v>
      </c>
      <c r="O14" s="1">
        <v>60000</v>
      </c>
      <c r="P14" s="2">
        <v>60000</v>
      </c>
      <c r="Q14" s="2">
        <v>18000000</v>
      </c>
      <c r="S14" s="14">
        <f t="shared" si="0"/>
        <v>43850</v>
      </c>
      <c r="T14" s="14">
        <f t="shared" si="5"/>
        <v>43850</v>
      </c>
      <c r="U14" s="14">
        <f t="shared" si="1"/>
        <v>13155000</v>
      </c>
      <c r="V14" s="15"/>
      <c r="W14" s="14">
        <f t="shared" si="2"/>
        <v>42488</v>
      </c>
      <c r="X14" s="14">
        <f t="shared" si="6"/>
        <v>42488</v>
      </c>
      <c r="Y14" s="14">
        <f t="shared" si="7"/>
        <v>12746400</v>
      </c>
      <c r="Z14" s="15"/>
      <c r="AA14" s="14">
        <f>+ROUND(AVERAGE(SMALL((J14,L14,O14),{1;2;3})),0)</f>
        <v>43850</v>
      </c>
      <c r="AB14" s="14">
        <f t="shared" si="8"/>
        <v>43850</v>
      </c>
      <c r="AC14" s="14">
        <f t="shared" si="9"/>
        <v>13155000</v>
      </c>
      <c r="AD14" s="15"/>
      <c r="AE14" s="14">
        <f t="shared" si="3"/>
        <v>14040</v>
      </c>
      <c r="AF14" s="14">
        <f t="shared" si="10"/>
        <v>29810</v>
      </c>
      <c r="AG14" s="14">
        <f t="shared" si="11"/>
        <v>57890</v>
      </c>
    </row>
    <row r="15" spans="1:33" s="8" customFormat="1">
      <c r="A15" s="141" t="s">
        <v>28</v>
      </c>
      <c r="B15" s="141"/>
      <c r="C15" s="141"/>
      <c r="D15" s="10">
        <f>SUM(D6:D14)</f>
        <v>1227</v>
      </c>
      <c r="E15" s="20"/>
      <c r="F15" s="20">
        <v>54079775</v>
      </c>
      <c r="G15" s="25"/>
      <c r="H15" s="25"/>
      <c r="I15" s="142"/>
      <c r="J15" s="143"/>
      <c r="K15" s="7">
        <f>SUM(K6:K14)</f>
        <v>55532500</v>
      </c>
      <c r="L15" s="142"/>
      <c r="M15" s="143"/>
      <c r="N15" s="3">
        <f>SUM(N6:N14)</f>
        <v>54836800</v>
      </c>
      <c r="O15" s="139"/>
      <c r="P15" s="140"/>
      <c r="Q15" s="3">
        <f>SUM(Q6:Q14)</f>
        <v>56080000</v>
      </c>
      <c r="S15" s="16">
        <f>SUM(S6:S14)</f>
        <v>525032</v>
      </c>
      <c r="T15" s="16">
        <f t="shared" ref="T15:U15" si="12">SUM(T6:T14)</f>
        <v>525032</v>
      </c>
      <c r="U15" s="16">
        <f t="shared" si="12"/>
        <v>55483061</v>
      </c>
      <c r="V15" s="17"/>
      <c r="W15" s="16">
        <f>SUM(W6:W14)</f>
        <v>508197</v>
      </c>
      <c r="X15" s="16">
        <f>SUM(X6:X14)</f>
        <v>508197</v>
      </c>
      <c r="Y15" s="16">
        <f>SUM(Y6:Y14)</f>
        <v>54079775</v>
      </c>
      <c r="Z15" s="17"/>
      <c r="AA15" s="16">
        <f>SUM(AA6:AA14)</f>
        <v>525032</v>
      </c>
      <c r="AB15" s="16">
        <f>SUM(AB6:AB14)</f>
        <v>525032</v>
      </c>
      <c r="AC15" s="16">
        <f>SUM(AC6:AC14)</f>
        <v>55483061</v>
      </c>
      <c r="AD15" s="17"/>
      <c r="AE15" s="16">
        <f>SUM(AE6:AE14)</f>
        <v>160400</v>
      </c>
      <c r="AF15" s="16">
        <f>SUM(AF6:AF14)</f>
        <v>364632</v>
      </c>
      <c r="AG15" s="16">
        <f>SUM(AG6:AG14)</f>
        <v>685432</v>
      </c>
    </row>
    <row r="17" spans="1:6">
      <c r="A17" s="131" t="s">
        <v>3</v>
      </c>
      <c r="B17" s="131"/>
      <c r="C17" s="132"/>
      <c r="D17" s="137" t="s">
        <v>4</v>
      </c>
      <c r="E17" s="130" t="s">
        <v>5</v>
      </c>
      <c r="F17" s="130" t="s">
        <v>6</v>
      </c>
    </row>
    <row r="18" spans="1:6">
      <c r="A18" s="133"/>
      <c r="B18" s="133"/>
      <c r="C18" s="134"/>
      <c r="D18" s="137"/>
      <c r="E18" s="130"/>
      <c r="F18" s="130"/>
    </row>
    <row r="19" spans="1:6">
      <c r="A19" s="135"/>
      <c r="B19" s="135"/>
      <c r="C19" s="136"/>
      <c r="D19" s="138"/>
      <c r="E19" s="130"/>
      <c r="F19" s="130"/>
    </row>
    <row r="20" spans="1:6">
      <c r="A20" s="127" t="s">
        <v>19</v>
      </c>
      <c r="B20" s="128"/>
      <c r="C20" s="129"/>
      <c r="D20" s="4">
        <v>50</v>
      </c>
      <c r="E20" s="9">
        <v>67097</v>
      </c>
      <c r="F20" s="9">
        <f>D20*E20</f>
        <v>3354850</v>
      </c>
    </row>
    <row r="21" spans="1:6">
      <c r="A21" s="127" t="s">
        <v>20</v>
      </c>
      <c r="B21" s="128"/>
      <c r="C21" s="129"/>
      <c r="D21" s="4">
        <v>350</v>
      </c>
      <c r="E21" s="9">
        <v>67097</v>
      </c>
      <c r="F21" s="9">
        <f t="shared" ref="F21:F28" si="13">D21*E21</f>
        <v>23483950</v>
      </c>
    </row>
    <row r="22" spans="1:6">
      <c r="A22" s="127" t="s">
        <v>21</v>
      </c>
      <c r="B22" s="128"/>
      <c r="C22" s="129"/>
      <c r="D22" s="4">
        <v>50</v>
      </c>
      <c r="E22" s="9">
        <v>36005</v>
      </c>
      <c r="F22" s="9">
        <f t="shared" si="13"/>
        <v>1800250</v>
      </c>
    </row>
    <row r="23" spans="1:6">
      <c r="A23" s="127" t="s">
        <v>22</v>
      </c>
      <c r="B23" s="128"/>
      <c r="C23" s="129"/>
      <c r="D23" s="4">
        <v>10</v>
      </c>
      <c r="E23" s="9">
        <v>75270</v>
      </c>
      <c r="F23" s="9">
        <f t="shared" si="13"/>
        <v>752700</v>
      </c>
    </row>
    <row r="24" spans="1:6">
      <c r="A24" s="127" t="s">
        <v>23</v>
      </c>
      <c r="B24" s="128"/>
      <c r="C24" s="129"/>
      <c r="D24" s="4">
        <v>7</v>
      </c>
      <c r="E24" s="9">
        <v>119085</v>
      </c>
      <c r="F24" s="9">
        <f t="shared" si="13"/>
        <v>833595</v>
      </c>
    </row>
    <row r="25" spans="1:6">
      <c r="A25" s="127" t="s">
        <v>24</v>
      </c>
      <c r="B25" s="128"/>
      <c r="C25" s="129"/>
      <c r="D25" s="4">
        <v>400</v>
      </c>
      <c r="E25" s="9">
        <v>23072</v>
      </c>
      <c r="F25" s="9">
        <f t="shared" si="13"/>
        <v>9228800</v>
      </c>
    </row>
    <row r="26" spans="1:6">
      <c r="A26" s="127" t="s">
        <v>25</v>
      </c>
      <c r="B26" s="128"/>
      <c r="C26" s="129"/>
      <c r="D26" s="4">
        <v>50</v>
      </c>
      <c r="E26" s="9">
        <v>27460</v>
      </c>
      <c r="F26" s="9">
        <f t="shared" si="13"/>
        <v>1373000</v>
      </c>
    </row>
    <row r="27" spans="1:6">
      <c r="A27" s="127" t="s">
        <v>26</v>
      </c>
      <c r="B27" s="128"/>
      <c r="C27" s="129"/>
      <c r="D27" s="4">
        <v>10</v>
      </c>
      <c r="E27" s="9">
        <v>50623</v>
      </c>
      <c r="F27" s="9">
        <f t="shared" si="13"/>
        <v>506230</v>
      </c>
    </row>
    <row r="28" spans="1:6">
      <c r="A28" s="127" t="s">
        <v>27</v>
      </c>
      <c r="B28" s="128"/>
      <c r="C28" s="129"/>
      <c r="D28" s="4">
        <v>300</v>
      </c>
      <c r="E28" s="9">
        <v>42488</v>
      </c>
      <c r="F28" s="9">
        <f t="shared" si="13"/>
        <v>12746400</v>
      </c>
    </row>
    <row r="29" spans="1:6">
      <c r="A29" s="141" t="s">
        <v>28</v>
      </c>
      <c r="B29" s="141"/>
      <c r="C29" s="141"/>
      <c r="D29" s="10">
        <f>SUM(D20:D28)</f>
        <v>1227</v>
      </c>
      <c r="E29" s="25"/>
      <c r="F29" s="25">
        <f>SUM(F20:F28)</f>
        <v>54079775</v>
      </c>
    </row>
  </sheetData>
  <mergeCells count="59">
    <mergeCell ref="A28:C28"/>
    <mergeCell ref="A29:C29"/>
    <mergeCell ref="A22:C22"/>
    <mergeCell ref="A23:C23"/>
    <mergeCell ref="A24:C24"/>
    <mergeCell ref="A25:C25"/>
    <mergeCell ref="A26:C26"/>
    <mergeCell ref="A27:C27"/>
    <mergeCell ref="A21:C21"/>
    <mergeCell ref="A14:C14"/>
    <mergeCell ref="A15:C15"/>
    <mergeCell ref="I15:J15"/>
    <mergeCell ref="L15:M15"/>
    <mergeCell ref="A17:C19"/>
    <mergeCell ref="D17:D19"/>
    <mergeCell ref="E17:E19"/>
    <mergeCell ref="F17:F19"/>
    <mergeCell ref="A20:C20"/>
    <mergeCell ref="O15:P15"/>
    <mergeCell ref="A8:C8"/>
    <mergeCell ref="A9:C9"/>
    <mergeCell ref="A10:C10"/>
    <mergeCell ref="A11:C11"/>
    <mergeCell ref="A12:C12"/>
    <mergeCell ref="A13:C13"/>
    <mergeCell ref="AC4:AC5"/>
    <mergeCell ref="AE4:AE5"/>
    <mergeCell ref="AF4:AF5"/>
    <mergeCell ref="AG4:AG5"/>
    <mergeCell ref="A6:C6"/>
    <mergeCell ref="X4:X5"/>
    <mergeCell ref="Y4:Y5"/>
    <mergeCell ref="AA4:AA5"/>
    <mergeCell ref="AB4:AB5"/>
    <mergeCell ref="A7:C7"/>
    <mergeCell ref="E3:E5"/>
    <mergeCell ref="F3:F5"/>
    <mergeCell ref="U4:U5"/>
    <mergeCell ref="W4:W5"/>
    <mergeCell ref="W3:Y3"/>
    <mergeCell ref="A3:C5"/>
    <mergeCell ref="D3:D5"/>
    <mergeCell ref="T4:T5"/>
    <mergeCell ref="AA3:AC3"/>
    <mergeCell ref="AE3:AG3"/>
    <mergeCell ref="I4:I5"/>
    <mergeCell ref="J4:J5"/>
    <mergeCell ref="K4:K5"/>
    <mergeCell ref="L4:L5"/>
    <mergeCell ref="M4:M5"/>
    <mergeCell ref="N4:N5"/>
    <mergeCell ref="O4:O5"/>
    <mergeCell ref="I3:K3"/>
    <mergeCell ref="L3:N3"/>
    <mergeCell ref="O3:Q3"/>
    <mergeCell ref="S3:U3"/>
    <mergeCell ref="P4:P5"/>
    <mergeCell ref="Q4:Q5"/>
    <mergeCell ref="S4:S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PROMEDIO MANT VEHICULOS</vt:lpstr>
      <vt:lpstr>Borrador</vt:lpstr>
      <vt:lpstr>'PROMEDIO MANT VEHICULOS'!Área_de_impresión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Carolina Másmela Jiménez</dc:creator>
  <cp:keywords/>
  <dc:description/>
  <cp:lastModifiedBy>Eda Signey Ramirez Quintana</cp:lastModifiedBy>
  <cp:revision/>
  <cp:lastPrinted>2025-11-05T00:11:05Z</cp:lastPrinted>
  <dcterms:created xsi:type="dcterms:W3CDTF">2018-02-05T20:14:19Z</dcterms:created>
  <dcterms:modified xsi:type="dcterms:W3CDTF">2025-11-05T19:29:36Z</dcterms:modified>
  <cp:category/>
  <cp:contentStatus/>
</cp:coreProperties>
</file>